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ADOS\Partage Autorisé\Joël Oliveira\Profit testing\11-Sérénité\"/>
    </mc:Choice>
  </mc:AlternateContent>
  <xr:revisionPtr revIDLastSave="0" documentId="13_ncr:1_{E69524E1-2564-45B9-803B-B4C6ACFFEC07}" xr6:coauthVersionLast="41" xr6:coauthVersionMax="41" xr10:uidLastSave="{00000000-0000-0000-0000-000000000000}"/>
  <bookViews>
    <workbookView xWindow="28680" yWindow="-120" windowWidth="29040" windowHeight="15840" activeTab="2" xr2:uid="{9A487C9D-BF4B-4D68-ABFA-19B5CBF9F401}"/>
  </bookViews>
  <sheets>
    <sheet name="Synthèse" sheetId="8" r:id="rId1"/>
    <sheet name="Cash flows mensuel" sheetId="7" r:id="rId2"/>
    <sheet name="Cash flows par police" sheetId="1" r:id="rId3"/>
    <sheet name="Portfolio" sheetId="5" r:id="rId4"/>
    <sheet name="Real assumptions" sheetId="3" r:id="rId5"/>
    <sheet name="EKM_F05" sheetId="4" r:id="rId6"/>
    <sheet name="Premiums Rate" sheetId="6" r:id="rId7"/>
    <sheet name="Correction à faire" sheetId="9" r:id="rId8"/>
  </sheets>
  <externalReferences>
    <externalReference r:id="rId9"/>
  </externalReferences>
  <definedNames>
    <definedName name="Lancer_la_requête_à_partir_de_AS400" localSheetId="3" hidden="1">Portfolio!$B$3:$BQ$161</definedName>
    <definedName name="PREM_INC">'Cash flows par police'!$P$12:$P$1048576</definedName>
    <definedName name="salut">'Cash flows par police'!#REF!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5" i="1" l="1"/>
  <c r="AQ5" i="1"/>
  <c r="B12" i="1"/>
  <c r="Y12" i="1"/>
  <c r="AN5" i="1"/>
  <c r="AO5" i="1" s="1"/>
  <c r="B38" i="3"/>
  <c r="AA12" i="1" l="1"/>
  <c r="D58" i="4"/>
  <c r="X12" i="1" l="1"/>
  <c r="W3" i="1"/>
  <c r="AR5" i="1" s="1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AF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G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AG99" i="5"/>
  <c r="AG100" i="5"/>
  <c r="AG101" i="5"/>
  <c r="AG102" i="5"/>
  <c r="AG103" i="5"/>
  <c r="AG104" i="5"/>
  <c r="AG105" i="5"/>
  <c r="AG106" i="5"/>
  <c r="AG107" i="5"/>
  <c r="AG108" i="5"/>
  <c r="AG109" i="5"/>
  <c r="AG110" i="5"/>
  <c r="AG111" i="5"/>
  <c r="AG112" i="5"/>
  <c r="AG113" i="5"/>
  <c r="AG114" i="5"/>
  <c r="AG115" i="5"/>
  <c r="AG116" i="5"/>
  <c r="AG117" i="5"/>
  <c r="AG118" i="5"/>
  <c r="AG119" i="5"/>
  <c r="AG120" i="5"/>
  <c r="AG121" i="5"/>
  <c r="AG122" i="5"/>
  <c r="AG123" i="5"/>
  <c r="AG124" i="5"/>
  <c r="AG125" i="5"/>
  <c r="AG126" i="5"/>
  <c r="AG127" i="5"/>
  <c r="AG128" i="5"/>
  <c r="AG129" i="5"/>
  <c r="AG130" i="5"/>
  <c r="AG131" i="5"/>
  <c r="AG132" i="5"/>
  <c r="AG133" i="5"/>
  <c r="AG134" i="5"/>
  <c r="AG135" i="5"/>
  <c r="AG136" i="5"/>
  <c r="AG137" i="5"/>
  <c r="AG138" i="5"/>
  <c r="AG139" i="5"/>
  <c r="AG140" i="5"/>
  <c r="AG141" i="5"/>
  <c r="AG142" i="5"/>
  <c r="AG143" i="5"/>
  <c r="AG144" i="5"/>
  <c r="AG145" i="5"/>
  <c r="AG146" i="5"/>
  <c r="AG147" i="5"/>
  <c r="AG148" i="5"/>
  <c r="AG149" i="5"/>
  <c r="AG150" i="5"/>
  <c r="AG151" i="5"/>
  <c r="AG152" i="5"/>
  <c r="AG153" i="5"/>
  <c r="AG154" i="5"/>
  <c r="AG155" i="5"/>
  <c r="AG156" i="5"/>
  <c r="AG157" i="5"/>
  <c r="AG158" i="5"/>
  <c r="AG159" i="5"/>
  <c r="AG160" i="5"/>
  <c r="AG161" i="5"/>
  <c r="AH4" i="5"/>
  <c r="AH5" i="5"/>
  <c r="AH6" i="5"/>
  <c r="AH7" i="5"/>
  <c r="AH8" i="5"/>
  <c r="AH9" i="5"/>
  <c r="AH10" i="5"/>
  <c r="AH11" i="5"/>
  <c r="AH12" i="5"/>
  <c r="AH13" i="5"/>
  <c r="AH14" i="5"/>
  <c r="AH15" i="5"/>
  <c r="AH16" i="5"/>
  <c r="AH17" i="5"/>
  <c r="AH18" i="5"/>
  <c r="AH19" i="5"/>
  <c r="AH20" i="5"/>
  <c r="AH21" i="5"/>
  <c r="AH22" i="5"/>
  <c r="AH23" i="5"/>
  <c r="AH24" i="5"/>
  <c r="AH25" i="5"/>
  <c r="AH26" i="5"/>
  <c r="AH27" i="5"/>
  <c r="AH28" i="5"/>
  <c r="AH29" i="5"/>
  <c r="AH30" i="5"/>
  <c r="AH31" i="5"/>
  <c r="AH32" i="5"/>
  <c r="AH33" i="5"/>
  <c r="AH34" i="5"/>
  <c r="AH35" i="5"/>
  <c r="AH36" i="5"/>
  <c r="AH37" i="5"/>
  <c r="AH38" i="5"/>
  <c r="AH39" i="5"/>
  <c r="AH40" i="5"/>
  <c r="AH41" i="5"/>
  <c r="AH42" i="5"/>
  <c r="AH43" i="5"/>
  <c r="AH44" i="5"/>
  <c r="AH45" i="5"/>
  <c r="AH46" i="5"/>
  <c r="AH47" i="5"/>
  <c r="AH48" i="5"/>
  <c r="AH49" i="5"/>
  <c r="AH50" i="5"/>
  <c r="AH51" i="5"/>
  <c r="AH52" i="5"/>
  <c r="AH53" i="5"/>
  <c r="AH54" i="5"/>
  <c r="AH55" i="5"/>
  <c r="AH56" i="5"/>
  <c r="AH57" i="5"/>
  <c r="AH58" i="5"/>
  <c r="AH59" i="5"/>
  <c r="AH60" i="5"/>
  <c r="AH61" i="5"/>
  <c r="AH62" i="5"/>
  <c r="AH63" i="5"/>
  <c r="AH64" i="5"/>
  <c r="AH65" i="5"/>
  <c r="AH66" i="5"/>
  <c r="AH67" i="5"/>
  <c r="AH68" i="5"/>
  <c r="AH69" i="5"/>
  <c r="AH70" i="5"/>
  <c r="AH71" i="5"/>
  <c r="AH72" i="5"/>
  <c r="AH73" i="5"/>
  <c r="AH74" i="5"/>
  <c r="AH75" i="5"/>
  <c r="AH76" i="5"/>
  <c r="AH77" i="5"/>
  <c r="AH78" i="5"/>
  <c r="AH79" i="5"/>
  <c r="AH80" i="5"/>
  <c r="AH81" i="5"/>
  <c r="AH82" i="5"/>
  <c r="AH83" i="5"/>
  <c r="AH84" i="5"/>
  <c r="AH85" i="5"/>
  <c r="AH86" i="5"/>
  <c r="AH87" i="5"/>
  <c r="AH88" i="5"/>
  <c r="AH89" i="5"/>
  <c r="AH90" i="5"/>
  <c r="AH91" i="5"/>
  <c r="AH92" i="5"/>
  <c r="AH93" i="5"/>
  <c r="AH94" i="5"/>
  <c r="AH95" i="5"/>
  <c r="AH96" i="5"/>
  <c r="AH97" i="5"/>
  <c r="AH98" i="5"/>
  <c r="AH99" i="5"/>
  <c r="AH100" i="5"/>
  <c r="AH101" i="5"/>
  <c r="AH102" i="5"/>
  <c r="AH103" i="5"/>
  <c r="AH104" i="5"/>
  <c r="AH105" i="5"/>
  <c r="AH106" i="5"/>
  <c r="AH107" i="5"/>
  <c r="AH108" i="5"/>
  <c r="AH109" i="5"/>
  <c r="AH110" i="5"/>
  <c r="AH111" i="5"/>
  <c r="AH112" i="5"/>
  <c r="AH113" i="5"/>
  <c r="AH114" i="5"/>
  <c r="AH115" i="5"/>
  <c r="AH116" i="5"/>
  <c r="AH117" i="5"/>
  <c r="AH118" i="5"/>
  <c r="AH119" i="5"/>
  <c r="AH120" i="5"/>
  <c r="AH121" i="5"/>
  <c r="AH122" i="5"/>
  <c r="AH123" i="5"/>
  <c r="AH124" i="5"/>
  <c r="AH125" i="5"/>
  <c r="AH126" i="5"/>
  <c r="AH127" i="5"/>
  <c r="AH128" i="5"/>
  <c r="AH129" i="5"/>
  <c r="AH130" i="5"/>
  <c r="AH131" i="5"/>
  <c r="AH132" i="5"/>
  <c r="AH133" i="5"/>
  <c r="AH134" i="5"/>
  <c r="AH135" i="5"/>
  <c r="AH136" i="5"/>
  <c r="AH137" i="5"/>
  <c r="AH138" i="5"/>
  <c r="AH139" i="5"/>
  <c r="AH140" i="5"/>
  <c r="AH141" i="5"/>
  <c r="AH142" i="5"/>
  <c r="AH143" i="5"/>
  <c r="AH144" i="5"/>
  <c r="AH145" i="5"/>
  <c r="AH146" i="5"/>
  <c r="AH147" i="5"/>
  <c r="AH148" i="5"/>
  <c r="AH149" i="5"/>
  <c r="AH150" i="5"/>
  <c r="AH151" i="5"/>
  <c r="AH152" i="5"/>
  <c r="AH153" i="5"/>
  <c r="AH154" i="5"/>
  <c r="AH155" i="5"/>
  <c r="AH156" i="5"/>
  <c r="AH157" i="5"/>
  <c r="AH158" i="5"/>
  <c r="AH159" i="5"/>
  <c r="AH160" i="5"/>
  <c r="AH161" i="5"/>
  <c r="AJ4" i="5"/>
  <c r="AJ5" i="5"/>
  <c r="AJ6" i="5"/>
  <c r="AJ7" i="5"/>
  <c r="AJ8" i="5"/>
  <c r="AJ9" i="5"/>
  <c r="AJ10" i="5"/>
  <c r="AJ11" i="5"/>
  <c r="AJ12" i="5"/>
  <c r="AJ13" i="5"/>
  <c r="AJ14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0" i="5"/>
  <c r="AJ31" i="5"/>
  <c r="AJ32" i="5"/>
  <c r="AJ33" i="5"/>
  <c r="AJ34" i="5"/>
  <c r="AJ35" i="5"/>
  <c r="AJ36" i="5"/>
  <c r="AJ37" i="5"/>
  <c r="AJ38" i="5"/>
  <c r="AJ39" i="5"/>
  <c r="AJ40" i="5"/>
  <c r="AJ41" i="5"/>
  <c r="AJ42" i="5"/>
  <c r="AJ43" i="5"/>
  <c r="AJ44" i="5"/>
  <c r="AJ45" i="5"/>
  <c r="AJ46" i="5"/>
  <c r="AJ47" i="5"/>
  <c r="AJ48" i="5"/>
  <c r="AJ49" i="5"/>
  <c r="AJ50" i="5"/>
  <c r="AJ51" i="5"/>
  <c r="AJ52" i="5"/>
  <c r="AJ53" i="5"/>
  <c r="AJ54" i="5"/>
  <c r="AJ55" i="5"/>
  <c r="AJ56" i="5"/>
  <c r="AJ57" i="5"/>
  <c r="AJ58" i="5"/>
  <c r="AJ59" i="5"/>
  <c r="AJ60" i="5"/>
  <c r="AJ61" i="5"/>
  <c r="AJ62" i="5"/>
  <c r="AJ63" i="5"/>
  <c r="AJ64" i="5"/>
  <c r="AJ65" i="5"/>
  <c r="AJ66" i="5"/>
  <c r="AJ67" i="5"/>
  <c r="AJ68" i="5"/>
  <c r="AJ69" i="5"/>
  <c r="AJ70" i="5"/>
  <c r="AJ71" i="5"/>
  <c r="AJ72" i="5"/>
  <c r="AJ73" i="5"/>
  <c r="AJ74" i="5"/>
  <c r="AJ75" i="5"/>
  <c r="AJ76" i="5"/>
  <c r="AJ77" i="5"/>
  <c r="AJ78" i="5"/>
  <c r="AJ79" i="5"/>
  <c r="AJ80" i="5"/>
  <c r="AJ81" i="5"/>
  <c r="AJ82" i="5"/>
  <c r="AJ83" i="5"/>
  <c r="AJ84" i="5"/>
  <c r="AJ85" i="5"/>
  <c r="AJ86" i="5"/>
  <c r="AJ87" i="5"/>
  <c r="AJ88" i="5"/>
  <c r="AJ89" i="5"/>
  <c r="AJ90" i="5"/>
  <c r="AJ91" i="5"/>
  <c r="AJ92" i="5"/>
  <c r="AJ93" i="5"/>
  <c r="AJ94" i="5"/>
  <c r="AJ95" i="5"/>
  <c r="AJ96" i="5"/>
  <c r="AJ97" i="5"/>
  <c r="AJ98" i="5"/>
  <c r="AJ99" i="5"/>
  <c r="AJ100" i="5"/>
  <c r="AJ101" i="5"/>
  <c r="AJ102" i="5"/>
  <c r="AJ103" i="5"/>
  <c r="AJ104" i="5"/>
  <c r="AJ105" i="5"/>
  <c r="AJ106" i="5"/>
  <c r="AJ107" i="5"/>
  <c r="AJ108" i="5"/>
  <c r="AJ109" i="5"/>
  <c r="AJ110" i="5"/>
  <c r="AJ111" i="5"/>
  <c r="AJ112" i="5"/>
  <c r="AJ113" i="5"/>
  <c r="AJ114" i="5"/>
  <c r="AJ115" i="5"/>
  <c r="AJ116" i="5"/>
  <c r="AJ117" i="5"/>
  <c r="AJ118" i="5"/>
  <c r="AJ119" i="5"/>
  <c r="AJ120" i="5"/>
  <c r="AJ121" i="5"/>
  <c r="AJ122" i="5"/>
  <c r="AJ123" i="5"/>
  <c r="AJ124" i="5"/>
  <c r="AJ125" i="5"/>
  <c r="AJ126" i="5"/>
  <c r="AJ127" i="5"/>
  <c r="AJ128" i="5"/>
  <c r="AJ129" i="5"/>
  <c r="AJ130" i="5"/>
  <c r="AJ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47" i="5"/>
  <c r="AJ148" i="5"/>
  <c r="AJ149" i="5"/>
  <c r="AJ150" i="5"/>
  <c r="AJ151" i="5"/>
  <c r="AJ152" i="5"/>
  <c r="AJ153" i="5"/>
  <c r="AJ154" i="5"/>
  <c r="AJ155" i="5"/>
  <c r="AJ156" i="5"/>
  <c r="AJ157" i="5"/>
  <c r="AJ158" i="5"/>
  <c r="AJ159" i="5"/>
  <c r="AJ160" i="5"/>
  <c r="AJ161" i="5"/>
  <c r="AZ4" i="5"/>
  <c r="H4" i="5" s="1"/>
  <c r="AZ5" i="5"/>
  <c r="H5" i="5" s="1"/>
  <c r="AZ6" i="5"/>
  <c r="H6" i="5" s="1"/>
  <c r="AZ7" i="5"/>
  <c r="H7" i="5" s="1"/>
  <c r="AZ8" i="5"/>
  <c r="H8" i="5" s="1"/>
  <c r="AZ9" i="5"/>
  <c r="H9" i="5" s="1"/>
  <c r="AZ10" i="5"/>
  <c r="AZ11" i="5"/>
  <c r="H11" i="5" s="1"/>
  <c r="AZ12" i="5"/>
  <c r="H12" i="5" s="1"/>
  <c r="AZ13" i="5"/>
  <c r="H13" i="5" s="1"/>
  <c r="AZ14" i="5"/>
  <c r="H14" i="5" s="1"/>
  <c r="AZ15" i="5"/>
  <c r="H15" i="5" s="1"/>
  <c r="AZ16" i="5"/>
  <c r="H16" i="5" s="1"/>
  <c r="AZ17" i="5"/>
  <c r="H17" i="5" s="1"/>
  <c r="AZ18" i="5"/>
  <c r="AZ19" i="5"/>
  <c r="H19" i="5" s="1"/>
  <c r="AZ20" i="5"/>
  <c r="H20" i="5" s="1"/>
  <c r="AZ21" i="5"/>
  <c r="H21" i="5" s="1"/>
  <c r="AZ22" i="5"/>
  <c r="H22" i="5" s="1"/>
  <c r="AZ23" i="5"/>
  <c r="H23" i="5" s="1"/>
  <c r="AZ24" i="5"/>
  <c r="H24" i="5" s="1"/>
  <c r="AZ25" i="5"/>
  <c r="H25" i="5" s="1"/>
  <c r="AZ26" i="5"/>
  <c r="AZ27" i="5"/>
  <c r="H27" i="5" s="1"/>
  <c r="AZ28" i="5"/>
  <c r="H28" i="5" s="1"/>
  <c r="AZ29" i="5"/>
  <c r="H29" i="5" s="1"/>
  <c r="AZ30" i="5"/>
  <c r="H30" i="5" s="1"/>
  <c r="AZ31" i="5"/>
  <c r="H31" i="5" s="1"/>
  <c r="AZ32" i="5"/>
  <c r="H32" i="5" s="1"/>
  <c r="AZ33" i="5"/>
  <c r="H33" i="5" s="1"/>
  <c r="AZ34" i="5"/>
  <c r="AZ35" i="5"/>
  <c r="H35" i="5" s="1"/>
  <c r="AZ36" i="5"/>
  <c r="H36" i="5" s="1"/>
  <c r="AZ37" i="5"/>
  <c r="H37" i="5" s="1"/>
  <c r="AZ38" i="5"/>
  <c r="H38" i="5" s="1"/>
  <c r="AZ39" i="5"/>
  <c r="H39" i="5" s="1"/>
  <c r="AZ40" i="5"/>
  <c r="H40" i="5" s="1"/>
  <c r="AZ41" i="5"/>
  <c r="H41" i="5" s="1"/>
  <c r="AZ42" i="5"/>
  <c r="AZ43" i="5"/>
  <c r="H43" i="5" s="1"/>
  <c r="AZ44" i="5"/>
  <c r="H44" i="5" s="1"/>
  <c r="AZ45" i="5"/>
  <c r="H45" i="5" s="1"/>
  <c r="AZ46" i="5"/>
  <c r="H46" i="5" s="1"/>
  <c r="AZ47" i="5"/>
  <c r="H47" i="5" s="1"/>
  <c r="AZ48" i="5"/>
  <c r="H48" i="5" s="1"/>
  <c r="AZ49" i="5"/>
  <c r="H49" i="5" s="1"/>
  <c r="AZ50" i="5"/>
  <c r="AZ51" i="5"/>
  <c r="H51" i="5" s="1"/>
  <c r="AZ52" i="5"/>
  <c r="H52" i="5" s="1"/>
  <c r="AZ53" i="5"/>
  <c r="H53" i="5" s="1"/>
  <c r="AZ54" i="5"/>
  <c r="H54" i="5" s="1"/>
  <c r="AZ55" i="5"/>
  <c r="H55" i="5" s="1"/>
  <c r="AZ56" i="5"/>
  <c r="H56" i="5" s="1"/>
  <c r="AZ57" i="5"/>
  <c r="H57" i="5" s="1"/>
  <c r="AZ58" i="5"/>
  <c r="AZ59" i="5"/>
  <c r="H59" i="5" s="1"/>
  <c r="AZ60" i="5"/>
  <c r="H60" i="5" s="1"/>
  <c r="AZ61" i="5"/>
  <c r="H61" i="5" s="1"/>
  <c r="AZ62" i="5"/>
  <c r="H62" i="5" s="1"/>
  <c r="AZ63" i="5"/>
  <c r="H63" i="5" s="1"/>
  <c r="AZ64" i="5"/>
  <c r="H64" i="5" s="1"/>
  <c r="AZ65" i="5"/>
  <c r="H65" i="5" s="1"/>
  <c r="AZ66" i="5"/>
  <c r="AZ67" i="5"/>
  <c r="H67" i="5" s="1"/>
  <c r="AZ68" i="5"/>
  <c r="H68" i="5" s="1"/>
  <c r="AZ69" i="5"/>
  <c r="H69" i="5" s="1"/>
  <c r="AZ70" i="5"/>
  <c r="H70" i="5" s="1"/>
  <c r="AZ71" i="5"/>
  <c r="H71" i="5" s="1"/>
  <c r="AZ72" i="5"/>
  <c r="H72" i="5" s="1"/>
  <c r="AZ73" i="5"/>
  <c r="H73" i="5" s="1"/>
  <c r="AZ74" i="5"/>
  <c r="AZ75" i="5"/>
  <c r="H75" i="5" s="1"/>
  <c r="AZ76" i="5"/>
  <c r="H76" i="5" s="1"/>
  <c r="AZ77" i="5"/>
  <c r="H77" i="5" s="1"/>
  <c r="AZ78" i="5"/>
  <c r="H78" i="5" s="1"/>
  <c r="AZ79" i="5"/>
  <c r="H79" i="5" s="1"/>
  <c r="AZ80" i="5"/>
  <c r="H80" i="5" s="1"/>
  <c r="AZ81" i="5"/>
  <c r="H81" i="5" s="1"/>
  <c r="AZ82" i="5"/>
  <c r="AZ83" i="5"/>
  <c r="H83" i="5" s="1"/>
  <c r="AZ84" i="5"/>
  <c r="H84" i="5" s="1"/>
  <c r="AZ85" i="5"/>
  <c r="H85" i="5" s="1"/>
  <c r="AZ86" i="5"/>
  <c r="H86" i="5" s="1"/>
  <c r="AZ87" i="5"/>
  <c r="H87" i="5" s="1"/>
  <c r="AZ88" i="5"/>
  <c r="H88" i="5" s="1"/>
  <c r="AZ89" i="5"/>
  <c r="H89" i="5" s="1"/>
  <c r="AZ90" i="5"/>
  <c r="AZ91" i="5"/>
  <c r="H91" i="5" s="1"/>
  <c r="AZ92" i="5"/>
  <c r="H92" i="5" s="1"/>
  <c r="AZ93" i="5"/>
  <c r="H93" i="5" s="1"/>
  <c r="AZ94" i="5"/>
  <c r="H94" i="5" s="1"/>
  <c r="AZ95" i="5"/>
  <c r="H95" i="5" s="1"/>
  <c r="AZ96" i="5"/>
  <c r="H96" i="5" s="1"/>
  <c r="AZ97" i="5"/>
  <c r="H97" i="5" s="1"/>
  <c r="AZ98" i="5"/>
  <c r="AZ99" i="5"/>
  <c r="H99" i="5" s="1"/>
  <c r="AZ100" i="5"/>
  <c r="H100" i="5" s="1"/>
  <c r="AZ101" i="5"/>
  <c r="H101" i="5" s="1"/>
  <c r="AZ102" i="5"/>
  <c r="H102" i="5" s="1"/>
  <c r="AZ103" i="5"/>
  <c r="H103" i="5" s="1"/>
  <c r="AZ104" i="5"/>
  <c r="H104" i="5" s="1"/>
  <c r="AZ105" i="5"/>
  <c r="H105" i="5" s="1"/>
  <c r="AZ106" i="5"/>
  <c r="AZ107" i="5"/>
  <c r="H107" i="5" s="1"/>
  <c r="AZ108" i="5"/>
  <c r="H108" i="5" s="1"/>
  <c r="AZ109" i="5"/>
  <c r="H109" i="5" s="1"/>
  <c r="AZ110" i="5"/>
  <c r="H110" i="5" s="1"/>
  <c r="AZ111" i="5"/>
  <c r="H111" i="5" s="1"/>
  <c r="AZ112" i="5"/>
  <c r="H112" i="5" s="1"/>
  <c r="AZ113" i="5"/>
  <c r="H113" i="5" s="1"/>
  <c r="AZ114" i="5"/>
  <c r="AZ115" i="5"/>
  <c r="H115" i="5" s="1"/>
  <c r="AZ116" i="5"/>
  <c r="H116" i="5" s="1"/>
  <c r="AZ117" i="5"/>
  <c r="H117" i="5" s="1"/>
  <c r="AZ118" i="5"/>
  <c r="H118" i="5" s="1"/>
  <c r="AZ119" i="5"/>
  <c r="H119" i="5" s="1"/>
  <c r="AZ120" i="5"/>
  <c r="H120" i="5" s="1"/>
  <c r="AZ121" i="5"/>
  <c r="H121" i="5" s="1"/>
  <c r="AZ122" i="5"/>
  <c r="H122" i="5" s="1"/>
  <c r="AZ123" i="5"/>
  <c r="H123" i="5" s="1"/>
  <c r="AZ124" i="5"/>
  <c r="H124" i="5" s="1"/>
  <c r="AZ125" i="5"/>
  <c r="H125" i="5" s="1"/>
  <c r="AZ126" i="5"/>
  <c r="H126" i="5" s="1"/>
  <c r="AZ127" i="5"/>
  <c r="H127" i="5" s="1"/>
  <c r="AZ128" i="5"/>
  <c r="H128" i="5" s="1"/>
  <c r="AZ129" i="5"/>
  <c r="H129" i="5" s="1"/>
  <c r="AZ130" i="5"/>
  <c r="H130" i="5" s="1"/>
  <c r="AZ131" i="5"/>
  <c r="H131" i="5" s="1"/>
  <c r="AZ132" i="5"/>
  <c r="H132" i="5" s="1"/>
  <c r="AZ133" i="5"/>
  <c r="H133" i="5" s="1"/>
  <c r="AZ134" i="5"/>
  <c r="H134" i="5" s="1"/>
  <c r="AZ135" i="5"/>
  <c r="H135" i="5" s="1"/>
  <c r="AZ136" i="5"/>
  <c r="H136" i="5" s="1"/>
  <c r="AZ137" i="5"/>
  <c r="H137" i="5" s="1"/>
  <c r="AZ138" i="5"/>
  <c r="H138" i="5" s="1"/>
  <c r="AZ139" i="5"/>
  <c r="H139" i="5" s="1"/>
  <c r="AZ140" i="5"/>
  <c r="H140" i="5" s="1"/>
  <c r="AZ141" i="5"/>
  <c r="H141" i="5" s="1"/>
  <c r="AZ142" i="5"/>
  <c r="H142" i="5" s="1"/>
  <c r="AZ143" i="5"/>
  <c r="H143" i="5" s="1"/>
  <c r="AZ144" i="5"/>
  <c r="H144" i="5" s="1"/>
  <c r="AZ145" i="5"/>
  <c r="H145" i="5" s="1"/>
  <c r="AZ146" i="5"/>
  <c r="H146" i="5" s="1"/>
  <c r="AZ147" i="5"/>
  <c r="H147" i="5" s="1"/>
  <c r="AZ148" i="5"/>
  <c r="H148" i="5" s="1"/>
  <c r="AZ149" i="5"/>
  <c r="H149" i="5" s="1"/>
  <c r="AZ150" i="5"/>
  <c r="H150" i="5" s="1"/>
  <c r="AZ151" i="5"/>
  <c r="H151" i="5" s="1"/>
  <c r="AZ152" i="5"/>
  <c r="H152" i="5" s="1"/>
  <c r="AZ153" i="5"/>
  <c r="H153" i="5" s="1"/>
  <c r="AZ154" i="5"/>
  <c r="H154" i="5" s="1"/>
  <c r="AZ155" i="5"/>
  <c r="H155" i="5" s="1"/>
  <c r="AZ156" i="5"/>
  <c r="H156" i="5" s="1"/>
  <c r="AZ157" i="5"/>
  <c r="H157" i="5" s="1"/>
  <c r="AZ158" i="5"/>
  <c r="H158" i="5" s="1"/>
  <c r="AZ159" i="5"/>
  <c r="H159" i="5" s="1"/>
  <c r="AZ160" i="5"/>
  <c r="H160" i="5" s="1"/>
  <c r="AZ161" i="5"/>
  <c r="H161" i="5" s="1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E12" i="1" l="1"/>
  <c r="BF12" i="1" s="1"/>
  <c r="C151" i="5"/>
  <c r="C143" i="5"/>
  <c r="C135" i="5"/>
  <c r="C127" i="5"/>
  <c r="C119" i="5"/>
  <c r="C111" i="5"/>
  <c r="C103" i="5"/>
  <c r="C95" i="5"/>
  <c r="C71" i="5"/>
  <c r="C67" i="5"/>
  <c r="C39" i="5"/>
  <c r="C31" i="5"/>
  <c r="C15" i="5"/>
  <c r="AP161" i="5"/>
  <c r="AP153" i="5"/>
  <c r="AP145" i="5"/>
  <c r="AP137" i="5"/>
  <c r="AP129" i="5"/>
  <c r="AP121" i="5"/>
  <c r="AP113" i="5"/>
  <c r="AP105" i="5"/>
  <c r="AP97" i="5"/>
  <c r="AP89" i="5"/>
  <c r="AP81" i="5"/>
  <c r="AP73" i="5"/>
  <c r="AP65" i="5"/>
  <c r="AP57" i="5"/>
  <c r="AP49" i="5"/>
  <c r="AP41" i="5"/>
  <c r="AP33" i="5"/>
  <c r="AP17" i="5"/>
  <c r="C159" i="5"/>
  <c r="C99" i="5"/>
  <c r="C87" i="5"/>
  <c r="C79" i="5"/>
  <c r="C63" i="5"/>
  <c r="C55" i="5"/>
  <c r="C47" i="5"/>
  <c r="C35" i="5"/>
  <c r="C23" i="5"/>
  <c r="C7" i="5"/>
  <c r="AP157" i="5"/>
  <c r="AP141" i="5"/>
  <c r="AP125" i="5"/>
  <c r="AP109" i="5"/>
  <c r="AP93" i="5"/>
  <c r="AP77" i="5"/>
  <c r="AP61" i="5"/>
  <c r="AP45" i="5"/>
  <c r="AP29" i="5"/>
  <c r="AP13" i="5"/>
  <c r="C78" i="5"/>
  <c r="C70" i="5"/>
  <c r="C62" i="5"/>
  <c r="C54" i="5"/>
  <c r="C46" i="5"/>
  <c r="C38" i="5"/>
  <c r="C30" i="5"/>
  <c r="C22" i="5"/>
  <c r="C14" i="5"/>
  <c r="C6" i="5"/>
  <c r="AP160" i="5"/>
  <c r="AP156" i="5"/>
  <c r="AP152" i="5"/>
  <c r="AP148" i="5"/>
  <c r="AP144" i="5"/>
  <c r="AP140" i="5"/>
  <c r="AP136" i="5"/>
  <c r="AP132" i="5"/>
  <c r="AP128" i="5"/>
  <c r="AP124" i="5"/>
  <c r="AP120" i="5"/>
  <c r="AP116" i="5"/>
  <c r="AP112" i="5"/>
  <c r="AP108" i="5"/>
  <c r="AP104" i="5"/>
  <c r="AP100" i="5"/>
  <c r="AP96" i="5"/>
  <c r="AP92" i="5"/>
  <c r="AP88" i="5"/>
  <c r="AP84" i="5"/>
  <c r="AP80" i="5"/>
  <c r="AP76" i="5"/>
  <c r="AP72" i="5"/>
  <c r="AP68" i="5"/>
  <c r="AP64" i="5"/>
  <c r="AP60" i="5"/>
  <c r="AP56" i="5"/>
  <c r="AP52" i="5"/>
  <c r="AP48" i="5"/>
  <c r="AP44" i="5"/>
  <c r="AP40" i="5"/>
  <c r="AP36" i="5"/>
  <c r="AP32" i="5"/>
  <c r="AP28" i="5"/>
  <c r="AP24" i="5"/>
  <c r="AP20" i="5"/>
  <c r="AP16" i="5"/>
  <c r="AP12" i="5"/>
  <c r="AP8" i="5"/>
  <c r="AP4" i="5"/>
  <c r="C160" i="5"/>
  <c r="C156" i="5"/>
  <c r="C152" i="5"/>
  <c r="C148" i="5"/>
  <c r="C144" i="5"/>
  <c r="C140" i="5"/>
  <c r="C136" i="5"/>
  <c r="C132" i="5"/>
  <c r="C128" i="5"/>
  <c r="C124" i="5"/>
  <c r="C120" i="5"/>
  <c r="C116" i="5"/>
  <c r="C112" i="5"/>
  <c r="C108" i="5"/>
  <c r="C104" i="5"/>
  <c r="C100" i="5"/>
  <c r="C96" i="5"/>
  <c r="C92" i="5"/>
  <c r="C88" i="5"/>
  <c r="C84" i="5"/>
  <c r="C80" i="5"/>
  <c r="C76" i="5"/>
  <c r="C72" i="5"/>
  <c r="C68" i="5"/>
  <c r="C64" i="5"/>
  <c r="C60" i="5"/>
  <c r="C56" i="5"/>
  <c r="C52" i="5"/>
  <c r="C48" i="5"/>
  <c r="C44" i="5"/>
  <c r="C40" i="5"/>
  <c r="C36" i="5"/>
  <c r="C32" i="5"/>
  <c r="C28" i="5"/>
  <c r="C24" i="5"/>
  <c r="C20" i="5"/>
  <c r="C16" i="5"/>
  <c r="C12" i="5"/>
  <c r="C8" i="5"/>
  <c r="C4" i="5"/>
  <c r="AP158" i="5"/>
  <c r="AP154" i="5"/>
  <c r="AP150" i="5"/>
  <c r="AP146" i="5"/>
  <c r="AP142" i="5"/>
  <c r="AP138" i="5"/>
  <c r="AP134" i="5"/>
  <c r="AP130" i="5"/>
  <c r="AP126" i="5"/>
  <c r="AP122" i="5"/>
  <c r="AP118" i="5"/>
  <c r="AP110" i="5"/>
  <c r="AP102" i="5"/>
  <c r="AP94" i="5"/>
  <c r="AP86" i="5"/>
  <c r="AP78" i="5"/>
  <c r="AP70" i="5"/>
  <c r="AP62" i="5"/>
  <c r="AP54" i="5"/>
  <c r="AP46" i="5"/>
  <c r="AP38" i="5"/>
  <c r="AP30" i="5"/>
  <c r="AP19" i="5"/>
  <c r="C161" i="5"/>
  <c r="C157" i="5"/>
  <c r="C153" i="5"/>
  <c r="C149" i="5"/>
  <c r="C145" i="5"/>
  <c r="C141" i="5"/>
  <c r="C137" i="5"/>
  <c r="C133" i="5"/>
  <c r="C129" i="5"/>
  <c r="C125" i="5"/>
  <c r="C121" i="5"/>
  <c r="C117" i="5"/>
  <c r="C113" i="5"/>
  <c r="C109" i="5"/>
  <c r="C105" i="5"/>
  <c r="C101" i="5"/>
  <c r="C97" i="5"/>
  <c r="C93" i="5"/>
  <c r="C89" i="5"/>
  <c r="C85" i="5"/>
  <c r="C81" i="5"/>
  <c r="C77" i="5"/>
  <c r="C73" i="5"/>
  <c r="C69" i="5"/>
  <c r="C65" i="5"/>
  <c r="C61" i="5"/>
  <c r="C57" i="5"/>
  <c r="C53" i="5"/>
  <c r="C49" i="5"/>
  <c r="C45" i="5"/>
  <c r="C41" i="5"/>
  <c r="C37" i="5"/>
  <c r="C33" i="5"/>
  <c r="C29" i="5"/>
  <c r="C25" i="5"/>
  <c r="C21" i="5"/>
  <c r="C17" i="5"/>
  <c r="C13" i="5"/>
  <c r="C9" i="5"/>
  <c r="C5" i="5"/>
  <c r="AP159" i="5"/>
  <c r="AP155" i="5"/>
  <c r="AP151" i="5"/>
  <c r="AP147" i="5"/>
  <c r="AP143" i="5"/>
  <c r="AP139" i="5"/>
  <c r="AP135" i="5"/>
  <c r="AP131" i="5"/>
  <c r="AP127" i="5"/>
  <c r="AP123" i="5"/>
  <c r="AP119" i="5"/>
  <c r="AP115" i="5"/>
  <c r="AP111" i="5"/>
  <c r="AP107" i="5"/>
  <c r="AP103" i="5"/>
  <c r="AP99" i="5"/>
  <c r="AP95" i="5"/>
  <c r="AP91" i="5"/>
  <c r="AP87" i="5"/>
  <c r="AP83" i="5"/>
  <c r="AP79" i="5"/>
  <c r="AP75" i="5"/>
  <c r="AP71" i="5"/>
  <c r="AP67" i="5"/>
  <c r="AP63" i="5"/>
  <c r="AP59" i="5"/>
  <c r="AP55" i="5"/>
  <c r="AP51" i="5"/>
  <c r="AP47" i="5"/>
  <c r="AP43" i="5"/>
  <c r="AP39" i="5"/>
  <c r="AP35" i="5"/>
  <c r="AP31" i="5"/>
  <c r="AP27" i="5"/>
  <c r="AP23" i="5"/>
  <c r="AP11" i="5"/>
  <c r="AP7" i="5"/>
  <c r="AP149" i="5"/>
  <c r="AP133" i="5"/>
  <c r="AP117" i="5"/>
  <c r="AP101" i="5"/>
  <c r="AP85" i="5"/>
  <c r="AP69" i="5"/>
  <c r="AP53" i="5"/>
  <c r="AP37" i="5"/>
  <c r="AP15" i="5"/>
  <c r="AP21" i="5"/>
  <c r="AP5" i="5"/>
  <c r="C155" i="5"/>
  <c r="C139" i="5"/>
  <c r="C123" i="5"/>
  <c r="C158" i="5"/>
  <c r="C150" i="5"/>
  <c r="C142" i="5"/>
  <c r="C134" i="5"/>
  <c r="C126" i="5"/>
  <c r="C118" i="5"/>
  <c r="C110" i="5"/>
  <c r="C102" i="5"/>
  <c r="C94" i="5"/>
  <c r="C86" i="5"/>
  <c r="C154" i="5"/>
  <c r="C138" i="5"/>
  <c r="C122" i="5"/>
  <c r="C91" i="5"/>
  <c r="C59" i="5"/>
  <c r="C27" i="5"/>
  <c r="AP25" i="5"/>
  <c r="AP9" i="5"/>
  <c r="C147" i="5"/>
  <c r="C131" i="5"/>
  <c r="C115" i="5"/>
  <c r="C83" i="5"/>
  <c r="C51" i="5"/>
  <c r="C19" i="5"/>
  <c r="H114" i="5"/>
  <c r="AP114" i="5" s="1"/>
  <c r="C114" i="5"/>
  <c r="H106" i="5"/>
  <c r="AP106" i="5" s="1"/>
  <c r="C106" i="5"/>
  <c r="H98" i="5"/>
  <c r="AP98" i="5" s="1"/>
  <c r="C98" i="5"/>
  <c r="H90" i="5"/>
  <c r="AP90" i="5" s="1"/>
  <c r="C90" i="5"/>
  <c r="H82" i="5"/>
  <c r="AP82" i="5" s="1"/>
  <c r="C82" i="5"/>
  <c r="H74" i="5"/>
  <c r="AP74" i="5" s="1"/>
  <c r="C74" i="5"/>
  <c r="H66" i="5"/>
  <c r="AP66" i="5" s="1"/>
  <c r="C66" i="5"/>
  <c r="H58" i="5"/>
  <c r="AP58" i="5" s="1"/>
  <c r="C58" i="5"/>
  <c r="H50" i="5"/>
  <c r="AP50" i="5" s="1"/>
  <c r="C50" i="5"/>
  <c r="H42" i="5"/>
  <c r="AP42" i="5" s="1"/>
  <c r="C42" i="5"/>
  <c r="H34" i="5"/>
  <c r="AP34" i="5" s="1"/>
  <c r="C34" i="5"/>
  <c r="H26" i="5"/>
  <c r="C26" i="5"/>
  <c r="H18" i="5"/>
  <c r="AP18" i="5" s="1"/>
  <c r="C18" i="5"/>
  <c r="H10" i="5"/>
  <c r="AP10" i="5" s="1"/>
  <c r="C10" i="5"/>
  <c r="C146" i="5"/>
  <c r="C130" i="5"/>
  <c r="C107" i="5"/>
  <c r="C75" i="5"/>
  <c r="C43" i="5"/>
  <c r="C11" i="5"/>
  <c r="AP26" i="5"/>
  <c r="AP22" i="5"/>
  <c r="AP14" i="5"/>
  <c r="AP6" i="5"/>
  <c r="AQ12" i="1"/>
  <c r="B58" i="3" l="1"/>
  <c r="A2" i="8" l="1"/>
  <c r="A2" i="7"/>
  <c r="A3" i="7" s="1"/>
  <c r="B3" i="7" s="1"/>
  <c r="B2" i="7" l="1"/>
  <c r="A3" i="8"/>
  <c r="B44" i="3"/>
  <c r="A4" i="8" l="1"/>
  <c r="AL44" i="3"/>
  <c r="A5" i="8" l="1"/>
  <c r="R1212" i="1"/>
  <c r="AB1212" i="1" s="1"/>
  <c r="AZ1212" i="1"/>
  <c r="R1174" i="1"/>
  <c r="AB1174" i="1" s="1"/>
  <c r="R1175" i="1"/>
  <c r="AB1175" i="1" s="1"/>
  <c r="R1176" i="1"/>
  <c r="AB1176" i="1" s="1"/>
  <c r="R1177" i="1"/>
  <c r="AB1177" i="1" s="1"/>
  <c r="R1178" i="1"/>
  <c r="AB1178" i="1" s="1"/>
  <c r="R1179" i="1"/>
  <c r="AB1179" i="1" s="1"/>
  <c r="R1180" i="1"/>
  <c r="AB1180" i="1" s="1"/>
  <c r="R1181" i="1"/>
  <c r="AB1181" i="1" s="1"/>
  <c r="R1182" i="1"/>
  <c r="AB1182" i="1" s="1"/>
  <c r="R1183" i="1"/>
  <c r="AB1183" i="1" s="1"/>
  <c r="R1184" i="1"/>
  <c r="AB1184" i="1" s="1"/>
  <c r="R1185" i="1"/>
  <c r="AB1185" i="1" s="1"/>
  <c r="R1186" i="1"/>
  <c r="AB1186" i="1" s="1"/>
  <c r="R1187" i="1"/>
  <c r="AB1187" i="1" s="1"/>
  <c r="R1188" i="1"/>
  <c r="AB1188" i="1" s="1"/>
  <c r="R1189" i="1"/>
  <c r="AB1189" i="1" s="1"/>
  <c r="R1190" i="1"/>
  <c r="AB1190" i="1" s="1"/>
  <c r="R1191" i="1"/>
  <c r="AB1191" i="1" s="1"/>
  <c r="R1192" i="1"/>
  <c r="AB1192" i="1" s="1"/>
  <c r="R1193" i="1"/>
  <c r="AB1193" i="1" s="1"/>
  <c r="R1194" i="1"/>
  <c r="AB1194" i="1" s="1"/>
  <c r="R1195" i="1"/>
  <c r="AB1195" i="1" s="1"/>
  <c r="R1196" i="1"/>
  <c r="AB1196" i="1" s="1"/>
  <c r="R1197" i="1"/>
  <c r="AB1197" i="1" s="1"/>
  <c r="R1198" i="1"/>
  <c r="AB1198" i="1" s="1"/>
  <c r="R1199" i="1"/>
  <c r="AB1199" i="1" s="1"/>
  <c r="R1200" i="1"/>
  <c r="AB1200" i="1" s="1"/>
  <c r="R1201" i="1"/>
  <c r="AB1201" i="1" s="1"/>
  <c r="R1202" i="1"/>
  <c r="AB1202" i="1" s="1"/>
  <c r="R1203" i="1"/>
  <c r="AB1203" i="1" s="1"/>
  <c r="R1204" i="1"/>
  <c r="AB1204" i="1" s="1"/>
  <c r="R1205" i="1"/>
  <c r="AB1205" i="1" s="1"/>
  <c r="R1206" i="1"/>
  <c r="AB1206" i="1" s="1"/>
  <c r="R1207" i="1"/>
  <c r="AB1207" i="1" s="1"/>
  <c r="R1208" i="1"/>
  <c r="AB1208" i="1" s="1"/>
  <c r="R1209" i="1"/>
  <c r="AB1209" i="1" s="1"/>
  <c r="R1210" i="1"/>
  <c r="AB1210" i="1" s="1"/>
  <c r="R1211" i="1"/>
  <c r="AB1211" i="1" s="1"/>
  <c r="R1007" i="1"/>
  <c r="AB1007" i="1" s="1"/>
  <c r="R1008" i="1"/>
  <c r="AB1008" i="1" s="1"/>
  <c r="R1009" i="1"/>
  <c r="AB1009" i="1" s="1"/>
  <c r="R1010" i="1"/>
  <c r="AB1010" i="1" s="1"/>
  <c r="R1011" i="1"/>
  <c r="AB1011" i="1" s="1"/>
  <c r="R1012" i="1"/>
  <c r="AB1012" i="1" s="1"/>
  <c r="R1013" i="1"/>
  <c r="AB1013" i="1" s="1"/>
  <c r="R1014" i="1"/>
  <c r="AB1014" i="1" s="1"/>
  <c r="R1015" i="1"/>
  <c r="AB1015" i="1" s="1"/>
  <c r="R1016" i="1"/>
  <c r="AB1016" i="1" s="1"/>
  <c r="R1017" i="1"/>
  <c r="AB1017" i="1" s="1"/>
  <c r="R1018" i="1"/>
  <c r="AB1018" i="1" s="1"/>
  <c r="R1019" i="1"/>
  <c r="AB1019" i="1" s="1"/>
  <c r="R1020" i="1"/>
  <c r="AB1020" i="1" s="1"/>
  <c r="R1021" i="1"/>
  <c r="AB1021" i="1" s="1"/>
  <c r="R1022" i="1"/>
  <c r="AB1022" i="1" s="1"/>
  <c r="R1023" i="1"/>
  <c r="AB1023" i="1" s="1"/>
  <c r="R1024" i="1"/>
  <c r="AB1024" i="1" s="1"/>
  <c r="R1025" i="1"/>
  <c r="AB1025" i="1" s="1"/>
  <c r="R1026" i="1"/>
  <c r="AB1026" i="1" s="1"/>
  <c r="R1027" i="1"/>
  <c r="AB1027" i="1" s="1"/>
  <c r="R1028" i="1"/>
  <c r="AB1028" i="1" s="1"/>
  <c r="R1029" i="1"/>
  <c r="AB1029" i="1" s="1"/>
  <c r="R1030" i="1"/>
  <c r="AB1030" i="1" s="1"/>
  <c r="R1031" i="1"/>
  <c r="AB1031" i="1" s="1"/>
  <c r="R1032" i="1"/>
  <c r="AB1032" i="1" s="1"/>
  <c r="R1033" i="1"/>
  <c r="AB1033" i="1" s="1"/>
  <c r="R1034" i="1"/>
  <c r="AB1034" i="1" s="1"/>
  <c r="R1035" i="1"/>
  <c r="AB1035" i="1" s="1"/>
  <c r="R1036" i="1"/>
  <c r="AB1036" i="1" s="1"/>
  <c r="R1037" i="1"/>
  <c r="AB1037" i="1" s="1"/>
  <c r="R1038" i="1"/>
  <c r="AB1038" i="1" s="1"/>
  <c r="R1039" i="1"/>
  <c r="AB1039" i="1" s="1"/>
  <c r="R1040" i="1"/>
  <c r="AB1040" i="1" s="1"/>
  <c r="R1041" i="1"/>
  <c r="AB1041" i="1" s="1"/>
  <c r="R1042" i="1"/>
  <c r="AB1042" i="1" s="1"/>
  <c r="R1043" i="1"/>
  <c r="AB1043" i="1" s="1"/>
  <c r="R1044" i="1"/>
  <c r="AB1044" i="1" s="1"/>
  <c r="R1045" i="1"/>
  <c r="AB1045" i="1" s="1"/>
  <c r="R1046" i="1"/>
  <c r="AB1046" i="1" s="1"/>
  <c r="R1047" i="1"/>
  <c r="AB1047" i="1" s="1"/>
  <c r="R1048" i="1"/>
  <c r="AB1048" i="1" s="1"/>
  <c r="R1049" i="1"/>
  <c r="AB1049" i="1" s="1"/>
  <c r="R1050" i="1"/>
  <c r="AB1050" i="1" s="1"/>
  <c r="R1051" i="1"/>
  <c r="AB1051" i="1" s="1"/>
  <c r="R1052" i="1"/>
  <c r="AB1052" i="1" s="1"/>
  <c r="R1053" i="1"/>
  <c r="AB1053" i="1" s="1"/>
  <c r="R1054" i="1"/>
  <c r="AB1054" i="1" s="1"/>
  <c r="R1055" i="1"/>
  <c r="AB1055" i="1" s="1"/>
  <c r="R1056" i="1"/>
  <c r="AB1056" i="1" s="1"/>
  <c r="R1057" i="1"/>
  <c r="AB1057" i="1" s="1"/>
  <c r="R1058" i="1"/>
  <c r="AB1058" i="1" s="1"/>
  <c r="R1059" i="1"/>
  <c r="AB1059" i="1" s="1"/>
  <c r="R1060" i="1"/>
  <c r="AB1060" i="1" s="1"/>
  <c r="R1061" i="1"/>
  <c r="AB1061" i="1" s="1"/>
  <c r="R1062" i="1"/>
  <c r="AB1062" i="1" s="1"/>
  <c r="R1063" i="1"/>
  <c r="AB1063" i="1" s="1"/>
  <c r="R1064" i="1"/>
  <c r="AB1064" i="1" s="1"/>
  <c r="R1065" i="1"/>
  <c r="AB1065" i="1" s="1"/>
  <c r="R1066" i="1"/>
  <c r="AB1066" i="1" s="1"/>
  <c r="R1067" i="1"/>
  <c r="AB1067" i="1" s="1"/>
  <c r="R1068" i="1"/>
  <c r="AB1068" i="1" s="1"/>
  <c r="R1069" i="1"/>
  <c r="AB1069" i="1" s="1"/>
  <c r="R1070" i="1"/>
  <c r="AB1070" i="1" s="1"/>
  <c r="R1071" i="1"/>
  <c r="AB1071" i="1" s="1"/>
  <c r="R1072" i="1"/>
  <c r="AB1072" i="1" s="1"/>
  <c r="R1073" i="1"/>
  <c r="AB1073" i="1" s="1"/>
  <c r="R1074" i="1"/>
  <c r="AB1074" i="1" s="1"/>
  <c r="R1075" i="1"/>
  <c r="AB1075" i="1" s="1"/>
  <c r="R1076" i="1"/>
  <c r="AB1076" i="1" s="1"/>
  <c r="R1077" i="1"/>
  <c r="AB1077" i="1" s="1"/>
  <c r="R1078" i="1"/>
  <c r="AB1078" i="1" s="1"/>
  <c r="R1079" i="1"/>
  <c r="AB1079" i="1" s="1"/>
  <c r="R1080" i="1"/>
  <c r="AB1080" i="1" s="1"/>
  <c r="R1081" i="1"/>
  <c r="AB1081" i="1" s="1"/>
  <c r="R1082" i="1"/>
  <c r="AB1082" i="1" s="1"/>
  <c r="R1083" i="1"/>
  <c r="AB1083" i="1" s="1"/>
  <c r="R1084" i="1"/>
  <c r="AB1084" i="1" s="1"/>
  <c r="R1085" i="1"/>
  <c r="AB1085" i="1" s="1"/>
  <c r="R1086" i="1"/>
  <c r="AB1086" i="1" s="1"/>
  <c r="R1087" i="1"/>
  <c r="AB1087" i="1" s="1"/>
  <c r="R1088" i="1"/>
  <c r="AB1088" i="1" s="1"/>
  <c r="R1089" i="1"/>
  <c r="AB1089" i="1" s="1"/>
  <c r="R1090" i="1"/>
  <c r="AB1090" i="1" s="1"/>
  <c r="R1091" i="1"/>
  <c r="AB1091" i="1" s="1"/>
  <c r="R1092" i="1"/>
  <c r="AB1092" i="1" s="1"/>
  <c r="R1093" i="1"/>
  <c r="AB1093" i="1" s="1"/>
  <c r="R1094" i="1"/>
  <c r="AB1094" i="1" s="1"/>
  <c r="R1095" i="1"/>
  <c r="AB1095" i="1" s="1"/>
  <c r="R1096" i="1"/>
  <c r="AB1096" i="1" s="1"/>
  <c r="R1097" i="1"/>
  <c r="AB1097" i="1" s="1"/>
  <c r="R1098" i="1"/>
  <c r="AB1098" i="1" s="1"/>
  <c r="R1099" i="1"/>
  <c r="AB1099" i="1" s="1"/>
  <c r="R1100" i="1"/>
  <c r="AB1100" i="1" s="1"/>
  <c r="R1101" i="1"/>
  <c r="AB1101" i="1" s="1"/>
  <c r="R1102" i="1"/>
  <c r="AB1102" i="1" s="1"/>
  <c r="R1103" i="1"/>
  <c r="AB1103" i="1" s="1"/>
  <c r="R1104" i="1"/>
  <c r="AB1104" i="1" s="1"/>
  <c r="R1105" i="1"/>
  <c r="AB1105" i="1" s="1"/>
  <c r="R1106" i="1"/>
  <c r="AB1106" i="1" s="1"/>
  <c r="R1107" i="1"/>
  <c r="AB1107" i="1" s="1"/>
  <c r="R1108" i="1"/>
  <c r="AB1108" i="1" s="1"/>
  <c r="R1109" i="1"/>
  <c r="AB1109" i="1" s="1"/>
  <c r="R1110" i="1"/>
  <c r="AB1110" i="1" s="1"/>
  <c r="R1111" i="1"/>
  <c r="AB1111" i="1" s="1"/>
  <c r="R1112" i="1"/>
  <c r="AB1112" i="1" s="1"/>
  <c r="R1113" i="1"/>
  <c r="AB1113" i="1" s="1"/>
  <c r="R1114" i="1"/>
  <c r="AB1114" i="1" s="1"/>
  <c r="R1115" i="1"/>
  <c r="AB1115" i="1" s="1"/>
  <c r="R1116" i="1"/>
  <c r="AB1116" i="1" s="1"/>
  <c r="R1117" i="1"/>
  <c r="AB1117" i="1" s="1"/>
  <c r="R1118" i="1"/>
  <c r="AB1118" i="1" s="1"/>
  <c r="R1119" i="1"/>
  <c r="AB1119" i="1" s="1"/>
  <c r="R1120" i="1"/>
  <c r="AB1120" i="1" s="1"/>
  <c r="R1121" i="1"/>
  <c r="AB1121" i="1" s="1"/>
  <c r="R1122" i="1"/>
  <c r="AB1122" i="1" s="1"/>
  <c r="R1123" i="1"/>
  <c r="AB1123" i="1" s="1"/>
  <c r="R1124" i="1"/>
  <c r="AB1124" i="1" s="1"/>
  <c r="R1125" i="1"/>
  <c r="AB1125" i="1" s="1"/>
  <c r="R1126" i="1"/>
  <c r="AB1126" i="1" s="1"/>
  <c r="R1127" i="1"/>
  <c r="AB1127" i="1" s="1"/>
  <c r="R1128" i="1"/>
  <c r="AB1128" i="1" s="1"/>
  <c r="R1129" i="1"/>
  <c r="AB1129" i="1" s="1"/>
  <c r="R1130" i="1"/>
  <c r="AB1130" i="1" s="1"/>
  <c r="R1131" i="1"/>
  <c r="AB1131" i="1" s="1"/>
  <c r="R1132" i="1"/>
  <c r="AB1132" i="1" s="1"/>
  <c r="R1133" i="1"/>
  <c r="AB1133" i="1" s="1"/>
  <c r="R1134" i="1"/>
  <c r="AB1134" i="1" s="1"/>
  <c r="R1135" i="1"/>
  <c r="AB1135" i="1" s="1"/>
  <c r="R1136" i="1"/>
  <c r="AB1136" i="1" s="1"/>
  <c r="R1137" i="1"/>
  <c r="AB1137" i="1" s="1"/>
  <c r="R1138" i="1"/>
  <c r="AB1138" i="1" s="1"/>
  <c r="R1139" i="1"/>
  <c r="AB1139" i="1" s="1"/>
  <c r="R1140" i="1"/>
  <c r="AB1140" i="1" s="1"/>
  <c r="R1141" i="1"/>
  <c r="AB1141" i="1" s="1"/>
  <c r="R1142" i="1"/>
  <c r="AB1142" i="1" s="1"/>
  <c r="R1143" i="1"/>
  <c r="AB1143" i="1" s="1"/>
  <c r="R1144" i="1"/>
  <c r="AB1144" i="1" s="1"/>
  <c r="R1145" i="1"/>
  <c r="AB1145" i="1" s="1"/>
  <c r="R1146" i="1"/>
  <c r="AB1146" i="1" s="1"/>
  <c r="R1147" i="1"/>
  <c r="AB1147" i="1" s="1"/>
  <c r="R1148" i="1"/>
  <c r="AB1148" i="1" s="1"/>
  <c r="R1149" i="1"/>
  <c r="AB1149" i="1" s="1"/>
  <c r="R1150" i="1"/>
  <c r="AB1150" i="1" s="1"/>
  <c r="R1151" i="1"/>
  <c r="AB1151" i="1" s="1"/>
  <c r="R1152" i="1"/>
  <c r="AB1152" i="1" s="1"/>
  <c r="R1153" i="1"/>
  <c r="AB1153" i="1" s="1"/>
  <c r="R1154" i="1"/>
  <c r="AB1154" i="1" s="1"/>
  <c r="R1155" i="1"/>
  <c r="AB1155" i="1" s="1"/>
  <c r="R1156" i="1"/>
  <c r="AB1156" i="1" s="1"/>
  <c r="R1157" i="1"/>
  <c r="AB1157" i="1" s="1"/>
  <c r="R1158" i="1"/>
  <c r="AB1158" i="1" s="1"/>
  <c r="R1159" i="1"/>
  <c r="AB1159" i="1" s="1"/>
  <c r="R1160" i="1"/>
  <c r="AB1160" i="1" s="1"/>
  <c r="R1161" i="1"/>
  <c r="AB1161" i="1" s="1"/>
  <c r="R1162" i="1"/>
  <c r="AB1162" i="1" s="1"/>
  <c r="R1163" i="1"/>
  <c r="AB1163" i="1" s="1"/>
  <c r="R1164" i="1"/>
  <c r="AB1164" i="1" s="1"/>
  <c r="R1165" i="1"/>
  <c r="AB1165" i="1" s="1"/>
  <c r="R1166" i="1"/>
  <c r="AB1166" i="1" s="1"/>
  <c r="R1167" i="1"/>
  <c r="AB1167" i="1" s="1"/>
  <c r="R1168" i="1"/>
  <c r="AB1168" i="1" s="1"/>
  <c r="R1169" i="1"/>
  <c r="AB1169" i="1" s="1"/>
  <c r="R1170" i="1"/>
  <c r="AB1170" i="1" s="1"/>
  <c r="R1171" i="1"/>
  <c r="AB1171" i="1" s="1"/>
  <c r="R1172" i="1"/>
  <c r="AB1172" i="1" s="1"/>
  <c r="R1173" i="1"/>
  <c r="AB1173" i="1" s="1"/>
  <c r="R618" i="1"/>
  <c r="AB618" i="1" s="1"/>
  <c r="R619" i="1"/>
  <c r="AB619" i="1" s="1"/>
  <c r="R620" i="1"/>
  <c r="AB620" i="1" s="1"/>
  <c r="R621" i="1"/>
  <c r="AB621" i="1" s="1"/>
  <c r="R622" i="1"/>
  <c r="AB622" i="1" s="1"/>
  <c r="R623" i="1"/>
  <c r="AB623" i="1" s="1"/>
  <c r="R624" i="1"/>
  <c r="AB624" i="1" s="1"/>
  <c r="R625" i="1"/>
  <c r="AB625" i="1" s="1"/>
  <c r="R626" i="1"/>
  <c r="AB626" i="1" s="1"/>
  <c r="R627" i="1"/>
  <c r="AB627" i="1" s="1"/>
  <c r="R628" i="1"/>
  <c r="AB628" i="1" s="1"/>
  <c r="R629" i="1"/>
  <c r="AB629" i="1" s="1"/>
  <c r="R630" i="1"/>
  <c r="AB630" i="1" s="1"/>
  <c r="R631" i="1"/>
  <c r="AB631" i="1" s="1"/>
  <c r="R632" i="1"/>
  <c r="AB632" i="1" s="1"/>
  <c r="R633" i="1"/>
  <c r="AB633" i="1" s="1"/>
  <c r="R634" i="1"/>
  <c r="AB634" i="1" s="1"/>
  <c r="R635" i="1"/>
  <c r="AB635" i="1" s="1"/>
  <c r="R636" i="1"/>
  <c r="AB636" i="1" s="1"/>
  <c r="R637" i="1"/>
  <c r="AB637" i="1" s="1"/>
  <c r="R638" i="1"/>
  <c r="AB638" i="1" s="1"/>
  <c r="R639" i="1"/>
  <c r="AB639" i="1" s="1"/>
  <c r="R640" i="1"/>
  <c r="AB640" i="1" s="1"/>
  <c r="R641" i="1"/>
  <c r="AB641" i="1" s="1"/>
  <c r="R642" i="1"/>
  <c r="AB642" i="1" s="1"/>
  <c r="R643" i="1"/>
  <c r="AB643" i="1" s="1"/>
  <c r="R644" i="1"/>
  <c r="AB644" i="1" s="1"/>
  <c r="R645" i="1"/>
  <c r="AB645" i="1" s="1"/>
  <c r="R646" i="1"/>
  <c r="AB646" i="1" s="1"/>
  <c r="R647" i="1"/>
  <c r="AB647" i="1" s="1"/>
  <c r="R648" i="1"/>
  <c r="AB648" i="1" s="1"/>
  <c r="R649" i="1"/>
  <c r="AB649" i="1" s="1"/>
  <c r="R650" i="1"/>
  <c r="AB650" i="1" s="1"/>
  <c r="R651" i="1"/>
  <c r="AB651" i="1" s="1"/>
  <c r="R652" i="1"/>
  <c r="AB652" i="1" s="1"/>
  <c r="R653" i="1"/>
  <c r="AB653" i="1" s="1"/>
  <c r="R654" i="1"/>
  <c r="AB654" i="1" s="1"/>
  <c r="R655" i="1"/>
  <c r="AB655" i="1" s="1"/>
  <c r="R656" i="1"/>
  <c r="AB656" i="1" s="1"/>
  <c r="R657" i="1"/>
  <c r="AB657" i="1" s="1"/>
  <c r="R658" i="1"/>
  <c r="AB658" i="1" s="1"/>
  <c r="R659" i="1"/>
  <c r="AB659" i="1" s="1"/>
  <c r="R660" i="1"/>
  <c r="AB660" i="1" s="1"/>
  <c r="R661" i="1"/>
  <c r="AB661" i="1" s="1"/>
  <c r="R662" i="1"/>
  <c r="AB662" i="1" s="1"/>
  <c r="R663" i="1"/>
  <c r="AB663" i="1" s="1"/>
  <c r="R664" i="1"/>
  <c r="AB664" i="1" s="1"/>
  <c r="R665" i="1"/>
  <c r="AB665" i="1" s="1"/>
  <c r="R666" i="1"/>
  <c r="AB666" i="1" s="1"/>
  <c r="R667" i="1"/>
  <c r="AB667" i="1" s="1"/>
  <c r="R668" i="1"/>
  <c r="AB668" i="1" s="1"/>
  <c r="R669" i="1"/>
  <c r="AB669" i="1" s="1"/>
  <c r="R670" i="1"/>
  <c r="AB670" i="1" s="1"/>
  <c r="R671" i="1"/>
  <c r="AB671" i="1" s="1"/>
  <c r="R672" i="1"/>
  <c r="AB672" i="1" s="1"/>
  <c r="R673" i="1"/>
  <c r="AB673" i="1" s="1"/>
  <c r="R674" i="1"/>
  <c r="AB674" i="1" s="1"/>
  <c r="R675" i="1"/>
  <c r="AB675" i="1" s="1"/>
  <c r="R676" i="1"/>
  <c r="AB676" i="1" s="1"/>
  <c r="R677" i="1"/>
  <c r="AB677" i="1" s="1"/>
  <c r="R678" i="1"/>
  <c r="AB678" i="1" s="1"/>
  <c r="R679" i="1"/>
  <c r="AB679" i="1" s="1"/>
  <c r="R680" i="1"/>
  <c r="AB680" i="1" s="1"/>
  <c r="R681" i="1"/>
  <c r="AB681" i="1" s="1"/>
  <c r="R682" i="1"/>
  <c r="AB682" i="1" s="1"/>
  <c r="R683" i="1"/>
  <c r="AB683" i="1" s="1"/>
  <c r="R684" i="1"/>
  <c r="AB684" i="1" s="1"/>
  <c r="R685" i="1"/>
  <c r="AB685" i="1" s="1"/>
  <c r="R686" i="1"/>
  <c r="AB686" i="1" s="1"/>
  <c r="R687" i="1"/>
  <c r="AB687" i="1" s="1"/>
  <c r="R688" i="1"/>
  <c r="AB688" i="1" s="1"/>
  <c r="R689" i="1"/>
  <c r="AB689" i="1" s="1"/>
  <c r="R690" i="1"/>
  <c r="AB690" i="1" s="1"/>
  <c r="R691" i="1"/>
  <c r="AB691" i="1" s="1"/>
  <c r="R692" i="1"/>
  <c r="AB692" i="1" s="1"/>
  <c r="R693" i="1"/>
  <c r="AB693" i="1" s="1"/>
  <c r="R694" i="1"/>
  <c r="AB694" i="1" s="1"/>
  <c r="R695" i="1"/>
  <c r="AB695" i="1" s="1"/>
  <c r="R696" i="1"/>
  <c r="AB696" i="1" s="1"/>
  <c r="R697" i="1"/>
  <c r="AB697" i="1" s="1"/>
  <c r="R698" i="1"/>
  <c r="AB698" i="1" s="1"/>
  <c r="R699" i="1"/>
  <c r="AB699" i="1" s="1"/>
  <c r="R700" i="1"/>
  <c r="AB700" i="1" s="1"/>
  <c r="R701" i="1"/>
  <c r="AB701" i="1" s="1"/>
  <c r="R702" i="1"/>
  <c r="AB702" i="1" s="1"/>
  <c r="R703" i="1"/>
  <c r="AB703" i="1" s="1"/>
  <c r="R704" i="1"/>
  <c r="AB704" i="1" s="1"/>
  <c r="R705" i="1"/>
  <c r="AB705" i="1" s="1"/>
  <c r="R706" i="1"/>
  <c r="AB706" i="1" s="1"/>
  <c r="R707" i="1"/>
  <c r="AB707" i="1" s="1"/>
  <c r="R708" i="1"/>
  <c r="AB708" i="1" s="1"/>
  <c r="R709" i="1"/>
  <c r="AB709" i="1" s="1"/>
  <c r="R710" i="1"/>
  <c r="AB710" i="1" s="1"/>
  <c r="R711" i="1"/>
  <c r="AB711" i="1" s="1"/>
  <c r="R712" i="1"/>
  <c r="AB712" i="1" s="1"/>
  <c r="R713" i="1"/>
  <c r="AB713" i="1" s="1"/>
  <c r="R714" i="1"/>
  <c r="AB714" i="1" s="1"/>
  <c r="R715" i="1"/>
  <c r="AB715" i="1" s="1"/>
  <c r="R716" i="1"/>
  <c r="AB716" i="1" s="1"/>
  <c r="R717" i="1"/>
  <c r="AB717" i="1" s="1"/>
  <c r="R718" i="1"/>
  <c r="AB718" i="1" s="1"/>
  <c r="R719" i="1"/>
  <c r="AB719" i="1" s="1"/>
  <c r="R720" i="1"/>
  <c r="AB720" i="1" s="1"/>
  <c r="R721" i="1"/>
  <c r="AB721" i="1" s="1"/>
  <c r="R722" i="1"/>
  <c r="AB722" i="1" s="1"/>
  <c r="R723" i="1"/>
  <c r="AB723" i="1" s="1"/>
  <c r="R724" i="1"/>
  <c r="AB724" i="1" s="1"/>
  <c r="R725" i="1"/>
  <c r="AB725" i="1" s="1"/>
  <c r="R726" i="1"/>
  <c r="AB726" i="1" s="1"/>
  <c r="R727" i="1"/>
  <c r="AB727" i="1" s="1"/>
  <c r="R728" i="1"/>
  <c r="AB728" i="1" s="1"/>
  <c r="R729" i="1"/>
  <c r="AB729" i="1" s="1"/>
  <c r="R730" i="1"/>
  <c r="AB730" i="1" s="1"/>
  <c r="R731" i="1"/>
  <c r="AB731" i="1" s="1"/>
  <c r="R732" i="1"/>
  <c r="AB732" i="1" s="1"/>
  <c r="R733" i="1"/>
  <c r="AB733" i="1" s="1"/>
  <c r="R734" i="1"/>
  <c r="AB734" i="1" s="1"/>
  <c r="R735" i="1"/>
  <c r="AB735" i="1" s="1"/>
  <c r="R736" i="1"/>
  <c r="AB736" i="1" s="1"/>
  <c r="R737" i="1"/>
  <c r="AB737" i="1" s="1"/>
  <c r="R738" i="1"/>
  <c r="AB738" i="1" s="1"/>
  <c r="R739" i="1"/>
  <c r="AB739" i="1" s="1"/>
  <c r="R740" i="1"/>
  <c r="AB740" i="1" s="1"/>
  <c r="R741" i="1"/>
  <c r="AB741" i="1" s="1"/>
  <c r="R742" i="1"/>
  <c r="AB742" i="1" s="1"/>
  <c r="R743" i="1"/>
  <c r="AB743" i="1" s="1"/>
  <c r="R744" i="1"/>
  <c r="AB744" i="1" s="1"/>
  <c r="R745" i="1"/>
  <c r="AB745" i="1" s="1"/>
  <c r="R746" i="1"/>
  <c r="AB746" i="1" s="1"/>
  <c r="R747" i="1"/>
  <c r="AB747" i="1" s="1"/>
  <c r="R748" i="1"/>
  <c r="AB748" i="1" s="1"/>
  <c r="R749" i="1"/>
  <c r="AB749" i="1" s="1"/>
  <c r="R750" i="1"/>
  <c r="AB750" i="1" s="1"/>
  <c r="R751" i="1"/>
  <c r="AB751" i="1" s="1"/>
  <c r="R752" i="1"/>
  <c r="AB752" i="1" s="1"/>
  <c r="R753" i="1"/>
  <c r="AB753" i="1" s="1"/>
  <c r="R754" i="1"/>
  <c r="AB754" i="1" s="1"/>
  <c r="R755" i="1"/>
  <c r="AB755" i="1" s="1"/>
  <c r="R756" i="1"/>
  <c r="AB756" i="1" s="1"/>
  <c r="R757" i="1"/>
  <c r="AB757" i="1" s="1"/>
  <c r="R758" i="1"/>
  <c r="AB758" i="1" s="1"/>
  <c r="R759" i="1"/>
  <c r="AB759" i="1" s="1"/>
  <c r="R760" i="1"/>
  <c r="AB760" i="1" s="1"/>
  <c r="R761" i="1"/>
  <c r="AB761" i="1" s="1"/>
  <c r="R762" i="1"/>
  <c r="AB762" i="1" s="1"/>
  <c r="R763" i="1"/>
  <c r="AB763" i="1" s="1"/>
  <c r="R764" i="1"/>
  <c r="AB764" i="1" s="1"/>
  <c r="R765" i="1"/>
  <c r="AB765" i="1" s="1"/>
  <c r="R766" i="1"/>
  <c r="AB766" i="1" s="1"/>
  <c r="R767" i="1"/>
  <c r="AB767" i="1" s="1"/>
  <c r="R768" i="1"/>
  <c r="AB768" i="1" s="1"/>
  <c r="R769" i="1"/>
  <c r="AB769" i="1" s="1"/>
  <c r="R770" i="1"/>
  <c r="AB770" i="1" s="1"/>
  <c r="R771" i="1"/>
  <c r="AB771" i="1" s="1"/>
  <c r="R772" i="1"/>
  <c r="AB772" i="1" s="1"/>
  <c r="R773" i="1"/>
  <c r="AB773" i="1" s="1"/>
  <c r="R774" i="1"/>
  <c r="AB774" i="1" s="1"/>
  <c r="R775" i="1"/>
  <c r="AB775" i="1" s="1"/>
  <c r="R776" i="1"/>
  <c r="AB776" i="1" s="1"/>
  <c r="R777" i="1"/>
  <c r="AB777" i="1" s="1"/>
  <c r="R778" i="1"/>
  <c r="AB778" i="1" s="1"/>
  <c r="R779" i="1"/>
  <c r="AB779" i="1" s="1"/>
  <c r="R780" i="1"/>
  <c r="AB780" i="1" s="1"/>
  <c r="R781" i="1"/>
  <c r="AB781" i="1" s="1"/>
  <c r="R782" i="1"/>
  <c r="AB782" i="1" s="1"/>
  <c r="R783" i="1"/>
  <c r="AB783" i="1" s="1"/>
  <c r="R784" i="1"/>
  <c r="AB784" i="1" s="1"/>
  <c r="R785" i="1"/>
  <c r="AB785" i="1" s="1"/>
  <c r="R786" i="1"/>
  <c r="AB786" i="1" s="1"/>
  <c r="R787" i="1"/>
  <c r="AB787" i="1" s="1"/>
  <c r="R788" i="1"/>
  <c r="AB788" i="1" s="1"/>
  <c r="R789" i="1"/>
  <c r="AB789" i="1" s="1"/>
  <c r="R790" i="1"/>
  <c r="AB790" i="1" s="1"/>
  <c r="R791" i="1"/>
  <c r="AB791" i="1" s="1"/>
  <c r="R792" i="1"/>
  <c r="AB792" i="1" s="1"/>
  <c r="R793" i="1"/>
  <c r="AB793" i="1" s="1"/>
  <c r="R794" i="1"/>
  <c r="AB794" i="1" s="1"/>
  <c r="R795" i="1"/>
  <c r="AB795" i="1" s="1"/>
  <c r="R796" i="1"/>
  <c r="AB796" i="1" s="1"/>
  <c r="R797" i="1"/>
  <c r="AB797" i="1" s="1"/>
  <c r="R798" i="1"/>
  <c r="AB798" i="1" s="1"/>
  <c r="R799" i="1"/>
  <c r="AB799" i="1" s="1"/>
  <c r="R800" i="1"/>
  <c r="AB800" i="1" s="1"/>
  <c r="R801" i="1"/>
  <c r="AB801" i="1" s="1"/>
  <c r="R802" i="1"/>
  <c r="AB802" i="1" s="1"/>
  <c r="R803" i="1"/>
  <c r="AB803" i="1" s="1"/>
  <c r="R804" i="1"/>
  <c r="AB804" i="1" s="1"/>
  <c r="R805" i="1"/>
  <c r="AB805" i="1" s="1"/>
  <c r="R806" i="1"/>
  <c r="AB806" i="1" s="1"/>
  <c r="R807" i="1"/>
  <c r="AB807" i="1" s="1"/>
  <c r="R808" i="1"/>
  <c r="AB808" i="1" s="1"/>
  <c r="R809" i="1"/>
  <c r="AB809" i="1" s="1"/>
  <c r="R810" i="1"/>
  <c r="AB810" i="1" s="1"/>
  <c r="R811" i="1"/>
  <c r="AB811" i="1" s="1"/>
  <c r="R812" i="1"/>
  <c r="AB812" i="1" s="1"/>
  <c r="R813" i="1"/>
  <c r="AB813" i="1" s="1"/>
  <c r="R814" i="1"/>
  <c r="AB814" i="1" s="1"/>
  <c r="R815" i="1"/>
  <c r="AB815" i="1" s="1"/>
  <c r="R816" i="1"/>
  <c r="AB816" i="1" s="1"/>
  <c r="R817" i="1"/>
  <c r="AB817" i="1" s="1"/>
  <c r="R818" i="1"/>
  <c r="AB818" i="1" s="1"/>
  <c r="R819" i="1"/>
  <c r="AB819" i="1" s="1"/>
  <c r="R820" i="1"/>
  <c r="AB820" i="1" s="1"/>
  <c r="R821" i="1"/>
  <c r="AB821" i="1" s="1"/>
  <c r="R822" i="1"/>
  <c r="AB822" i="1" s="1"/>
  <c r="R823" i="1"/>
  <c r="AB823" i="1" s="1"/>
  <c r="R824" i="1"/>
  <c r="AB824" i="1" s="1"/>
  <c r="R825" i="1"/>
  <c r="AB825" i="1" s="1"/>
  <c r="R826" i="1"/>
  <c r="AB826" i="1" s="1"/>
  <c r="R827" i="1"/>
  <c r="AB827" i="1" s="1"/>
  <c r="R828" i="1"/>
  <c r="AB828" i="1" s="1"/>
  <c r="R829" i="1"/>
  <c r="AB829" i="1" s="1"/>
  <c r="R830" i="1"/>
  <c r="AB830" i="1" s="1"/>
  <c r="R831" i="1"/>
  <c r="AB831" i="1" s="1"/>
  <c r="R832" i="1"/>
  <c r="AB832" i="1" s="1"/>
  <c r="R833" i="1"/>
  <c r="AB833" i="1" s="1"/>
  <c r="R834" i="1"/>
  <c r="AB834" i="1" s="1"/>
  <c r="R835" i="1"/>
  <c r="AB835" i="1" s="1"/>
  <c r="R836" i="1"/>
  <c r="AB836" i="1" s="1"/>
  <c r="R837" i="1"/>
  <c r="AB837" i="1" s="1"/>
  <c r="R838" i="1"/>
  <c r="AB838" i="1" s="1"/>
  <c r="R839" i="1"/>
  <c r="AB839" i="1" s="1"/>
  <c r="R840" i="1"/>
  <c r="AB840" i="1" s="1"/>
  <c r="R841" i="1"/>
  <c r="AB841" i="1" s="1"/>
  <c r="R842" i="1"/>
  <c r="AB842" i="1" s="1"/>
  <c r="R843" i="1"/>
  <c r="AB843" i="1" s="1"/>
  <c r="R844" i="1"/>
  <c r="AB844" i="1" s="1"/>
  <c r="R845" i="1"/>
  <c r="AB845" i="1" s="1"/>
  <c r="R846" i="1"/>
  <c r="AB846" i="1" s="1"/>
  <c r="R847" i="1"/>
  <c r="AB847" i="1" s="1"/>
  <c r="R848" i="1"/>
  <c r="AB848" i="1" s="1"/>
  <c r="R849" i="1"/>
  <c r="AB849" i="1" s="1"/>
  <c r="R850" i="1"/>
  <c r="AB850" i="1" s="1"/>
  <c r="R851" i="1"/>
  <c r="AB851" i="1" s="1"/>
  <c r="R852" i="1"/>
  <c r="AB852" i="1" s="1"/>
  <c r="R853" i="1"/>
  <c r="AB853" i="1" s="1"/>
  <c r="R854" i="1"/>
  <c r="AB854" i="1" s="1"/>
  <c r="R855" i="1"/>
  <c r="AB855" i="1" s="1"/>
  <c r="R856" i="1"/>
  <c r="AB856" i="1" s="1"/>
  <c r="R857" i="1"/>
  <c r="AB857" i="1" s="1"/>
  <c r="R858" i="1"/>
  <c r="AB858" i="1" s="1"/>
  <c r="R859" i="1"/>
  <c r="AB859" i="1" s="1"/>
  <c r="R860" i="1"/>
  <c r="AB860" i="1" s="1"/>
  <c r="R861" i="1"/>
  <c r="AB861" i="1" s="1"/>
  <c r="R862" i="1"/>
  <c r="AB862" i="1" s="1"/>
  <c r="R863" i="1"/>
  <c r="AB863" i="1" s="1"/>
  <c r="R864" i="1"/>
  <c r="AB864" i="1" s="1"/>
  <c r="R865" i="1"/>
  <c r="AB865" i="1" s="1"/>
  <c r="R866" i="1"/>
  <c r="AB866" i="1" s="1"/>
  <c r="R867" i="1"/>
  <c r="AB867" i="1" s="1"/>
  <c r="R868" i="1"/>
  <c r="AB868" i="1" s="1"/>
  <c r="R869" i="1"/>
  <c r="AB869" i="1" s="1"/>
  <c r="R870" i="1"/>
  <c r="AB870" i="1" s="1"/>
  <c r="R871" i="1"/>
  <c r="AB871" i="1" s="1"/>
  <c r="R872" i="1"/>
  <c r="AB872" i="1" s="1"/>
  <c r="R873" i="1"/>
  <c r="AB873" i="1" s="1"/>
  <c r="R874" i="1"/>
  <c r="AB874" i="1" s="1"/>
  <c r="R875" i="1"/>
  <c r="AB875" i="1" s="1"/>
  <c r="R876" i="1"/>
  <c r="AB876" i="1" s="1"/>
  <c r="R877" i="1"/>
  <c r="AB877" i="1" s="1"/>
  <c r="R878" i="1"/>
  <c r="AB878" i="1" s="1"/>
  <c r="R879" i="1"/>
  <c r="AB879" i="1" s="1"/>
  <c r="R880" i="1"/>
  <c r="AB880" i="1" s="1"/>
  <c r="R881" i="1"/>
  <c r="AB881" i="1" s="1"/>
  <c r="R882" i="1"/>
  <c r="AB882" i="1" s="1"/>
  <c r="R883" i="1"/>
  <c r="AB883" i="1" s="1"/>
  <c r="R884" i="1"/>
  <c r="AB884" i="1" s="1"/>
  <c r="R885" i="1"/>
  <c r="AB885" i="1" s="1"/>
  <c r="R886" i="1"/>
  <c r="AB886" i="1" s="1"/>
  <c r="R887" i="1"/>
  <c r="AB887" i="1" s="1"/>
  <c r="R888" i="1"/>
  <c r="AB888" i="1" s="1"/>
  <c r="R889" i="1"/>
  <c r="AB889" i="1" s="1"/>
  <c r="R890" i="1"/>
  <c r="AB890" i="1" s="1"/>
  <c r="R891" i="1"/>
  <c r="AB891" i="1" s="1"/>
  <c r="R892" i="1"/>
  <c r="AB892" i="1" s="1"/>
  <c r="R893" i="1"/>
  <c r="AB893" i="1" s="1"/>
  <c r="R894" i="1"/>
  <c r="AB894" i="1" s="1"/>
  <c r="R895" i="1"/>
  <c r="AB895" i="1" s="1"/>
  <c r="R896" i="1"/>
  <c r="AB896" i="1" s="1"/>
  <c r="R897" i="1"/>
  <c r="AB897" i="1" s="1"/>
  <c r="R898" i="1"/>
  <c r="AB898" i="1" s="1"/>
  <c r="R899" i="1"/>
  <c r="AB899" i="1" s="1"/>
  <c r="R900" i="1"/>
  <c r="AB900" i="1" s="1"/>
  <c r="R901" i="1"/>
  <c r="AB901" i="1" s="1"/>
  <c r="R902" i="1"/>
  <c r="AB902" i="1" s="1"/>
  <c r="R903" i="1"/>
  <c r="AB903" i="1" s="1"/>
  <c r="R904" i="1"/>
  <c r="AB904" i="1" s="1"/>
  <c r="R905" i="1"/>
  <c r="AB905" i="1" s="1"/>
  <c r="R906" i="1"/>
  <c r="AB906" i="1" s="1"/>
  <c r="R907" i="1"/>
  <c r="AB907" i="1" s="1"/>
  <c r="R908" i="1"/>
  <c r="AB908" i="1" s="1"/>
  <c r="R909" i="1"/>
  <c r="AB909" i="1" s="1"/>
  <c r="R910" i="1"/>
  <c r="AB910" i="1" s="1"/>
  <c r="R911" i="1"/>
  <c r="AB911" i="1" s="1"/>
  <c r="R912" i="1"/>
  <c r="AB912" i="1" s="1"/>
  <c r="R913" i="1"/>
  <c r="AB913" i="1" s="1"/>
  <c r="R914" i="1"/>
  <c r="AB914" i="1" s="1"/>
  <c r="R915" i="1"/>
  <c r="AB915" i="1" s="1"/>
  <c r="R916" i="1"/>
  <c r="AB916" i="1" s="1"/>
  <c r="R917" i="1"/>
  <c r="AB917" i="1" s="1"/>
  <c r="R918" i="1"/>
  <c r="AB918" i="1" s="1"/>
  <c r="R919" i="1"/>
  <c r="AB919" i="1" s="1"/>
  <c r="R920" i="1"/>
  <c r="AB920" i="1" s="1"/>
  <c r="R921" i="1"/>
  <c r="AB921" i="1" s="1"/>
  <c r="R922" i="1"/>
  <c r="AB922" i="1" s="1"/>
  <c r="R923" i="1"/>
  <c r="AB923" i="1" s="1"/>
  <c r="R924" i="1"/>
  <c r="AB924" i="1" s="1"/>
  <c r="R925" i="1"/>
  <c r="AB925" i="1" s="1"/>
  <c r="R926" i="1"/>
  <c r="AB926" i="1" s="1"/>
  <c r="R927" i="1"/>
  <c r="AB927" i="1" s="1"/>
  <c r="R928" i="1"/>
  <c r="AB928" i="1" s="1"/>
  <c r="R929" i="1"/>
  <c r="AB929" i="1" s="1"/>
  <c r="R930" i="1"/>
  <c r="AB930" i="1" s="1"/>
  <c r="R931" i="1"/>
  <c r="AB931" i="1" s="1"/>
  <c r="R932" i="1"/>
  <c r="AB932" i="1" s="1"/>
  <c r="R933" i="1"/>
  <c r="AB933" i="1" s="1"/>
  <c r="R934" i="1"/>
  <c r="AB934" i="1" s="1"/>
  <c r="R935" i="1"/>
  <c r="AB935" i="1" s="1"/>
  <c r="R936" i="1"/>
  <c r="AB936" i="1" s="1"/>
  <c r="R937" i="1"/>
  <c r="AB937" i="1" s="1"/>
  <c r="R938" i="1"/>
  <c r="AB938" i="1" s="1"/>
  <c r="R939" i="1"/>
  <c r="AB939" i="1" s="1"/>
  <c r="R940" i="1"/>
  <c r="AB940" i="1" s="1"/>
  <c r="R941" i="1"/>
  <c r="AB941" i="1" s="1"/>
  <c r="R942" i="1"/>
  <c r="AB942" i="1" s="1"/>
  <c r="R943" i="1"/>
  <c r="AB943" i="1" s="1"/>
  <c r="R944" i="1"/>
  <c r="AB944" i="1" s="1"/>
  <c r="R945" i="1"/>
  <c r="AB945" i="1" s="1"/>
  <c r="R946" i="1"/>
  <c r="AB946" i="1" s="1"/>
  <c r="R947" i="1"/>
  <c r="AB947" i="1" s="1"/>
  <c r="R948" i="1"/>
  <c r="AB948" i="1" s="1"/>
  <c r="R949" i="1"/>
  <c r="AB949" i="1" s="1"/>
  <c r="R950" i="1"/>
  <c r="AB950" i="1" s="1"/>
  <c r="R951" i="1"/>
  <c r="AB951" i="1" s="1"/>
  <c r="R952" i="1"/>
  <c r="AB952" i="1" s="1"/>
  <c r="R953" i="1"/>
  <c r="AB953" i="1" s="1"/>
  <c r="R954" i="1"/>
  <c r="AB954" i="1" s="1"/>
  <c r="R955" i="1"/>
  <c r="AB955" i="1" s="1"/>
  <c r="R956" i="1"/>
  <c r="AB956" i="1" s="1"/>
  <c r="R957" i="1"/>
  <c r="AB957" i="1" s="1"/>
  <c r="R958" i="1"/>
  <c r="AB958" i="1" s="1"/>
  <c r="R959" i="1"/>
  <c r="AB959" i="1" s="1"/>
  <c r="R960" i="1"/>
  <c r="AB960" i="1" s="1"/>
  <c r="R961" i="1"/>
  <c r="AB961" i="1" s="1"/>
  <c r="R962" i="1"/>
  <c r="AB962" i="1" s="1"/>
  <c r="R963" i="1"/>
  <c r="AB963" i="1" s="1"/>
  <c r="R964" i="1"/>
  <c r="AB964" i="1" s="1"/>
  <c r="R965" i="1"/>
  <c r="AB965" i="1" s="1"/>
  <c r="R966" i="1"/>
  <c r="AB966" i="1" s="1"/>
  <c r="R967" i="1"/>
  <c r="AB967" i="1" s="1"/>
  <c r="R968" i="1"/>
  <c r="AB968" i="1" s="1"/>
  <c r="R969" i="1"/>
  <c r="AB969" i="1" s="1"/>
  <c r="R970" i="1"/>
  <c r="AB970" i="1" s="1"/>
  <c r="R971" i="1"/>
  <c r="AB971" i="1" s="1"/>
  <c r="R972" i="1"/>
  <c r="AB972" i="1" s="1"/>
  <c r="R973" i="1"/>
  <c r="AB973" i="1" s="1"/>
  <c r="R974" i="1"/>
  <c r="AB974" i="1" s="1"/>
  <c r="R975" i="1"/>
  <c r="AB975" i="1" s="1"/>
  <c r="R976" i="1"/>
  <c r="AB976" i="1" s="1"/>
  <c r="R977" i="1"/>
  <c r="AB977" i="1" s="1"/>
  <c r="R978" i="1"/>
  <c r="AB978" i="1" s="1"/>
  <c r="R979" i="1"/>
  <c r="AB979" i="1" s="1"/>
  <c r="R980" i="1"/>
  <c r="AB980" i="1" s="1"/>
  <c r="R981" i="1"/>
  <c r="AB981" i="1" s="1"/>
  <c r="R982" i="1"/>
  <c r="AB982" i="1" s="1"/>
  <c r="R983" i="1"/>
  <c r="AB983" i="1" s="1"/>
  <c r="R984" i="1"/>
  <c r="AB984" i="1" s="1"/>
  <c r="R985" i="1"/>
  <c r="AB985" i="1" s="1"/>
  <c r="R986" i="1"/>
  <c r="AB986" i="1" s="1"/>
  <c r="R987" i="1"/>
  <c r="AB987" i="1" s="1"/>
  <c r="R988" i="1"/>
  <c r="AB988" i="1" s="1"/>
  <c r="R989" i="1"/>
  <c r="AB989" i="1" s="1"/>
  <c r="R990" i="1"/>
  <c r="AB990" i="1" s="1"/>
  <c r="R991" i="1"/>
  <c r="AB991" i="1" s="1"/>
  <c r="R992" i="1"/>
  <c r="AB992" i="1" s="1"/>
  <c r="R993" i="1"/>
  <c r="AB993" i="1" s="1"/>
  <c r="R994" i="1"/>
  <c r="AB994" i="1" s="1"/>
  <c r="R995" i="1"/>
  <c r="AB995" i="1" s="1"/>
  <c r="R996" i="1"/>
  <c r="AB996" i="1" s="1"/>
  <c r="R997" i="1"/>
  <c r="AB997" i="1" s="1"/>
  <c r="R998" i="1"/>
  <c r="AB998" i="1" s="1"/>
  <c r="R999" i="1"/>
  <c r="AB999" i="1" s="1"/>
  <c r="R1000" i="1"/>
  <c r="AB1000" i="1" s="1"/>
  <c r="R1001" i="1"/>
  <c r="AB1001" i="1" s="1"/>
  <c r="R1002" i="1"/>
  <c r="AB1002" i="1" s="1"/>
  <c r="R1003" i="1"/>
  <c r="AB1003" i="1" s="1"/>
  <c r="R1004" i="1"/>
  <c r="AB1004" i="1" s="1"/>
  <c r="R1005" i="1"/>
  <c r="AB1005" i="1" s="1"/>
  <c r="R1006" i="1"/>
  <c r="AB1006" i="1" s="1"/>
  <c r="R422" i="1"/>
  <c r="AB422" i="1" s="1"/>
  <c r="R423" i="1"/>
  <c r="AB423" i="1" s="1"/>
  <c r="R424" i="1"/>
  <c r="AB424" i="1" s="1"/>
  <c r="R425" i="1"/>
  <c r="AB425" i="1" s="1"/>
  <c r="R426" i="1"/>
  <c r="AB426" i="1" s="1"/>
  <c r="R427" i="1"/>
  <c r="AB427" i="1" s="1"/>
  <c r="R428" i="1"/>
  <c r="AB428" i="1" s="1"/>
  <c r="R429" i="1"/>
  <c r="AB429" i="1" s="1"/>
  <c r="R430" i="1"/>
  <c r="AB430" i="1" s="1"/>
  <c r="R431" i="1"/>
  <c r="AB431" i="1" s="1"/>
  <c r="R432" i="1"/>
  <c r="AB432" i="1" s="1"/>
  <c r="R433" i="1"/>
  <c r="AB433" i="1" s="1"/>
  <c r="R434" i="1"/>
  <c r="AB434" i="1" s="1"/>
  <c r="R435" i="1"/>
  <c r="AB435" i="1" s="1"/>
  <c r="R436" i="1"/>
  <c r="AB436" i="1" s="1"/>
  <c r="R437" i="1"/>
  <c r="AB437" i="1" s="1"/>
  <c r="R438" i="1"/>
  <c r="AB438" i="1" s="1"/>
  <c r="R439" i="1"/>
  <c r="AB439" i="1" s="1"/>
  <c r="R440" i="1"/>
  <c r="AB440" i="1" s="1"/>
  <c r="R441" i="1"/>
  <c r="AB441" i="1" s="1"/>
  <c r="R442" i="1"/>
  <c r="AB442" i="1" s="1"/>
  <c r="R443" i="1"/>
  <c r="AB443" i="1" s="1"/>
  <c r="R444" i="1"/>
  <c r="AB444" i="1" s="1"/>
  <c r="R445" i="1"/>
  <c r="AB445" i="1" s="1"/>
  <c r="R446" i="1"/>
  <c r="AB446" i="1" s="1"/>
  <c r="R447" i="1"/>
  <c r="AB447" i="1" s="1"/>
  <c r="R448" i="1"/>
  <c r="AB448" i="1" s="1"/>
  <c r="R449" i="1"/>
  <c r="AB449" i="1" s="1"/>
  <c r="R450" i="1"/>
  <c r="AB450" i="1" s="1"/>
  <c r="R451" i="1"/>
  <c r="AB451" i="1" s="1"/>
  <c r="R452" i="1"/>
  <c r="AB452" i="1" s="1"/>
  <c r="R453" i="1"/>
  <c r="AB453" i="1" s="1"/>
  <c r="R454" i="1"/>
  <c r="AB454" i="1" s="1"/>
  <c r="R455" i="1"/>
  <c r="AB455" i="1" s="1"/>
  <c r="R456" i="1"/>
  <c r="AB456" i="1" s="1"/>
  <c r="R457" i="1"/>
  <c r="AB457" i="1" s="1"/>
  <c r="R458" i="1"/>
  <c r="AB458" i="1" s="1"/>
  <c r="R459" i="1"/>
  <c r="AB459" i="1" s="1"/>
  <c r="R460" i="1"/>
  <c r="AB460" i="1" s="1"/>
  <c r="R461" i="1"/>
  <c r="AB461" i="1" s="1"/>
  <c r="R462" i="1"/>
  <c r="AB462" i="1" s="1"/>
  <c r="R463" i="1"/>
  <c r="AB463" i="1" s="1"/>
  <c r="R464" i="1"/>
  <c r="AB464" i="1" s="1"/>
  <c r="R465" i="1"/>
  <c r="AB465" i="1" s="1"/>
  <c r="R466" i="1"/>
  <c r="AB466" i="1" s="1"/>
  <c r="R467" i="1"/>
  <c r="AB467" i="1" s="1"/>
  <c r="R468" i="1"/>
  <c r="AB468" i="1" s="1"/>
  <c r="R469" i="1"/>
  <c r="AB469" i="1" s="1"/>
  <c r="R470" i="1"/>
  <c r="AB470" i="1" s="1"/>
  <c r="R471" i="1"/>
  <c r="AB471" i="1" s="1"/>
  <c r="R472" i="1"/>
  <c r="AB472" i="1" s="1"/>
  <c r="R473" i="1"/>
  <c r="AB473" i="1" s="1"/>
  <c r="R474" i="1"/>
  <c r="AB474" i="1" s="1"/>
  <c r="R475" i="1"/>
  <c r="AB475" i="1" s="1"/>
  <c r="R476" i="1"/>
  <c r="AB476" i="1" s="1"/>
  <c r="R477" i="1"/>
  <c r="AB477" i="1" s="1"/>
  <c r="R478" i="1"/>
  <c r="AB478" i="1" s="1"/>
  <c r="R479" i="1"/>
  <c r="AB479" i="1" s="1"/>
  <c r="R480" i="1"/>
  <c r="AB480" i="1" s="1"/>
  <c r="R481" i="1"/>
  <c r="AB481" i="1" s="1"/>
  <c r="R482" i="1"/>
  <c r="AB482" i="1" s="1"/>
  <c r="R483" i="1"/>
  <c r="AB483" i="1" s="1"/>
  <c r="R484" i="1"/>
  <c r="AB484" i="1" s="1"/>
  <c r="R485" i="1"/>
  <c r="AB485" i="1" s="1"/>
  <c r="R486" i="1"/>
  <c r="AB486" i="1" s="1"/>
  <c r="R487" i="1"/>
  <c r="AB487" i="1" s="1"/>
  <c r="R488" i="1"/>
  <c r="AB488" i="1" s="1"/>
  <c r="R489" i="1"/>
  <c r="AB489" i="1" s="1"/>
  <c r="R490" i="1"/>
  <c r="AB490" i="1" s="1"/>
  <c r="R491" i="1"/>
  <c r="AB491" i="1" s="1"/>
  <c r="R492" i="1"/>
  <c r="AB492" i="1" s="1"/>
  <c r="R493" i="1"/>
  <c r="AB493" i="1" s="1"/>
  <c r="R494" i="1"/>
  <c r="AB494" i="1" s="1"/>
  <c r="R495" i="1"/>
  <c r="AB495" i="1" s="1"/>
  <c r="R496" i="1"/>
  <c r="AB496" i="1" s="1"/>
  <c r="R497" i="1"/>
  <c r="AB497" i="1" s="1"/>
  <c r="R498" i="1"/>
  <c r="AB498" i="1" s="1"/>
  <c r="R499" i="1"/>
  <c r="AB499" i="1" s="1"/>
  <c r="R500" i="1"/>
  <c r="AB500" i="1" s="1"/>
  <c r="R501" i="1"/>
  <c r="AB501" i="1" s="1"/>
  <c r="R502" i="1"/>
  <c r="AB502" i="1" s="1"/>
  <c r="R503" i="1"/>
  <c r="AB503" i="1" s="1"/>
  <c r="R504" i="1"/>
  <c r="AB504" i="1" s="1"/>
  <c r="R505" i="1"/>
  <c r="AB505" i="1" s="1"/>
  <c r="R506" i="1"/>
  <c r="AB506" i="1" s="1"/>
  <c r="R507" i="1"/>
  <c r="AB507" i="1" s="1"/>
  <c r="R508" i="1"/>
  <c r="AB508" i="1" s="1"/>
  <c r="R509" i="1"/>
  <c r="AB509" i="1" s="1"/>
  <c r="R510" i="1"/>
  <c r="AB510" i="1" s="1"/>
  <c r="R511" i="1"/>
  <c r="AB511" i="1" s="1"/>
  <c r="R512" i="1"/>
  <c r="AB512" i="1" s="1"/>
  <c r="R513" i="1"/>
  <c r="AB513" i="1" s="1"/>
  <c r="R514" i="1"/>
  <c r="AB514" i="1" s="1"/>
  <c r="R515" i="1"/>
  <c r="AB515" i="1" s="1"/>
  <c r="R516" i="1"/>
  <c r="AB516" i="1" s="1"/>
  <c r="R517" i="1"/>
  <c r="AB517" i="1" s="1"/>
  <c r="R518" i="1"/>
  <c r="AB518" i="1" s="1"/>
  <c r="R519" i="1"/>
  <c r="AB519" i="1" s="1"/>
  <c r="R520" i="1"/>
  <c r="AB520" i="1" s="1"/>
  <c r="R521" i="1"/>
  <c r="AB521" i="1" s="1"/>
  <c r="R522" i="1"/>
  <c r="AB522" i="1" s="1"/>
  <c r="R523" i="1"/>
  <c r="AB523" i="1" s="1"/>
  <c r="R524" i="1"/>
  <c r="AB524" i="1" s="1"/>
  <c r="R525" i="1"/>
  <c r="AB525" i="1" s="1"/>
  <c r="R526" i="1"/>
  <c r="AB526" i="1" s="1"/>
  <c r="R527" i="1"/>
  <c r="AB527" i="1" s="1"/>
  <c r="R528" i="1"/>
  <c r="AB528" i="1" s="1"/>
  <c r="R529" i="1"/>
  <c r="AB529" i="1" s="1"/>
  <c r="R530" i="1"/>
  <c r="AB530" i="1" s="1"/>
  <c r="R531" i="1"/>
  <c r="AB531" i="1" s="1"/>
  <c r="R532" i="1"/>
  <c r="AB532" i="1" s="1"/>
  <c r="R533" i="1"/>
  <c r="AB533" i="1" s="1"/>
  <c r="R534" i="1"/>
  <c r="AB534" i="1" s="1"/>
  <c r="R535" i="1"/>
  <c r="AB535" i="1" s="1"/>
  <c r="R536" i="1"/>
  <c r="AB536" i="1" s="1"/>
  <c r="R537" i="1"/>
  <c r="AB537" i="1" s="1"/>
  <c r="R538" i="1"/>
  <c r="AB538" i="1" s="1"/>
  <c r="R539" i="1"/>
  <c r="AB539" i="1" s="1"/>
  <c r="R540" i="1"/>
  <c r="AB540" i="1" s="1"/>
  <c r="R541" i="1"/>
  <c r="AB541" i="1" s="1"/>
  <c r="R542" i="1"/>
  <c r="AB542" i="1" s="1"/>
  <c r="R543" i="1"/>
  <c r="AB543" i="1" s="1"/>
  <c r="R544" i="1"/>
  <c r="AB544" i="1" s="1"/>
  <c r="R545" i="1"/>
  <c r="AB545" i="1" s="1"/>
  <c r="R546" i="1"/>
  <c r="AB546" i="1" s="1"/>
  <c r="R547" i="1"/>
  <c r="AB547" i="1" s="1"/>
  <c r="R548" i="1"/>
  <c r="AB548" i="1" s="1"/>
  <c r="R549" i="1"/>
  <c r="AB549" i="1" s="1"/>
  <c r="R550" i="1"/>
  <c r="AB550" i="1" s="1"/>
  <c r="R551" i="1"/>
  <c r="AB551" i="1" s="1"/>
  <c r="R552" i="1"/>
  <c r="AB552" i="1" s="1"/>
  <c r="R553" i="1"/>
  <c r="AB553" i="1" s="1"/>
  <c r="R554" i="1"/>
  <c r="AB554" i="1" s="1"/>
  <c r="R555" i="1"/>
  <c r="AB555" i="1" s="1"/>
  <c r="R556" i="1"/>
  <c r="AB556" i="1" s="1"/>
  <c r="R557" i="1"/>
  <c r="AB557" i="1" s="1"/>
  <c r="R558" i="1"/>
  <c r="AB558" i="1" s="1"/>
  <c r="R559" i="1"/>
  <c r="AB559" i="1" s="1"/>
  <c r="R560" i="1"/>
  <c r="AB560" i="1" s="1"/>
  <c r="R561" i="1"/>
  <c r="AB561" i="1" s="1"/>
  <c r="R562" i="1"/>
  <c r="AB562" i="1" s="1"/>
  <c r="R563" i="1"/>
  <c r="AB563" i="1" s="1"/>
  <c r="R564" i="1"/>
  <c r="AB564" i="1" s="1"/>
  <c r="R565" i="1"/>
  <c r="AB565" i="1" s="1"/>
  <c r="R566" i="1"/>
  <c r="AB566" i="1" s="1"/>
  <c r="R567" i="1"/>
  <c r="AB567" i="1" s="1"/>
  <c r="R568" i="1"/>
  <c r="AB568" i="1" s="1"/>
  <c r="R569" i="1"/>
  <c r="AB569" i="1" s="1"/>
  <c r="R570" i="1"/>
  <c r="AB570" i="1" s="1"/>
  <c r="R571" i="1"/>
  <c r="AB571" i="1" s="1"/>
  <c r="R572" i="1"/>
  <c r="AB572" i="1" s="1"/>
  <c r="R573" i="1"/>
  <c r="AB573" i="1" s="1"/>
  <c r="R574" i="1"/>
  <c r="AB574" i="1" s="1"/>
  <c r="R575" i="1"/>
  <c r="AB575" i="1" s="1"/>
  <c r="R576" i="1"/>
  <c r="AB576" i="1" s="1"/>
  <c r="R577" i="1"/>
  <c r="AB577" i="1" s="1"/>
  <c r="R578" i="1"/>
  <c r="AB578" i="1" s="1"/>
  <c r="R579" i="1"/>
  <c r="AB579" i="1" s="1"/>
  <c r="R580" i="1"/>
  <c r="AB580" i="1" s="1"/>
  <c r="R581" i="1"/>
  <c r="AB581" i="1" s="1"/>
  <c r="R582" i="1"/>
  <c r="AB582" i="1" s="1"/>
  <c r="R583" i="1"/>
  <c r="AB583" i="1" s="1"/>
  <c r="R584" i="1"/>
  <c r="AB584" i="1" s="1"/>
  <c r="R585" i="1"/>
  <c r="AB585" i="1" s="1"/>
  <c r="R586" i="1"/>
  <c r="AB586" i="1" s="1"/>
  <c r="R587" i="1"/>
  <c r="AB587" i="1" s="1"/>
  <c r="R588" i="1"/>
  <c r="AB588" i="1" s="1"/>
  <c r="R589" i="1"/>
  <c r="AB589" i="1" s="1"/>
  <c r="R590" i="1"/>
  <c r="AB590" i="1" s="1"/>
  <c r="R591" i="1"/>
  <c r="AB591" i="1" s="1"/>
  <c r="R592" i="1"/>
  <c r="AB592" i="1" s="1"/>
  <c r="R593" i="1"/>
  <c r="AB593" i="1" s="1"/>
  <c r="R594" i="1"/>
  <c r="AB594" i="1" s="1"/>
  <c r="R595" i="1"/>
  <c r="AB595" i="1" s="1"/>
  <c r="R596" i="1"/>
  <c r="AB596" i="1" s="1"/>
  <c r="R597" i="1"/>
  <c r="AB597" i="1" s="1"/>
  <c r="R598" i="1"/>
  <c r="AB598" i="1" s="1"/>
  <c r="R599" i="1"/>
  <c r="AB599" i="1" s="1"/>
  <c r="R600" i="1"/>
  <c r="AB600" i="1" s="1"/>
  <c r="R601" i="1"/>
  <c r="AB601" i="1" s="1"/>
  <c r="R602" i="1"/>
  <c r="AB602" i="1" s="1"/>
  <c r="R603" i="1"/>
  <c r="AB603" i="1" s="1"/>
  <c r="R604" i="1"/>
  <c r="AB604" i="1" s="1"/>
  <c r="R605" i="1"/>
  <c r="AB605" i="1" s="1"/>
  <c r="R606" i="1"/>
  <c r="AB606" i="1" s="1"/>
  <c r="R607" i="1"/>
  <c r="AB607" i="1" s="1"/>
  <c r="R608" i="1"/>
  <c r="AB608" i="1" s="1"/>
  <c r="R609" i="1"/>
  <c r="AB609" i="1" s="1"/>
  <c r="R610" i="1"/>
  <c r="AB610" i="1" s="1"/>
  <c r="R611" i="1"/>
  <c r="AB611" i="1" s="1"/>
  <c r="R612" i="1"/>
  <c r="AB612" i="1" s="1"/>
  <c r="R613" i="1"/>
  <c r="AB613" i="1" s="1"/>
  <c r="R614" i="1"/>
  <c r="AB614" i="1" s="1"/>
  <c r="R615" i="1"/>
  <c r="AB615" i="1" s="1"/>
  <c r="R616" i="1"/>
  <c r="AB616" i="1" s="1"/>
  <c r="R617" i="1"/>
  <c r="AB617" i="1" s="1"/>
  <c r="B34" i="3"/>
  <c r="R421" i="1"/>
  <c r="AB421" i="1" s="1"/>
  <c r="U3" i="1"/>
  <c r="R420" i="1"/>
  <c r="AB420" i="1" s="1"/>
  <c r="A6" i="8" l="1"/>
  <c r="S12" i="1"/>
  <c r="K12" i="1"/>
  <c r="AU12" i="1"/>
  <c r="AS12" i="1"/>
  <c r="R13" i="1"/>
  <c r="AB13" i="1" s="1"/>
  <c r="R14" i="1"/>
  <c r="AB14" i="1" s="1"/>
  <c r="R15" i="1"/>
  <c r="AB15" i="1" s="1"/>
  <c r="R16" i="1"/>
  <c r="AB16" i="1" s="1"/>
  <c r="R17" i="1"/>
  <c r="AB17" i="1" s="1"/>
  <c r="R18" i="1"/>
  <c r="AB18" i="1" s="1"/>
  <c r="R19" i="1"/>
  <c r="AB19" i="1" s="1"/>
  <c r="R20" i="1"/>
  <c r="AB20" i="1" s="1"/>
  <c r="R21" i="1"/>
  <c r="AB21" i="1" s="1"/>
  <c r="R22" i="1"/>
  <c r="AB22" i="1" s="1"/>
  <c r="R23" i="1"/>
  <c r="AB23" i="1" s="1"/>
  <c r="R24" i="1"/>
  <c r="AB24" i="1" s="1"/>
  <c r="R25" i="1"/>
  <c r="AB25" i="1" s="1"/>
  <c r="R26" i="1"/>
  <c r="AB26" i="1" s="1"/>
  <c r="R27" i="1"/>
  <c r="AB27" i="1" s="1"/>
  <c r="R28" i="1"/>
  <c r="AB28" i="1" s="1"/>
  <c r="R29" i="1"/>
  <c r="AB29" i="1" s="1"/>
  <c r="R30" i="1"/>
  <c r="AB30" i="1" s="1"/>
  <c r="R31" i="1"/>
  <c r="AB31" i="1" s="1"/>
  <c r="R32" i="1"/>
  <c r="AB32" i="1" s="1"/>
  <c r="R33" i="1"/>
  <c r="AB33" i="1" s="1"/>
  <c r="R34" i="1"/>
  <c r="AB34" i="1" s="1"/>
  <c r="R35" i="1"/>
  <c r="AB35" i="1" s="1"/>
  <c r="R36" i="1"/>
  <c r="AB36" i="1" s="1"/>
  <c r="R37" i="1"/>
  <c r="AB37" i="1" s="1"/>
  <c r="R38" i="1"/>
  <c r="AB38" i="1" s="1"/>
  <c r="R39" i="1"/>
  <c r="AB39" i="1" s="1"/>
  <c r="R40" i="1"/>
  <c r="AB40" i="1" s="1"/>
  <c r="R41" i="1"/>
  <c r="AB41" i="1" s="1"/>
  <c r="R42" i="1"/>
  <c r="AB42" i="1" s="1"/>
  <c r="R43" i="1"/>
  <c r="AB43" i="1" s="1"/>
  <c r="R44" i="1"/>
  <c r="AB44" i="1" s="1"/>
  <c r="R45" i="1"/>
  <c r="AB45" i="1" s="1"/>
  <c r="R46" i="1"/>
  <c r="AB46" i="1" s="1"/>
  <c r="R47" i="1"/>
  <c r="AB47" i="1" s="1"/>
  <c r="R48" i="1"/>
  <c r="AB48" i="1" s="1"/>
  <c r="R49" i="1"/>
  <c r="AB49" i="1" s="1"/>
  <c r="R50" i="1"/>
  <c r="AB50" i="1" s="1"/>
  <c r="R51" i="1"/>
  <c r="AB51" i="1" s="1"/>
  <c r="R52" i="1"/>
  <c r="AB52" i="1" s="1"/>
  <c r="R53" i="1"/>
  <c r="AB53" i="1" s="1"/>
  <c r="R54" i="1"/>
  <c r="AB54" i="1" s="1"/>
  <c r="R55" i="1"/>
  <c r="AB55" i="1" s="1"/>
  <c r="R56" i="1"/>
  <c r="AB56" i="1" s="1"/>
  <c r="R57" i="1"/>
  <c r="AB57" i="1" s="1"/>
  <c r="R58" i="1"/>
  <c r="AB58" i="1" s="1"/>
  <c r="R59" i="1"/>
  <c r="AB59" i="1" s="1"/>
  <c r="R60" i="1"/>
  <c r="AB60" i="1" s="1"/>
  <c r="R61" i="1"/>
  <c r="AB61" i="1" s="1"/>
  <c r="R62" i="1"/>
  <c r="AB62" i="1" s="1"/>
  <c r="R63" i="1"/>
  <c r="AB63" i="1" s="1"/>
  <c r="R64" i="1"/>
  <c r="AB64" i="1" s="1"/>
  <c r="R65" i="1"/>
  <c r="AB65" i="1" s="1"/>
  <c r="R66" i="1"/>
  <c r="AB66" i="1" s="1"/>
  <c r="R67" i="1"/>
  <c r="AB67" i="1" s="1"/>
  <c r="R68" i="1"/>
  <c r="AB68" i="1" s="1"/>
  <c r="R69" i="1"/>
  <c r="AB69" i="1" s="1"/>
  <c r="R70" i="1"/>
  <c r="AB70" i="1" s="1"/>
  <c r="R71" i="1"/>
  <c r="AB71" i="1" s="1"/>
  <c r="R72" i="1"/>
  <c r="AB72" i="1" s="1"/>
  <c r="R73" i="1"/>
  <c r="AB73" i="1" s="1"/>
  <c r="R74" i="1"/>
  <c r="AB74" i="1" s="1"/>
  <c r="R75" i="1"/>
  <c r="AB75" i="1" s="1"/>
  <c r="R76" i="1"/>
  <c r="AB76" i="1" s="1"/>
  <c r="R77" i="1"/>
  <c r="AB77" i="1" s="1"/>
  <c r="R78" i="1"/>
  <c r="AB78" i="1" s="1"/>
  <c r="R79" i="1"/>
  <c r="AB79" i="1" s="1"/>
  <c r="R80" i="1"/>
  <c r="AB80" i="1" s="1"/>
  <c r="R81" i="1"/>
  <c r="AB81" i="1" s="1"/>
  <c r="R82" i="1"/>
  <c r="AB82" i="1" s="1"/>
  <c r="R83" i="1"/>
  <c r="AB83" i="1" s="1"/>
  <c r="R84" i="1"/>
  <c r="AB84" i="1" s="1"/>
  <c r="R85" i="1"/>
  <c r="AB85" i="1" s="1"/>
  <c r="R86" i="1"/>
  <c r="AB86" i="1" s="1"/>
  <c r="R87" i="1"/>
  <c r="AB87" i="1" s="1"/>
  <c r="R88" i="1"/>
  <c r="AB88" i="1" s="1"/>
  <c r="R89" i="1"/>
  <c r="AB89" i="1" s="1"/>
  <c r="R90" i="1"/>
  <c r="AB90" i="1" s="1"/>
  <c r="R91" i="1"/>
  <c r="AB91" i="1" s="1"/>
  <c r="R92" i="1"/>
  <c r="AB92" i="1" s="1"/>
  <c r="R93" i="1"/>
  <c r="AB93" i="1" s="1"/>
  <c r="R94" i="1"/>
  <c r="AB94" i="1" s="1"/>
  <c r="R95" i="1"/>
  <c r="AB95" i="1" s="1"/>
  <c r="R96" i="1"/>
  <c r="AB96" i="1" s="1"/>
  <c r="R97" i="1"/>
  <c r="AB97" i="1" s="1"/>
  <c r="R98" i="1"/>
  <c r="AB98" i="1" s="1"/>
  <c r="R99" i="1"/>
  <c r="AB99" i="1" s="1"/>
  <c r="R100" i="1"/>
  <c r="AB100" i="1" s="1"/>
  <c r="R101" i="1"/>
  <c r="AB101" i="1" s="1"/>
  <c r="R102" i="1"/>
  <c r="AB102" i="1" s="1"/>
  <c r="R103" i="1"/>
  <c r="AB103" i="1" s="1"/>
  <c r="R104" i="1"/>
  <c r="AB104" i="1" s="1"/>
  <c r="R105" i="1"/>
  <c r="AB105" i="1" s="1"/>
  <c r="R106" i="1"/>
  <c r="AB106" i="1" s="1"/>
  <c r="R107" i="1"/>
  <c r="AB107" i="1" s="1"/>
  <c r="R108" i="1"/>
  <c r="AB108" i="1" s="1"/>
  <c r="R109" i="1"/>
  <c r="AB109" i="1" s="1"/>
  <c r="R110" i="1"/>
  <c r="AB110" i="1" s="1"/>
  <c r="R111" i="1"/>
  <c r="AB111" i="1" s="1"/>
  <c r="R112" i="1"/>
  <c r="AB112" i="1" s="1"/>
  <c r="R113" i="1"/>
  <c r="AB113" i="1" s="1"/>
  <c r="R114" i="1"/>
  <c r="AB114" i="1" s="1"/>
  <c r="R115" i="1"/>
  <c r="AB115" i="1" s="1"/>
  <c r="R116" i="1"/>
  <c r="AB116" i="1" s="1"/>
  <c r="R117" i="1"/>
  <c r="AB117" i="1" s="1"/>
  <c r="R118" i="1"/>
  <c r="AB118" i="1" s="1"/>
  <c r="R119" i="1"/>
  <c r="AB119" i="1" s="1"/>
  <c r="R120" i="1"/>
  <c r="AB120" i="1" s="1"/>
  <c r="R121" i="1"/>
  <c r="AB121" i="1" s="1"/>
  <c r="R122" i="1"/>
  <c r="AB122" i="1" s="1"/>
  <c r="R123" i="1"/>
  <c r="AB123" i="1" s="1"/>
  <c r="R124" i="1"/>
  <c r="AB124" i="1" s="1"/>
  <c r="R125" i="1"/>
  <c r="AB125" i="1" s="1"/>
  <c r="R126" i="1"/>
  <c r="AB126" i="1" s="1"/>
  <c r="R127" i="1"/>
  <c r="AB127" i="1" s="1"/>
  <c r="R128" i="1"/>
  <c r="AB128" i="1" s="1"/>
  <c r="R129" i="1"/>
  <c r="AB129" i="1" s="1"/>
  <c r="R130" i="1"/>
  <c r="AB130" i="1" s="1"/>
  <c r="R131" i="1"/>
  <c r="AB131" i="1" s="1"/>
  <c r="R132" i="1"/>
  <c r="AB132" i="1" s="1"/>
  <c r="R133" i="1"/>
  <c r="AB133" i="1" s="1"/>
  <c r="R134" i="1"/>
  <c r="AB134" i="1" s="1"/>
  <c r="R135" i="1"/>
  <c r="AB135" i="1" s="1"/>
  <c r="R136" i="1"/>
  <c r="AB136" i="1" s="1"/>
  <c r="R137" i="1"/>
  <c r="AB137" i="1" s="1"/>
  <c r="R138" i="1"/>
  <c r="AB138" i="1" s="1"/>
  <c r="R139" i="1"/>
  <c r="AB139" i="1" s="1"/>
  <c r="R140" i="1"/>
  <c r="AB140" i="1" s="1"/>
  <c r="R141" i="1"/>
  <c r="AB141" i="1" s="1"/>
  <c r="R142" i="1"/>
  <c r="AB142" i="1" s="1"/>
  <c r="R143" i="1"/>
  <c r="AB143" i="1" s="1"/>
  <c r="R144" i="1"/>
  <c r="AB144" i="1" s="1"/>
  <c r="R145" i="1"/>
  <c r="AB145" i="1" s="1"/>
  <c r="R146" i="1"/>
  <c r="AB146" i="1" s="1"/>
  <c r="R147" i="1"/>
  <c r="AB147" i="1" s="1"/>
  <c r="R148" i="1"/>
  <c r="AB148" i="1" s="1"/>
  <c r="R149" i="1"/>
  <c r="AB149" i="1" s="1"/>
  <c r="R150" i="1"/>
  <c r="AB150" i="1" s="1"/>
  <c r="R151" i="1"/>
  <c r="AB151" i="1" s="1"/>
  <c r="R152" i="1"/>
  <c r="AB152" i="1" s="1"/>
  <c r="R153" i="1"/>
  <c r="AB153" i="1" s="1"/>
  <c r="R154" i="1"/>
  <c r="AB154" i="1" s="1"/>
  <c r="R155" i="1"/>
  <c r="AB155" i="1" s="1"/>
  <c r="R156" i="1"/>
  <c r="AB156" i="1" s="1"/>
  <c r="R157" i="1"/>
  <c r="AB157" i="1" s="1"/>
  <c r="R158" i="1"/>
  <c r="AB158" i="1" s="1"/>
  <c r="R159" i="1"/>
  <c r="AB159" i="1" s="1"/>
  <c r="R160" i="1"/>
  <c r="AB160" i="1" s="1"/>
  <c r="R161" i="1"/>
  <c r="AB161" i="1" s="1"/>
  <c r="R162" i="1"/>
  <c r="AB162" i="1" s="1"/>
  <c r="R163" i="1"/>
  <c r="AB163" i="1" s="1"/>
  <c r="R164" i="1"/>
  <c r="AB164" i="1" s="1"/>
  <c r="R165" i="1"/>
  <c r="AB165" i="1" s="1"/>
  <c r="R166" i="1"/>
  <c r="AB166" i="1" s="1"/>
  <c r="R167" i="1"/>
  <c r="AB167" i="1" s="1"/>
  <c r="R168" i="1"/>
  <c r="AB168" i="1" s="1"/>
  <c r="R169" i="1"/>
  <c r="AB169" i="1" s="1"/>
  <c r="R170" i="1"/>
  <c r="AB170" i="1" s="1"/>
  <c r="R171" i="1"/>
  <c r="AB171" i="1" s="1"/>
  <c r="R172" i="1"/>
  <c r="AB172" i="1" s="1"/>
  <c r="R173" i="1"/>
  <c r="AB173" i="1" s="1"/>
  <c r="R174" i="1"/>
  <c r="AB174" i="1" s="1"/>
  <c r="R175" i="1"/>
  <c r="AB175" i="1" s="1"/>
  <c r="R176" i="1"/>
  <c r="AB176" i="1" s="1"/>
  <c r="R177" i="1"/>
  <c r="AB177" i="1" s="1"/>
  <c r="R178" i="1"/>
  <c r="AB178" i="1" s="1"/>
  <c r="R179" i="1"/>
  <c r="AB179" i="1" s="1"/>
  <c r="R180" i="1"/>
  <c r="AB180" i="1" s="1"/>
  <c r="R181" i="1"/>
  <c r="AB181" i="1" s="1"/>
  <c r="R182" i="1"/>
  <c r="AB182" i="1" s="1"/>
  <c r="R183" i="1"/>
  <c r="AB183" i="1" s="1"/>
  <c r="R184" i="1"/>
  <c r="AB184" i="1" s="1"/>
  <c r="R185" i="1"/>
  <c r="AB185" i="1" s="1"/>
  <c r="R186" i="1"/>
  <c r="AB186" i="1" s="1"/>
  <c r="R187" i="1"/>
  <c r="AB187" i="1" s="1"/>
  <c r="R188" i="1"/>
  <c r="AB188" i="1" s="1"/>
  <c r="R189" i="1"/>
  <c r="AB189" i="1" s="1"/>
  <c r="R190" i="1"/>
  <c r="AB190" i="1" s="1"/>
  <c r="R191" i="1"/>
  <c r="AB191" i="1" s="1"/>
  <c r="R192" i="1"/>
  <c r="AB192" i="1" s="1"/>
  <c r="R193" i="1"/>
  <c r="AB193" i="1" s="1"/>
  <c r="R194" i="1"/>
  <c r="AB194" i="1" s="1"/>
  <c r="R195" i="1"/>
  <c r="AB195" i="1" s="1"/>
  <c r="R196" i="1"/>
  <c r="AB196" i="1" s="1"/>
  <c r="R197" i="1"/>
  <c r="AB197" i="1" s="1"/>
  <c r="R198" i="1"/>
  <c r="AB198" i="1" s="1"/>
  <c r="R199" i="1"/>
  <c r="AB199" i="1" s="1"/>
  <c r="R200" i="1"/>
  <c r="AB200" i="1" s="1"/>
  <c r="R201" i="1"/>
  <c r="AB201" i="1" s="1"/>
  <c r="R202" i="1"/>
  <c r="AB202" i="1" s="1"/>
  <c r="R203" i="1"/>
  <c r="AB203" i="1" s="1"/>
  <c r="R204" i="1"/>
  <c r="AB204" i="1" s="1"/>
  <c r="R205" i="1"/>
  <c r="AB205" i="1" s="1"/>
  <c r="R206" i="1"/>
  <c r="AB206" i="1" s="1"/>
  <c r="R207" i="1"/>
  <c r="AB207" i="1" s="1"/>
  <c r="R208" i="1"/>
  <c r="AB208" i="1" s="1"/>
  <c r="R209" i="1"/>
  <c r="AB209" i="1" s="1"/>
  <c r="R210" i="1"/>
  <c r="AB210" i="1" s="1"/>
  <c r="R211" i="1"/>
  <c r="AB211" i="1" s="1"/>
  <c r="R212" i="1"/>
  <c r="AB212" i="1" s="1"/>
  <c r="R213" i="1"/>
  <c r="AB213" i="1" s="1"/>
  <c r="R214" i="1"/>
  <c r="AB214" i="1" s="1"/>
  <c r="R215" i="1"/>
  <c r="AB215" i="1" s="1"/>
  <c r="R216" i="1"/>
  <c r="AB216" i="1" s="1"/>
  <c r="R217" i="1"/>
  <c r="AB217" i="1" s="1"/>
  <c r="R218" i="1"/>
  <c r="AB218" i="1" s="1"/>
  <c r="R219" i="1"/>
  <c r="AB219" i="1" s="1"/>
  <c r="R220" i="1"/>
  <c r="AB220" i="1" s="1"/>
  <c r="R221" i="1"/>
  <c r="AB221" i="1" s="1"/>
  <c r="R222" i="1"/>
  <c r="AB222" i="1" s="1"/>
  <c r="R223" i="1"/>
  <c r="AB223" i="1" s="1"/>
  <c r="R224" i="1"/>
  <c r="AB224" i="1" s="1"/>
  <c r="R225" i="1"/>
  <c r="AB225" i="1" s="1"/>
  <c r="R226" i="1"/>
  <c r="AB226" i="1" s="1"/>
  <c r="R227" i="1"/>
  <c r="AB227" i="1" s="1"/>
  <c r="R228" i="1"/>
  <c r="AB228" i="1" s="1"/>
  <c r="R229" i="1"/>
  <c r="AB229" i="1" s="1"/>
  <c r="R230" i="1"/>
  <c r="AB230" i="1" s="1"/>
  <c r="R231" i="1"/>
  <c r="AB231" i="1" s="1"/>
  <c r="R232" i="1"/>
  <c r="AB232" i="1" s="1"/>
  <c r="R233" i="1"/>
  <c r="AB233" i="1" s="1"/>
  <c r="R234" i="1"/>
  <c r="AB234" i="1" s="1"/>
  <c r="R235" i="1"/>
  <c r="AB235" i="1" s="1"/>
  <c r="R236" i="1"/>
  <c r="AB236" i="1" s="1"/>
  <c r="R237" i="1"/>
  <c r="AB237" i="1" s="1"/>
  <c r="R238" i="1"/>
  <c r="AB238" i="1" s="1"/>
  <c r="R239" i="1"/>
  <c r="AB239" i="1" s="1"/>
  <c r="R240" i="1"/>
  <c r="AB240" i="1" s="1"/>
  <c r="R241" i="1"/>
  <c r="AB241" i="1" s="1"/>
  <c r="R242" i="1"/>
  <c r="AB242" i="1" s="1"/>
  <c r="R243" i="1"/>
  <c r="AB243" i="1" s="1"/>
  <c r="R244" i="1"/>
  <c r="AB244" i="1" s="1"/>
  <c r="R245" i="1"/>
  <c r="AB245" i="1" s="1"/>
  <c r="R246" i="1"/>
  <c r="AB246" i="1" s="1"/>
  <c r="R247" i="1"/>
  <c r="AB247" i="1" s="1"/>
  <c r="R248" i="1"/>
  <c r="AB248" i="1" s="1"/>
  <c r="R249" i="1"/>
  <c r="AB249" i="1" s="1"/>
  <c r="R250" i="1"/>
  <c r="AB250" i="1" s="1"/>
  <c r="R251" i="1"/>
  <c r="AB251" i="1" s="1"/>
  <c r="R252" i="1"/>
  <c r="AB252" i="1" s="1"/>
  <c r="R253" i="1"/>
  <c r="AB253" i="1" s="1"/>
  <c r="R254" i="1"/>
  <c r="AB254" i="1" s="1"/>
  <c r="R255" i="1"/>
  <c r="AB255" i="1" s="1"/>
  <c r="R256" i="1"/>
  <c r="AB256" i="1" s="1"/>
  <c r="R257" i="1"/>
  <c r="AB257" i="1" s="1"/>
  <c r="R258" i="1"/>
  <c r="AB258" i="1" s="1"/>
  <c r="R259" i="1"/>
  <c r="AB259" i="1" s="1"/>
  <c r="R260" i="1"/>
  <c r="AB260" i="1" s="1"/>
  <c r="R261" i="1"/>
  <c r="AB261" i="1" s="1"/>
  <c r="R262" i="1"/>
  <c r="AB262" i="1" s="1"/>
  <c r="R263" i="1"/>
  <c r="AB263" i="1" s="1"/>
  <c r="R264" i="1"/>
  <c r="AB264" i="1" s="1"/>
  <c r="R265" i="1"/>
  <c r="AB265" i="1" s="1"/>
  <c r="R266" i="1"/>
  <c r="AB266" i="1" s="1"/>
  <c r="R267" i="1"/>
  <c r="AB267" i="1" s="1"/>
  <c r="R268" i="1"/>
  <c r="AB268" i="1" s="1"/>
  <c r="R269" i="1"/>
  <c r="AB269" i="1" s="1"/>
  <c r="R270" i="1"/>
  <c r="AB270" i="1" s="1"/>
  <c r="R271" i="1"/>
  <c r="AB271" i="1" s="1"/>
  <c r="R272" i="1"/>
  <c r="AB272" i="1" s="1"/>
  <c r="R273" i="1"/>
  <c r="AB273" i="1" s="1"/>
  <c r="R274" i="1"/>
  <c r="AB274" i="1" s="1"/>
  <c r="R275" i="1"/>
  <c r="AB275" i="1" s="1"/>
  <c r="R276" i="1"/>
  <c r="AB276" i="1" s="1"/>
  <c r="R277" i="1"/>
  <c r="AB277" i="1" s="1"/>
  <c r="R278" i="1"/>
  <c r="AB278" i="1" s="1"/>
  <c r="R279" i="1"/>
  <c r="AB279" i="1" s="1"/>
  <c r="R280" i="1"/>
  <c r="AB280" i="1" s="1"/>
  <c r="R281" i="1"/>
  <c r="AB281" i="1" s="1"/>
  <c r="R282" i="1"/>
  <c r="AB282" i="1" s="1"/>
  <c r="R283" i="1"/>
  <c r="AB283" i="1" s="1"/>
  <c r="R284" i="1"/>
  <c r="AB284" i="1" s="1"/>
  <c r="R285" i="1"/>
  <c r="AB285" i="1" s="1"/>
  <c r="R286" i="1"/>
  <c r="AB286" i="1" s="1"/>
  <c r="R287" i="1"/>
  <c r="AB287" i="1" s="1"/>
  <c r="R288" i="1"/>
  <c r="AB288" i="1" s="1"/>
  <c r="R289" i="1"/>
  <c r="AB289" i="1" s="1"/>
  <c r="R290" i="1"/>
  <c r="AB290" i="1" s="1"/>
  <c r="R291" i="1"/>
  <c r="AB291" i="1" s="1"/>
  <c r="R292" i="1"/>
  <c r="AB292" i="1" s="1"/>
  <c r="R293" i="1"/>
  <c r="AB293" i="1" s="1"/>
  <c r="R294" i="1"/>
  <c r="AB294" i="1" s="1"/>
  <c r="R295" i="1"/>
  <c r="AB295" i="1" s="1"/>
  <c r="R296" i="1"/>
  <c r="AB296" i="1" s="1"/>
  <c r="R297" i="1"/>
  <c r="AB297" i="1" s="1"/>
  <c r="R298" i="1"/>
  <c r="AB298" i="1" s="1"/>
  <c r="R299" i="1"/>
  <c r="AB299" i="1" s="1"/>
  <c r="R300" i="1"/>
  <c r="AB300" i="1" s="1"/>
  <c r="R301" i="1"/>
  <c r="AB301" i="1" s="1"/>
  <c r="R302" i="1"/>
  <c r="AB302" i="1" s="1"/>
  <c r="R303" i="1"/>
  <c r="AB303" i="1" s="1"/>
  <c r="R304" i="1"/>
  <c r="AB304" i="1" s="1"/>
  <c r="R305" i="1"/>
  <c r="AB305" i="1" s="1"/>
  <c r="R306" i="1"/>
  <c r="AB306" i="1" s="1"/>
  <c r="R307" i="1"/>
  <c r="AB307" i="1" s="1"/>
  <c r="R308" i="1"/>
  <c r="AB308" i="1" s="1"/>
  <c r="R309" i="1"/>
  <c r="AB309" i="1" s="1"/>
  <c r="R310" i="1"/>
  <c r="AB310" i="1" s="1"/>
  <c r="R311" i="1"/>
  <c r="AB311" i="1" s="1"/>
  <c r="R312" i="1"/>
  <c r="AB312" i="1" s="1"/>
  <c r="R313" i="1"/>
  <c r="AB313" i="1" s="1"/>
  <c r="R314" i="1"/>
  <c r="AB314" i="1" s="1"/>
  <c r="R315" i="1"/>
  <c r="AB315" i="1" s="1"/>
  <c r="R316" i="1"/>
  <c r="AB316" i="1" s="1"/>
  <c r="R317" i="1"/>
  <c r="AB317" i="1" s="1"/>
  <c r="R318" i="1"/>
  <c r="AB318" i="1" s="1"/>
  <c r="R319" i="1"/>
  <c r="AB319" i="1" s="1"/>
  <c r="R320" i="1"/>
  <c r="AB320" i="1" s="1"/>
  <c r="R321" i="1"/>
  <c r="AB321" i="1" s="1"/>
  <c r="R322" i="1"/>
  <c r="AB322" i="1" s="1"/>
  <c r="R323" i="1"/>
  <c r="AB323" i="1" s="1"/>
  <c r="R324" i="1"/>
  <c r="AB324" i="1" s="1"/>
  <c r="R325" i="1"/>
  <c r="AB325" i="1" s="1"/>
  <c r="R326" i="1"/>
  <c r="AB326" i="1" s="1"/>
  <c r="R327" i="1"/>
  <c r="AB327" i="1" s="1"/>
  <c r="R328" i="1"/>
  <c r="AB328" i="1" s="1"/>
  <c r="R329" i="1"/>
  <c r="AB329" i="1" s="1"/>
  <c r="R330" i="1"/>
  <c r="AB330" i="1" s="1"/>
  <c r="R331" i="1"/>
  <c r="AB331" i="1" s="1"/>
  <c r="R332" i="1"/>
  <c r="AB332" i="1" s="1"/>
  <c r="R333" i="1"/>
  <c r="AB333" i="1" s="1"/>
  <c r="R334" i="1"/>
  <c r="AB334" i="1" s="1"/>
  <c r="R335" i="1"/>
  <c r="AB335" i="1" s="1"/>
  <c r="R336" i="1"/>
  <c r="AB336" i="1" s="1"/>
  <c r="R337" i="1"/>
  <c r="AB337" i="1" s="1"/>
  <c r="R338" i="1"/>
  <c r="AB338" i="1" s="1"/>
  <c r="R339" i="1"/>
  <c r="AB339" i="1" s="1"/>
  <c r="R340" i="1"/>
  <c r="AB340" i="1" s="1"/>
  <c r="R341" i="1"/>
  <c r="AB341" i="1" s="1"/>
  <c r="R342" i="1"/>
  <c r="AB342" i="1" s="1"/>
  <c r="R343" i="1"/>
  <c r="AB343" i="1" s="1"/>
  <c r="R344" i="1"/>
  <c r="AB344" i="1" s="1"/>
  <c r="R345" i="1"/>
  <c r="AB345" i="1" s="1"/>
  <c r="R346" i="1"/>
  <c r="AB346" i="1" s="1"/>
  <c r="R347" i="1"/>
  <c r="AB347" i="1" s="1"/>
  <c r="R348" i="1"/>
  <c r="AB348" i="1" s="1"/>
  <c r="R349" i="1"/>
  <c r="AB349" i="1" s="1"/>
  <c r="R350" i="1"/>
  <c r="AB350" i="1" s="1"/>
  <c r="R351" i="1"/>
  <c r="AB351" i="1" s="1"/>
  <c r="R352" i="1"/>
  <c r="AB352" i="1" s="1"/>
  <c r="R353" i="1"/>
  <c r="AB353" i="1" s="1"/>
  <c r="R354" i="1"/>
  <c r="AB354" i="1" s="1"/>
  <c r="R355" i="1"/>
  <c r="AB355" i="1" s="1"/>
  <c r="R356" i="1"/>
  <c r="AB356" i="1" s="1"/>
  <c r="R357" i="1"/>
  <c r="AB357" i="1" s="1"/>
  <c r="R358" i="1"/>
  <c r="AB358" i="1" s="1"/>
  <c r="R359" i="1"/>
  <c r="AB359" i="1" s="1"/>
  <c r="R360" i="1"/>
  <c r="AB360" i="1" s="1"/>
  <c r="R361" i="1"/>
  <c r="AB361" i="1" s="1"/>
  <c r="R362" i="1"/>
  <c r="AB362" i="1" s="1"/>
  <c r="R363" i="1"/>
  <c r="AB363" i="1" s="1"/>
  <c r="R364" i="1"/>
  <c r="AB364" i="1" s="1"/>
  <c r="R365" i="1"/>
  <c r="AB365" i="1" s="1"/>
  <c r="R366" i="1"/>
  <c r="AB366" i="1" s="1"/>
  <c r="R367" i="1"/>
  <c r="AB367" i="1" s="1"/>
  <c r="R368" i="1"/>
  <c r="AB368" i="1" s="1"/>
  <c r="R369" i="1"/>
  <c r="AB369" i="1" s="1"/>
  <c r="R370" i="1"/>
  <c r="AB370" i="1" s="1"/>
  <c r="R371" i="1"/>
  <c r="AB371" i="1" s="1"/>
  <c r="R372" i="1"/>
  <c r="AB372" i="1" s="1"/>
  <c r="R373" i="1"/>
  <c r="AB373" i="1" s="1"/>
  <c r="R374" i="1"/>
  <c r="AB374" i="1" s="1"/>
  <c r="R375" i="1"/>
  <c r="AB375" i="1" s="1"/>
  <c r="R376" i="1"/>
  <c r="AB376" i="1" s="1"/>
  <c r="R377" i="1"/>
  <c r="AB377" i="1" s="1"/>
  <c r="R378" i="1"/>
  <c r="AB378" i="1" s="1"/>
  <c r="R379" i="1"/>
  <c r="AB379" i="1" s="1"/>
  <c r="R380" i="1"/>
  <c r="AB380" i="1" s="1"/>
  <c r="R381" i="1"/>
  <c r="AB381" i="1" s="1"/>
  <c r="R382" i="1"/>
  <c r="AB382" i="1" s="1"/>
  <c r="R383" i="1"/>
  <c r="AB383" i="1" s="1"/>
  <c r="R384" i="1"/>
  <c r="AB384" i="1" s="1"/>
  <c r="R385" i="1"/>
  <c r="AB385" i="1" s="1"/>
  <c r="R386" i="1"/>
  <c r="AB386" i="1" s="1"/>
  <c r="R387" i="1"/>
  <c r="AB387" i="1" s="1"/>
  <c r="R388" i="1"/>
  <c r="AB388" i="1" s="1"/>
  <c r="R389" i="1"/>
  <c r="AB389" i="1" s="1"/>
  <c r="R390" i="1"/>
  <c r="AB390" i="1" s="1"/>
  <c r="R391" i="1"/>
  <c r="AB391" i="1" s="1"/>
  <c r="R392" i="1"/>
  <c r="AB392" i="1" s="1"/>
  <c r="R393" i="1"/>
  <c r="AB393" i="1" s="1"/>
  <c r="R394" i="1"/>
  <c r="AB394" i="1" s="1"/>
  <c r="R395" i="1"/>
  <c r="AB395" i="1" s="1"/>
  <c r="R396" i="1"/>
  <c r="AB396" i="1" s="1"/>
  <c r="R397" i="1"/>
  <c r="AB397" i="1" s="1"/>
  <c r="R398" i="1"/>
  <c r="AB398" i="1" s="1"/>
  <c r="R399" i="1"/>
  <c r="AB399" i="1" s="1"/>
  <c r="R400" i="1"/>
  <c r="AB400" i="1" s="1"/>
  <c r="R401" i="1"/>
  <c r="AB401" i="1" s="1"/>
  <c r="R402" i="1"/>
  <c r="AB402" i="1" s="1"/>
  <c r="R403" i="1"/>
  <c r="AB403" i="1" s="1"/>
  <c r="R404" i="1"/>
  <c r="AB404" i="1" s="1"/>
  <c r="R405" i="1"/>
  <c r="AB405" i="1" s="1"/>
  <c r="R406" i="1"/>
  <c r="AB406" i="1" s="1"/>
  <c r="R407" i="1"/>
  <c r="AB407" i="1" s="1"/>
  <c r="R408" i="1"/>
  <c r="AB408" i="1" s="1"/>
  <c r="R409" i="1"/>
  <c r="AB409" i="1" s="1"/>
  <c r="R410" i="1"/>
  <c r="AB410" i="1" s="1"/>
  <c r="R411" i="1"/>
  <c r="AB411" i="1" s="1"/>
  <c r="R412" i="1"/>
  <c r="AB412" i="1" s="1"/>
  <c r="R413" i="1"/>
  <c r="AB413" i="1" s="1"/>
  <c r="R414" i="1"/>
  <c r="AB414" i="1" s="1"/>
  <c r="R415" i="1"/>
  <c r="AB415" i="1" s="1"/>
  <c r="R416" i="1"/>
  <c r="AB416" i="1" s="1"/>
  <c r="R417" i="1"/>
  <c r="AB417" i="1" s="1"/>
  <c r="R418" i="1"/>
  <c r="AB418" i="1" s="1"/>
  <c r="R419" i="1"/>
  <c r="AB419" i="1" s="1"/>
  <c r="R12" i="1"/>
  <c r="AB12" i="1" s="1"/>
  <c r="A7" i="8" l="1"/>
  <c r="Q5" i="1"/>
  <c r="Q4" i="1"/>
  <c r="AD1174" i="1" l="1"/>
  <c r="AD600" i="1"/>
  <c r="AD568" i="1"/>
  <c r="AD536" i="1"/>
  <c r="AD504" i="1"/>
  <c r="AD472" i="1"/>
  <c r="AD440" i="1"/>
  <c r="AD993" i="1"/>
  <c r="AD957" i="1"/>
  <c r="AD929" i="1"/>
  <c r="AD897" i="1"/>
  <c r="AD869" i="1"/>
  <c r="AD837" i="1"/>
  <c r="AD805" i="1"/>
  <c r="AD773" i="1"/>
  <c r="AD741" i="1"/>
  <c r="AD709" i="1"/>
  <c r="AD677" i="1"/>
  <c r="AD645" i="1"/>
  <c r="AD1165" i="1"/>
  <c r="AD1133" i="1"/>
  <c r="AD1101" i="1"/>
  <c r="AD1065" i="1"/>
  <c r="AD1172" i="1"/>
  <c r="AD1144" i="1"/>
  <c r="AD1112" i="1"/>
  <c r="AD1080" i="1"/>
  <c r="AD1048" i="1"/>
  <c r="AD1016" i="1"/>
  <c r="AD1201" i="1"/>
  <c r="AD1185" i="1"/>
  <c r="AD602" i="1"/>
  <c r="AD550" i="1"/>
  <c r="AD498" i="1"/>
  <c r="AD446" i="1"/>
  <c r="AD991" i="1"/>
  <c r="AD967" i="1"/>
  <c r="AD951" i="1"/>
  <c r="AD935" i="1"/>
  <c r="AD919" i="1"/>
  <c r="AD903" i="1"/>
  <c r="AD887" i="1"/>
  <c r="AD871" i="1"/>
  <c r="AD855" i="1"/>
  <c r="AD839" i="1"/>
  <c r="AD823" i="1"/>
  <c r="AD807" i="1"/>
  <c r="AD791" i="1"/>
  <c r="AD775" i="1"/>
  <c r="AD759" i="1"/>
  <c r="AD743" i="1"/>
  <c r="AD727" i="1"/>
  <c r="AD711" i="1"/>
  <c r="AD695" i="1"/>
  <c r="AD679" i="1"/>
  <c r="AD663" i="1"/>
  <c r="AD647" i="1"/>
  <c r="AD631" i="1"/>
  <c r="AD1171" i="1"/>
  <c r="AD1155" i="1"/>
  <c r="AD1139" i="1"/>
  <c r="AD1123" i="1"/>
  <c r="AD1107" i="1"/>
  <c r="AD1091" i="1"/>
  <c r="AD1075" i="1"/>
  <c r="AD1059" i="1"/>
  <c r="AD1043" i="1"/>
  <c r="AD1027" i="1"/>
  <c r="AD1011" i="1"/>
  <c r="AD1200" i="1"/>
  <c r="AD1184" i="1"/>
  <c r="AD612" i="1"/>
  <c r="AD580" i="1"/>
  <c r="AD548" i="1"/>
  <c r="AD516" i="1"/>
  <c r="AD484" i="1"/>
  <c r="AD452" i="1"/>
  <c r="AD1005" i="1"/>
  <c r="AD973" i="1"/>
  <c r="AD941" i="1"/>
  <c r="AD909" i="1"/>
  <c r="AD873" i="1"/>
  <c r="AD841" i="1"/>
  <c r="AD809" i="1"/>
  <c r="AD777" i="1"/>
  <c r="AD745" i="1"/>
  <c r="AD713" i="1"/>
  <c r="AD681" i="1"/>
  <c r="AD649" i="1"/>
  <c r="AD1173" i="1"/>
  <c r="AD1145" i="1"/>
  <c r="AD1113" i="1"/>
  <c r="AD1081" i="1"/>
  <c r="AD1057" i="1"/>
  <c r="AD1037" i="1"/>
  <c r="AD1021" i="1"/>
  <c r="AD1210" i="1"/>
  <c r="AD1194" i="1"/>
  <c r="AD420" i="1"/>
  <c r="AD603" i="1"/>
  <c r="AD587" i="1"/>
  <c r="AD567" i="1"/>
  <c r="AD551" i="1"/>
  <c r="AD535" i="1"/>
  <c r="AD519" i="1"/>
  <c r="AD503" i="1"/>
  <c r="AD487" i="1"/>
  <c r="AD471" i="1"/>
  <c r="AD455" i="1"/>
  <c r="AD439" i="1"/>
  <c r="AD423" i="1"/>
  <c r="AD992" i="1"/>
  <c r="AD976" i="1"/>
  <c r="AD960" i="1"/>
  <c r="AD944" i="1"/>
  <c r="AD928" i="1"/>
  <c r="AD912" i="1"/>
  <c r="AD896" i="1"/>
  <c r="AD880" i="1"/>
  <c r="AD864" i="1"/>
  <c r="AD848" i="1"/>
  <c r="AD832" i="1"/>
  <c r="AD816" i="1"/>
  <c r="AD800" i="1"/>
  <c r="AD784" i="1"/>
  <c r="AD768" i="1"/>
  <c r="AD752" i="1"/>
  <c r="AD736" i="1"/>
  <c r="AD720" i="1"/>
  <c r="AD704" i="1"/>
  <c r="AD688" i="1"/>
  <c r="AD672" i="1"/>
  <c r="AD656" i="1"/>
  <c r="AD640" i="1"/>
  <c r="AD624" i="1"/>
  <c r="AD1140" i="1"/>
  <c r="AD1108" i="1"/>
  <c r="AD1076" i="1"/>
  <c r="AD1044" i="1"/>
  <c r="AD1008" i="1"/>
  <c r="AD594" i="1"/>
  <c r="AD570" i="1"/>
  <c r="AD546" i="1"/>
  <c r="AD522" i="1"/>
  <c r="AD502" i="1"/>
  <c r="AD478" i="1"/>
  <c r="AD454" i="1"/>
  <c r="AD430" i="1"/>
  <c r="AD987" i="1"/>
  <c r="AD613" i="1"/>
  <c r="AD597" i="1"/>
  <c r="AD581" i="1"/>
  <c r="AD565" i="1"/>
  <c r="AD549" i="1"/>
  <c r="AD533" i="1"/>
  <c r="AD517" i="1"/>
  <c r="AD501" i="1"/>
  <c r="AD485" i="1"/>
  <c r="AD469" i="1"/>
  <c r="AD453" i="1"/>
  <c r="AD437" i="1"/>
  <c r="AD1006" i="1"/>
  <c r="AD990" i="1"/>
  <c r="AD974" i="1"/>
  <c r="AD958" i="1"/>
  <c r="AD942" i="1"/>
  <c r="AD926" i="1"/>
  <c r="AD910" i="1"/>
  <c r="AD894" i="1"/>
  <c r="AD878" i="1"/>
  <c r="AD862" i="1"/>
  <c r="AD846" i="1"/>
  <c r="AD830" i="1"/>
  <c r="AD814" i="1"/>
  <c r="AD798" i="1"/>
  <c r="AD782" i="1"/>
  <c r="AD766" i="1"/>
  <c r="AD750" i="1"/>
  <c r="AD734" i="1"/>
  <c r="AD718" i="1"/>
  <c r="AD702" i="1"/>
  <c r="AD686" i="1"/>
  <c r="AD670" i="1"/>
  <c r="AD654" i="1"/>
  <c r="AD638" i="1"/>
  <c r="AD622" i="1"/>
  <c r="AD1162" i="1"/>
  <c r="AD1146" i="1"/>
  <c r="AD1130" i="1"/>
  <c r="AD1114" i="1"/>
  <c r="AD1098" i="1"/>
  <c r="AD1082" i="1"/>
  <c r="AD1066" i="1"/>
  <c r="AD1050" i="1"/>
  <c r="AD1034" i="1"/>
  <c r="AD1018" i="1"/>
  <c r="AD1207" i="1"/>
  <c r="AD1191" i="1"/>
  <c r="AD1175" i="1"/>
  <c r="AD620" i="1"/>
  <c r="AD592" i="1"/>
  <c r="AD560" i="1"/>
  <c r="AD528" i="1"/>
  <c r="AD496" i="1"/>
  <c r="AD464" i="1"/>
  <c r="AD432" i="1"/>
  <c r="AD985" i="1"/>
  <c r="AD949" i="1"/>
  <c r="AD921" i="1"/>
  <c r="AD893" i="1"/>
  <c r="AD861" i="1"/>
  <c r="AD829" i="1"/>
  <c r="AD797" i="1"/>
  <c r="AD765" i="1"/>
  <c r="AD733" i="1"/>
  <c r="AD701" i="1"/>
  <c r="AD669" i="1"/>
  <c r="AD637" i="1"/>
  <c r="AD1157" i="1"/>
  <c r="AD1125" i="1"/>
  <c r="AD1093" i="1"/>
  <c r="AD1053" i="1"/>
  <c r="AD1164" i="1"/>
  <c r="AD1136" i="1"/>
  <c r="AD1104" i="1"/>
  <c r="AD1072" i="1"/>
  <c r="AD1040" i="1"/>
  <c r="AD1012" i="1"/>
  <c r="AD1197" i="1"/>
  <c r="AD1181" i="1"/>
  <c r="AD590" i="1"/>
  <c r="AD538" i="1"/>
  <c r="AD486" i="1"/>
  <c r="AD434" i="1"/>
  <c r="AD983" i="1"/>
  <c r="AD963" i="1"/>
  <c r="AD947" i="1"/>
  <c r="AD931" i="1"/>
  <c r="AD915" i="1"/>
  <c r="AD899" i="1"/>
  <c r="AD883" i="1"/>
  <c r="AD867" i="1"/>
  <c r="AD851" i="1"/>
  <c r="AD835" i="1"/>
  <c r="AD819" i="1"/>
  <c r="AD803" i="1"/>
  <c r="AD787" i="1"/>
  <c r="AD771" i="1"/>
  <c r="AD755" i="1"/>
  <c r="AD739" i="1"/>
  <c r="AD723" i="1"/>
  <c r="AD707" i="1"/>
  <c r="AD691" i="1"/>
  <c r="AD675" i="1"/>
  <c r="AD659" i="1"/>
  <c r="AD643" i="1"/>
  <c r="AD627" i="1"/>
  <c r="AD1167" i="1"/>
  <c r="AD1151" i="1"/>
  <c r="AD1135" i="1"/>
  <c r="AD1119" i="1"/>
  <c r="AD1103" i="1"/>
  <c r="AD1087" i="1"/>
  <c r="AD1071" i="1"/>
  <c r="AD1055" i="1"/>
  <c r="AD1039" i="1"/>
  <c r="AD1023" i="1"/>
  <c r="AD1007" i="1"/>
  <c r="AD1196" i="1"/>
  <c r="AD1180" i="1"/>
  <c r="AD604" i="1"/>
  <c r="AD572" i="1"/>
  <c r="AD540" i="1"/>
  <c r="AD508" i="1"/>
  <c r="AD476" i="1"/>
  <c r="AD444" i="1"/>
  <c r="AD997" i="1"/>
  <c r="AD965" i="1"/>
  <c r="AD933" i="1"/>
  <c r="AD901" i="1"/>
  <c r="AD865" i="1"/>
  <c r="AD833" i="1"/>
  <c r="AD801" i="1"/>
  <c r="AD769" i="1"/>
  <c r="AD737" i="1"/>
  <c r="AD705" i="1"/>
  <c r="AD673" i="1"/>
  <c r="AD641" i="1"/>
  <c r="AD1169" i="1"/>
  <c r="AD1137" i="1"/>
  <c r="AD1105" i="1"/>
  <c r="AD1073" i="1"/>
  <c r="AD1049" i="1"/>
  <c r="AD1033" i="1"/>
  <c r="AD1017" i="1"/>
  <c r="AD1206" i="1"/>
  <c r="AD1190" i="1"/>
  <c r="AD615" i="1"/>
  <c r="AD599" i="1"/>
  <c r="AD583" i="1"/>
  <c r="AD563" i="1"/>
  <c r="AD547" i="1"/>
  <c r="AD531" i="1"/>
  <c r="AD515" i="1"/>
  <c r="AD499" i="1"/>
  <c r="AD483" i="1"/>
  <c r="AD467" i="1"/>
  <c r="AD451" i="1"/>
  <c r="AD435" i="1"/>
  <c r="AD1004" i="1"/>
  <c r="AD988" i="1"/>
  <c r="AD972" i="1"/>
  <c r="AD956" i="1"/>
  <c r="AD940" i="1"/>
  <c r="AD924" i="1"/>
  <c r="AD908" i="1"/>
  <c r="AD892" i="1"/>
  <c r="AD876" i="1"/>
  <c r="AD860" i="1"/>
  <c r="AD844" i="1"/>
  <c r="AD828" i="1"/>
  <c r="AD812" i="1"/>
  <c r="AD796" i="1"/>
  <c r="AD780" i="1"/>
  <c r="AD764" i="1"/>
  <c r="AD748" i="1"/>
  <c r="AD732" i="1"/>
  <c r="AD716" i="1"/>
  <c r="AD700" i="1"/>
  <c r="AD684" i="1"/>
  <c r="AD668" i="1"/>
  <c r="AD652" i="1"/>
  <c r="AD636" i="1"/>
  <c r="AD1168" i="1"/>
  <c r="AD1132" i="1"/>
  <c r="AD1100" i="1"/>
  <c r="AD1068" i="1"/>
  <c r="AD1036" i="1"/>
  <c r="AD610" i="1"/>
  <c r="AD586" i="1"/>
  <c r="AD566" i="1"/>
  <c r="AD542" i="1"/>
  <c r="AD518" i="1"/>
  <c r="AD494" i="1"/>
  <c r="AD470" i="1"/>
  <c r="AD450" i="1"/>
  <c r="AD426" i="1"/>
  <c r="AD971" i="1"/>
  <c r="AD609" i="1"/>
  <c r="AD593" i="1"/>
  <c r="AD577" i="1"/>
  <c r="AD561" i="1"/>
  <c r="AD545" i="1"/>
  <c r="AD529" i="1"/>
  <c r="AD513" i="1"/>
  <c r="AD497" i="1"/>
  <c r="AD481" i="1"/>
  <c r="AD465" i="1"/>
  <c r="AD449" i="1"/>
  <c r="AD433" i="1"/>
  <c r="AD1002" i="1"/>
  <c r="AD986" i="1"/>
  <c r="AD970" i="1"/>
  <c r="AD954" i="1"/>
  <c r="AD938" i="1"/>
  <c r="AD922" i="1"/>
  <c r="AD906" i="1"/>
  <c r="AD890" i="1"/>
  <c r="AD874" i="1"/>
  <c r="AD858" i="1"/>
  <c r="AD842" i="1"/>
  <c r="AD826" i="1"/>
  <c r="AD810" i="1"/>
  <c r="AD794" i="1"/>
  <c r="AD778" i="1"/>
  <c r="AD762" i="1"/>
  <c r="AD746" i="1"/>
  <c r="AD730" i="1"/>
  <c r="AD714" i="1"/>
  <c r="AD698" i="1"/>
  <c r="AD682" i="1"/>
  <c r="AD666" i="1"/>
  <c r="AD650" i="1"/>
  <c r="AD634" i="1"/>
  <c r="AD618" i="1"/>
  <c r="AD1158" i="1"/>
  <c r="AD1142" i="1"/>
  <c r="AD1126" i="1"/>
  <c r="AD1110" i="1"/>
  <c r="AD1094" i="1"/>
  <c r="AD1078" i="1"/>
  <c r="AD1062" i="1"/>
  <c r="AD1046" i="1"/>
  <c r="AD1030" i="1"/>
  <c r="AD1014" i="1"/>
  <c r="AD1203" i="1"/>
  <c r="AD1187" i="1"/>
  <c r="AD616" i="1"/>
  <c r="AD584" i="1"/>
  <c r="AD552" i="1"/>
  <c r="AD520" i="1"/>
  <c r="AD488" i="1"/>
  <c r="AD456" i="1"/>
  <c r="AD424" i="1"/>
  <c r="AD977" i="1"/>
  <c r="AD945" i="1"/>
  <c r="AD913" i="1"/>
  <c r="AD885" i="1"/>
  <c r="AD853" i="1"/>
  <c r="AD821" i="1"/>
  <c r="AD789" i="1"/>
  <c r="AD757" i="1"/>
  <c r="AD725" i="1"/>
  <c r="AD693" i="1"/>
  <c r="AD661" i="1"/>
  <c r="AD629" i="1"/>
  <c r="AD1149" i="1"/>
  <c r="AD1117" i="1"/>
  <c r="AD1085" i="1"/>
  <c r="AD1182" i="1"/>
  <c r="AD1156" i="1"/>
  <c r="AD1128" i="1"/>
  <c r="AD1096" i="1"/>
  <c r="AD1064" i="1"/>
  <c r="AD1032" i="1"/>
  <c r="AD1209" i="1"/>
  <c r="AD1193" i="1"/>
  <c r="AD1177" i="1"/>
  <c r="AD574" i="1"/>
  <c r="AD526" i="1"/>
  <c r="AD474" i="1"/>
  <c r="AD422" i="1"/>
  <c r="AD979" i="1"/>
  <c r="AD959" i="1"/>
  <c r="AD943" i="1"/>
  <c r="AD927" i="1"/>
  <c r="AD911" i="1"/>
  <c r="AD895" i="1"/>
  <c r="AD879" i="1"/>
  <c r="AD863" i="1"/>
  <c r="AD847" i="1"/>
  <c r="AD831" i="1"/>
  <c r="AD815" i="1"/>
  <c r="AD799" i="1"/>
  <c r="AD783" i="1"/>
  <c r="AD767" i="1"/>
  <c r="AD751" i="1"/>
  <c r="AD735" i="1"/>
  <c r="AD719" i="1"/>
  <c r="AD703" i="1"/>
  <c r="AD687" i="1"/>
  <c r="AD671" i="1"/>
  <c r="AD655" i="1"/>
  <c r="AD639" i="1"/>
  <c r="AD623" i="1"/>
  <c r="AD1163" i="1"/>
  <c r="AD1147" i="1"/>
  <c r="AD1131" i="1"/>
  <c r="AD1115" i="1"/>
  <c r="AD1099" i="1"/>
  <c r="AD1083" i="1"/>
  <c r="AD1067" i="1"/>
  <c r="AD1051" i="1"/>
  <c r="AD1035" i="1"/>
  <c r="AD1019" i="1"/>
  <c r="AD1208" i="1"/>
  <c r="AD1192" i="1"/>
  <c r="AD1176" i="1"/>
  <c r="AD596" i="1"/>
  <c r="AD564" i="1"/>
  <c r="AD532" i="1"/>
  <c r="AD500" i="1"/>
  <c r="AD468" i="1"/>
  <c r="AD436" i="1"/>
  <c r="AD989" i="1"/>
  <c r="AD961" i="1"/>
  <c r="AD925" i="1"/>
  <c r="AD889" i="1"/>
  <c r="AD857" i="1"/>
  <c r="AD825" i="1"/>
  <c r="AD793" i="1"/>
  <c r="AD761" i="1"/>
  <c r="AD729" i="1"/>
  <c r="AD697" i="1"/>
  <c r="AD665" i="1"/>
  <c r="AD633" i="1"/>
  <c r="AD1161" i="1"/>
  <c r="AD1129" i="1"/>
  <c r="AD1097" i="1"/>
  <c r="AD1069" i="1"/>
  <c r="AD1045" i="1"/>
  <c r="AD1029" i="1"/>
  <c r="AD1013" i="1"/>
  <c r="AD1202" i="1"/>
  <c r="AD1186" i="1"/>
  <c r="AD611" i="1"/>
  <c r="AD595" i="1"/>
  <c r="AD579" i="1"/>
  <c r="AD559" i="1"/>
  <c r="AD543" i="1"/>
  <c r="AD527" i="1"/>
  <c r="AD511" i="1"/>
  <c r="AD495" i="1"/>
  <c r="AD479" i="1"/>
  <c r="AD463" i="1"/>
  <c r="AD447" i="1"/>
  <c r="AD431" i="1"/>
  <c r="AD1000" i="1"/>
  <c r="AD984" i="1"/>
  <c r="AD968" i="1"/>
  <c r="AD952" i="1"/>
  <c r="AD936" i="1"/>
  <c r="AD920" i="1"/>
  <c r="AD904" i="1"/>
  <c r="AD888" i="1"/>
  <c r="AD872" i="1"/>
  <c r="AD856" i="1"/>
  <c r="AD840" i="1"/>
  <c r="AD824" i="1"/>
  <c r="AD808" i="1"/>
  <c r="AD792" i="1"/>
  <c r="AD776" i="1"/>
  <c r="AD760" i="1"/>
  <c r="AD744" i="1"/>
  <c r="AD728" i="1"/>
  <c r="AD712" i="1"/>
  <c r="AD696" i="1"/>
  <c r="AD680" i="1"/>
  <c r="AD664" i="1"/>
  <c r="AD648" i="1"/>
  <c r="AD632" i="1"/>
  <c r="AD1160" i="1"/>
  <c r="AD1124" i="1"/>
  <c r="AD1092" i="1"/>
  <c r="AD1060" i="1"/>
  <c r="AD1028" i="1"/>
  <c r="AD606" i="1"/>
  <c r="AD582" i="1"/>
  <c r="AD558" i="1"/>
  <c r="AD534" i="1"/>
  <c r="AD510" i="1"/>
  <c r="AD490" i="1"/>
  <c r="AD466" i="1"/>
  <c r="AD442" i="1"/>
  <c r="AD1003" i="1"/>
  <c r="AD421" i="1"/>
  <c r="AD605" i="1"/>
  <c r="AD589" i="1"/>
  <c r="AD573" i="1"/>
  <c r="AD557" i="1"/>
  <c r="AD541" i="1"/>
  <c r="AD525" i="1"/>
  <c r="AD509" i="1"/>
  <c r="AD493" i="1"/>
  <c r="AD477" i="1"/>
  <c r="AD461" i="1"/>
  <c r="AD445" i="1"/>
  <c r="AD429" i="1"/>
  <c r="AD998" i="1"/>
  <c r="AD982" i="1"/>
  <c r="AD966" i="1"/>
  <c r="AD950" i="1"/>
  <c r="AD934" i="1"/>
  <c r="AD918" i="1"/>
  <c r="AD902" i="1"/>
  <c r="AD886" i="1"/>
  <c r="AD870" i="1"/>
  <c r="AD854" i="1"/>
  <c r="AD838" i="1"/>
  <c r="AD822" i="1"/>
  <c r="AD806" i="1"/>
  <c r="AD790" i="1"/>
  <c r="AD774" i="1"/>
  <c r="AD758" i="1"/>
  <c r="AD742" i="1"/>
  <c r="AD726" i="1"/>
  <c r="AD710" i="1"/>
  <c r="AD694" i="1"/>
  <c r="AD678" i="1"/>
  <c r="AD662" i="1"/>
  <c r="AD646" i="1"/>
  <c r="AD630" i="1"/>
  <c r="AD1170" i="1"/>
  <c r="AD1154" i="1"/>
  <c r="AD1138" i="1"/>
  <c r="AD1122" i="1"/>
  <c r="AD1106" i="1"/>
  <c r="AD1090" i="1"/>
  <c r="AD1074" i="1"/>
  <c r="AD1058" i="1"/>
  <c r="AD1042" i="1"/>
  <c r="AD1026" i="1"/>
  <c r="AD1010" i="1"/>
  <c r="AD1199" i="1"/>
  <c r="AD1183" i="1"/>
  <c r="AD544" i="1"/>
  <c r="AD512" i="1"/>
  <c r="AD480" i="1"/>
  <c r="AD448" i="1"/>
  <c r="AD969" i="1"/>
  <c r="AD905" i="1"/>
  <c r="AD845" i="1"/>
  <c r="AD781" i="1"/>
  <c r="AD717" i="1"/>
  <c r="AD653" i="1"/>
  <c r="AD1141" i="1"/>
  <c r="AD1077" i="1"/>
  <c r="AD1120" i="1"/>
  <c r="AD1056" i="1"/>
  <c r="AD1205" i="1"/>
  <c r="AD614" i="1"/>
  <c r="AD514" i="1"/>
  <c r="AD999" i="1"/>
  <c r="AD955" i="1"/>
  <c r="AD923" i="1"/>
  <c r="AD875" i="1"/>
  <c r="AD843" i="1"/>
  <c r="AD811" i="1"/>
  <c r="AD779" i="1"/>
  <c r="AD747" i="1"/>
  <c r="AD715" i="1"/>
  <c r="AD699" i="1"/>
  <c r="AD667" i="1"/>
  <c r="AD635" i="1"/>
  <c r="AD1159" i="1"/>
  <c r="AD1111" i="1"/>
  <c r="AD1079" i="1"/>
  <c r="AD1047" i="1"/>
  <c r="AD1015" i="1"/>
  <c r="AD1188" i="1"/>
  <c r="AD588" i="1"/>
  <c r="AD524" i="1"/>
  <c r="AD460" i="1"/>
  <c r="AD981" i="1"/>
  <c r="AD917" i="1"/>
  <c r="AD881" i="1"/>
  <c r="AD817" i="1"/>
  <c r="AD721" i="1"/>
  <c r="AD657" i="1"/>
  <c r="AD1153" i="1"/>
  <c r="AD1089" i="1"/>
  <c r="AD1025" i="1"/>
  <c r="AD1198" i="1"/>
  <c r="AD607" i="1"/>
  <c r="AD571" i="1"/>
  <c r="AD539" i="1"/>
  <c r="AD507" i="1"/>
  <c r="AD475" i="1"/>
  <c r="AD443" i="1"/>
  <c r="AD996" i="1"/>
  <c r="AD964" i="1"/>
  <c r="AD932" i="1"/>
  <c r="AD900" i="1"/>
  <c r="AD868" i="1"/>
  <c r="AD820" i="1"/>
  <c r="AD788" i="1"/>
  <c r="AD756" i="1"/>
  <c r="AD724" i="1"/>
  <c r="AD676" i="1"/>
  <c r="AD644" i="1"/>
  <c r="AD1152" i="1"/>
  <c r="AD1084" i="1"/>
  <c r="AD1020" i="1"/>
  <c r="AD598" i="1"/>
  <c r="AD554" i="1"/>
  <c r="AD506" i="1"/>
  <c r="AD458" i="1"/>
  <c r="AD995" i="1"/>
  <c r="AD601" i="1"/>
  <c r="AD569" i="1"/>
  <c r="AD537" i="1"/>
  <c r="AD505" i="1"/>
  <c r="AD489" i="1"/>
  <c r="AD457" i="1"/>
  <c r="AD425" i="1"/>
  <c r="AD978" i="1"/>
  <c r="AD946" i="1"/>
  <c r="AD914" i="1"/>
  <c r="AD882" i="1"/>
  <c r="AD850" i="1"/>
  <c r="AD818" i="1"/>
  <c r="AD786" i="1"/>
  <c r="AD754" i="1"/>
  <c r="AD738" i="1"/>
  <c r="AD706" i="1"/>
  <c r="AD674" i="1"/>
  <c r="AD642" i="1"/>
  <c r="AD1166" i="1"/>
  <c r="AD1134" i="1"/>
  <c r="AD1102" i="1"/>
  <c r="AD1054" i="1"/>
  <c r="AD1022" i="1"/>
  <c r="AD1195" i="1"/>
  <c r="AD576" i="1"/>
  <c r="AD1001" i="1"/>
  <c r="AD937" i="1"/>
  <c r="AD877" i="1"/>
  <c r="AD813" i="1"/>
  <c r="AD749" i="1"/>
  <c r="AD685" i="1"/>
  <c r="AD621" i="1"/>
  <c r="AD1109" i="1"/>
  <c r="AD575" i="1"/>
  <c r="AD1148" i="1"/>
  <c r="AD1088" i="1"/>
  <c r="AD1024" i="1"/>
  <c r="AD1189" i="1"/>
  <c r="AD562" i="1"/>
  <c r="AD462" i="1"/>
  <c r="AD975" i="1"/>
  <c r="AD939" i="1"/>
  <c r="AD907" i="1"/>
  <c r="AD891" i="1"/>
  <c r="AD859" i="1"/>
  <c r="AD827" i="1"/>
  <c r="AD795" i="1"/>
  <c r="AD763" i="1"/>
  <c r="AD731" i="1"/>
  <c r="AD683" i="1"/>
  <c r="AD651" i="1"/>
  <c r="AD619" i="1"/>
  <c r="AD1143" i="1"/>
  <c r="AD1127" i="1"/>
  <c r="AD1095" i="1"/>
  <c r="AD1063" i="1"/>
  <c r="AD1031" i="1"/>
  <c r="AD1204" i="1"/>
  <c r="AD1212" i="1"/>
  <c r="AD556" i="1"/>
  <c r="AD492" i="1"/>
  <c r="AD428" i="1"/>
  <c r="AD953" i="1"/>
  <c r="AD849" i="1"/>
  <c r="AD785" i="1"/>
  <c r="AD753" i="1"/>
  <c r="AD689" i="1"/>
  <c r="AD625" i="1"/>
  <c r="AD1121" i="1"/>
  <c r="AD1061" i="1"/>
  <c r="AD1041" i="1"/>
  <c r="AD1009" i="1"/>
  <c r="AD1178" i="1"/>
  <c r="AD591" i="1"/>
  <c r="AD555" i="1"/>
  <c r="AD523" i="1"/>
  <c r="AD491" i="1"/>
  <c r="AD459" i="1"/>
  <c r="AD427" i="1"/>
  <c r="AD980" i="1"/>
  <c r="AD948" i="1"/>
  <c r="AD916" i="1"/>
  <c r="AD884" i="1"/>
  <c r="AD852" i="1"/>
  <c r="AD836" i="1"/>
  <c r="AD804" i="1"/>
  <c r="AD772" i="1"/>
  <c r="AD740" i="1"/>
  <c r="AD708" i="1"/>
  <c r="AD692" i="1"/>
  <c r="AD660" i="1"/>
  <c r="AD628" i="1"/>
  <c r="AD1116" i="1"/>
  <c r="AD1052" i="1"/>
  <c r="AD578" i="1"/>
  <c r="AD530" i="1"/>
  <c r="AD482" i="1"/>
  <c r="AD438" i="1"/>
  <c r="AD617" i="1"/>
  <c r="AD585" i="1"/>
  <c r="AD553" i="1"/>
  <c r="AD521" i="1"/>
  <c r="AD473" i="1"/>
  <c r="AD441" i="1"/>
  <c r="AD994" i="1"/>
  <c r="AD962" i="1"/>
  <c r="AD930" i="1"/>
  <c r="AD898" i="1"/>
  <c r="AD866" i="1"/>
  <c r="AD834" i="1"/>
  <c r="AD802" i="1"/>
  <c r="AD770" i="1"/>
  <c r="AD722" i="1"/>
  <c r="AD690" i="1"/>
  <c r="AD658" i="1"/>
  <c r="AD626" i="1"/>
  <c r="AD1150" i="1"/>
  <c r="AD1118" i="1"/>
  <c r="AD1086" i="1"/>
  <c r="AD1070" i="1"/>
  <c r="AD1038" i="1"/>
  <c r="AD1211" i="1"/>
  <c r="AD1179" i="1"/>
  <c r="AD608" i="1"/>
  <c r="AD35" i="1"/>
  <c r="AD51" i="1"/>
  <c r="AD83" i="1"/>
  <c r="AD115" i="1"/>
  <c r="AD147" i="1"/>
  <c r="AD179" i="1"/>
  <c r="AD211" i="1"/>
  <c r="AD243" i="1"/>
  <c r="AD275" i="1"/>
  <c r="AD307" i="1"/>
  <c r="AD339" i="1"/>
  <c r="AD371" i="1"/>
  <c r="AD403" i="1"/>
  <c r="AD28" i="1"/>
  <c r="AD60" i="1"/>
  <c r="AD92" i="1"/>
  <c r="AD124" i="1"/>
  <c r="AD156" i="1"/>
  <c r="AD188" i="1"/>
  <c r="AD220" i="1"/>
  <c r="AD252" i="1"/>
  <c r="AD284" i="1"/>
  <c r="AD316" i="1"/>
  <c r="AD332" i="1"/>
  <c r="AD364" i="1"/>
  <c r="AD396" i="1"/>
  <c r="AD29" i="1"/>
  <c r="AD45" i="1"/>
  <c r="AD77" i="1"/>
  <c r="AD109" i="1"/>
  <c r="AD141" i="1"/>
  <c r="AD173" i="1"/>
  <c r="AD205" i="1"/>
  <c r="AD273" i="1"/>
  <c r="AD357" i="1"/>
  <c r="AD86" i="1"/>
  <c r="AD150" i="1"/>
  <c r="AD218" i="1"/>
  <c r="AD282" i="1"/>
  <c r="AD350" i="1"/>
  <c r="AD414" i="1"/>
  <c r="AD269" i="1"/>
  <c r="AD321" i="1"/>
  <c r="AD349" i="1"/>
  <c r="AD401" i="1"/>
  <c r="AD18" i="1"/>
  <c r="AD34" i="1"/>
  <c r="AD62" i="1"/>
  <c r="AD90" i="1"/>
  <c r="AD122" i="1"/>
  <c r="AD154" i="1"/>
  <c r="AD186" i="1"/>
  <c r="AD214" i="1"/>
  <c r="AD246" i="1"/>
  <c r="AD278" i="1"/>
  <c r="AD310" i="1"/>
  <c r="AD342" i="1"/>
  <c r="AD402" i="1"/>
  <c r="AD23" i="1"/>
  <c r="AD55" i="1"/>
  <c r="AD87" i="1"/>
  <c r="AD119" i="1"/>
  <c r="AD151" i="1"/>
  <c r="AD199" i="1"/>
  <c r="AD231" i="1"/>
  <c r="AD263" i="1"/>
  <c r="AD295" i="1"/>
  <c r="AD327" i="1"/>
  <c r="AD359" i="1"/>
  <c r="AD391" i="1"/>
  <c r="AD16" i="1"/>
  <c r="AD48" i="1"/>
  <c r="AD80" i="1"/>
  <c r="AD112" i="1"/>
  <c r="AD144" i="1"/>
  <c r="AD160" i="1"/>
  <c r="AD192" i="1"/>
  <c r="AD224" i="1"/>
  <c r="AD256" i="1"/>
  <c r="AD288" i="1"/>
  <c r="AD336" i="1"/>
  <c r="AD368" i="1"/>
  <c r="AD400" i="1"/>
  <c r="AD17" i="1"/>
  <c r="AD33" i="1"/>
  <c r="AD65" i="1"/>
  <c r="AD113" i="1"/>
  <c r="AD145" i="1"/>
  <c r="AD177" i="1"/>
  <c r="AD193" i="1"/>
  <c r="AD241" i="1"/>
  <c r="AD325" i="1"/>
  <c r="AD405" i="1"/>
  <c r="AD94" i="1"/>
  <c r="AD158" i="1"/>
  <c r="AD226" i="1"/>
  <c r="AD290" i="1"/>
  <c r="AD358" i="1"/>
  <c r="AD213" i="1"/>
  <c r="AD277" i="1"/>
  <c r="AD329" i="1"/>
  <c r="AD381" i="1"/>
  <c r="AD409" i="1"/>
  <c r="AD42" i="1"/>
  <c r="AD98" i="1"/>
  <c r="AD162" i="1"/>
  <c r="AD222" i="1"/>
  <c r="AD286" i="1"/>
  <c r="AD346" i="1"/>
  <c r="AD378" i="1"/>
  <c r="AD27" i="1"/>
  <c r="AD59" i="1"/>
  <c r="AD187" i="1"/>
  <c r="AD235" i="1"/>
  <c r="AD267" i="1"/>
  <c r="AD283" i="1"/>
  <c r="AD299" i="1"/>
  <c r="AD315" i="1"/>
  <c r="AD331" i="1"/>
  <c r="AD347" i="1"/>
  <c r="AD363" i="1"/>
  <c r="AD379" i="1"/>
  <c r="AD395" i="1"/>
  <c r="AD411" i="1"/>
  <c r="AD20" i="1"/>
  <c r="AD36" i="1"/>
  <c r="AD52" i="1"/>
  <c r="AD68" i="1"/>
  <c r="AD84" i="1"/>
  <c r="AD100" i="1"/>
  <c r="AD116" i="1"/>
  <c r="AD132" i="1"/>
  <c r="AD148" i="1"/>
  <c r="AD164" i="1"/>
  <c r="AD180" i="1"/>
  <c r="AD196" i="1"/>
  <c r="AD212" i="1"/>
  <c r="AD228" i="1"/>
  <c r="AD244" i="1"/>
  <c r="AD260" i="1"/>
  <c r="AD276" i="1"/>
  <c r="AD292" i="1"/>
  <c r="AD308" i="1"/>
  <c r="AD324" i="1"/>
  <c r="AD340" i="1"/>
  <c r="AD356" i="1"/>
  <c r="AD372" i="1"/>
  <c r="AD388" i="1"/>
  <c r="AD404" i="1"/>
  <c r="AD12" i="1"/>
  <c r="AD21" i="1"/>
  <c r="AD37" i="1"/>
  <c r="AD53" i="1"/>
  <c r="AD69" i="1"/>
  <c r="AD85" i="1"/>
  <c r="AD101" i="1"/>
  <c r="AD117" i="1"/>
  <c r="AD133" i="1"/>
  <c r="AD149" i="1"/>
  <c r="AD165" i="1"/>
  <c r="AD181" i="1"/>
  <c r="AD197" i="1"/>
  <c r="AD221" i="1"/>
  <c r="AD253" i="1"/>
  <c r="AD293" i="1"/>
  <c r="AD333" i="1"/>
  <c r="AD377" i="1"/>
  <c r="AD413" i="1"/>
  <c r="AD70" i="1"/>
  <c r="AD102" i="1"/>
  <c r="AD134" i="1"/>
  <c r="AD166" i="1"/>
  <c r="AD202" i="1"/>
  <c r="AD234" i="1"/>
  <c r="AD266" i="1"/>
  <c r="AD298" i="1"/>
  <c r="AD330" i="1"/>
  <c r="AD366" i="1"/>
  <c r="AD398" i="1"/>
  <c r="AD229" i="1"/>
  <c r="AD257" i="1"/>
  <c r="AD285" i="1"/>
  <c r="AD309" i="1"/>
  <c r="AD337" i="1"/>
  <c r="AD361" i="1"/>
  <c r="AD389" i="1"/>
  <c r="AD417" i="1"/>
  <c r="AD26" i="1"/>
  <c r="AD46" i="1"/>
  <c r="AD74" i="1"/>
  <c r="AD106" i="1"/>
  <c r="AD138" i="1"/>
  <c r="AD170" i="1"/>
  <c r="AD198" i="1"/>
  <c r="AD230" i="1"/>
  <c r="AD262" i="1"/>
  <c r="AD294" i="1"/>
  <c r="AD326" i="1"/>
  <c r="AD354" i="1"/>
  <c r="AD382" i="1"/>
  <c r="AD418" i="1"/>
  <c r="AD19" i="1"/>
  <c r="AD67" i="1"/>
  <c r="AD99" i="1"/>
  <c r="AD131" i="1"/>
  <c r="AD163" i="1"/>
  <c r="AD195" i="1"/>
  <c r="AD227" i="1"/>
  <c r="AD259" i="1"/>
  <c r="AD291" i="1"/>
  <c r="AD323" i="1"/>
  <c r="AD355" i="1"/>
  <c r="AD387" i="1"/>
  <c r="AD419" i="1"/>
  <c r="AD44" i="1"/>
  <c r="AD76" i="1"/>
  <c r="AD108" i="1"/>
  <c r="AD140" i="1"/>
  <c r="AD172" i="1"/>
  <c r="AD204" i="1"/>
  <c r="AD236" i="1"/>
  <c r="AD268" i="1"/>
  <c r="AD300" i="1"/>
  <c r="AD348" i="1"/>
  <c r="AD380" i="1"/>
  <c r="AD412" i="1"/>
  <c r="AD13" i="1"/>
  <c r="AD61" i="1"/>
  <c r="AD93" i="1"/>
  <c r="AD125" i="1"/>
  <c r="AD157" i="1"/>
  <c r="AD189" i="1"/>
  <c r="AD233" i="1"/>
  <c r="AD317" i="1"/>
  <c r="AD393" i="1"/>
  <c r="AD50" i="1"/>
  <c r="AD118" i="1"/>
  <c r="AD182" i="1"/>
  <c r="AD250" i="1"/>
  <c r="AD314" i="1"/>
  <c r="AD386" i="1"/>
  <c r="AD245" i="1"/>
  <c r="AD297" i="1"/>
  <c r="AD373" i="1"/>
  <c r="AD370" i="1"/>
  <c r="AD39" i="1"/>
  <c r="AD71" i="1"/>
  <c r="AD103" i="1"/>
  <c r="AD135" i="1"/>
  <c r="AD167" i="1"/>
  <c r="AD183" i="1"/>
  <c r="AD215" i="1"/>
  <c r="AD247" i="1"/>
  <c r="AD279" i="1"/>
  <c r="AD311" i="1"/>
  <c r="AD343" i="1"/>
  <c r="AD375" i="1"/>
  <c r="AD407" i="1"/>
  <c r="AD32" i="1"/>
  <c r="AD64" i="1"/>
  <c r="AD96" i="1"/>
  <c r="AD128" i="1"/>
  <c r="AD176" i="1"/>
  <c r="AD208" i="1"/>
  <c r="AD240" i="1"/>
  <c r="AD272" i="1"/>
  <c r="AD304" i="1"/>
  <c r="AD320" i="1"/>
  <c r="AD352" i="1"/>
  <c r="AD384" i="1"/>
  <c r="AD416" i="1"/>
  <c r="AD49" i="1"/>
  <c r="AD81" i="1"/>
  <c r="AD97" i="1"/>
  <c r="AD129" i="1"/>
  <c r="AD161" i="1"/>
  <c r="AD209" i="1"/>
  <c r="AD281" i="1"/>
  <c r="AD365" i="1"/>
  <c r="AD58" i="1"/>
  <c r="AD126" i="1"/>
  <c r="AD190" i="1"/>
  <c r="AD258" i="1"/>
  <c r="AD322" i="1"/>
  <c r="AD394" i="1"/>
  <c r="AD249" i="1"/>
  <c r="AD301" i="1"/>
  <c r="AD353" i="1"/>
  <c r="AD22" i="1"/>
  <c r="AD66" i="1"/>
  <c r="AD130" i="1"/>
  <c r="AD194" i="1"/>
  <c r="AD254" i="1"/>
  <c r="AD318" i="1"/>
  <c r="AD410" i="1"/>
  <c r="AD43" i="1"/>
  <c r="AD75" i="1"/>
  <c r="AD91" i="1"/>
  <c r="AD107" i="1"/>
  <c r="AD123" i="1"/>
  <c r="AD139" i="1"/>
  <c r="AD155" i="1"/>
  <c r="AD171" i="1"/>
  <c r="AD203" i="1"/>
  <c r="AD219" i="1"/>
  <c r="AD251" i="1"/>
  <c r="AD15" i="1"/>
  <c r="AD31" i="1"/>
  <c r="AD47" i="1"/>
  <c r="AD63" i="1"/>
  <c r="AD79" i="1"/>
  <c r="AD95" i="1"/>
  <c r="AD111" i="1"/>
  <c r="AD127" i="1"/>
  <c r="AD143" i="1"/>
  <c r="AD159" i="1"/>
  <c r="AD175" i="1"/>
  <c r="AD191" i="1"/>
  <c r="AD207" i="1"/>
  <c r="AD223" i="1"/>
  <c r="AD239" i="1"/>
  <c r="AD255" i="1"/>
  <c r="AD271" i="1"/>
  <c r="AD287" i="1"/>
  <c r="AD303" i="1"/>
  <c r="AD319" i="1"/>
  <c r="AD335" i="1"/>
  <c r="AD351" i="1"/>
  <c r="AD367" i="1"/>
  <c r="AD383" i="1"/>
  <c r="AD399" i="1"/>
  <c r="AD415" i="1"/>
  <c r="AD24" i="1"/>
  <c r="AD40" i="1"/>
  <c r="AD56" i="1"/>
  <c r="AD72" i="1"/>
  <c r="AD88" i="1"/>
  <c r="AD104" i="1"/>
  <c r="AD120" i="1"/>
  <c r="AD136" i="1"/>
  <c r="AD152" i="1"/>
  <c r="AD168" i="1"/>
  <c r="AD184" i="1"/>
  <c r="AD200" i="1"/>
  <c r="AD216" i="1"/>
  <c r="AD232" i="1"/>
  <c r="AD248" i="1"/>
  <c r="AD264" i="1"/>
  <c r="AD280" i="1"/>
  <c r="AD296" i="1"/>
  <c r="AD312" i="1"/>
  <c r="AD328" i="1"/>
  <c r="AD344" i="1"/>
  <c r="AD360" i="1"/>
  <c r="AD376" i="1"/>
  <c r="AD392" i="1"/>
  <c r="AD408" i="1"/>
  <c r="AD25" i="1"/>
  <c r="AD41" i="1"/>
  <c r="AD57" i="1"/>
  <c r="AD73" i="1"/>
  <c r="AD89" i="1"/>
  <c r="AD105" i="1"/>
  <c r="AD121" i="1"/>
  <c r="AD137" i="1"/>
  <c r="AD153" i="1"/>
  <c r="AD169" i="1"/>
  <c r="AD185" i="1"/>
  <c r="AD201" i="1"/>
  <c r="AD225" i="1"/>
  <c r="AD265" i="1"/>
  <c r="AD305" i="1"/>
  <c r="AD345" i="1"/>
  <c r="AD385" i="1"/>
  <c r="AD38" i="1"/>
  <c r="AD78" i="1"/>
  <c r="AD110" i="1"/>
  <c r="AD142" i="1"/>
  <c r="AD174" i="1"/>
  <c r="AD210" i="1"/>
  <c r="AD242" i="1"/>
  <c r="AD274" i="1"/>
  <c r="AD306" i="1"/>
  <c r="AD338" i="1"/>
  <c r="AD374" i="1"/>
  <c r="AD406" i="1"/>
  <c r="AD237" i="1"/>
  <c r="AD261" i="1"/>
  <c r="AD289" i="1"/>
  <c r="AD313" i="1"/>
  <c r="AD341" i="1"/>
  <c r="AD369" i="1"/>
  <c r="AD397" i="1"/>
  <c r="AD14" i="1"/>
  <c r="AD30" i="1"/>
  <c r="AD54" i="1"/>
  <c r="AD82" i="1"/>
  <c r="AD114" i="1"/>
  <c r="AD146" i="1"/>
  <c r="AD178" i="1"/>
  <c r="AD206" i="1"/>
  <c r="AD238" i="1"/>
  <c r="AD270" i="1"/>
  <c r="AD302" i="1"/>
  <c r="AD334" i="1"/>
  <c r="AD362" i="1"/>
  <c r="AD390" i="1"/>
  <c r="AD217" i="1"/>
  <c r="A8" i="8"/>
  <c r="A9" i="8" l="1"/>
  <c r="F8" i="1"/>
  <c r="A10" i="8" l="1"/>
  <c r="I7" i="1"/>
  <c r="I4" i="1"/>
  <c r="N3" i="1" s="1"/>
  <c r="K4" i="1"/>
  <c r="A4" i="7"/>
  <c r="A5" i="7" l="1"/>
  <c r="B4" i="7"/>
  <c r="A11" i="8"/>
  <c r="A6" i="7" l="1"/>
  <c r="B5" i="7"/>
  <c r="A12" i="8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7" i="7" l="1"/>
  <c r="B6" i="7"/>
  <c r="A13" i="8"/>
  <c r="N6" i="1"/>
  <c r="A8" i="7" l="1"/>
  <c r="B7" i="7"/>
  <c r="A14" i="8"/>
  <c r="Q30" i="3"/>
  <c r="A9" i="7" l="1"/>
  <c r="B8" i="7"/>
  <c r="A15" i="8"/>
  <c r="F5" i="1"/>
  <c r="A10" i="7" l="1"/>
  <c r="B9" i="7"/>
  <c r="A16" i="8"/>
  <c r="C12" i="1"/>
  <c r="K5" i="1"/>
  <c r="K6" i="1" s="1"/>
  <c r="A11" i="7" l="1"/>
  <c r="B10" i="7"/>
  <c r="A17" i="8"/>
  <c r="E12" i="1"/>
  <c r="F12" i="1" s="1"/>
  <c r="I5" i="1"/>
  <c r="A12" i="7" l="1"/>
  <c r="B11" i="7"/>
  <c r="A18" i="8"/>
  <c r="I6" i="1"/>
  <c r="N5" i="1" s="1"/>
  <c r="AV13" i="1"/>
  <c r="AV14" i="1" s="1"/>
  <c r="AV15" i="1" s="1"/>
  <c r="AV16" i="1" s="1"/>
  <c r="AV17" i="1" s="1"/>
  <c r="AV18" i="1" s="1"/>
  <c r="AV19" i="1" s="1"/>
  <c r="AV20" i="1" s="1"/>
  <c r="AV21" i="1" s="1"/>
  <c r="AV22" i="1" s="1"/>
  <c r="AV23" i="1" s="1"/>
  <c r="AV24" i="1" s="1"/>
  <c r="AV25" i="1" s="1"/>
  <c r="AV26" i="1" s="1"/>
  <c r="AV27" i="1" s="1"/>
  <c r="AV28" i="1" s="1"/>
  <c r="AV29" i="1" s="1"/>
  <c r="AV30" i="1" s="1"/>
  <c r="AV31" i="1" s="1"/>
  <c r="AV32" i="1" s="1"/>
  <c r="AV33" i="1" s="1"/>
  <c r="AV34" i="1" s="1"/>
  <c r="AV35" i="1" s="1"/>
  <c r="AV36" i="1" s="1"/>
  <c r="AV37" i="1" s="1"/>
  <c r="AV38" i="1" s="1"/>
  <c r="AV39" i="1" s="1"/>
  <c r="AV40" i="1" s="1"/>
  <c r="AV41" i="1" s="1"/>
  <c r="AV42" i="1" s="1"/>
  <c r="AV43" i="1" s="1"/>
  <c r="AV44" i="1" s="1"/>
  <c r="AV45" i="1" s="1"/>
  <c r="AV46" i="1" s="1"/>
  <c r="AV47" i="1" s="1"/>
  <c r="AV48" i="1" s="1"/>
  <c r="AV49" i="1" s="1"/>
  <c r="AV50" i="1" s="1"/>
  <c r="AV51" i="1" s="1"/>
  <c r="AV52" i="1" s="1"/>
  <c r="AV53" i="1" s="1"/>
  <c r="AV54" i="1" s="1"/>
  <c r="AV55" i="1" s="1"/>
  <c r="AV56" i="1" s="1"/>
  <c r="AV57" i="1" s="1"/>
  <c r="AV58" i="1" s="1"/>
  <c r="AV59" i="1" s="1"/>
  <c r="AV60" i="1" s="1"/>
  <c r="AV61" i="1" s="1"/>
  <c r="AV62" i="1" s="1"/>
  <c r="AV63" i="1" s="1"/>
  <c r="AV64" i="1" s="1"/>
  <c r="AV65" i="1" s="1"/>
  <c r="AV66" i="1" s="1"/>
  <c r="AV67" i="1" s="1"/>
  <c r="AV68" i="1" s="1"/>
  <c r="AV69" i="1" s="1"/>
  <c r="AV70" i="1" s="1"/>
  <c r="AV71" i="1" s="1"/>
  <c r="AV72" i="1" s="1"/>
  <c r="AV73" i="1" s="1"/>
  <c r="AV74" i="1" s="1"/>
  <c r="AV75" i="1" s="1"/>
  <c r="AV76" i="1" s="1"/>
  <c r="AV77" i="1" s="1"/>
  <c r="AV78" i="1" s="1"/>
  <c r="AV79" i="1" s="1"/>
  <c r="AV80" i="1" s="1"/>
  <c r="AV81" i="1" s="1"/>
  <c r="AV82" i="1" s="1"/>
  <c r="AV83" i="1" s="1"/>
  <c r="AV84" i="1" s="1"/>
  <c r="AV85" i="1" s="1"/>
  <c r="AV86" i="1" s="1"/>
  <c r="AV87" i="1" s="1"/>
  <c r="AV88" i="1" s="1"/>
  <c r="AV89" i="1" s="1"/>
  <c r="AV90" i="1" s="1"/>
  <c r="AV91" i="1" s="1"/>
  <c r="AV92" i="1" s="1"/>
  <c r="AV93" i="1" s="1"/>
  <c r="AV94" i="1" s="1"/>
  <c r="AV95" i="1" s="1"/>
  <c r="AV96" i="1" s="1"/>
  <c r="AV97" i="1" s="1"/>
  <c r="AV98" i="1" s="1"/>
  <c r="AV99" i="1" s="1"/>
  <c r="AV100" i="1" s="1"/>
  <c r="AV101" i="1" s="1"/>
  <c r="AV102" i="1" s="1"/>
  <c r="AV103" i="1" s="1"/>
  <c r="AV104" i="1" s="1"/>
  <c r="AV105" i="1" s="1"/>
  <c r="AV106" i="1" s="1"/>
  <c r="AV107" i="1" s="1"/>
  <c r="AV108" i="1" s="1"/>
  <c r="AV109" i="1" s="1"/>
  <c r="AV110" i="1" s="1"/>
  <c r="AV111" i="1" s="1"/>
  <c r="AV112" i="1" s="1"/>
  <c r="AV113" i="1" s="1"/>
  <c r="AV114" i="1" s="1"/>
  <c r="AV115" i="1" s="1"/>
  <c r="AV116" i="1" s="1"/>
  <c r="AV117" i="1" s="1"/>
  <c r="AV118" i="1" s="1"/>
  <c r="AV119" i="1" s="1"/>
  <c r="AV120" i="1" s="1"/>
  <c r="AV121" i="1" s="1"/>
  <c r="AV122" i="1" s="1"/>
  <c r="AV123" i="1" s="1"/>
  <c r="AV124" i="1" s="1"/>
  <c r="AV125" i="1" s="1"/>
  <c r="AV126" i="1" s="1"/>
  <c r="AV127" i="1" s="1"/>
  <c r="AV128" i="1" s="1"/>
  <c r="AV129" i="1" s="1"/>
  <c r="AV130" i="1" s="1"/>
  <c r="AV131" i="1" s="1"/>
  <c r="AV132" i="1" s="1"/>
  <c r="AV133" i="1" s="1"/>
  <c r="AV134" i="1" s="1"/>
  <c r="AV135" i="1" s="1"/>
  <c r="AV136" i="1" s="1"/>
  <c r="AV137" i="1" s="1"/>
  <c r="AV138" i="1" s="1"/>
  <c r="AV139" i="1" s="1"/>
  <c r="AV140" i="1" s="1"/>
  <c r="AV141" i="1" s="1"/>
  <c r="AV142" i="1" s="1"/>
  <c r="AV143" i="1" s="1"/>
  <c r="AV144" i="1" s="1"/>
  <c r="AV145" i="1" s="1"/>
  <c r="AV146" i="1" s="1"/>
  <c r="AV147" i="1" s="1"/>
  <c r="AV148" i="1" s="1"/>
  <c r="AV149" i="1" s="1"/>
  <c r="AV150" i="1" s="1"/>
  <c r="AV151" i="1" s="1"/>
  <c r="AV152" i="1" s="1"/>
  <c r="AV153" i="1" s="1"/>
  <c r="AV154" i="1" s="1"/>
  <c r="AV155" i="1" s="1"/>
  <c r="AV156" i="1" s="1"/>
  <c r="AV157" i="1" s="1"/>
  <c r="AV158" i="1" s="1"/>
  <c r="AV159" i="1" s="1"/>
  <c r="AV160" i="1" s="1"/>
  <c r="AV161" i="1" s="1"/>
  <c r="AV162" i="1" s="1"/>
  <c r="AV163" i="1" s="1"/>
  <c r="AV164" i="1" s="1"/>
  <c r="AV165" i="1" s="1"/>
  <c r="AV166" i="1" s="1"/>
  <c r="AV167" i="1" s="1"/>
  <c r="AV168" i="1" s="1"/>
  <c r="AV169" i="1" s="1"/>
  <c r="AV170" i="1" s="1"/>
  <c r="AV171" i="1" s="1"/>
  <c r="AV172" i="1" s="1"/>
  <c r="AV173" i="1" s="1"/>
  <c r="AV174" i="1" s="1"/>
  <c r="AV175" i="1" s="1"/>
  <c r="AV176" i="1" s="1"/>
  <c r="AV177" i="1" s="1"/>
  <c r="AV178" i="1" s="1"/>
  <c r="AV179" i="1" s="1"/>
  <c r="AV180" i="1" s="1"/>
  <c r="AV181" i="1" s="1"/>
  <c r="AV182" i="1" s="1"/>
  <c r="AV183" i="1" s="1"/>
  <c r="AV184" i="1" s="1"/>
  <c r="AV185" i="1" s="1"/>
  <c r="AV186" i="1" s="1"/>
  <c r="AV187" i="1" s="1"/>
  <c r="AV188" i="1" s="1"/>
  <c r="AV189" i="1" s="1"/>
  <c r="AV190" i="1" s="1"/>
  <c r="AV191" i="1" s="1"/>
  <c r="AV192" i="1" s="1"/>
  <c r="AV193" i="1" s="1"/>
  <c r="AV194" i="1" s="1"/>
  <c r="AV195" i="1" s="1"/>
  <c r="AV196" i="1" s="1"/>
  <c r="AV197" i="1" s="1"/>
  <c r="AV198" i="1" s="1"/>
  <c r="AV199" i="1" s="1"/>
  <c r="AV200" i="1" s="1"/>
  <c r="AV201" i="1" s="1"/>
  <c r="AV202" i="1" s="1"/>
  <c r="AV203" i="1" s="1"/>
  <c r="AV204" i="1" s="1"/>
  <c r="AV205" i="1" s="1"/>
  <c r="AV206" i="1" s="1"/>
  <c r="AV207" i="1" s="1"/>
  <c r="AV208" i="1" s="1"/>
  <c r="AV209" i="1" s="1"/>
  <c r="AV210" i="1" s="1"/>
  <c r="AV211" i="1" s="1"/>
  <c r="AV212" i="1" s="1"/>
  <c r="AV213" i="1" s="1"/>
  <c r="AV214" i="1" s="1"/>
  <c r="AV215" i="1" s="1"/>
  <c r="AV216" i="1" s="1"/>
  <c r="AV217" i="1" s="1"/>
  <c r="AV218" i="1" s="1"/>
  <c r="AV219" i="1" s="1"/>
  <c r="AV220" i="1" s="1"/>
  <c r="AV221" i="1" s="1"/>
  <c r="AV222" i="1" s="1"/>
  <c r="AV223" i="1" s="1"/>
  <c r="AV224" i="1" s="1"/>
  <c r="AV225" i="1" s="1"/>
  <c r="AV226" i="1" s="1"/>
  <c r="AV227" i="1" s="1"/>
  <c r="AV228" i="1" s="1"/>
  <c r="AV229" i="1" s="1"/>
  <c r="AV230" i="1" s="1"/>
  <c r="AV231" i="1" s="1"/>
  <c r="AV232" i="1" s="1"/>
  <c r="AV233" i="1" s="1"/>
  <c r="AV234" i="1" s="1"/>
  <c r="AV235" i="1" s="1"/>
  <c r="AV236" i="1" s="1"/>
  <c r="AV237" i="1" s="1"/>
  <c r="AV238" i="1" s="1"/>
  <c r="AV239" i="1" s="1"/>
  <c r="AV240" i="1" s="1"/>
  <c r="AV241" i="1" s="1"/>
  <c r="AV242" i="1" s="1"/>
  <c r="AV243" i="1" s="1"/>
  <c r="AV244" i="1" s="1"/>
  <c r="AV245" i="1" s="1"/>
  <c r="AV246" i="1" s="1"/>
  <c r="AV247" i="1" s="1"/>
  <c r="AV248" i="1" s="1"/>
  <c r="AV249" i="1" s="1"/>
  <c r="AV250" i="1" s="1"/>
  <c r="AV251" i="1" s="1"/>
  <c r="AV252" i="1" s="1"/>
  <c r="AV253" i="1" s="1"/>
  <c r="AV254" i="1" s="1"/>
  <c r="AV255" i="1" s="1"/>
  <c r="AV256" i="1" s="1"/>
  <c r="AV257" i="1" s="1"/>
  <c r="AV258" i="1" s="1"/>
  <c r="AV259" i="1" s="1"/>
  <c r="AV260" i="1" s="1"/>
  <c r="AV261" i="1" s="1"/>
  <c r="AV262" i="1" s="1"/>
  <c r="AV263" i="1" s="1"/>
  <c r="AV264" i="1" s="1"/>
  <c r="AV265" i="1" s="1"/>
  <c r="AV266" i="1" s="1"/>
  <c r="AV267" i="1" s="1"/>
  <c r="AV268" i="1" s="1"/>
  <c r="AV269" i="1" s="1"/>
  <c r="AV270" i="1" s="1"/>
  <c r="AV271" i="1" s="1"/>
  <c r="AV272" i="1" s="1"/>
  <c r="AV273" i="1" s="1"/>
  <c r="AV274" i="1" s="1"/>
  <c r="AV275" i="1" s="1"/>
  <c r="AV276" i="1" s="1"/>
  <c r="AV277" i="1" s="1"/>
  <c r="AV278" i="1" s="1"/>
  <c r="AV279" i="1" s="1"/>
  <c r="AV280" i="1" s="1"/>
  <c r="AV281" i="1" s="1"/>
  <c r="AV282" i="1" s="1"/>
  <c r="AV283" i="1" s="1"/>
  <c r="AV284" i="1" s="1"/>
  <c r="AV285" i="1" s="1"/>
  <c r="AV286" i="1" s="1"/>
  <c r="AV287" i="1" s="1"/>
  <c r="AV288" i="1" s="1"/>
  <c r="AV289" i="1" s="1"/>
  <c r="AV290" i="1" s="1"/>
  <c r="AV291" i="1" s="1"/>
  <c r="AV292" i="1" s="1"/>
  <c r="AV293" i="1" s="1"/>
  <c r="AV294" i="1" s="1"/>
  <c r="AV295" i="1" s="1"/>
  <c r="AV296" i="1" s="1"/>
  <c r="AV297" i="1" s="1"/>
  <c r="AV298" i="1" s="1"/>
  <c r="AV299" i="1" s="1"/>
  <c r="AV300" i="1" s="1"/>
  <c r="AV301" i="1" s="1"/>
  <c r="AV302" i="1" s="1"/>
  <c r="AV303" i="1" s="1"/>
  <c r="AV304" i="1" s="1"/>
  <c r="AV305" i="1" s="1"/>
  <c r="AV306" i="1" s="1"/>
  <c r="AV307" i="1" s="1"/>
  <c r="AV308" i="1" s="1"/>
  <c r="AV309" i="1" s="1"/>
  <c r="AV310" i="1" s="1"/>
  <c r="AV311" i="1" s="1"/>
  <c r="AV312" i="1" s="1"/>
  <c r="AV313" i="1" s="1"/>
  <c r="AV314" i="1" s="1"/>
  <c r="AV315" i="1" s="1"/>
  <c r="AV316" i="1" s="1"/>
  <c r="AV317" i="1" s="1"/>
  <c r="AV318" i="1" s="1"/>
  <c r="AV319" i="1" s="1"/>
  <c r="AV320" i="1" s="1"/>
  <c r="AV321" i="1" s="1"/>
  <c r="AV322" i="1" s="1"/>
  <c r="AV323" i="1" s="1"/>
  <c r="AV324" i="1" s="1"/>
  <c r="AV325" i="1" s="1"/>
  <c r="AV326" i="1" s="1"/>
  <c r="AV327" i="1" s="1"/>
  <c r="AV328" i="1" s="1"/>
  <c r="AV329" i="1" s="1"/>
  <c r="AV330" i="1" s="1"/>
  <c r="AV331" i="1" s="1"/>
  <c r="AV332" i="1" s="1"/>
  <c r="AV333" i="1" s="1"/>
  <c r="AV334" i="1" s="1"/>
  <c r="AV335" i="1" s="1"/>
  <c r="AV336" i="1" s="1"/>
  <c r="AV337" i="1" s="1"/>
  <c r="AV338" i="1" s="1"/>
  <c r="AV339" i="1" s="1"/>
  <c r="AV340" i="1" s="1"/>
  <c r="AV341" i="1" s="1"/>
  <c r="AV342" i="1" s="1"/>
  <c r="AV343" i="1" s="1"/>
  <c r="AV344" i="1" s="1"/>
  <c r="AV345" i="1" s="1"/>
  <c r="AV346" i="1" s="1"/>
  <c r="AV347" i="1" s="1"/>
  <c r="AV348" i="1" s="1"/>
  <c r="AV349" i="1" s="1"/>
  <c r="AV350" i="1" s="1"/>
  <c r="AV351" i="1" s="1"/>
  <c r="AV352" i="1" s="1"/>
  <c r="AV353" i="1" s="1"/>
  <c r="AV354" i="1" s="1"/>
  <c r="AV355" i="1" s="1"/>
  <c r="AV356" i="1" s="1"/>
  <c r="AV357" i="1" s="1"/>
  <c r="AV358" i="1" s="1"/>
  <c r="AV359" i="1" s="1"/>
  <c r="AV360" i="1" s="1"/>
  <c r="AV361" i="1" s="1"/>
  <c r="AV362" i="1" s="1"/>
  <c r="AV363" i="1" s="1"/>
  <c r="AV364" i="1" s="1"/>
  <c r="AV365" i="1" s="1"/>
  <c r="AV366" i="1" s="1"/>
  <c r="AV367" i="1" s="1"/>
  <c r="AV368" i="1" s="1"/>
  <c r="AV369" i="1" s="1"/>
  <c r="AV370" i="1" s="1"/>
  <c r="AV371" i="1" s="1"/>
  <c r="AV372" i="1" s="1"/>
  <c r="AV373" i="1" s="1"/>
  <c r="AV374" i="1" s="1"/>
  <c r="AV375" i="1" s="1"/>
  <c r="AV376" i="1" s="1"/>
  <c r="AV377" i="1" s="1"/>
  <c r="AV378" i="1" s="1"/>
  <c r="AV379" i="1" s="1"/>
  <c r="AV380" i="1" s="1"/>
  <c r="AV381" i="1" s="1"/>
  <c r="AV382" i="1" s="1"/>
  <c r="AV383" i="1" s="1"/>
  <c r="AV384" i="1" s="1"/>
  <c r="AV385" i="1" s="1"/>
  <c r="AV386" i="1" s="1"/>
  <c r="AV387" i="1" s="1"/>
  <c r="AV388" i="1" s="1"/>
  <c r="AV389" i="1" s="1"/>
  <c r="AV390" i="1" s="1"/>
  <c r="AV391" i="1" s="1"/>
  <c r="AV392" i="1" s="1"/>
  <c r="AV393" i="1" s="1"/>
  <c r="AV394" i="1" s="1"/>
  <c r="AV395" i="1" s="1"/>
  <c r="AV396" i="1" s="1"/>
  <c r="AV397" i="1" s="1"/>
  <c r="AV398" i="1" s="1"/>
  <c r="AV399" i="1" s="1"/>
  <c r="AV400" i="1" s="1"/>
  <c r="AV401" i="1" s="1"/>
  <c r="AV402" i="1" s="1"/>
  <c r="AV403" i="1" s="1"/>
  <c r="AV404" i="1" s="1"/>
  <c r="AV405" i="1" s="1"/>
  <c r="AV406" i="1" s="1"/>
  <c r="AV407" i="1" s="1"/>
  <c r="AV408" i="1" s="1"/>
  <c r="AV409" i="1" s="1"/>
  <c r="AV410" i="1" s="1"/>
  <c r="AV411" i="1" s="1"/>
  <c r="AV412" i="1" s="1"/>
  <c r="AV413" i="1" s="1"/>
  <c r="AV414" i="1" s="1"/>
  <c r="AV415" i="1" s="1"/>
  <c r="AV416" i="1" s="1"/>
  <c r="AV417" i="1" s="1"/>
  <c r="AV418" i="1" s="1"/>
  <c r="AV419" i="1" s="1"/>
  <c r="AV420" i="1" s="1"/>
  <c r="AV421" i="1" s="1"/>
  <c r="AV422" i="1" s="1"/>
  <c r="AV423" i="1" s="1"/>
  <c r="AV424" i="1" s="1"/>
  <c r="AV425" i="1" s="1"/>
  <c r="AV426" i="1" s="1"/>
  <c r="AV427" i="1" s="1"/>
  <c r="AV428" i="1" s="1"/>
  <c r="AV429" i="1" s="1"/>
  <c r="AV430" i="1" s="1"/>
  <c r="AV431" i="1" s="1"/>
  <c r="AV432" i="1" s="1"/>
  <c r="AV433" i="1" s="1"/>
  <c r="AV434" i="1" s="1"/>
  <c r="AV435" i="1" s="1"/>
  <c r="AV436" i="1" s="1"/>
  <c r="AV437" i="1" s="1"/>
  <c r="AV438" i="1" s="1"/>
  <c r="AV439" i="1" s="1"/>
  <c r="AV440" i="1" s="1"/>
  <c r="AV441" i="1" s="1"/>
  <c r="AV442" i="1" s="1"/>
  <c r="AV443" i="1" s="1"/>
  <c r="AV444" i="1" s="1"/>
  <c r="AV445" i="1" s="1"/>
  <c r="AV446" i="1" s="1"/>
  <c r="AV447" i="1" s="1"/>
  <c r="AV448" i="1" s="1"/>
  <c r="AV449" i="1" s="1"/>
  <c r="AV450" i="1" s="1"/>
  <c r="AV451" i="1" s="1"/>
  <c r="AV452" i="1" s="1"/>
  <c r="AV453" i="1" s="1"/>
  <c r="AV454" i="1" s="1"/>
  <c r="AV455" i="1" s="1"/>
  <c r="AV456" i="1" s="1"/>
  <c r="AV457" i="1" s="1"/>
  <c r="AV458" i="1" s="1"/>
  <c r="AV459" i="1" s="1"/>
  <c r="AV460" i="1" s="1"/>
  <c r="AV461" i="1" s="1"/>
  <c r="AV462" i="1" s="1"/>
  <c r="AV463" i="1" s="1"/>
  <c r="AV464" i="1" s="1"/>
  <c r="AV465" i="1" s="1"/>
  <c r="AV466" i="1" s="1"/>
  <c r="AV467" i="1" s="1"/>
  <c r="AV468" i="1" s="1"/>
  <c r="AV469" i="1" s="1"/>
  <c r="AV470" i="1" s="1"/>
  <c r="AV471" i="1" s="1"/>
  <c r="AV472" i="1" s="1"/>
  <c r="AV473" i="1" s="1"/>
  <c r="AV474" i="1" s="1"/>
  <c r="AV475" i="1" s="1"/>
  <c r="AV476" i="1" s="1"/>
  <c r="AV477" i="1" s="1"/>
  <c r="AV478" i="1" s="1"/>
  <c r="AV479" i="1" s="1"/>
  <c r="AV480" i="1" s="1"/>
  <c r="AV481" i="1" s="1"/>
  <c r="AV482" i="1" s="1"/>
  <c r="AV483" i="1" s="1"/>
  <c r="AV484" i="1" s="1"/>
  <c r="AV485" i="1" s="1"/>
  <c r="AV486" i="1" s="1"/>
  <c r="AV487" i="1" s="1"/>
  <c r="AV488" i="1" s="1"/>
  <c r="AV489" i="1" s="1"/>
  <c r="AV490" i="1" s="1"/>
  <c r="AV491" i="1" s="1"/>
  <c r="AV492" i="1" s="1"/>
  <c r="AV493" i="1" s="1"/>
  <c r="AV494" i="1" s="1"/>
  <c r="AV495" i="1" s="1"/>
  <c r="AV496" i="1" s="1"/>
  <c r="AV497" i="1" s="1"/>
  <c r="AV498" i="1" s="1"/>
  <c r="AV499" i="1" s="1"/>
  <c r="AV500" i="1" s="1"/>
  <c r="AV501" i="1" s="1"/>
  <c r="AV502" i="1" s="1"/>
  <c r="AV503" i="1" s="1"/>
  <c r="AV504" i="1" s="1"/>
  <c r="AV505" i="1" s="1"/>
  <c r="AV506" i="1" s="1"/>
  <c r="AV507" i="1" s="1"/>
  <c r="AV508" i="1" s="1"/>
  <c r="AV509" i="1" s="1"/>
  <c r="AV510" i="1" s="1"/>
  <c r="AV511" i="1" s="1"/>
  <c r="AV512" i="1" s="1"/>
  <c r="AV513" i="1" s="1"/>
  <c r="AV514" i="1" s="1"/>
  <c r="AV515" i="1" s="1"/>
  <c r="AV516" i="1" s="1"/>
  <c r="AV517" i="1" s="1"/>
  <c r="AV518" i="1" s="1"/>
  <c r="AV519" i="1" s="1"/>
  <c r="AV520" i="1" s="1"/>
  <c r="AV521" i="1" s="1"/>
  <c r="AV522" i="1" s="1"/>
  <c r="AV523" i="1" s="1"/>
  <c r="AV524" i="1" s="1"/>
  <c r="AV525" i="1" s="1"/>
  <c r="AV526" i="1" s="1"/>
  <c r="AV527" i="1" s="1"/>
  <c r="AV528" i="1" s="1"/>
  <c r="AV529" i="1" s="1"/>
  <c r="AV530" i="1" s="1"/>
  <c r="AV531" i="1" s="1"/>
  <c r="AV532" i="1" s="1"/>
  <c r="AV533" i="1" s="1"/>
  <c r="AV534" i="1" s="1"/>
  <c r="AV535" i="1" s="1"/>
  <c r="AV536" i="1" s="1"/>
  <c r="AV537" i="1" s="1"/>
  <c r="AV538" i="1" s="1"/>
  <c r="AV539" i="1" s="1"/>
  <c r="AV540" i="1" s="1"/>
  <c r="AV541" i="1" s="1"/>
  <c r="AV542" i="1" s="1"/>
  <c r="AV543" i="1" s="1"/>
  <c r="AV544" i="1" s="1"/>
  <c r="AV545" i="1" s="1"/>
  <c r="AV546" i="1" s="1"/>
  <c r="AV547" i="1" s="1"/>
  <c r="AV548" i="1" s="1"/>
  <c r="AV549" i="1" s="1"/>
  <c r="AV550" i="1" s="1"/>
  <c r="AV551" i="1" s="1"/>
  <c r="AV552" i="1" s="1"/>
  <c r="AV553" i="1" s="1"/>
  <c r="AV554" i="1" s="1"/>
  <c r="AV555" i="1" s="1"/>
  <c r="AV556" i="1" s="1"/>
  <c r="AV557" i="1" s="1"/>
  <c r="AV558" i="1" s="1"/>
  <c r="AV559" i="1" s="1"/>
  <c r="AV560" i="1" s="1"/>
  <c r="AV561" i="1" s="1"/>
  <c r="AV562" i="1" s="1"/>
  <c r="AV563" i="1" s="1"/>
  <c r="AV564" i="1" s="1"/>
  <c r="AV565" i="1" s="1"/>
  <c r="AV566" i="1" s="1"/>
  <c r="AV567" i="1" s="1"/>
  <c r="AV568" i="1" s="1"/>
  <c r="AV569" i="1" s="1"/>
  <c r="AV570" i="1" s="1"/>
  <c r="AV571" i="1" s="1"/>
  <c r="AV572" i="1" s="1"/>
  <c r="AV573" i="1" s="1"/>
  <c r="AV574" i="1" s="1"/>
  <c r="AV575" i="1" s="1"/>
  <c r="AV576" i="1" s="1"/>
  <c r="AV577" i="1" s="1"/>
  <c r="AV578" i="1" s="1"/>
  <c r="AV579" i="1" s="1"/>
  <c r="AV580" i="1" s="1"/>
  <c r="AV581" i="1" s="1"/>
  <c r="AV582" i="1" s="1"/>
  <c r="AV583" i="1" s="1"/>
  <c r="AV584" i="1" s="1"/>
  <c r="AV585" i="1" s="1"/>
  <c r="AV586" i="1" s="1"/>
  <c r="AV587" i="1" s="1"/>
  <c r="AV588" i="1" s="1"/>
  <c r="AV589" i="1" s="1"/>
  <c r="AV590" i="1" s="1"/>
  <c r="AV591" i="1" s="1"/>
  <c r="AV592" i="1" s="1"/>
  <c r="AV593" i="1" s="1"/>
  <c r="AV594" i="1" s="1"/>
  <c r="AV595" i="1" s="1"/>
  <c r="AV596" i="1" s="1"/>
  <c r="AV597" i="1" s="1"/>
  <c r="AV598" i="1" s="1"/>
  <c r="AV599" i="1" s="1"/>
  <c r="AV600" i="1" s="1"/>
  <c r="AV601" i="1" s="1"/>
  <c r="AV602" i="1" s="1"/>
  <c r="AV603" i="1" s="1"/>
  <c r="AV604" i="1" s="1"/>
  <c r="AV605" i="1" s="1"/>
  <c r="AV606" i="1" s="1"/>
  <c r="AV607" i="1" s="1"/>
  <c r="AV608" i="1" s="1"/>
  <c r="AV609" i="1" s="1"/>
  <c r="AV610" i="1" s="1"/>
  <c r="AV611" i="1" s="1"/>
  <c r="AV612" i="1" s="1"/>
  <c r="AV613" i="1" s="1"/>
  <c r="AV614" i="1" s="1"/>
  <c r="AV615" i="1" s="1"/>
  <c r="AV616" i="1" s="1"/>
  <c r="AV617" i="1" s="1"/>
  <c r="AV618" i="1" s="1"/>
  <c r="AV619" i="1" s="1"/>
  <c r="AV620" i="1" s="1"/>
  <c r="AV621" i="1" s="1"/>
  <c r="AV622" i="1" s="1"/>
  <c r="AV623" i="1" s="1"/>
  <c r="AV624" i="1" s="1"/>
  <c r="AV625" i="1" s="1"/>
  <c r="AV626" i="1" s="1"/>
  <c r="AV627" i="1" s="1"/>
  <c r="AV628" i="1" s="1"/>
  <c r="AV629" i="1" s="1"/>
  <c r="AV630" i="1" s="1"/>
  <c r="AV631" i="1" s="1"/>
  <c r="AV632" i="1" s="1"/>
  <c r="AV633" i="1" s="1"/>
  <c r="AV634" i="1" s="1"/>
  <c r="AV635" i="1" s="1"/>
  <c r="AV636" i="1" s="1"/>
  <c r="AV637" i="1" s="1"/>
  <c r="AV638" i="1" s="1"/>
  <c r="AV639" i="1" s="1"/>
  <c r="AV640" i="1" s="1"/>
  <c r="AV641" i="1" s="1"/>
  <c r="AV642" i="1" s="1"/>
  <c r="AV643" i="1" s="1"/>
  <c r="AV644" i="1" s="1"/>
  <c r="AV645" i="1" s="1"/>
  <c r="AV646" i="1" s="1"/>
  <c r="AV647" i="1" s="1"/>
  <c r="AV648" i="1" s="1"/>
  <c r="AV649" i="1" s="1"/>
  <c r="AV650" i="1" s="1"/>
  <c r="AV651" i="1" s="1"/>
  <c r="AV652" i="1" s="1"/>
  <c r="AV653" i="1" s="1"/>
  <c r="AV654" i="1" s="1"/>
  <c r="AV655" i="1" s="1"/>
  <c r="AV656" i="1" s="1"/>
  <c r="AV657" i="1" s="1"/>
  <c r="AV658" i="1" s="1"/>
  <c r="AV659" i="1" s="1"/>
  <c r="AV660" i="1" s="1"/>
  <c r="AV661" i="1" s="1"/>
  <c r="AV662" i="1" s="1"/>
  <c r="AV663" i="1" s="1"/>
  <c r="AV664" i="1" s="1"/>
  <c r="AV665" i="1" s="1"/>
  <c r="AV666" i="1" s="1"/>
  <c r="AV667" i="1" s="1"/>
  <c r="AV668" i="1" s="1"/>
  <c r="AV669" i="1" s="1"/>
  <c r="AV670" i="1" s="1"/>
  <c r="AV671" i="1" s="1"/>
  <c r="AV672" i="1" s="1"/>
  <c r="AV673" i="1" s="1"/>
  <c r="AV674" i="1" s="1"/>
  <c r="AV675" i="1" s="1"/>
  <c r="AV676" i="1" s="1"/>
  <c r="AV677" i="1" s="1"/>
  <c r="AV678" i="1" s="1"/>
  <c r="AV679" i="1" s="1"/>
  <c r="AV680" i="1" s="1"/>
  <c r="AV681" i="1" s="1"/>
  <c r="AV682" i="1" s="1"/>
  <c r="AV683" i="1" s="1"/>
  <c r="AV684" i="1" s="1"/>
  <c r="AV685" i="1" s="1"/>
  <c r="AV686" i="1" s="1"/>
  <c r="AV687" i="1" s="1"/>
  <c r="AV688" i="1" s="1"/>
  <c r="AV689" i="1" s="1"/>
  <c r="AV690" i="1" s="1"/>
  <c r="AV691" i="1" s="1"/>
  <c r="AV692" i="1" s="1"/>
  <c r="AV693" i="1" s="1"/>
  <c r="AV694" i="1" s="1"/>
  <c r="AV695" i="1" s="1"/>
  <c r="AV696" i="1" s="1"/>
  <c r="AV697" i="1" s="1"/>
  <c r="AV698" i="1" s="1"/>
  <c r="AV699" i="1" s="1"/>
  <c r="AV700" i="1" s="1"/>
  <c r="AV701" i="1" s="1"/>
  <c r="AV702" i="1" s="1"/>
  <c r="AV703" i="1" s="1"/>
  <c r="AV704" i="1" s="1"/>
  <c r="AV705" i="1" s="1"/>
  <c r="AV706" i="1" s="1"/>
  <c r="AV707" i="1" s="1"/>
  <c r="AV708" i="1" s="1"/>
  <c r="AV709" i="1" s="1"/>
  <c r="AV710" i="1" s="1"/>
  <c r="AV711" i="1" s="1"/>
  <c r="AV712" i="1" s="1"/>
  <c r="AV713" i="1" s="1"/>
  <c r="AV714" i="1" s="1"/>
  <c r="AV715" i="1" s="1"/>
  <c r="AV716" i="1" s="1"/>
  <c r="AV717" i="1" s="1"/>
  <c r="AV718" i="1" s="1"/>
  <c r="AV719" i="1" s="1"/>
  <c r="AV720" i="1" s="1"/>
  <c r="AV721" i="1" s="1"/>
  <c r="AV722" i="1" s="1"/>
  <c r="AV723" i="1" s="1"/>
  <c r="AV724" i="1" s="1"/>
  <c r="AV725" i="1" s="1"/>
  <c r="AV726" i="1" s="1"/>
  <c r="AV727" i="1" s="1"/>
  <c r="AV728" i="1" s="1"/>
  <c r="AV729" i="1" s="1"/>
  <c r="AV730" i="1" s="1"/>
  <c r="AV731" i="1" s="1"/>
  <c r="AV732" i="1" s="1"/>
  <c r="AV733" i="1" s="1"/>
  <c r="AV734" i="1" s="1"/>
  <c r="AV735" i="1" s="1"/>
  <c r="AV736" i="1" s="1"/>
  <c r="AV737" i="1" s="1"/>
  <c r="AV738" i="1" s="1"/>
  <c r="AV739" i="1" s="1"/>
  <c r="AV740" i="1" s="1"/>
  <c r="AV741" i="1" s="1"/>
  <c r="AV742" i="1" s="1"/>
  <c r="AV743" i="1" s="1"/>
  <c r="AV744" i="1" s="1"/>
  <c r="AV745" i="1" s="1"/>
  <c r="AV746" i="1" s="1"/>
  <c r="AV747" i="1" s="1"/>
  <c r="AV748" i="1" s="1"/>
  <c r="AV749" i="1" s="1"/>
  <c r="AV750" i="1" s="1"/>
  <c r="AV751" i="1" s="1"/>
  <c r="AV752" i="1" s="1"/>
  <c r="AV753" i="1" s="1"/>
  <c r="AV754" i="1" s="1"/>
  <c r="AV755" i="1" s="1"/>
  <c r="AV756" i="1" s="1"/>
  <c r="AV757" i="1" s="1"/>
  <c r="AV758" i="1" s="1"/>
  <c r="AV759" i="1" s="1"/>
  <c r="AV760" i="1" s="1"/>
  <c r="AV761" i="1" s="1"/>
  <c r="AV762" i="1" s="1"/>
  <c r="AV763" i="1" s="1"/>
  <c r="AV764" i="1" s="1"/>
  <c r="AV765" i="1" s="1"/>
  <c r="AV766" i="1" s="1"/>
  <c r="AV767" i="1" s="1"/>
  <c r="AV768" i="1" s="1"/>
  <c r="AV769" i="1" s="1"/>
  <c r="AV770" i="1" s="1"/>
  <c r="AV771" i="1" s="1"/>
  <c r="AV772" i="1" s="1"/>
  <c r="AV773" i="1" s="1"/>
  <c r="AV774" i="1" s="1"/>
  <c r="AV775" i="1" s="1"/>
  <c r="AV776" i="1" s="1"/>
  <c r="AV777" i="1" s="1"/>
  <c r="AV778" i="1" s="1"/>
  <c r="AV779" i="1" s="1"/>
  <c r="AV780" i="1" s="1"/>
  <c r="AV781" i="1" s="1"/>
  <c r="AV782" i="1" s="1"/>
  <c r="AV783" i="1" s="1"/>
  <c r="AV784" i="1" s="1"/>
  <c r="AV785" i="1" s="1"/>
  <c r="AV786" i="1" s="1"/>
  <c r="AV787" i="1" s="1"/>
  <c r="AV788" i="1" s="1"/>
  <c r="AV789" i="1" s="1"/>
  <c r="AV790" i="1" s="1"/>
  <c r="AV791" i="1" s="1"/>
  <c r="AV792" i="1" s="1"/>
  <c r="AV793" i="1" s="1"/>
  <c r="AV794" i="1" s="1"/>
  <c r="AV795" i="1" s="1"/>
  <c r="AV796" i="1" s="1"/>
  <c r="AV797" i="1" s="1"/>
  <c r="AV798" i="1" s="1"/>
  <c r="AV799" i="1" s="1"/>
  <c r="AV800" i="1" s="1"/>
  <c r="AV801" i="1" s="1"/>
  <c r="AV802" i="1" s="1"/>
  <c r="AV803" i="1" s="1"/>
  <c r="AV804" i="1" s="1"/>
  <c r="AV805" i="1" s="1"/>
  <c r="AV806" i="1" s="1"/>
  <c r="AV807" i="1" s="1"/>
  <c r="AV808" i="1" s="1"/>
  <c r="AV809" i="1" s="1"/>
  <c r="AV810" i="1" s="1"/>
  <c r="AV811" i="1" s="1"/>
  <c r="AV812" i="1" s="1"/>
  <c r="AV813" i="1" s="1"/>
  <c r="AV814" i="1" s="1"/>
  <c r="AV815" i="1" s="1"/>
  <c r="AV816" i="1" s="1"/>
  <c r="AV817" i="1" s="1"/>
  <c r="AV818" i="1" s="1"/>
  <c r="AV819" i="1" s="1"/>
  <c r="AV820" i="1" s="1"/>
  <c r="AV821" i="1" s="1"/>
  <c r="AV822" i="1" s="1"/>
  <c r="AV823" i="1" s="1"/>
  <c r="AV824" i="1" s="1"/>
  <c r="AV825" i="1" s="1"/>
  <c r="AV826" i="1" s="1"/>
  <c r="AV827" i="1" s="1"/>
  <c r="AV828" i="1" s="1"/>
  <c r="AV829" i="1" s="1"/>
  <c r="AV830" i="1" s="1"/>
  <c r="AV831" i="1" s="1"/>
  <c r="AV832" i="1" s="1"/>
  <c r="AV833" i="1" s="1"/>
  <c r="AV834" i="1" s="1"/>
  <c r="AV835" i="1" s="1"/>
  <c r="AV836" i="1" s="1"/>
  <c r="AV837" i="1" s="1"/>
  <c r="AV838" i="1" s="1"/>
  <c r="AV839" i="1" s="1"/>
  <c r="AV840" i="1" s="1"/>
  <c r="AV841" i="1" s="1"/>
  <c r="AV842" i="1" s="1"/>
  <c r="AV843" i="1" s="1"/>
  <c r="AV844" i="1" s="1"/>
  <c r="AV845" i="1" s="1"/>
  <c r="AV846" i="1" s="1"/>
  <c r="AV847" i="1" s="1"/>
  <c r="AV848" i="1" s="1"/>
  <c r="AV849" i="1" s="1"/>
  <c r="AV850" i="1" s="1"/>
  <c r="AV851" i="1" s="1"/>
  <c r="AV852" i="1" s="1"/>
  <c r="AV853" i="1" s="1"/>
  <c r="AV854" i="1" s="1"/>
  <c r="AV855" i="1" s="1"/>
  <c r="AV856" i="1" s="1"/>
  <c r="AV857" i="1" s="1"/>
  <c r="AV858" i="1" s="1"/>
  <c r="AV859" i="1" s="1"/>
  <c r="AV860" i="1" s="1"/>
  <c r="AV861" i="1" s="1"/>
  <c r="AV862" i="1" s="1"/>
  <c r="AV863" i="1" s="1"/>
  <c r="AV864" i="1" s="1"/>
  <c r="AV865" i="1" s="1"/>
  <c r="AV866" i="1" s="1"/>
  <c r="AV867" i="1" s="1"/>
  <c r="AV868" i="1" s="1"/>
  <c r="AV869" i="1" s="1"/>
  <c r="AV870" i="1" s="1"/>
  <c r="AV871" i="1" s="1"/>
  <c r="AV872" i="1" s="1"/>
  <c r="AV873" i="1" s="1"/>
  <c r="AV874" i="1" s="1"/>
  <c r="AV875" i="1" s="1"/>
  <c r="AV876" i="1" s="1"/>
  <c r="AV877" i="1" s="1"/>
  <c r="AV878" i="1" s="1"/>
  <c r="AV879" i="1" s="1"/>
  <c r="AV880" i="1" s="1"/>
  <c r="AV881" i="1" s="1"/>
  <c r="AV882" i="1" s="1"/>
  <c r="AV883" i="1" s="1"/>
  <c r="AV884" i="1" s="1"/>
  <c r="AV885" i="1" s="1"/>
  <c r="AV886" i="1" s="1"/>
  <c r="AV887" i="1" s="1"/>
  <c r="AV888" i="1" s="1"/>
  <c r="AV889" i="1" s="1"/>
  <c r="AV890" i="1" s="1"/>
  <c r="AV891" i="1" s="1"/>
  <c r="AV892" i="1" s="1"/>
  <c r="AV893" i="1" s="1"/>
  <c r="AV894" i="1" s="1"/>
  <c r="AV895" i="1" s="1"/>
  <c r="AV896" i="1" s="1"/>
  <c r="AV897" i="1" s="1"/>
  <c r="AV898" i="1" s="1"/>
  <c r="AV899" i="1" s="1"/>
  <c r="AV900" i="1" s="1"/>
  <c r="AV901" i="1" s="1"/>
  <c r="AV902" i="1" s="1"/>
  <c r="AV903" i="1" s="1"/>
  <c r="AV904" i="1" s="1"/>
  <c r="AV905" i="1" s="1"/>
  <c r="AV906" i="1" s="1"/>
  <c r="AV907" i="1" s="1"/>
  <c r="AV908" i="1" s="1"/>
  <c r="AV909" i="1" s="1"/>
  <c r="AV910" i="1" s="1"/>
  <c r="AV911" i="1" s="1"/>
  <c r="AV912" i="1" s="1"/>
  <c r="AV913" i="1" s="1"/>
  <c r="AV914" i="1" s="1"/>
  <c r="AV915" i="1" s="1"/>
  <c r="AV916" i="1" s="1"/>
  <c r="AV917" i="1" s="1"/>
  <c r="AV918" i="1" s="1"/>
  <c r="AV919" i="1" s="1"/>
  <c r="AV920" i="1" s="1"/>
  <c r="AV921" i="1" s="1"/>
  <c r="AV922" i="1" s="1"/>
  <c r="AV923" i="1" s="1"/>
  <c r="AV924" i="1" s="1"/>
  <c r="AV925" i="1" s="1"/>
  <c r="AV926" i="1" s="1"/>
  <c r="AV927" i="1" s="1"/>
  <c r="AV928" i="1" s="1"/>
  <c r="AV929" i="1" s="1"/>
  <c r="AV930" i="1" s="1"/>
  <c r="AV931" i="1" s="1"/>
  <c r="AV932" i="1" s="1"/>
  <c r="AV933" i="1" s="1"/>
  <c r="AV934" i="1" s="1"/>
  <c r="AV935" i="1" s="1"/>
  <c r="AV936" i="1" s="1"/>
  <c r="AV937" i="1" s="1"/>
  <c r="AV938" i="1" s="1"/>
  <c r="AV939" i="1" s="1"/>
  <c r="AV940" i="1" s="1"/>
  <c r="AV941" i="1" s="1"/>
  <c r="AV942" i="1" s="1"/>
  <c r="AV943" i="1" s="1"/>
  <c r="AV944" i="1" s="1"/>
  <c r="AV945" i="1" s="1"/>
  <c r="AV946" i="1" s="1"/>
  <c r="AV947" i="1" s="1"/>
  <c r="AV948" i="1" s="1"/>
  <c r="AV949" i="1" s="1"/>
  <c r="AV950" i="1" s="1"/>
  <c r="AV951" i="1" s="1"/>
  <c r="AV952" i="1" s="1"/>
  <c r="AV953" i="1" s="1"/>
  <c r="AV954" i="1" s="1"/>
  <c r="AV955" i="1" s="1"/>
  <c r="AV956" i="1" s="1"/>
  <c r="AV957" i="1" s="1"/>
  <c r="AV958" i="1" s="1"/>
  <c r="AV959" i="1" s="1"/>
  <c r="AV960" i="1" s="1"/>
  <c r="AV961" i="1" s="1"/>
  <c r="AV962" i="1" s="1"/>
  <c r="AV963" i="1" s="1"/>
  <c r="AV964" i="1" s="1"/>
  <c r="AV965" i="1" s="1"/>
  <c r="AV966" i="1" s="1"/>
  <c r="AV967" i="1" s="1"/>
  <c r="AV968" i="1" s="1"/>
  <c r="AV969" i="1" s="1"/>
  <c r="AV970" i="1" s="1"/>
  <c r="AV971" i="1" s="1"/>
  <c r="AV972" i="1" s="1"/>
  <c r="AV973" i="1" s="1"/>
  <c r="AV974" i="1" s="1"/>
  <c r="AV975" i="1" s="1"/>
  <c r="AV976" i="1" s="1"/>
  <c r="AV977" i="1" s="1"/>
  <c r="AV978" i="1" s="1"/>
  <c r="AV979" i="1" s="1"/>
  <c r="AV980" i="1" s="1"/>
  <c r="AV981" i="1" s="1"/>
  <c r="AV982" i="1" s="1"/>
  <c r="AV983" i="1" s="1"/>
  <c r="AV984" i="1" s="1"/>
  <c r="AV985" i="1" s="1"/>
  <c r="AV986" i="1" s="1"/>
  <c r="AV987" i="1" s="1"/>
  <c r="AV988" i="1" s="1"/>
  <c r="AV989" i="1" s="1"/>
  <c r="AV990" i="1" s="1"/>
  <c r="AV991" i="1" s="1"/>
  <c r="AV992" i="1" s="1"/>
  <c r="AV993" i="1" s="1"/>
  <c r="AV994" i="1" s="1"/>
  <c r="AV995" i="1" s="1"/>
  <c r="AV996" i="1" s="1"/>
  <c r="AV997" i="1" s="1"/>
  <c r="AV998" i="1" s="1"/>
  <c r="AV999" i="1" s="1"/>
  <c r="AV1000" i="1" s="1"/>
  <c r="AV1001" i="1" s="1"/>
  <c r="AV1002" i="1" s="1"/>
  <c r="AV1003" i="1" s="1"/>
  <c r="AV1004" i="1" s="1"/>
  <c r="AV1005" i="1" s="1"/>
  <c r="AV1006" i="1" s="1"/>
  <c r="AV1007" i="1" s="1"/>
  <c r="AV1008" i="1" s="1"/>
  <c r="AV1009" i="1" s="1"/>
  <c r="AV1010" i="1" s="1"/>
  <c r="AV1011" i="1" s="1"/>
  <c r="AV1012" i="1" s="1"/>
  <c r="AV1013" i="1" s="1"/>
  <c r="AV1014" i="1" s="1"/>
  <c r="AV1015" i="1" s="1"/>
  <c r="AV1016" i="1" s="1"/>
  <c r="AV1017" i="1" s="1"/>
  <c r="AV1018" i="1" s="1"/>
  <c r="AV1019" i="1" s="1"/>
  <c r="AV1020" i="1" s="1"/>
  <c r="AV1021" i="1" s="1"/>
  <c r="AV1022" i="1" s="1"/>
  <c r="AV1023" i="1" s="1"/>
  <c r="AV1024" i="1" s="1"/>
  <c r="AV1025" i="1" s="1"/>
  <c r="AV1026" i="1" s="1"/>
  <c r="AV1027" i="1" s="1"/>
  <c r="AV1028" i="1" s="1"/>
  <c r="AV1029" i="1" s="1"/>
  <c r="AV1030" i="1" s="1"/>
  <c r="AV1031" i="1" s="1"/>
  <c r="AV1032" i="1" s="1"/>
  <c r="AV1033" i="1" s="1"/>
  <c r="AV1034" i="1" s="1"/>
  <c r="AV1035" i="1" s="1"/>
  <c r="AV1036" i="1" s="1"/>
  <c r="AV1037" i="1" s="1"/>
  <c r="AV1038" i="1" s="1"/>
  <c r="AV1039" i="1" s="1"/>
  <c r="AV1040" i="1" s="1"/>
  <c r="AV1041" i="1" s="1"/>
  <c r="AV1042" i="1" s="1"/>
  <c r="AV1043" i="1" s="1"/>
  <c r="AV1044" i="1" s="1"/>
  <c r="AV1045" i="1" s="1"/>
  <c r="AV1046" i="1" s="1"/>
  <c r="AV1047" i="1" s="1"/>
  <c r="AV1048" i="1" s="1"/>
  <c r="AV1049" i="1" s="1"/>
  <c r="AV1050" i="1" s="1"/>
  <c r="AV1051" i="1" s="1"/>
  <c r="AV1052" i="1" s="1"/>
  <c r="AV1053" i="1" s="1"/>
  <c r="AV1054" i="1" s="1"/>
  <c r="AV1055" i="1" s="1"/>
  <c r="AV1056" i="1" s="1"/>
  <c r="AV1057" i="1" s="1"/>
  <c r="AV1058" i="1" s="1"/>
  <c r="AV1059" i="1" s="1"/>
  <c r="AV1060" i="1" s="1"/>
  <c r="AV1061" i="1" s="1"/>
  <c r="AV1062" i="1" s="1"/>
  <c r="AV1063" i="1" s="1"/>
  <c r="AV1064" i="1" s="1"/>
  <c r="AV1065" i="1" s="1"/>
  <c r="AV1066" i="1" s="1"/>
  <c r="AV1067" i="1" s="1"/>
  <c r="AV1068" i="1" s="1"/>
  <c r="AV1069" i="1" s="1"/>
  <c r="AV1070" i="1" s="1"/>
  <c r="AV1071" i="1" s="1"/>
  <c r="AV1072" i="1" s="1"/>
  <c r="AV1073" i="1" s="1"/>
  <c r="AV1074" i="1" s="1"/>
  <c r="AV1075" i="1" s="1"/>
  <c r="AV1076" i="1" s="1"/>
  <c r="AV1077" i="1" s="1"/>
  <c r="AV1078" i="1" s="1"/>
  <c r="AV1079" i="1" s="1"/>
  <c r="AV1080" i="1" s="1"/>
  <c r="AV1081" i="1" s="1"/>
  <c r="AV1082" i="1" s="1"/>
  <c r="AV1083" i="1" s="1"/>
  <c r="AV1084" i="1" s="1"/>
  <c r="AV1085" i="1" s="1"/>
  <c r="AV1086" i="1" s="1"/>
  <c r="AV1087" i="1" s="1"/>
  <c r="AV1088" i="1" s="1"/>
  <c r="AV1089" i="1" s="1"/>
  <c r="AV1090" i="1" s="1"/>
  <c r="AV1091" i="1" s="1"/>
  <c r="AV1092" i="1" s="1"/>
  <c r="AV1093" i="1" s="1"/>
  <c r="AV1094" i="1" s="1"/>
  <c r="AV1095" i="1" s="1"/>
  <c r="AV1096" i="1" s="1"/>
  <c r="AV1097" i="1" s="1"/>
  <c r="AV1098" i="1" s="1"/>
  <c r="AV1099" i="1" s="1"/>
  <c r="AV1100" i="1" s="1"/>
  <c r="AV1101" i="1" s="1"/>
  <c r="AV1102" i="1" s="1"/>
  <c r="AV1103" i="1" s="1"/>
  <c r="AV1104" i="1" s="1"/>
  <c r="AV1105" i="1" s="1"/>
  <c r="AV1106" i="1" s="1"/>
  <c r="AV1107" i="1" s="1"/>
  <c r="AV1108" i="1" s="1"/>
  <c r="AV1109" i="1" s="1"/>
  <c r="AV1110" i="1" s="1"/>
  <c r="AV1111" i="1" s="1"/>
  <c r="AV1112" i="1" s="1"/>
  <c r="AV1113" i="1" s="1"/>
  <c r="AV1114" i="1" s="1"/>
  <c r="AV1115" i="1" s="1"/>
  <c r="AV1116" i="1" s="1"/>
  <c r="AV1117" i="1" s="1"/>
  <c r="AV1118" i="1" s="1"/>
  <c r="AV1119" i="1" s="1"/>
  <c r="AV1120" i="1" s="1"/>
  <c r="AV1121" i="1" s="1"/>
  <c r="AV1122" i="1" s="1"/>
  <c r="AV1123" i="1" s="1"/>
  <c r="AV1124" i="1" s="1"/>
  <c r="AV1125" i="1" s="1"/>
  <c r="AV1126" i="1" s="1"/>
  <c r="AV1127" i="1" s="1"/>
  <c r="AV1128" i="1" s="1"/>
  <c r="AV1129" i="1" s="1"/>
  <c r="AV1130" i="1" s="1"/>
  <c r="AV1131" i="1" s="1"/>
  <c r="AV1132" i="1" s="1"/>
  <c r="AV1133" i="1" s="1"/>
  <c r="AV1134" i="1" s="1"/>
  <c r="AV1135" i="1" s="1"/>
  <c r="AV1136" i="1" s="1"/>
  <c r="AV1137" i="1" s="1"/>
  <c r="AV1138" i="1" s="1"/>
  <c r="AV1139" i="1" s="1"/>
  <c r="AV1140" i="1" s="1"/>
  <c r="AV1141" i="1" s="1"/>
  <c r="AV1142" i="1" s="1"/>
  <c r="AV1143" i="1" s="1"/>
  <c r="AV1144" i="1" s="1"/>
  <c r="AV1145" i="1" s="1"/>
  <c r="AV1146" i="1" s="1"/>
  <c r="AV1147" i="1" s="1"/>
  <c r="AV1148" i="1" s="1"/>
  <c r="AV1149" i="1" s="1"/>
  <c r="AV1150" i="1" s="1"/>
  <c r="AV1151" i="1" s="1"/>
  <c r="AV1152" i="1" s="1"/>
  <c r="AV1153" i="1" s="1"/>
  <c r="AV1154" i="1" s="1"/>
  <c r="AV1155" i="1" s="1"/>
  <c r="AV1156" i="1" s="1"/>
  <c r="AV1157" i="1" s="1"/>
  <c r="AV1158" i="1" s="1"/>
  <c r="AV1159" i="1" s="1"/>
  <c r="AV1160" i="1" s="1"/>
  <c r="AV1161" i="1" s="1"/>
  <c r="AV1162" i="1" s="1"/>
  <c r="AV1163" i="1" s="1"/>
  <c r="AV1164" i="1" s="1"/>
  <c r="AV1165" i="1" s="1"/>
  <c r="AV1166" i="1" s="1"/>
  <c r="AV1167" i="1" s="1"/>
  <c r="AV1168" i="1" s="1"/>
  <c r="AV1169" i="1" s="1"/>
  <c r="AV1170" i="1" s="1"/>
  <c r="AV1171" i="1" s="1"/>
  <c r="AV1172" i="1" s="1"/>
  <c r="AV1173" i="1" s="1"/>
  <c r="AV1174" i="1" s="1"/>
  <c r="AV1175" i="1" s="1"/>
  <c r="AV1176" i="1" s="1"/>
  <c r="AV1177" i="1" s="1"/>
  <c r="AV1178" i="1" s="1"/>
  <c r="AV1179" i="1" s="1"/>
  <c r="AV1180" i="1" s="1"/>
  <c r="AV1181" i="1" s="1"/>
  <c r="AV1182" i="1" s="1"/>
  <c r="AV1183" i="1" s="1"/>
  <c r="AV1184" i="1" s="1"/>
  <c r="AV1185" i="1" s="1"/>
  <c r="AV1186" i="1" s="1"/>
  <c r="AV1187" i="1" s="1"/>
  <c r="AV1188" i="1" s="1"/>
  <c r="AV1189" i="1" s="1"/>
  <c r="AV1190" i="1" s="1"/>
  <c r="AV1191" i="1" s="1"/>
  <c r="AV1192" i="1" s="1"/>
  <c r="AV1193" i="1" s="1"/>
  <c r="AV1194" i="1" s="1"/>
  <c r="AV1195" i="1" s="1"/>
  <c r="AV1196" i="1" s="1"/>
  <c r="AV1197" i="1" s="1"/>
  <c r="AV1198" i="1" s="1"/>
  <c r="AV1199" i="1" s="1"/>
  <c r="AV1200" i="1" s="1"/>
  <c r="AV1201" i="1" s="1"/>
  <c r="AV1202" i="1" s="1"/>
  <c r="AV1203" i="1" s="1"/>
  <c r="AV1204" i="1" s="1"/>
  <c r="AV1205" i="1" s="1"/>
  <c r="AV1206" i="1" s="1"/>
  <c r="AV1207" i="1" s="1"/>
  <c r="AV1208" i="1" s="1"/>
  <c r="AV1209" i="1" s="1"/>
  <c r="AV1210" i="1" s="1"/>
  <c r="AV1211" i="1" s="1"/>
  <c r="AV1212" i="1" s="1"/>
  <c r="AC12" i="1" l="1"/>
  <c r="A13" i="7"/>
  <c r="B12" i="7"/>
  <c r="A19" i="8"/>
  <c r="I8" i="1"/>
  <c r="L128" i="6"/>
  <c r="M128" i="6"/>
  <c r="L129" i="6"/>
  <c r="M129" i="6"/>
  <c r="L130" i="6"/>
  <c r="M130" i="6"/>
  <c r="A14" i="7" l="1"/>
  <c r="B13" i="7"/>
  <c r="A20" i="8"/>
  <c r="N49" i="6"/>
  <c r="G3" i="6"/>
  <c r="A15" i="7" l="1"/>
  <c r="B14" i="7"/>
  <c r="A21" i="8"/>
  <c r="C30" i="3"/>
  <c r="B30" i="3"/>
  <c r="A16" i="7" l="1"/>
  <c r="B15" i="7"/>
  <c r="A22" i="8"/>
  <c r="E3" i="6"/>
  <c r="D2" i="6"/>
  <c r="D3" i="6"/>
  <c r="D130" i="6"/>
  <c r="D124" i="6"/>
  <c r="D119" i="6"/>
  <c r="D114" i="6"/>
  <c r="D108" i="6"/>
  <c r="D103" i="6"/>
  <c r="D98" i="6"/>
  <c r="D92" i="6"/>
  <c r="D87" i="6"/>
  <c r="D82" i="6"/>
  <c r="D76" i="6"/>
  <c r="D71" i="6"/>
  <c r="D66" i="6"/>
  <c r="D60" i="6"/>
  <c r="D55" i="6"/>
  <c r="D50" i="6"/>
  <c r="D44" i="6"/>
  <c r="D39" i="6"/>
  <c r="D34" i="6"/>
  <c r="D28" i="6"/>
  <c r="D23" i="6"/>
  <c r="D18" i="6"/>
  <c r="D12" i="6"/>
  <c r="D7" i="6"/>
  <c r="E2" i="6"/>
  <c r="E125" i="6"/>
  <c r="E120" i="6"/>
  <c r="E115" i="6"/>
  <c r="E109" i="6"/>
  <c r="E104" i="6"/>
  <c r="E99" i="6"/>
  <c r="E93" i="6"/>
  <c r="E88" i="6"/>
  <c r="E83" i="6"/>
  <c r="E77" i="6"/>
  <c r="E72" i="6"/>
  <c r="E67" i="6"/>
  <c r="E61" i="6"/>
  <c r="E56" i="6"/>
  <c r="E51" i="6"/>
  <c r="E45" i="6"/>
  <c r="E40" i="6"/>
  <c r="E33" i="6"/>
  <c r="E25" i="6"/>
  <c r="E17" i="6"/>
  <c r="E9" i="6"/>
  <c r="D128" i="6"/>
  <c r="D123" i="6"/>
  <c r="D118" i="6"/>
  <c r="D112" i="6"/>
  <c r="D107" i="6"/>
  <c r="D102" i="6"/>
  <c r="D96" i="6"/>
  <c r="D91" i="6"/>
  <c r="D86" i="6"/>
  <c r="D80" i="6"/>
  <c r="D75" i="6"/>
  <c r="D70" i="6"/>
  <c r="D64" i="6"/>
  <c r="D59" i="6"/>
  <c r="D54" i="6"/>
  <c r="D48" i="6"/>
  <c r="D43" i="6"/>
  <c r="D38" i="6"/>
  <c r="D32" i="6"/>
  <c r="D27" i="6"/>
  <c r="D22" i="6"/>
  <c r="D16" i="6"/>
  <c r="D11" i="6"/>
  <c r="D6" i="6"/>
  <c r="E129" i="6"/>
  <c r="E124" i="6"/>
  <c r="E119" i="6"/>
  <c r="E113" i="6"/>
  <c r="E108" i="6"/>
  <c r="E103" i="6"/>
  <c r="E97" i="6"/>
  <c r="E92" i="6"/>
  <c r="E87" i="6"/>
  <c r="E81" i="6"/>
  <c r="E76" i="6"/>
  <c r="E71" i="6"/>
  <c r="E65" i="6"/>
  <c r="E60" i="6"/>
  <c r="E55" i="6"/>
  <c r="E49" i="6"/>
  <c r="E44" i="6"/>
  <c r="E39" i="6"/>
  <c r="E32" i="6"/>
  <c r="E24" i="6"/>
  <c r="E16" i="6"/>
  <c r="E8" i="6"/>
  <c r="D127" i="6"/>
  <c r="D122" i="6"/>
  <c r="D116" i="6"/>
  <c r="D111" i="6"/>
  <c r="D106" i="6"/>
  <c r="D100" i="6"/>
  <c r="D95" i="6"/>
  <c r="D90" i="6"/>
  <c r="D84" i="6"/>
  <c r="D79" i="6"/>
  <c r="D74" i="6"/>
  <c r="D68" i="6"/>
  <c r="D63" i="6"/>
  <c r="D58" i="6"/>
  <c r="D52" i="6"/>
  <c r="D47" i="6"/>
  <c r="D42" i="6"/>
  <c r="D36" i="6"/>
  <c r="D31" i="6"/>
  <c r="D26" i="6"/>
  <c r="D20" i="6"/>
  <c r="D15" i="6"/>
  <c r="D10" i="6"/>
  <c r="D4" i="6"/>
  <c r="E128" i="6"/>
  <c r="E123" i="6"/>
  <c r="E117" i="6"/>
  <c r="E112" i="6"/>
  <c r="E107" i="6"/>
  <c r="E101" i="6"/>
  <c r="E96" i="6"/>
  <c r="E91" i="6"/>
  <c r="E85" i="6"/>
  <c r="E80" i="6"/>
  <c r="E75" i="6"/>
  <c r="E69" i="6"/>
  <c r="E64" i="6"/>
  <c r="E59" i="6"/>
  <c r="E53" i="6"/>
  <c r="E48" i="6"/>
  <c r="E43" i="6"/>
  <c r="E37" i="6"/>
  <c r="E29" i="6"/>
  <c r="E21" i="6"/>
  <c r="E13" i="6"/>
  <c r="E5" i="6"/>
  <c r="D126" i="6"/>
  <c r="D120" i="6"/>
  <c r="D115" i="6"/>
  <c r="D110" i="6"/>
  <c r="D104" i="6"/>
  <c r="D99" i="6"/>
  <c r="D94" i="6"/>
  <c r="D88" i="6"/>
  <c r="D83" i="6"/>
  <c r="D78" i="6"/>
  <c r="D72" i="6"/>
  <c r="D67" i="6"/>
  <c r="D62" i="6"/>
  <c r="D56" i="6"/>
  <c r="D51" i="6"/>
  <c r="D46" i="6"/>
  <c r="D40" i="6"/>
  <c r="D35" i="6"/>
  <c r="D30" i="6"/>
  <c r="D24" i="6"/>
  <c r="D19" i="6"/>
  <c r="D14" i="6"/>
  <c r="D8" i="6"/>
  <c r="E127" i="6"/>
  <c r="E121" i="6"/>
  <c r="E116" i="6"/>
  <c r="E111" i="6"/>
  <c r="E105" i="6"/>
  <c r="E100" i="6"/>
  <c r="E95" i="6"/>
  <c r="E89" i="6"/>
  <c r="E84" i="6"/>
  <c r="E79" i="6"/>
  <c r="E73" i="6"/>
  <c r="E68" i="6"/>
  <c r="E63" i="6"/>
  <c r="E57" i="6"/>
  <c r="E52" i="6"/>
  <c r="E47" i="6"/>
  <c r="E41" i="6"/>
  <c r="E36" i="6"/>
  <c r="E28" i="6"/>
  <c r="E20" i="6"/>
  <c r="E12" i="6"/>
  <c r="E4" i="6"/>
  <c r="D129" i="6"/>
  <c r="D125" i="6"/>
  <c r="D121" i="6"/>
  <c r="D117" i="6"/>
  <c r="D113" i="6"/>
  <c r="D109" i="6"/>
  <c r="D105" i="6"/>
  <c r="D101" i="6"/>
  <c r="D97" i="6"/>
  <c r="D93" i="6"/>
  <c r="D89" i="6"/>
  <c r="D85" i="6"/>
  <c r="D81" i="6"/>
  <c r="D77" i="6"/>
  <c r="D73" i="6"/>
  <c r="D69" i="6"/>
  <c r="D65" i="6"/>
  <c r="D61" i="6"/>
  <c r="D57" i="6"/>
  <c r="D53" i="6"/>
  <c r="D49" i="6"/>
  <c r="D45" i="6"/>
  <c r="D41" i="6"/>
  <c r="D37" i="6"/>
  <c r="D33" i="6"/>
  <c r="D29" i="6"/>
  <c r="D25" i="6"/>
  <c r="D21" i="6"/>
  <c r="D17" i="6"/>
  <c r="D13" i="6"/>
  <c r="D9" i="6"/>
  <c r="D5" i="6"/>
  <c r="E130" i="6"/>
  <c r="E126" i="6"/>
  <c r="E122" i="6"/>
  <c r="E118" i="6"/>
  <c r="E114" i="6"/>
  <c r="E110" i="6"/>
  <c r="E106" i="6"/>
  <c r="E102" i="6"/>
  <c r="E98" i="6"/>
  <c r="E94" i="6"/>
  <c r="E90" i="6"/>
  <c r="E86" i="6"/>
  <c r="E82" i="6"/>
  <c r="E78" i="6"/>
  <c r="E74" i="6"/>
  <c r="E70" i="6"/>
  <c r="E66" i="6"/>
  <c r="E62" i="6"/>
  <c r="E58" i="6"/>
  <c r="E54" i="6"/>
  <c r="E50" i="6"/>
  <c r="E46" i="6"/>
  <c r="E42" i="6"/>
  <c r="E38" i="6"/>
  <c r="E34" i="6"/>
  <c r="E30" i="6"/>
  <c r="E26" i="6"/>
  <c r="E22" i="6"/>
  <c r="E18" i="6"/>
  <c r="E14" i="6"/>
  <c r="E10" i="6"/>
  <c r="E6" i="6"/>
  <c r="E35" i="6"/>
  <c r="E31" i="6"/>
  <c r="E27" i="6"/>
  <c r="E23" i="6"/>
  <c r="E19" i="6"/>
  <c r="E15" i="6"/>
  <c r="E11" i="6"/>
  <c r="E7" i="6"/>
  <c r="P8" i="3"/>
  <c r="O8" i="3"/>
  <c r="P7" i="3"/>
  <c r="F3" i="6"/>
  <c r="A17" i="7" l="1"/>
  <c r="B16" i="7"/>
  <c r="A23" i="8"/>
  <c r="F4" i="6"/>
  <c r="G4" i="6"/>
  <c r="A18" i="7" l="1"/>
  <c r="B17" i="7"/>
  <c r="A24" i="8"/>
  <c r="F5" i="6"/>
  <c r="G5" i="6"/>
  <c r="A19" i="7" l="1"/>
  <c r="B18" i="7"/>
  <c r="A25" i="8"/>
  <c r="G6" i="6"/>
  <c r="F6" i="6"/>
  <c r="A20" i="7" l="1"/>
  <c r="B19" i="7"/>
  <c r="A26" i="8"/>
  <c r="F7" i="6"/>
  <c r="G7" i="6"/>
  <c r="A21" i="7" l="1"/>
  <c r="B20" i="7"/>
  <c r="A27" i="8"/>
  <c r="G8" i="6"/>
  <c r="F8" i="6"/>
  <c r="A22" i="7" l="1"/>
  <c r="B21" i="7"/>
  <c r="A28" i="8"/>
  <c r="G9" i="6"/>
  <c r="F9" i="6"/>
  <c r="A23" i="7" l="1"/>
  <c r="B22" i="7"/>
  <c r="A29" i="8"/>
  <c r="F10" i="6"/>
  <c r="F11" i="6" s="1"/>
  <c r="G10" i="6"/>
  <c r="A24" i="7" l="1"/>
  <c r="B23" i="7"/>
  <c r="A30" i="8"/>
  <c r="G11" i="6"/>
  <c r="A25" i="7" l="1"/>
  <c r="B24" i="7"/>
  <c r="A31" i="8"/>
  <c r="F12" i="6"/>
  <c r="G12" i="6"/>
  <c r="A26" i="7" l="1"/>
  <c r="B25" i="7"/>
  <c r="A32" i="8"/>
  <c r="F13" i="6"/>
  <c r="G13" i="6"/>
  <c r="A27" i="7" l="1"/>
  <c r="B26" i="7"/>
  <c r="A33" i="8"/>
  <c r="G14" i="6"/>
  <c r="F14" i="6"/>
  <c r="A28" i="7" l="1"/>
  <c r="B27" i="7"/>
  <c r="A34" i="8"/>
  <c r="G15" i="6"/>
  <c r="F15" i="6"/>
  <c r="A29" i="7" l="1"/>
  <c r="B28" i="7"/>
  <c r="A35" i="8"/>
  <c r="F16" i="6"/>
  <c r="G16" i="6"/>
  <c r="A30" i="7" l="1"/>
  <c r="B29" i="7"/>
  <c r="A36" i="8"/>
  <c r="F17" i="6"/>
  <c r="G17" i="6"/>
  <c r="A31" i="7" l="1"/>
  <c r="B30" i="7"/>
  <c r="A37" i="8"/>
  <c r="F18" i="6"/>
  <c r="G18" i="6"/>
  <c r="A32" i="7" l="1"/>
  <c r="B31" i="7"/>
  <c r="A38" i="8"/>
  <c r="G19" i="6"/>
  <c r="F19" i="6"/>
  <c r="O12" i="1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J30" i="3"/>
  <c r="I30" i="3"/>
  <c r="H30" i="3"/>
  <c r="G30" i="3"/>
  <c r="F30" i="3"/>
  <c r="E30" i="3"/>
  <c r="D30" i="3"/>
  <c r="K16" i="3"/>
  <c r="J16" i="3"/>
  <c r="I16" i="3"/>
  <c r="H16" i="3"/>
  <c r="G16" i="3"/>
  <c r="F16" i="3"/>
  <c r="E16" i="3"/>
  <c r="D16" i="3"/>
  <c r="C16" i="3"/>
  <c r="B16" i="3"/>
  <c r="K8" i="3"/>
  <c r="J8" i="3"/>
  <c r="I8" i="3"/>
  <c r="H8" i="3"/>
  <c r="G8" i="3"/>
  <c r="F8" i="3"/>
  <c r="E8" i="3"/>
  <c r="D8" i="3"/>
  <c r="C8" i="3"/>
  <c r="B8" i="3"/>
  <c r="B3" i="3"/>
  <c r="A12" i="1"/>
  <c r="A33" i="7" l="1"/>
  <c r="B32" i="7"/>
  <c r="A39" i="8"/>
  <c r="A66" i="4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W12" i="1"/>
  <c r="AK12" i="1"/>
  <c r="AM13" i="1"/>
  <c r="A13" i="1"/>
  <c r="AK13" i="1" s="1"/>
  <c r="G20" i="6"/>
  <c r="F20" i="6"/>
  <c r="B13" i="1"/>
  <c r="AG13" i="1" l="1"/>
  <c r="C13" i="1"/>
  <c r="L13" i="1"/>
  <c r="A34" i="7"/>
  <c r="B33" i="7"/>
  <c r="A40" i="8"/>
  <c r="K13" i="1"/>
  <c r="AU13" i="1"/>
  <c r="AT13" i="1" s="1"/>
  <c r="AS13" i="1" s="1"/>
  <c r="AA13" i="1"/>
  <c r="AC13" i="1" s="1"/>
  <c r="S13" i="1"/>
  <c r="AI12" i="1"/>
  <c r="AJ12" i="1" s="1"/>
  <c r="AW13" i="1"/>
  <c r="A14" i="1"/>
  <c r="AK14" i="1" s="1"/>
  <c r="G21" i="6"/>
  <c r="F21" i="6"/>
  <c r="B14" i="1"/>
  <c r="G12" i="1"/>
  <c r="J12" i="1"/>
  <c r="D12" i="1"/>
  <c r="Z13" i="1" l="1"/>
  <c r="Z12" i="1"/>
  <c r="AG14" i="1"/>
  <c r="P13" i="1"/>
  <c r="BE13" i="1" s="1"/>
  <c r="BF13" i="1" s="1"/>
  <c r="L14" i="1"/>
  <c r="A35" i="7"/>
  <c r="B34" i="7"/>
  <c r="A41" i="8"/>
  <c r="K14" i="1"/>
  <c r="AU14" i="1"/>
  <c r="J13" i="1"/>
  <c r="M13" i="1" s="1"/>
  <c r="AA14" i="1"/>
  <c r="S14" i="1"/>
  <c r="AI13" i="1"/>
  <c r="AJ13" i="1" s="1"/>
  <c r="AW14" i="1"/>
  <c r="A15" i="1"/>
  <c r="AK15" i="1" s="1"/>
  <c r="D13" i="1"/>
  <c r="E13" i="1"/>
  <c r="F22" i="6"/>
  <c r="G22" i="6"/>
  <c r="B15" i="1"/>
  <c r="C14" i="1"/>
  <c r="V13" i="1" l="1"/>
  <c r="Y13" i="1"/>
  <c r="X13" i="1" s="1"/>
  <c r="Z14" i="1"/>
  <c r="BB13" i="1" s="1"/>
  <c r="BB12" i="1"/>
  <c r="BC12" i="1" s="1"/>
  <c r="BD12" i="1" s="1"/>
  <c r="AQ13" i="1"/>
  <c r="F13" i="1"/>
  <c r="G13" i="1" s="1"/>
  <c r="H13" i="1" s="1"/>
  <c r="I13" i="1" s="1"/>
  <c r="J14" i="1"/>
  <c r="L15" i="1"/>
  <c r="AG15" i="1"/>
  <c r="A36" i="7"/>
  <c r="B35" i="7"/>
  <c r="A42" i="8"/>
  <c r="K15" i="1"/>
  <c r="AU15" i="1"/>
  <c r="AA15" i="1"/>
  <c r="S15" i="1"/>
  <c r="AI14" i="1"/>
  <c r="AJ14" i="1" s="1"/>
  <c r="AW15" i="1"/>
  <c r="AY13" i="1"/>
  <c r="A16" i="1"/>
  <c r="G23" i="6"/>
  <c r="F23" i="6"/>
  <c r="D14" i="1"/>
  <c r="E14" i="1"/>
  <c r="F14" i="1" s="1"/>
  <c r="B16" i="1"/>
  <c r="C15" i="1"/>
  <c r="AK16" i="1" l="1"/>
  <c r="AW16" i="1"/>
  <c r="AX13" i="1"/>
  <c r="U13" i="1" s="1"/>
  <c r="AL13" i="1" s="1"/>
  <c r="AN13" i="1" s="1"/>
  <c r="AO13" i="1" s="1"/>
  <c r="BC13" i="1"/>
  <c r="BD13" i="1" s="1"/>
  <c r="AE13" i="1" s="1"/>
  <c r="AF13" i="1" s="1"/>
  <c r="Q13" i="1"/>
  <c r="BA13" i="1" s="1"/>
  <c r="Z15" i="1"/>
  <c r="BB14" i="1" s="1"/>
  <c r="BC14" i="1" s="1"/>
  <c r="J15" i="1"/>
  <c r="L16" i="1"/>
  <c r="AG16" i="1"/>
  <c r="A37" i="7"/>
  <c r="B36" i="7"/>
  <c r="A43" i="8"/>
  <c r="K16" i="1"/>
  <c r="AU16" i="1"/>
  <c r="G14" i="1"/>
  <c r="H14" i="1" s="1"/>
  <c r="AA16" i="1"/>
  <c r="S16" i="1"/>
  <c r="AI15" i="1"/>
  <c r="AJ15" i="1" s="1"/>
  <c r="N13" i="1"/>
  <c r="A17" i="1"/>
  <c r="AK17" i="1" s="1"/>
  <c r="F24" i="6"/>
  <c r="G24" i="6"/>
  <c r="C16" i="1"/>
  <c r="B17" i="1"/>
  <c r="M14" i="1"/>
  <c r="E15" i="1"/>
  <c r="F15" i="1" s="1"/>
  <c r="D15" i="1"/>
  <c r="BD14" i="1" l="1"/>
  <c r="Z16" i="1"/>
  <c r="BB15" i="1" s="1"/>
  <c r="BC15" i="1" s="1"/>
  <c r="AE12" i="1"/>
  <c r="J16" i="1"/>
  <c r="L17" i="1"/>
  <c r="AG17" i="1"/>
  <c r="A38" i="7"/>
  <c r="B37" i="7"/>
  <c r="A44" i="8"/>
  <c r="K17" i="1"/>
  <c r="AU17" i="1"/>
  <c r="O13" i="1"/>
  <c r="P14" i="1" s="1"/>
  <c r="AA17" i="1"/>
  <c r="S17" i="1"/>
  <c r="G15" i="1"/>
  <c r="H15" i="1" s="1"/>
  <c r="AI16" i="1"/>
  <c r="AJ16" i="1" s="1"/>
  <c r="AW17" i="1"/>
  <c r="AC14" i="1"/>
  <c r="A18" i="1"/>
  <c r="AK18" i="1" s="1"/>
  <c r="G25" i="6"/>
  <c r="F25" i="6"/>
  <c r="B18" i="1"/>
  <c r="C17" i="1"/>
  <c r="E16" i="1"/>
  <c r="F16" i="1" s="1"/>
  <c r="D16" i="1"/>
  <c r="M15" i="1"/>
  <c r="BE14" i="1" l="1"/>
  <c r="BF14" i="1" s="1"/>
  <c r="BD15" i="1"/>
  <c r="Z17" i="1"/>
  <c r="BB16" i="1" s="1"/>
  <c r="BC16" i="1" s="1"/>
  <c r="AE14" i="1"/>
  <c r="AF12" i="1"/>
  <c r="V14" i="1"/>
  <c r="Y14" i="1"/>
  <c r="X14" i="1" s="1"/>
  <c r="AT14" i="1"/>
  <c r="AS14" i="1" s="1"/>
  <c r="AH13" i="1"/>
  <c r="J17" i="1"/>
  <c r="M17" i="1" s="1"/>
  <c r="L18" i="1"/>
  <c r="AG18" i="1"/>
  <c r="A39" i="7"/>
  <c r="B38" i="7"/>
  <c r="A45" i="8"/>
  <c r="K18" i="1"/>
  <c r="AU18" i="1"/>
  <c r="AA18" i="1"/>
  <c r="S18" i="1"/>
  <c r="G16" i="1"/>
  <c r="H16" i="1" s="1"/>
  <c r="AI17" i="1"/>
  <c r="AJ17" i="1" s="1"/>
  <c r="AM14" i="1"/>
  <c r="AW18" i="1"/>
  <c r="AC15" i="1"/>
  <c r="A19" i="1"/>
  <c r="AK19" i="1" s="1"/>
  <c r="N14" i="1"/>
  <c r="I14" i="1"/>
  <c r="G26" i="6"/>
  <c r="F26" i="6"/>
  <c r="M16" i="1"/>
  <c r="E17" i="1"/>
  <c r="F17" i="1" s="1"/>
  <c r="D17" i="1"/>
  <c r="B19" i="1"/>
  <c r="C18" i="1"/>
  <c r="Q14" i="1" l="1"/>
  <c r="Z18" i="1"/>
  <c r="BB17" i="1" s="1"/>
  <c r="BD16" i="1"/>
  <c r="AF14" i="1"/>
  <c r="AE15" i="1"/>
  <c r="AP13" i="1"/>
  <c r="J18" i="1"/>
  <c r="L19" i="1"/>
  <c r="AG19" i="1"/>
  <c r="AY14" i="1"/>
  <c r="AQ14" i="1"/>
  <c r="A40" i="7"/>
  <c r="B39" i="7"/>
  <c r="A46" i="8"/>
  <c r="K19" i="1"/>
  <c r="AU19" i="1"/>
  <c r="O14" i="1"/>
  <c r="P15" i="1" s="1"/>
  <c r="AA19" i="1"/>
  <c r="S19" i="1"/>
  <c r="G17" i="1"/>
  <c r="H17" i="1" s="1"/>
  <c r="AI18" i="1"/>
  <c r="AJ18" i="1" s="1"/>
  <c r="AW19" i="1"/>
  <c r="AC16" i="1"/>
  <c r="A20" i="1"/>
  <c r="AK20" i="1" s="1"/>
  <c r="G27" i="6"/>
  <c r="F27" i="6"/>
  <c r="B20" i="1"/>
  <c r="C19" i="1"/>
  <c r="E18" i="1"/>
  <c r="F18" i="1" s="1"/>
  <c r="D18" i="1"/>
  <c r="BC17" i="1" l="1"/>
  <c r="BD17" i="1" s="1"/>
  <c r="AX14" i="1"/>
  <c r="BE15" i="1"/>
  <c r="BF15" i="1" s="1"/>
  <c r="Z19" i="1"/>
  <c r="BB18" i="1" s="1"/>
  <c r="AE16" i="1"/>
  <c r="V15" i="1"/>
  <c r="Y15" i="1"/>
  <c r="X15" i="1" s="1"/>
  <c r="AF15" i="1" s="1"/>
  <c r="J19" i="1"/>
  <c r="L20" i="1"/>
  <c r="AG20" i="1"/>
  <c r="BA14" i="1"/>
  <c r="A41" i="7"/>
  <c r="B40" i="7"/>
  <c r="A47" i="8"/>
  <c r="K20" i="1"/>
  <c r="AU20" i="1"/>
  <c r="AT15" i="1"/>
  <c r="AS15" i="1" s="1"/>
  <c r="AA20" i="1"/>
  <c r="S20" i="1"/>
  <c r="G18" i="1"/>
  <c r="H18" i="1" s="1"/>
  <c r="AI19" i="1"/>
  <c r="AJ19" i="1" s="1"/>
  <c r="AW20" i="1"/>
  <c r="AM15" i="1"/>
  <c r="AC17" i="1"/>
  <c r="A21" i="1"/>
  <c r="AK21" i="1" s="1"/>
  <c r="I15" i="1"/>
  <c r="N15" i="1"/>
  <c r="F28" i="6"/>
  <c r="G28" i="6"/>
  <c r="D19" i="1"/>
  <c r="E19" i="1"/>
  <c r="F19" i="1" s="1"/>
  <c r="B21" i="1"/>
  <c r="C20" i="1"/>
  <c r="M18" i="1"/>
  <c r="BC18" i="1" l="1"/>
  <c r="BD18" i="1" s="1"/>
  <c r="Q15" i="1"/>
  <c r="Z20" i="1"/>
  <c r="BB19" i="1" s="1"/>
  <c r="AE17" i="1"/>
  <c r="U14" i="1"/>
  <c r="J20" i="1"/>
  <c r="L21" i="1"/>
  <c r="AG21" i="1"/>
  <c r="AY15" i="1"/>
  <c r="AQ15" i="1"/>
  <c r="O15" i="1"/>
  <c r="P16" i="1" s="1"/>
  <c r="A42" i="7"/>
  <c r="B41" i="7"/>
  <c r="A48" i="8"/>
  <c r="K21" i="1"/>
  <c r="AU21" i="1"/>
  <c r="G19" i="1"/>
  <c r="H19" i="1" s="1"/>
  <c r="AA21" i="1"/>
  <c r="S21" i="1"/>
  <c r="AI20" i="1"/>
  <c r="AJ20" i="1" s="1"/>
  <c r="AW21" i="1"/>
  <c r="AC18" i="1"/>
  <c r="A22" i="1"/>
  <c r="AK22" i="1" s="1"/>
  <c r="F29" i="6"/>
  <c r="G29" i="6"/>
  <c r="E20" i="1"/>
  <c r="F20" i="1" s="1"/>
  <c r="D20" i="1"/>
  <c r="B22" i="1"/>
  <c r="C21" i="1"/>
  <c r="M19" i="1"/>
  <c r="BC19" i="1" l="1"/>
  <c r="BD19" i="1" s="1"/>
  <c r="BE16" i="1"/>
  <c r="BF16" i="1" s="1"/>
  <c r="Z21" i="1"/>
  <c r="BB20" i="1" s="1"/>
  <c r="AH15" i="1"/>
  <c r="AE18" i="1"/>
  <c r="V16" i="1"/>
  <c r="Y16" i="1"/>
  <c r="X16" i="1" s="1"/>
  <c r="AF16" i="1" s="1"/>
  <c r="AL14" i="1"/>
  <c r="AN14" i="1" s="1"/>
  <c r="AO14" i="1" s="1"/>
  <c r="AH14" i="1"/>
  <c r="J21" i="1"/>
  <c r="L22" i="1"/>
  <c r="AG22" i="1"/>
  <c r="A43" i="7"/>
  <c r="B42" i="7"/>
  <c r="A49" i="8"/>
  <c r="K22" i="1"/>
  <c r="AU22" i="1"/>
  <c r="AT16" i="1"/>
  <c r="AS16" i="1" s="1"/>
  <c r="AA22" i="1"/>
  <c r="S22" i="1"/>
  <c r="G20" i="1"/>
  <c r="H20" i="1" s="1"/>
  <c r="AI21" i="1"/>
  <c r="AJ21" i="1" s="1"/>
  <c r="AW22" i="1"/>
  <c r="AM16" i="1"/>
  <c r="AC19" i="1"/>
  <c r="A23" i="1"/>
  <c r="AK23" i="1" s="1"/>
  <c r="I16" i="1"/>
  <c r="N16" i="1"/>
  <c r="F30" i="6"/>
  <c r="G30" i="6"/>
  <c r="E21" i="1"/>
  <c r="F21" i="1" s="1"/>
  <c r="D21" i="1"/>
  <c r="M20" i="1"/>
  <c r="B23" i="1"/>
  <c r="C22" i="1"/>
  <c r="BC20" i="1" l="1"/>
  <c r="BD20" i="1" s="1"/>
  <c r="Q16" i="1"/>
  <c r="Z22" i="1"/>
  <c r="BB21" i="1" s="1"/>
  <c r="AE19" i="1"/>
  <c r="J22" i="1"/>
  <c r="L23" i="1"/>
  <c r="AG23" i="1"/>
  <c r="AY16" i="1"/>
  <c r="AQ16" i="1"/>
  <c r="A44" i="7"/>
  <c r="B43" i="7"/>
  <c r="K23" i="1"/>
  <c r="AU23" i="1"/>
  <c r="O16" i="1"/>
  <c r="AA23" i="1"/>
  <c r="S23" i="1"/>
  <c r="G21" i="1"/>
  <c r="H21" i="1" s="1"/>
  <c r="AI22" i="1"/>
  <c r="AJ22" i="1" s="1"/>
  <c r="AW23" i="1"/>
  <c r="AC20" i="1"/>
  <c r="A24" i="1"/>
  <c r="G31" i="6"/>
  <c r="F31" i="6"/>
  <c r="E22" i="1"/>
  <c r="F22" i="1" s="1"/>
  <c r="D22" i="1"/>
  <c r="B24" i="1"/>
  <c r="C23" i="1"/>
  <c r="M21" i="1"/>
  <c r="Z23" i="1" l="1"/>
  <c r="BB22" i="1" s="1"/>
  <c r="BC22" i="1" s="1"/>
  <c r="BD22" i="1" s="1"/>
  <c r="BC21" i="1"/>
  <c r="BD21" i="1" s="1"/>
  <c r="BF24" i="1"/>
  <c r="AE20" i="1"/>
  <c r="N17" i="1"/>
  <c r="P17" i="1"/>
  <c r="J23" i="1"/>
  <c r="L24" i="1"/>
  <c r="AG24" i="1"/>
  <c r="BA15" i="1"/>
  <c r="A45" i="7"/>
  <c r="B44" i="7"/>
  <c r="K24" i="1"/>
  <c r="AU24" i="1"/>
  <c r="AT17" i="1"/>
  <c r="AS17" i="1" s="1"/>
  <c r="AA24" i="1"/>
  <c r="S24" i="1"/>
  <c r="G22" i="1"/>
  <c r="H22" i="1" s="1"/>
  <c r="AK24" i="1"/>
  <c r="AP24" i="1"/>
  <c r="AI23" i="1"/>
  <c r="AJ23" i="1" s="1"/>
  <c r="AW24" i="1"/>
  <c r="AM17" i="1"/>
  <c r="AC21" i="1"/>
  <c r="A25" i="1"/>
  <c r="AK25" i="1" s="1"/>
  <c r="I17" i="1"/>
  <c r="G32" i="6"/>
  <c r="F32" i="6"/>
  <c r="M22" i="1"/>
  <c r="B25" i="1"/>
  <c r="C24" i="1"/>
  <c r="E23" i="1"/>
  <c r="F23" i="1" s="1"/>
  <c r="D23" i="1"/>
  <c r="Z24" i="1" l="1"/>
  <c r="BB23" i="1" s="1"/>
  <c r="BC23" i="1"/>
  <c r="BD23" i="1" s="1"/>
  <c r="BE17" i="1"/>
  <c r="BF17" i="1" s="1"/>
  <c r="Q17" i="1" s="1"/>
  <c r="BF25" i="1"/>
  <c r="AE21" i="1"/>
  <c r="V17" i="1"/>
  <c r="Y17" i="1"/>
  <c r="X17" i="1" s="1"/>
  <c r="AF17" i="1" s="1"/>
  <c r="AP14" i="1"/>
  <c r="AX15" i="1" s="1"/>
  <c r="J24" i="1"/>
  <c r="L25" i="1"/>
  <c r="AG25" i="1"/>
  <c r="AH16" i="1"/>
  <c r="AY17" i="1"/>
  <c r="AQ17" i="1"/>
  <c r="A46" i="7"/>
  <c r="B45" i="7"/>
  <c r="K25" i="1"/>
  <c r="AU25" i="1"/>
  <c r="O17" i="1"/>
  <c r="P18" i="1" s="1"/>
  <c r="G23" i="1"/>
  <c r="H23" i="1" s="1"/>
  <c r="AA25" i="1"/>
  <c r="S25" i="1"/>
  <c r="AI24" i="1"/>
  <c r="AJ24" i="1" s="1"/>
  <c r="AW25" i="1"/>
  <c r="AC22" i="1"/>
  <c r="Z25" i="1"/>
  <c r="BB24" i="1" s="1"/>
  <c r="A26" i="1"/>
  <c r="AK26" i="1" s="1"/>
  <c r="F33" i="6"/>
  <c r="G33" i="6"/>
  <c r="M23" i="1"/>
  <c r="E24" i="1"/>
  <c r="F24" i="1" s="1"/>
  <c r="D24" i="1"/>
  <c r="B26" i="1"/>
  <c r="C25" i="1"/>
  <c r="BC24" i="1" l="1"/>
  <c r="BD24" i="1" s="1"/>
  <c r="BE18" i="1"/>
  <c r="BF18" i="1" s="1"/>
  <c r="BF26" i="1"/>
  <c r="AE22" i="1"/>
  <c r="V18" i="1"/>
  <c r="Y18" i="1"/>
  <c r="X18" i="1" s="1"/>
  <c r="AF18" i="1" s="1"/>
  <c r="J25" i="1"/>
  <c r="L26" i="1"/>
  <c r="AG26" i="1"/>
  <c r="BA16" i="1"/>
  <c r="A47" i="7"/>
  <c r="B46" i="7"/>
  <c r="K26" i="1"/>
  <c r="AU26" i="1"/>
  <c r="AT18" i="1"/>
  <c r="AS18" i="1" s="1"/>
  <c r="AA26" i="1"/>
  <c r="S26" i="1"/>
  <c r="G24" i="1"/>
  <c r="H24" i="1" s="1"/>
  <c r="AI25" i="1"/>
  <c r="AJ25" i="1" s="1"/>
  <c r="AW26" i="1"/>
  <c r="AM18" i="1"/>
  <c r="Z26" i="1"/>
  <c r="BB25" i="1" s="1"/>
  <c r="AC23" i="1"/>
  <c r="I18" i="1"/>
  <c r="N18" i="1"/>
  <c r="A27" i="1"/>
  <c r="AK27" i="1" s="1"/>
  <c r="F34" i="6"/>
  <c r="G34" i="6"/>
  <c r="B27" i="1"/>
  <c r="C26" i="1"/>
  <c r="M24" i="1"/>
  <c r="E25" i="1"/>
  <c r="F25" i="1" s="1"/>
  <c r="D25" i="1"/>
  <c r="Q18" i="1" l="1"/>
  <c r="BC25" i="1"/>
  <c r="BD25" i="1" s="1"/>
  <c r="BF27" i="1"/>
  <c r="AE23" i="1"/>
  <c r="U15" i="1"/>
  <c r="J26" i="1"/>
  <c r="L27" i="1"/>
  <c r="AG27" i="1"/>
  <c r="AH17" i="1"/>
  <c r="AY18" i="1"/>
  <c r="AQ18" i="1"/>
  <c r="A48" i="7"/>
  <c r="B47" i="7"/>
  <c r="K27" i="1"/>
  <c r="AU27" i="1"/>
  <c r="O18" i="1"/>
  <c r="P19" i="1" s="1"/>
  <c r="G25" i="1"/>
  <c r="H25" i="1" s="1"/>
  <c r="AA27" i="1"/>
  <c r="S27" i="1"/>
  <c r="AI26" i="1"/>
  <c r="AJ26" i="1" s="1"/>
  <c r="AW27" i="1"/>
  <c r="Z27" i="1"/>
  <c r="BB26" i="1" s="1"/>
  <c r="AC24" i="1"/>
  <c r="A28" i="1"/>
  <c r="AK28" i="1" s="1"/>
  <c r="G35" i="6"/>
  <c r="F35" i="6"/>
  <c r="B28" i="1"/>
  <c r="C27" i="1"/>
  <c r="E26" i="1"/>
  <c r="F26" i="1" s="1"/>
  <c r="D26" i="1"/>
  <c r="M25" i="1"/>
  <c r="BC26" i="1" l="1"/>
  <c r="BD26" i="1" s="1"/>
  <c r="BE19" i="1"/>
  <c r="BF19" i="1" s="1"/>
  <c r="BF28" i="1"/>
  <c r="AE24" i="1"/>
  <c r="V19" i="1"/>
  <c r="Y19" i="1"/>
  <c r="X19" i="1" s="1"/>
  <c r="AF19" i="1" s="1"/>
  <c r="AL15" i="1"/>
  <c r="AN15" i="1" s="1"/>
  <c r="AO15" i="1" s="1"/>
  <c r="J27" i="1"/>
  <c r="L28" i="1"/>
  <c r="AH18" i="1"/>
  <c r="BA17" i="1"/>
  <c r="A49" i="7"/>
  <c r="B48" i="7"/>
  <c r="K28" i="1"/>
  <c r="AU28" i="1"/>
  <c r="AT19" i="1"/>
  <c r="AS19" i="1" s="1"/>
  <c r="AA28" i="1"/>
  <c r="S28" i="1"/>
  <c r="G26" i="1"/>
  <c r="H26" i="1" s="1"/>
  <c r="AI27" i="1"/>
  <c r="AJ27" i="1" s="1"/>
  <c r="AW28" i="1"/>
  <c r="AM19" i="1"/>
  <c r="I19" i="1"/>
  <c r="N19" i="1"/>
  <c r="AC25" i="1"/>
  <c r="Z28" i="1"/>
  <c r="BB27" i="1" s="1"/>
  <c r="C28" i="1"/>
  <c r="A29" i="1"/>
  <c r="AK29" i="1" s="1"/>
  <c r="F36" i="6"/>
  <c r="G36" i="6"/>
  <c r="E27" i="1"/>
  <c r="F27" i="1" s="1"/>
  <c r="D27" i="1"/>
  <c r="M26" i="1"/>
  <c r="B29" i="1"/>
  <c r="Q19" i="1" l="1"/>
  <c r="BC27" i="1"/>
  <c r="BD27" i="1" s="1"/>
  <c r="BF29" i="1"/>
  <c r="AP15" i="1"/>
  <c r="AX16" i="1" s="1"/>
  <c r="AE25" i="1"/>
  <c r="J28" i="1"/>
  <c r="L29" i="1"/>
  <c r="AY19" i="1"/>
  <c r="AQ19" i="1"/>
  <c r="A50" i="7"/>
  <c r="B49" i="7"/>
  <c r="K29" i="1"/>
  <c r="AU29" i="1"/>
  <c r="O19" i="1"/>
  <c r="AA29" i="1"/>
  <c r="S29" i="1"/>
  <c r="G27" i="1"/>
  <c r="H27" i="1" s="1"/>
  <c r="AI28" i="1"/>
  <c r="AJ28" i="1" s="1"/>
  <c r="AW29" i="1"/>
  <c r="Z29" i="1"/>
  <c r="BB28" i="1" s="1"/>
  <c r="AC26" i="1"/>
  <c r="A30" i="1"/>
  <c r="AK30" i="1" s="1"/>
  <c r="G37" i="6"/>
  <c r="F37" i="6"/>
  <c r="E28" i="1"/>
  <c r="F28" i="1" s="1"/>
  <c r="D28" i="1"/>
  <c r="B30" i="1"/>
  <c r="C29" i="1"/>
  <c r="M27" i="1"/>
  <c r="BC28" i="1" l="1"/>
  <c r="BD28" i="1" s="1"/>
  <c r="BF30" i="1"/>
  <c r="AE26" i="1"/>
  <c r="AT20" i="1"/>
  <c r="AS20" i="1" s="1"/>
  <c r="P20" i="1"/>
  <c r="J29" i="1"/>
  <c r="L30" i="1"/>
  <c r="BA18" i="1"/>
  <c r="A51" i="7"/>
  <c r="B50" i="7"/>
  <c r="K30" i="1"/>
  <c r="AU30" i="1"/>
  <c r="G28" i="1"/>
  <c r="H28" i="1" s="1"/>
  <c r="AA30" i="1"/>
  <c r="S30" i="1"/>
  <c r="AI29" i="1"/>
  <c r="AJ29" i="1" s="1"/>
  <c r="N20" i="1"/>
  <c r="I20" i="1"/>
  <c r="AW30" i="1"/>
  <c r="AM20" i="1"/>
  <c r="AC27" i="1"/>
  <c r="Z30" i="1"/>
  <c r="BB29" i="1" s="1"/>
  <c r="A31" i="1"/>
  <c r="AK31" i="1" s="1"/>
  <c r="F38" i="6"/>
  <c r="G38" i="6"/>
  <c r="E29" i="1"/>
  <c r="F29" i="1" s="1"/>
  <c r="D29" i="1"/>
  <c r="B31" i="1"/>
  <c r="C30" i="1"/>
  <c r="M28" i="1"/>
  <c r="BC29" i="1" l="1"/>
  <c r="BD29" i="1" s="1"/>
  <c r="BE20" i="1"/>
  <c r="BF20" i="1" s="1"/>
  <c r="Q20" i="1" s="1"/>
  <c r="BF31" i="1"/>
  <c r="AE27" i="1"/>
  <c r="V20" i="1"/>
  <c r="Y20" i="1"/>
  <c r="X20" i="1" s="1"/>
  <c r="AF20" i="1" s="1"/>
  <c r="J30" i="1"/>
  <c r="L31" i="1"/>
  <c r="AY20" i="1"/>
  <c r="AH19" i="1"/>
  <c r="AQ20" i="1"/>
  <c r="A52" i="7"/>
  <c r="B51" i="7"/>
  <c r="K31" i="1"/>
  <c r="AU31" i="1"/>
  <c r="O20" i="1"/>
  <c r="P21" i="1" s="1"/>
  <c r="AA31" i="1"/>
  <c r="S31" i="1"/>
  <c r="G29" i="1"/>
  <c r="H29" i="1" s="1"/>
  <c r="AI30" i="1"/>
  <c r="AJ30" i="1" s="1"/>
  <c r="AW31" i="1"/>
  <c r="AC28" i="1"/>
  <c r="Z31" i="1"/>
  <c r="BB30" i="1" s="1"/>
  <c r="A32" i="1"/>
  <c r="AK32" i="1" s="1"/>
  <c r="G39" i="6"/>
  <c r="F39" i="6"/>
  <c r="D30" i="1"/>
  <c r="E30" i="1"/>
  <c r="F30" i="1" s="1"/>
  <c r="M29" i="1"/>
  <c r="B32" i="1"/>
  <c r="C31" i="1"/>
  <c r="BC30" i="1" l="1"/>
  <c r="BD30" i="1" s="1"/>
  <c r="BE21" i="1"/>
  <c r="BF21" i="1" s="1"/>
  <c r="BF32" i="1"/>
  <c r="AE28" i="1"/>
  <c r="V21" i="1"/>
  <c r="Y21" i="1"/>
  <c r="X21" i="1" s="1"/>
  <c r="AF21" i="1" s="1"/>
  <c r="J31" i="1"/>
  <c r="L32" i="1"/>
  <c r="AH20" i="1"/>
  <c r="BA19" i="1"/>
  <c r="A53" i="7"/>
  <c r="B52" i="7"/>
  <c r="K32" i="1"/>
  <c r="AU32" i="1"/>
  <c r="AT21" i="1"/>
  <c r="AS21" i="1" s="1"/>
  <c r="AA32" i="1"/>
  <c r="S32" i="1"/>
  <c r="G30" i="1"/>
  <c r="H30" i="1" s="1"/>
  <c r="I21" i="1"/>
  <c r="N21" i="1"/>
  <c r="AI31" i="1"/>
  <c r="AJ31" i="1" s="1"/>
  <c r="AM21" i="1"/>
  <c r="AW32" i="1"/>
  <c r="AC29" i="1"/>
  <c r="Z32" i="1"/>
  <c r="BB31" i="1" s="1"/>
  <c r="A33" i="1"/>
  <c r="AK33" i="1" s="1"/>
  <c r="G40" i="6"/>
  <c r="F40" i="6"/>
  <c r="C32" i="1"/>
  <c r="B33" i="1"/>
  <c r="E31" i="1"/>
  <c r="F31" i="1" s="1"/>
  <c r="D31" i="1"/>
  <c r="M30" i="1"/>
  <c r="BC31" i="1" l="1"/>
  <c r="BD31" i="1" s="1"/>
  <c r="Q21" i="1"/>
  <c r="BF33" i="1"/>
  <c r="AE29" i="1"/>
  <c r="U16" i="1"/>
  <c r="J32" i="1"/>
  <c r="L33" i="1"/>
  <c r="AY21" i="1"/>
  <c r="AQ21" i="1"/>
  <c r="A54" i="7"/>
  <c r="B53" i="7"/>
  <c r="K33" i="1"/>
  <c r="AU33" i="1"/>
  <c r="O21" i="1"/>
  <c r="P22" i="1" s="1"/>
  <c r="G31" i="1"/>
  <c r="H31" i="1" s="1"/>
  <c r="AA33" i="1"/>
  <c r="S33" i="1"/>
  <c r="AI32" i="1"/>
  <c r="AJ32" i="1" s="1"/>
  <c r="AW33" i="1"/>
  <c r="AC30" i="1"/>
  <c r="Z33" i="1"/>
  <c r="BB32" i="1" s="1"/>
  <c r="A34" i="1"/>
  <c r="AK34" i="1" s="1"/>
  <c r="G41" i="6"/>
  <c r="F41" i="6"/>
  <c r="M31" i="1"/>
  <c r="C33" i="1"/>
  <c r="B34" i="1"/>
  <c r="E32" i="1"/>
  <c r="F32" i="1" s="1"/>
  <c r="D32" i="1"/>
  <c r="BC32" i="1" l="1"/>
  <c r="BD32" i="1" s="1"/>
  <c r="BE22" i="1"/>
  <c r="BF22" i="1" s="1"/>
  <c r="BF34" i="1"/>
  <c r="AE30" i="1"/>
  <c r="V22" i="1"/>
  <c r="Y22" i="1"/>
  <c r="X22" i="1" s="1"/>
  <c r="AF22" i="1" s="1"/>
  <c r="AL16" i="1"/>
  <c r="J33" i="1"/>
  <c r="L34" i="1"/>
  <c r="BA20" i="1"/>
  <c r="A55" i="7"/>
  <c r="B54" i="7"/>
  <c r="K34" i="1"/>
  <c r="AU34" i="1"/>
  <c r="AT22" i="1"/>
  <c r="AS22" i="1" s="1"/>
  <c r="G32" i="1"/>
  <c r="H32" i="1" s="1"/>
  <c r="AA34" i="1"/>
  <c r="S34" i="1"/>
  <c r="I22" i="1"/>
  <c r="AM22" i="1"/>
  <c r="N22" i="1"/>
  <c r="AI33" i="1"/>
  <c r="AJ33" i="1" s="1"/>
  <c r="AW34" i="1"/>
  <c r="Z34" i="1"/>
  <c r="BB33" i="1" s="1"/>
  <c r="AC31" i="1"/>
  <c r="A35" i="1"/>
  <c r="AK35" i="1" s="1"/>
  <c r="G42" i="6"/>
  <c r="F42" i="6"/>
  <c r="E33" i="1"/>
  <c r="F33" i="1" s="1"/>
  <c r="D33" i="1"/>
  <c r="M32" i="1"/>
  <c r="C34" i="1"/>
  <c r="B35" i="1"/>
  <c r="Q22" i="1" l="1"/>
  <c r="BC33" i="1"/>
  <c r="BD33" i="1" s="1"/>
  <c r="BF35" i="1"/>
  <c r="AE31" i="1"/>
  <c r="AN16" i="1"/>
  <c r="J34" i="1"/>
  <c r="L35" i="1"/>
  <c r="AH21" i="1"/>
  <c r="AY22" i="1"/>
  <c r="AQ22" i="1"/>
  <c r="A56" i="7"/>
  <c r="B55" i="7"/>
  <c r="K35" i="1"/>
  <c r="AU35" i="1"/>
  <c r="O22" i="1"/>
  <c r="P23" i="1" s="1"/>
  <c r="AA35" i="1"/>
  <c r="S35" i="1"/>
  <c r="G33" i="1"/>
  <c r="H33" i="1" s="1"/>
  <c r="AI34" i="1"/>
  <c r="AJ34" i="1" s="1"/>
  <c r="AW35" i="1"/>
  <c r="AC32" i="1"/>
  <c r="Z35" i="1"/>
  <c r="BB34" i="1" s="1"/>
  <c r="A36" i="1"/>
  <c r="G43" i="6"/>
  <c r="F43" i="6"/>
  <c r="C35" i="1"/>
  <c r="B36" i="1"/>
  <c r="M33" i="1"/>
  <c r="E34" i="1"/>
  <c r="F34" i="1" s="1"/>
  <c r="D34" i="1"/>
  <c r="BC34" i="1" l="1"/>
  <c r="BD34" i="1" s="1"/>
  <c r="BE23" i="1"/>
  <c r="BF23" i="1" s="1"/>
  <c r="BF36" i="1"/>
  <c r="AE32" i="1"/>
  <c r="V23" i="1"/>
  <c r="Y23" i="1"/>
  <c r="X23" i="1" s="1"/>
  <c r="AF23" i="1" s="1"/>
  <c r="AO16" i="1"/>
  <c r="J35" i="1"/>
  <c r="L36" i="1"/>
  <c r="BA21" i="1"/>
  <c r="A57" i="7"/>
  <c r="B56" i="7"/>
  <c r="K36" i="1"/>
  <c r="AU36" i="1"/>
  <c r="AT23" i="1"/>
  <c r="AS23" i="1" s="1"/>
  <c r="AM23" i="1"/>
  <c r="AA36" i="1"/>
  <c r="S36" i="1"/>
  <c r="I23" i="1"/>
  <c r="G34" i="1"/>
  <c r="H34" i="1" s="1"/>
  <c r="N23" i="1"/>
  <c r="AK36" i="1"/>
  <c r="AP36" i="1"/>
  <c r="AI35" i="1"/>
  <c r="AJ35" i="1" s="1"/>
  <c r="AW36" i="1"/>
  <c r="AC33" i="1"/>
  <c r="Z36" i="1"/>
  <c r="BB35" i="1" s="1"/>
  <c r="A37" i="1"/>
  <c r="AK37" i="1" s="1"/>
  <c r="G44" i="6"/>
  <c r="F44" i="6"/>
  <c r="C36" i="1"/>
  <c r="B37" i="1"/>
  <c r="M34" i="1"/>
  <c r="D35" i="1"/>
  <c r="E35" i="1"/>
  <c r="F35" i="1" s="1"/>
  <c r="Q23" i="1" l="1"/>
  <c r="BC35" i="1"/>
  <c r="BD35" i="1" s="1"/>
  <c r="BF37" i="1"/>
  <c r="AE33" i="1"/>
  <c r="AP16" i="1"/>
  <c r="AX17" i="1" s="1"/>
  <c r="J36" i="1"/>
  <c r="L37" i="1"/>
  <c r="AH22" i="1"/>
  <c r="AY23" i="1"/>
  <c r="AQ23" i="1"/>
  <c r="A58" i="7"/>
  <c r="B57" i="7"/>
  <c r="K37" i="1"/>
  <c r="AU37" i="1"/>
  <c r="O23" i="1"/>
  <c r="G35" i="1"/>
  <c r="H35" i="1" s="1"/>
  <c r="AA37" i="1"/>
  <c r="S37" i="1"/>
  <c r="AI36" i="1"/>
  <c r="AJ36" i="1" s="1"/>
  <c r="AW37" i="1"/>
  <c r="AC34" i="1"/>
  <c r="Z37" i="1"/>
  <c r="BB36" i="1" s="1"/>
  <c r="A38" i="1"/>
  <c r="AK38" i="1" s="1"/>
  <c r="G45" i="6"/>
  <c r="F45" i="6"/>
  <c r="C37" i="1"/>
  <c r="B38" i="1"/>
  <c r="M35" i="1"/>
  <c r="E36" i="1"/>
  <c r="F36" i="1" s="1"/>
  <c r="D36" i="1"/>
  <c r="BC36" i="1" l="1"/>
  <c r="BD36" i="1" s="1"/>
  <c r="BF38" i="1"/>
  <c r="AE34" i="1"/>
  <c r="N24" i="1"/>
  <c r="P24" i="1"/>
  <c r="BE24" i="1" s="1"/>
  <c r="J37" i="1"/>
  <c r="L38" i="1"/>
  <c r="AH23" i="1"/>
  <c r="BA22" i="1"/>
  <c r="A59" i="7"/>
  <c r="B58" i="7"/>
  <c r="K38" i="1"/>
  <c r="AU38" i="1"/>
  <c r="AM24" i="1"/>
  <c r="I24" i="1"/>
  <c r="Q24" i="1" s="1"/>
  <c r="AT24" i="1"/>
  <c r="AS24" i="1" s="1"/>
  <c r="AA38" i="1"/>
  <c r="S38" i="1"/>
  <c r="G36" i="1"/>
  <c r="H36" i="1" s="1"/>
  <c r="AI37" i="1"/>
  <c r="AJ37" i="1" s="1"/>
  <c r="AW38" i="1"/>
  <c r="Z38" i="1"/>
  <c r="BB37" i="1" s="1"/>
  <c r="AC35" i="1"/>
  <c r="A39" i="1"/>
  <c r="AK39" i="1" s="1"/>
  <c r="F46" i="6"/>
  <c r="G46" i="6"/>
  <c r="M36" i="1"/>
  <c r="C38" i="1"/>
  <c r="B39" i="1"/>
  <c r="E37" i="1"/>
  <c r="F37" i="1" s="1"/>
  <c r="D37" i="1"/>
  <c r="BC37" i="1" l="1"/>
  <c r="BD37" i="1" s="1"/>
  <c r="BF39" i="1"/>
  <c r="AY24" i="1"/>
  <c r="AE35" i="1"/>
  <c r="V24" i="1"/>
  <c r="Y24" i="1"/>
  <c r="X24" i="1" s="1"/>
  <c r="AF24" i="1" s="1"/>
  <c r="U17" i="1"/>
  <c r="J38" i="1"/>
  <c r="L39" i="1"/>
  <c r="AQ24" i="1"/>
  <c r="A60" i="7"/>
  <c r="B59" i="7"/>
  <c r="K39" i="1"/>
  <c r="AU39" i="1"/>
  <c r="O24" i="1"/>
  <c r="AA39" i="1"/>
  <c r="S39" i="1"/>
  <c r="G37" i="1"/>
  <c r="H37" i="1" s="1"/>
  <c r="AI38" i="1"/>
  <c r="AJ38" i="1" s="1"/>
  <c r="AW39" i="1"/>
  <c r="AC36" i="1"/>
  <c r="Z39" i="1"/>
  <c r="BB38" i="1" s="1"/>
  <c r="A40" i="1"/>
  <c r="AK40" i="1" s="1"/>
  <c r="G47" i="6"/>
  <c r="F47" i="6"/>
  <c r="M37" i="1"/>
  <c r="C39" i="1"/>
  <c r="B40" i="1"/>
  <c r="E38" i="1"/>
  <c r="F38" i="1" s="1"/>
  <c r="D38" i="1"/>
  <c r="BC38" i="1" l="1"/>
  <c r="BD38" i="1" s="1"/>
  <c r="BF40" i="1"/>
  <c r="AE36" i="1"/>
  <c r="AL17" i="1"/>
  <c r="AT25" i="1"/>
  <c r="AS25" i="1" s="1"/>
  <c r="P25" i="1"/>
  <c r="BE25" i="1" s="1"/>
  <c r="J39" i="1"/>
  <c r="L40" i="1"/>
  <c r="BA23" i="1"/>
  <c r="AH24" i="1"/>
  <c r="A61" i="7"/>
  <c r="B60" i="7"/>
  <c r="K40" i="1"/>
  <c r="AU40" i="1"/>
  <c r="AM25" i="1"/>
  <c r="N25" i="1"/>
  <c r="I25" i="1"/>
  <c r="Q25" i="1" s="1"/>
  <c r="AA40" i="1"/>
  <c r="S40" i="1"/>
  <c r="G38" i="1"/>
  <c r="H38" i="1" s="1"/>
  <c r="AI39" i="1"/>
  <c r="AJ39" i="1" s="1"/>
  <c r="AW40" i="1"/>
  <c r="AC37" i="1"/>
  <c r="Z40" i="1"/>
  <c r="BB39" i="1" s="1"/>
  <c r="A41" i="1"/>
  <c r="AK41" i="1" s="1"/>
  <c r="G48" i="6"/>
  <c r="F48" i="6"/>
  <c r="M38" i="1"/>
  <c r="C40" i="1"/>
  <c r="B41" i="1"/>
  <c r="E39" i="1"/>
  <c r="F39" i="1" s="1"/>
  <c r="D39" i="1"/>
  <c r="BC39" i="1" l="1"/>
  <c r="BD39" i="1" s="1"/>
  <c r="BF41" i="1"/>
  <c r="AE37" i="1"/>
  <c r="V25" i="1"/>
  <c r="Y25" i="1"/>
  <c r="X25" i="1" s="1"/>
  <c r="AF25" i="1" s="1"/>
  <c r="AN17" i="1"/>
  <c r="J40" i="1"/>
  <c r="L41" i="1"/>
  <c r="AQ25" i="1"/>
  <c r="AY25" i="1"/>
  <c r="A62" i="7"/>
  <c r="B61" i="7"/>
  <c r="K41" i="1"/>
  <c r="AU41" i="1"/>
  <c r="O25" i="1"/>
  <c r="G39" i="1"/>
  <c r="H39" i="1" s="1"/>
  <c r="AA41" i="1"/>
  <c r="S41" i="1"/>
  <c r="AI40" i="1"/>
  <c r="AJ40" i="1" s="1"/>
  <c r="AW41" i="1"/>
  <c r="Z41" i="1"/>
  <c r="BB40" i="1" s="1"/>
  <c r="AC38" i="1"/>
  <c r="A42" i="1"/>
  <c r="AK42" i="1" s="1"/>
  <c r="G49" i="6"/>
  <c r="F49" i="6"/>
  <c r="C41" i="1"/>
  <c r="B42" i="1"/>
  <c r="E40" i="1"/>
  <c r="F40" i="1" s="1"/>
  <c r="D40" i="1"/>
  <c r="M39" i="1"/>
  <c r="BC40" i="1" l="1"/>
  <c r="BD40" i="1" s="1"/>
  <c r="BF42" i="1"/>
  <c r="AX25" i="1"/>
  <c r="AE38" i="1"/>
  <c r="AO17" i="1"/>
  <c r="N26" i="1"/>
  <c r="P26" i="1"/>
  <c r="BE26" i="1" s="1"/>
  <c r="J41" i="1"/>
  <c r="L42" i="1"/>
  <c r="BA24" i="1"/>
  <c r="A63" i="7"/>
  <c r="B62" i="7"/>
  <c r="I26" i="1"/>
  <c r="Q26" i="1" s="1"/>
  <c r="K42" i="1"/>
  <c r="AU42" i="1"/>
  <c r="AM26" i="1"/>
  <c r="AT26" i="1"/>
  <c r="AS26" i="1" s="1"/>
  <c r="G40" i="1"/>
  <c r="H40" i="1" s="1"/>
  <c r="AA42" i="1"/>
  <c r="S42" i="1"/>
  <c r="AI41" i="1"/>
  <c r="AJ41" i="1" s="1"/>
  <c r="AW42" i="1"/>
  <c r="AC39" i="1"/>
  <c r="Z42" i="1"/>
  <c r="BB41" i="1" s="1"/>
  <c r="A43" i="1"/>
  <c r="AK43" i="1" s="1"/>
  <c r="F50" i="6"/>
  <c r="G50" i="6"/>
  <c r="M40" i="1"/>
  <c r="C42" i="1"/>
  <c r="B43" i="1"/>
  <c r="D41" i="1"/>
  <c r="E41" i="1"/>
  <c r="F41" i="1" s="1"/>
  <c r="BC41" i="1" l="1"/>
  <c r="BD41" i="1" s="1"/>
  <c r="BF43" i="1"/>
  <c r="AE39" i="1"/>
  <c r="V26" i="1"/>
  <c r="Y26" i="1"/>
  <c r="X26" i="1" s="1"/>
  <c r="AF26" i="1" s="1"/>
  <c r="AP17" i="1"/>
  <c r="AX18" i="1" s="1"/>
  <c r="J42" i="1"/>
  <c r="L43" i="1"/>
  <c r="AY26" i="1"/>
  <c r="AH25" i="1"/>
  <c r="AQ26" i="1"/>
  <c r="A64" i="7"/>
  <c r="B63" i="7"/>
  <c r="O26" i="1"/>
  <c r="K43" i="1"/>
  <c r="AU43" i="1"/>
  <c r="AA43" i="1"/>
  <c r="S43" i="1"/>
  <c r="G41" i="1"/>
  <c r="H41" i="1" s="1"/>
  <c r="AI42" i="1"/>
  <c r="AJ42" i="1" s="1"/>
  <c r="AW43" i="1"/>
  <c r="AC40" i="1"/>
  <c r="Z43" i="1"/>
  <c r="BB42" i="1" s="1"/>
  <c r="A44" i="1"/>
  <c r="AK44" i="1" s="1"/>
  <c r="G51" i="6"/>
  <c r="F51" i="6"/>
  <c r="C43" i="1"/>
  <c r="B44" i="1"/>
  <c r="E42" i="1"/>
  <c r="F42" i="1" s="1"/>
  <c r="D42" i="1"/>
  <c r="M41" i="1"/>
  <c r="BC42" i="1" l="1"/>
  <c r="BD42" i="1" s="1"/>
  <c r="BF44" i="1"/>
  <c r="AE40" i="1"/>
  <c r="I27" i="1"/>
  <c r="Q27" i="1" s="1"/>
  <c r="P27" i="1"/>
  <c r="BE27" i="1" s="1"/>
  <c r="J43" i="1"/>
  <c r="L44" i="1"/>
  <c r="BA25" i="1"/>
  <c r="AH26" i="1"/>
  <c r="A65" i="7"/>
  <c r="B64" i="7"/>
  <c r="AM27" i="1"/>
  <c r="N27" i="1"/>
  <c r="AT27" i="1"/>
  <c r="AS27" i="1" s="1"/>
  <c r="K44" i="1"/>
  <c r="AU44" i="1"/>
  <c r="G42" i="1"/>
  <c r="H42" i="1" s="1"/>
  <c r="AA44" i="1"/>
  <c r="S44" i="1"/>
  <c r="AI43" i="1"/>
  <c r="AJ43" i="1" s="1"/>
  <c r="AW44" i="1"/>
  <c r="AC41" i="1"/>
  <c r="Z44" i="1"/>
  <c r="BB43" i="1" s="1"/>
  <c r="A45" i="1"/>
  <c r="AK45" i="1" s="1"/>
  <c r="G52" i="6"/>
  <c r="F52" i="6"/>
  <c r="M42" i="1"/>
  <c r="C44" i="1"/>
  <c r="B45" i="1"/>
  <c r="E43" i="1"/>
  <c r="F43" i="1" s="1"/>
  <c r="D43" i="1"/>
  <c r="BC43" i="1" l="1"/>
  <c r="BD43" i="1" s="1"/>
  <c r="BF45" i="1"/>
  <c r="AE41" i="1"/>
  <c r="V27" i="1"/>
  <c r="Y27" i="1"/>
  <c r="X27" i="1" s="1"/>
  <c r="AF27" i="1" s="1"/>
  <c r="U18" i="1"/>
  <c r="J44" i="1"/>
  <c r="L45" i="1"/>
  <c r="AY27" i="1"/>
  <c r="AQ27" i="1"/>
  <c r="O27" i="1"/>
  <c r="A66" i="7"/>
  <c r="B65" i="7"/>
  <c r="K45" i="1"/>
  <c r="AU45" i="1"/>
  <c r="G43" i="1"/>
  <c r="H43" i="1" s="1"/>
  <c r="AA45" i="1"/>
  <c r="S45" i="1"/>
  <c r="AI44" i="1"/>
  <c r="AJ44" i="1" s="1"/>
  <c r="AW45" i="1"/>
  <c r="AC42" i="1"/>
  <c r="Z45" i="1"/>
  <c r="BB44" i="1" s="1"/>
  <c r="A46" i="1"/>
  <c r="AK46" i="1" s="1"/>
  <c r="F53" i="6"/>
  <c r="G53" i="6"/>
  <c r="M43" i="1"/>
  <c r="E44" i="1"/>
  <c r="F44" i="1" s="1"/>
  <c r="D44" i="1"/>
  <c r="C45" i="1"/>
  <c r="B46" i="1"/>
  <c r="BC44" i="1" l="1"/>
  <c r="BD44" i="1" s="1"/>
  <c r="BF46" i="1"/>
  <c r="AE42" i="1"/>
  <c r="P28" i="1"/>
  <c r="BE28" i="1" s="1"/>
  <c r="AL18" i="1"/>
  <c r="J45" i="1"/>
  <c r="L46" i="1"/>
  <c r="BA26" i="1"/>
  <c r="N28" i="1"/>
  <c r="I28" i="1"/>
  <c r="Q28" i="1" s="1"/>
  <c r="AM28" i="1"/>
  <c r="AT28" i="1"/>
  <c r="AS28" i="1" s="1"/>
  <c r="A67" i="7"/>
  <c r="B66" i="7"/>
  <c r="K46" i="1"/>
  <c r="AU46" i="1"/>
  <c r="AA46" i="1"/>
  <c r="S46" i="1"/>
  <c r="G44" i="1"/>
  <c r="H44" i="1" s="1"/>
  <c r="AI45" i="1"/>
  <c r="AJ45" i="1" s="1"/>
  <c r="AW46" i="1"/>
  <c r="AC43" i="1"/>
  <c r="Z46" i="1"/>
  <c r="BB45" i="1" s="1"/>
  <c r="A47" i="1"/>
  <c r="AK47" i="1" s="1"/>
  <c r="G54" i="6"/>
  <c r="F54" i="6"/>
  <c r="E45" i="1"/>
  <c r="F45" i="1" s="1"/>
  <c r="D45" i="1"/>
  <c r="C46" i="1"/>
  <c r="B47" i="1"/>
  <c r="M44" i="1"/>
  <c r="BC45" i="1" l="1"/>
  <c r="BD45" i="1" s="1"/>
  <c r="BF47" i="1"/>
  <c r="AE43" i="1"/>
  <c r="V28" i="1"/>
  <c r="Y28" i="1"/>
  <c r="X28" i="1" s="1"/>
  <c r="AF28" i="1" s="1"/>
  <c r="AY28" i="1"/>
  <c r="AN18" i="1"/>
  <c r="J46" i="1"/>
  <c r="L47" i="1"/>
  <c r="AH27" i="1"/>
  <c r="AQ28" i="1"/>
  <c r="O28" i="1"/>
  <c r="A68" i="7"/>
  <c r="B67" i="7"/>
  <c r="K47" i="1"/>
  <c r="AU47" i="1"/>
  <c r="G45" i="1"/>
  <c r="H45" i="1" s="1"/>
  <c r="AA47" i="1"/>
  <c r="S47" i="1"/>
  <c r="AI46" i="1"/>
  <c r="AJ46" i="1" s="1"/>
  <c r="AW47" i="1"/>
  <c r="Z47" i="1"/>
  <c r="BB46" i="1" s="1"/>
  <c r="AC44" i="1"/>
  <c r="A48" i="1"/>
  <c r="G55" i="6"/>
  <c r="F55" i="6"/>
  <c r="E46" i="1"/>
  <c r="F46" i="1" s="1"/>
  <c r="D46" i="1"/>
  <c r="C47" i="1"/>
  <c r="B48" i="1"/>
  <c r="M45" i="1"/>
  <c r="BC46" i="1" l="1"/>
  <c r="BD46" i="1" s="1"/>
  <c r="BF48" i="1"/>
  <c r="AE44" i="1"/>
  <c r="AM29" i="1"/>
  <c r="P29" i="1"/>
  <c r="BE29" i="1" s="1"/>
  <c r="AO18" i="1"/>
  <c r="J47" i="1"/>
  <c r="L48" i="1"/>
  <c r="BA27" i="1"/>
  <c r="AT29" i="1"/>
  <c r="AS29" i="1" s="1"/>
  <c r="I29" i="1"/>
  <c r="Q29" i="1" s="1"/>
  <c r="N29" i="1"/>
  <c r="A69" i="7"/>
  <c r="B68" i="7"/>
  <c r="K48" i="1"/>
  <c r="AU48" i="1"/>
  <c r="AA48" i="1"/>
  <c r="S48" i="1"/>
  <c r="G46" i="1"/>
  <c r="H46" i="1" s="1"/>
  <c r="AK48" i="1"/>
  <c r="AP48" i="1"/>
  <c r="AI47" i="1"/>
  <c r="AJ47" i="1" s="1"/>
  <c r="AW48" i="1"/>
  <c r="U25" i="1"/>
  <c r="Z48" i="1"/>
  <c r="BB47" i="1" s="1"/>
  <c r="AC45" i="1"/>
  <c r="A49" i="1"/>
  <c r="AK49" i="1" s="1"/>
  <c r="F56" i="6"/>
  <c r="G56" i="6"/>
  <c r="C48" i="1"/>
  <c r="B49" i="1"/>
  <c r="E47" i="1"/>
  <c r="F47" i="1" s="1"/>
  <c r="D47" i="1"/>
  <c r="M46" i="1"/>
  <c r="BC47" i="1" l="1"/>
  <c r="BD47" i="1" s="1"/>
  <c r="BF49" i="1"/>
  <c r="AE45" i="1"/>
  <c r="V29" i="1"/>
  <c r="Y29" i="1"/>
  <c r="X29" i="1" s="1"/>
  <c r="AF29" i="1" s="1"/>
  <c r="AG28" i="1"/>
  <c r="BA28" i="1" s="1"/>
  <c r="AH28" i="1"/>
  <c r="AP18" i="1"/>
  <c r="AX19" i="1" s="1"/>
  <c r="AL25" i="1"/>
  <c r="J48" i="1"/>
  <c r="L49" i="1"/>
  <c r="AY29" i="1"/>
  <c r="AQ29" i="1"/>
  <c r="O29" i="1"/>
  <c r="A70" i="7"/>
  <c r="B69" i="7"/>
  <c r="K49" i="1"/>
  <c r="AU49" i="1"/>
  <c r="G47" i="1"/>
  <c r="H47" i="1" s="1"/>
  <c r="AA49" i="1"/>
  <c r="S49" i="1"/>
  <c r="AI48" i="1"/>
  <c r="AJ48" i="1" s="1"/>
  <c r="AW49" i="1"/>
  <c r="AC46" i="1"/>
  <c r="Z49" i="1"/>
  <c r="BB48" i="1" s="1"/>
  <c r="A50" i="1"/>
  <c r="AK50" i="1" s="1"/>
  <c r="G57" i="6"/>
  <c r="F57" i="6"/>
  <c r="C49" i="1"/>
  <c r="B50" i="1"/>
  <c r="E48" i="1"/>
  <c r="F48" i="1" s="1"/>
  <c r="D48" i="1"/>
  <c r="M47" i="1"/>
  <c r="BC48" i="1" l="1"/>
  <c r="BD48" i="1" s="1"/>
  <c r="BF50" i="1"/>
  <c r="AE46" i="1"/>
  <c r="AT30" i="1"/>
  <c r="AS30" i="1" s="1"/>
  <c r="P30" i="1"/>
  <c r="BE30" i="1" s="1"/>
  <c r="AN25" i="1"/>
  <c r="J49" i="1"/>
  <c r="L50" i="1"/>
  <c r="AG29" i="1"/>
  <c r="N30" i="1"/>
  <c r="I30" i="1"/>
  <c r="Q30" i="1" s="1"/>
  <c r="AM30" i="1"/>
  <c r="A71" i="7"/>
  <c r="B70" i="7"/>
  <c r="K50" i="1"/>
  <c r="AU50" i="1"/>
  <c r="G48" i="1"/>
  <c r="H48" i="1" s="1"/>
  <c r="AA50" i="1"/>
  <c r="S50" i="1"/>
  <c r="AI49" i="1"/>
  <c r="AJ49" i="1" s="1"/>
  <c r="AW50" i="1"/>
  <c r="Z50" i="1"/>
  <c r="BB49" i="1" s="1"/>
  <c r="AC47" i="1"/>
  <c r="A51" i="1"/>
  <c r="AK51" i="1" s="1"/>
  <c r="G58" i="6"/>
  <c r="F58" i="6"/>
  <c r="M48" i="1"/>
  <c r="C50" i="1"/>
  <c r="B51" i="1"/>
  <c r="E49" i="1"/>
  <c r="F49" i="1" s="1"/>
  <c r="D49" i="1"/>
  <c r="BC49" i="1" l="1"/>
  <c r="BD49" i="1" s="1"/>
  <c r="BF51" i="1"/>
  <c r="AE47" i="1"/>
  <c r="V30" i="1"/>
  <c r="Y30" i="1"/>
  <c r="X30" i="1" s="1"/>
  <c r="AF30" i="1" s="1"/>
  <c r="U19" i="1"/>
  <c r="AO25" i="1"/>
  <c r="J50" i="1"/>
  <c r="L51" i="1"/>
  <c r="AQ30" i="1"/>
  <c r="AY30" i="1"/>
  <c r="AH29" i="1"/>
  <c r="O30" i="1"/>
  <c r="A72" i="7"/>
  <c r="B71" i="7"/>
  <c r="K51" i="1"/>
  <c r="AU51" i="1"/>
  <c r="G49" i="1"/>
  <c r="H49" i="1" s="1"/>
  <c r="AA51" i="1"/>
  <c r="S51" i="1"/>
  <c r="AI50" i="1"/>
  <c r="AJ50" i="1" s="1"/>
  <c r="AW51" i="1"/>
  <c r="AC48" i="1"/>
  <c r="Z51" i="1"/>
  <c r="BB50" i="1" s="1"/>
  <c r="A52" i="1"/>
  <c r="AK52" i="1" s="1"/>
  <c r="G59" i="6"/>
  <c r="F59" i="6"/>
  <c r="M49" i="1"/>
  <c r="E50" i="1"/>
  <c r="F50" i="1" s="1"/>
  <c r="D50" i="1"/>
  <c r="C51" i="1"/>
  <c r="B52" i="1"/>
  <c r="BC50" i="1" l="1"/>
  <c r="BD50" i="1" s="1"/>
  <c r="BF52" i="1"/>
  <c r="AE48" i="1"/>
  <c r="AM31" i="1"/>
  <c r="P31" i="1"/>
  <c r="BE31" i="1" s="1"/>
  <c r="AL19" i="1"/>
  <c r="AP25" i="1"/>
  <c r="AX26" i="1" s="1"/>
  <c r="J51" i="1"/>
  <c r="L52" i="1"/>
  <c r="AG30" i="1"/>
  <c r="BA29" i="1"/>
  <c r="AT31" i="1"/>
  <c r="AS31" i="1" s="1"/>
  <c r="I31" i="1"/>
  <c r="Q31" i="1" s="1"/>
  <c r="N31" i="1"/>
  <c r="A73" i="7"/>
  <c r="B72" i="7"/>
  <c r="K52" i="1"/>
  <c r="AU52" i="1"/>
  <c r="AA52" i="1"/>
  <c r="S52" i="1"/>
  <c r="G50" i="1"/>
  <c r="H50" i="1" s="1"/>
  <c r="AI51" i="1"/>
  <c r="AJ51" i="1" s="1"/>
  <c r="AW52" i="1"/>
  <c r="AC49" i="1"/>
  <c r="Z52" i="1"/>
  <c r="BB51" i="1" s="1"/>
  <c r="A53" i="1"/>
  <c r="AK53" i="1" s="1"/>
  <c r="F60" i="6"/>
  <c r="G60" i="6"/>
  <c r="C52" i="1"/>
  <c r="B53" i="1"/>
  <c r="M50" i="1"/>
  <c r="D51" i="1"/>
  <c r="E51" i="1"/>
  <c r="F51" i="1" s="1"/>
  <c r="BC51" i="1" l="1"/>
  <c r="BD51" i="1" s="1"/>
  <c r="BF53" i="1"/>
  <c r="AE49" i="1"/>
  <c r="V31" i="1"/>
  <c r="Y31" i="1"/>
  <c r="X31" i="1" s="1"/>
  <c r="AF31" i="1" s="1"/>
  <c r="AN19" i="1"/>
  <c r="J52" i="1"/>
  <c r="L53" i="1"/>
  <c r="AY31" i="1"/>
  <c r="AH30" i="1"/>
  <c r="AQ31" i="1"/>
  <c r="O31" i="1"/>
  <c r="P32" i="1" s="1"/>
  <c r="BE32" i="1" s="1"/>
  <c r="A74" i="7"/>
  <c r="B73" i="7"/>
  <c r="K53" i="1"/>
  <c r="AU53" i="1"/>
  <c r="G51" i="1"/>
  <c r="H51" i="1" s="1"/>
  <c r="AA53" i="1"/>
  <c r="S53" i="1"/>
  <c r="AI52" i="1"/>
  <c r="AJ52" i="1" s="1"/>
  <c r="AW53" i="1"/>
  <c r="Z53" i="1"/>
  <c r="BB52" i="1" s="1"/>
  <c r="AC50" i="1"/>
  <c r="A54" i="1"/>
  <c r="AK54" i="1" s="1"/>
  <c r="F61" i="6"/>
  <c r="G61" i="6"/>
  <c r="E52" i="1"/>
  <c r="F52" i="1" s="1"/>
  <c r="D52" i="1"/>
  <c r="M51" i="1"/>
  <c r="C53" i="1"/>
  <c r="B54" i="1"/>
  <c r="BC52" i="1" l="1"/>
  <c r="BD52" i="1" s="1"/>
  <c r="BF54" i="1"/>
  <c r="AE50" i="1"/>
  <c r="V32" i="1"/>
  <c r="Y32" i="1"/>
  <c r="X32" i="1" s="1"/>
  <c r="AF32" i="1" s="1"/>
  <c r="AO19" i="1"/>
  <c r="U26" i="1"/>
  <c r="J53" i="1"/>
  <c r="L54" i="1"/>
  <c r="BA30" i="1"/>
  <c r="AM32" i="1"/>
  <c r="AT32" i="1"/>
  <c r="AS32" i="1" s="1"/>
  <c r="N32" i="1"/>
  <c r="I32" i="1"/>
  <c r="Q32" i="1" s="1"/>
  <c r="A75" i="7"/>
  <c r="B74" i="7"/>
  <c r="K54" i="1"/>
  <c r="AU54" i="1"/>
  <c r="G52" i="1"/>
  <c r="H52" i="1" s="1"/>
  <c r="AA54" i="1"/>
  <c r="S54" i="1"/>
  <c r="AI53" i="1"/>
  <c r="AJ53" i="1" s="1"/>
  <c r="AW54" i="1"/>
  <c r="AC51" i="1"/>
  <c r="Z54" i="1"/>
  <c r="BB53" i="1" s="1"/>
  <c r="A55" i="1"/>
  <c r="AK55" i="1" s="1"/>
  <c r="G62" i="6"/>
  <c r="F62" i="6"/>
  <c r="M52" i="1"/>
  <c r="C54" i="1"/>
  <c r="B55" i="1"/>
  <c r="E53" i="1"/>
  <c r="F53" i="1" s="1"/>
  <c r="D53" i="1"/>
  <c r="BC53" i="1" l="1"/>
  <c r="BD53" i="1" s="1"/>
  <c r="BF55" i="1"/>
  <c r="AE51" i="1"/>
  <c r="AP19" i="1"/>
  <c r="AX20" i="1" s="1"/>
  <c r="AL26" i="1"/>
  <c r="J54" i="1"/>
  <c r="AH31" i="1"/>
  <c r="AG31" i="1"/>
  <c r="L55" i="1"/>
  <c r="AY32" i="1"/>
  <c r="AQ32" i="1"/>
  <c r="O32" i="1"/>
  <c r="P33" i="1" s="1"/>
  <c r="BE33" i="1" s="1"/>
  <c r="A76" i="7"/>
  <c r="B75" i="7"/>
  <c r="K55" i="1"/>
  <c r="AU55" i="1"/>
  <c r="AA55" i="1"/>
  <c r="S55" i="1"/>
  <c r="G53" i="1"/>
  <c r="H53" i="1" s="1"/>
  <c r="AI54" i="1"/>
  <c r="AJ54" i="1" s="1"/>
  <c r="AW55" i="1"/>
  <c r="AC52" i="1"/>
  <c r="Z55" i="1"/>
  <c r="BB54" i="1" s="1"/>
  <c r="A56" i="1"/>
  <c r="AK56" i="1" s="1"/>
  <c r="G63" i="6"/>
  <c r="F63" i="6"/>
  <c r="M53" i="1"/>
  <c r="E54" i="1"/>
  <c r="F54" i="1" s="1"/>
  <c r="D54" i="1"/>
  <c r="C55" i="1"/>
  <c r="B56" i="1"/>
  <c r="BC54" i="1" l="1"/>
  <c r="BD54" i="1" s="1"/>
  <c r="BF56" i="1"/>
  <c r="AE52" i="1"/>
  <c r="V33" i="1"/>
  <c r="Y33" i="1"/>
  <c r="X33" i="1" s="1"/>
  <c r="AF33" i="1" s="1"/>
  <c r="AN26" i="1"/>
  <c r="J55" i="1"/>
  <c r="L56" i="1"/>
  <c r="BA31" i="1"/>
  <c r="AT33" i="1"/>
  <c r="AS33" i="1" s="1"/>
  <c r="AM33" i="1"/>
  <c r="N33" i="1"/>
  <c r="I33" i="1"/>
  <c r="Q33" i="1" s="1"/>
  <c r="A77" i="7"/>
  <c r="B76" i="7"/>
  <c r="K56" i="1"/>
  <c r="AU56" i="1"/>
  <c r="G54" i="1"/>
  <c r="H54" i="1" s="1"/>
  <c r="AA56" i="1"/>
  <c r="S56" i="1"/>
  <c r="AI55" i="1"/>
  <c r="AJ55" i="1" s="1"/>
  <c r="AW56" i="1"/>
  <c r="Z56" i="1"/>
  <c r="BB55" i="1" s="1"/>
  <c r="AC53" i="1"/>
  <c r="A57" i="1"/>
  <c r="AK57" i="1" s="1"/>
  <c r="F64" i="6"/>
  <c r="G64" i="6"/>
  <c r="M54" i="1"/>
  <c r="C56" i="1"/>
  <c r="B57" i="1"/>
  <c r="E55" i="1"/>
  <c r="F55" i="1" s="1"/>
  <c r="D55" i="1"/>
  <c r="BC55" i="1" l="1"/>
  <c r="BD55" i="1" s="1"/>
  <c r="BF57" i="1"/>
  <c r="AE53" i="1"/>
  <c r="U20" i="1"/>
  <c r="AO26" i="1"/>
  <c r="J56" i="1"/>
  <c r="AH32" i="1"/>
  <c r="AG32" i="1"/>
  <c r="L57" i="1"/>
  <c r="AY33" i="1"/>
  <c r="AQ33" i="1"/>
  <c r="O33" i="1"/>
  <c r="A78" i="7"/>
  <c r="B77" i="7"/>
  <c r="K57" i="1"/>
  <c r="AU57" i="1"/>
  <c r="G55" i="1"/>
  <c r="H55" i="1" s="1"/>
  <c r="AA57" i="1"/>
  <c r="S57" i="1"/>
  <c r="AI56" i="1"/>
  <c r="AJ56" i="1" s="1"/>
  <c r="AW57" i="1"/>
  <c r="AC54" i="1"/>
  <c r="Z57" i="1"/>
  <c r="BB56" i="1" s="1"/>
  <c r="A58" i="1"/>
  <c r="AK58" i="1" s="1"/>
  <c r="G65" i="6"/>
  <c r="F65" i="6"/>
  <c r="M55" i="1"/>
  <c r="E56" i="1"/>
  <c r="F56" i="1" s="1"/>
  <c r="D56" i="1"/>
  <c r="C57" i="1"/>
  <c r="B58" i="1"/>
  <c r="BC56" i="1" l="1"/>
  <c r="BD56" i="1" s="1"/>
  <c r="BF58" i="1"/>
  <c r="AE54" i="1"/>
  <c r="AT34" i="1"/>
  <c r="AS34" i="1" s="1"/>
  <c r="P34" i="1"/>
  <c r="BE34" i="1" s="1"/>
  <c r="AL20" i="1"/>
  <c r="AP26" i="1"/>
  <c r="AX27" i="1" s="1"/>
  <c r="J57" i="1"/>
  <c r="L58" i="1"/>
  <c r="BA32" i="1"/>
  <c r="AM34" i="1"/>
  <c r="N34" i="1"/>
  <c r="I34" i="1"/>
  <c r="Q34" i="1" s="1"/>
  <c r="A79" i="7"/>
  <c r="B78" i="7"/>
  <c r="K58" i="1"/>
  <c r="AU58" i="1"/>
  <c r="AA58" i="1"/>
  <c r="S58" i="1"/>
  <c r="G56" i="1"/>
  <c r="H56" i="1" s="1"/>
  <c r="AI57" i="1"/>
  <c r="AJ57" i="1" s="1"/>
  <c r="AW58" i="1"/>
  <c r="AC55" i="1"/>
  <c r="Z58" i="1"/>
  <c r="BB57" i="1" s="1"/>
  <c r="A59" i="1"/>
  <c r="AK59" i="1" s="1"/>
  <c r="F66" i="6"/>
  <c r="G66" i="6"/>
  <c r="M56" i="1"/>
  <c r="C58" i="1"/>
  <c r="B59" i="1"/>
  <c r="D57" i="1"/>
  <c r="E57" i="1"/>
  <c r="F57" i="1" s="1"/>
  <c r="BC57" i="1" l="1"/>
  <c r="BD57" i="1" s="1"/>
  <c r="BF59" i="1"/>
  <c r="AE55" i="1"/>
  <c r="V34" i="1"/>
  <c r="Y34" i="1"/>
  <c r="X34" i="1" s="1"/>
  <c r="AF34" i="1" s="1"/>
  <c r="AN20" i="1"/>
  <c r="J58" i="1"/>
  <c r="AH33" i="1"/>
  <c r="AG33" i="1"/>
  <c r="L59" i="1"/>
  <c r="AQ34" i="1"/>
  <c r="AY34" i="1"/>
  <c r="O34" i="1"/>
  <c r="P35" i="1" s="1"/>
  <c r="BE35" i="1" s="1"/>
  <c r="A80" i="7"/>
  <c r="B79" i="7"/>
  <c r="K59" i="1"/>
  <c r="AU59" i="1"/>
  <c r="AA59" i="1"/>
  <c r="S59" i="1"/>
  <c r="G57" i="1"/>
  <c r="H57" i="1" s="1"/>
  <c r="AI58" i="1"/>
  <c r="AJ58" i="1" s="1"/>
  <c r="AW59" i="1"/>
  <c r="AC56" i="1"/>
  <c r="Z59" i="1"/>
  <c r="BB58" i="1" s="1"/>
  <c r="A60" i="1"/>
  <c r="F67" i="6"/>
  <c r="G67" i="6"/>
  <c r="E58" i="1"/>
  <c r="F58" i="1" s="1"/>
  <c r="D58" i="1"/>
  <c r="C59" i="1"/>
  <c r="B60" i="1"/>
  <c r="M57" i="1"/>
  <c r="BC58" i="1" l="1"/>
  <c r="BD58" i="1" s="1"/>
  <c r="BF60" i="1"/>
  <c r="AE56" i="1"/>
  <c r="V35" i="1"/>
  <c r="Y35" i="1"/>
  <c r="X35" i="1" s="1"/>
  <c r="AF35" i="1" s="1"/>
  <c r="AO20" i="1"/>
  <c r="U27" i="1"/>
  <c r="J59" i="1"/>
  <c r="L60" i="1"/>
  <c r="AG34" i="1"/>
  <c r="BA33" i="1"/>
  <c r="AM35" i="1"/>
  <c r="AT35" i="1"/>
  <c r="AS35" i="1" s="1"/>
  <c r="N35" i="1"/>
  <c r="I35" i="1"/>
  <c r="Q35" i="1" s="1"/>
  <c r="A81" i="7"/>
  <c r="B80" i="7"/>
  <c r="K60" i="1"/>
  <c r="AU60" i="1"/>
  <c r="G58" i="1"/>
  <c r="H58" i="1" s="1"/>
  <c r="AA60" i="1"/>
  <c r="S60" i="1"/>
  <c r="AK60" i="1"/>
  <c r="AP60" i="1"/>
  <c r="AI59" i="1"/>
  <c r="AJ59" i="1" s="1"/>
  <c r="AW60" i="1"/>
  <c r="AC57" i="1"/>
  <c r="Z60" i="1"/>
  <c r="BB59" i="1" s="1"/>
  <c r="A61" i="1"/>
  <c r="AK61" i="1" s="1"/>
  <c r="G68" i="6"/>
  <c r="F68" i="6"/>
  <c r="C60" i="1"/>
  <c r="B61" i="1"/>
  <c r="E59" i="1"/>
  <c r="F59" i="1" s="1"/>
  <c r="D59" i="1"/>
  <c r="M58" i="1"/>
  <c r="BC59" i="1" l="1"/>
  <c r="BD59" i="1" s="1"/>
  <c r="BF61" i="1"/>
  <c r="AE57" i="1"/>
  <c r="AP20" i="1"/>
  <c r="AX21" i="1" s="1"/>
  <c r="AL27" i="1"/>
  <c r="J60" i="1"/>
  <c r="L61" i="1"/>
  <c r="AY35" i="1"/>
  <c r="AH34" i="1"/>
  <c r="AQ35" i="1"/>
  <c r="O35" i="1"/>
  <c r="A82" i="7"/>
  <c r="B81" i="7"/>
  <c r="K61" i="1"/>
  <c r="AU61" i="1"/>
  <c r="G59" i="1"/>
  <c r="H59" i="1" s="1"/>
  <c r="AA61" i="1"/>
  <c r="S61" i="1"/>
  <c r="AI60" i="1"/>
  <c r="AJ60" i="1" s="1"/>
  <c r="AW61" i="1"/>
  <c r="Z61" i="1"/>
  <c r="BB60" i="1" s="1"/>
  <c r="AC58" i="1"/>
  <c r="A62" i="1"/>
  <c r="AK62" i="1" s="1"/>
  <c r="G69" i="6"/>
  <c r="F69" i="6"/>
  <c r="E60" i="1"/>
  <c r="F60" i="1" s="1"/>
  <c r="D60" i="1"/>
  <c r="M59" i="1"/>
  <c r="C61" i="1"/>
  <c r="B62" i="1"/>
  <c r="BC60" i="1" l="1"/>
  <c r="BD60" i="1" s="1"/>
  <c r="BF62" i="1"/>
  <c r="AE58" i="1"/>
  <c r="AM36" i="1"/>
  <c r="P36" i="1"/>
  <c r="BE36" i="1" s="1"/>
  <c r="AN27" i="1"/>
  <c r="J61" i="1"/>
  <c r="L62" i="1"/>
  <c r="AG35" i="1"/>
  <c r="BA34" i="1"/>
  <c r="N36" i="1"/>
  <c r="I36" i="1"/>
  <c r="Q36" i="1" s="1"/>
  <c r="AT36" i="1"/>
  <c r="AS36" i="1" s="1"/>
  <c r="A83" i="7"/>
  <c r="B82" i="7"/>
  <c r="K62" i="1"/>
  <c r="AU62" i="1"/>
  <c r="AA62" i="1"/>
  <c r="S62" i="1"/>
  <c r="G60" i="1"/>
  <c r="H60" i="1" s="1"/>
  <c r="AI61" i="1"/>
  <c r="AJ61" i="1" s="1"/>
  <c r="AW62" i="1"/>
  <c r="AC59" i="1"/>
  <c r="Z62" i="1"/>
  <c r="BB61" i="1" s="1"/>
  <c r="A63" i="1"/>
  <c r="AK63" i="1" s="1"/>
  <c r="F70" i="6"/>
  <c r="G70" i="6"/>
  <c r="M60" i="1"/>
  <c r="E61" i="1"/>
  <c r="F61" i="1" s="1"/>
  <c r="D61" i="1"/>
  <c r="C62" i="1"/>
  <c r="B63" i="1"/>
  <c r="BC61" i="1" l="1"/>
  <c r="BD61" i="1" s="1"/>
  <c r="BF63" i="1"/>
  <c r="AE59" i="1"/>
  <c r="V36" i="1"/>
  <c r="Y36" i="1"/>
  <c r="X36" i="1" s="1"/>
  <c r="AF36" i="1" s="1"/>
  <c r="U21" i="1"/>
  <c r="AO27" i="1"/>
  <c r="J62" i="1"/>
  <c r="L63" i="1"/>
  <c r="AY36" i="1"/>
  <c r="AH35" i="1"/>
  <c r="AQ36" i="1"/>
  <c r="O36" i="1"/>
  <c r="A84" i="7"/>
  <c r="B83" i="7"/>
  <c r="K63" i="1"/>
  <c r="AU63" i="1"/>
  <c r="G61" i="1"/>
  <c r="H61" i="1" s="1"/>
  <c r="AA63" i="1"/>
  <c r="S63" i="1"/>
  <c r="AI62" i="1"/>
  <c r="AJ62" i="1" s="1"/>
  <c r="AW63" i="1"/>
  <c r="AC60" i="1"/>
  <c r="Z63" i="1"/>
  <c r="BB62" i="1" s="1"/>
  <c r="A64" i="1"/>
  <c r="AK64" i="1" s="1"/>
  <c r="G71" i="6"/>
  <c r="F71" i="6"/>
  <c r="C63" i="1"/>
  <c r="B64" i="1"/>
  <c r="D62" i="1"/>
  <c r="E62" i="1"/>
  <c r="F62" i="1" s="1"/>
  <c r="M61" i="1"/>
  <c r="BC62" i="1" l="1"/>
  <c r="BD62" i="1" s="1"/>
  <c r="BF64" i="1"/>
  <c r="AE60" i="1"/>
  <c r="AT37" i="1"/>
  <c r="AS37" i="1" s="1"/>
  <c r="P37" i="1"/>
  <c r="BE37" i="1" s="1"/>
  <c r="AL21" i="1"/>
  <c r="AP27" i="1"/>
  <c r="AX28" i="1" s="1"/>
  <c r="J63" i="1"/>
  <c r="L64" i="1"/>
  <c r="AG36" i="1"/>
  <c r="BA35" i="1"/>
  <c r="I37" i="1"/>
  <c r="Q37" i="1" s="1"/>
  <c r="AM37" i="1"/>
  <c r="N37" i="1"/>
  <c r="A85" i="7"/>
  <c r="B84" i="7"/>
  <c r="K64" i="1"/>
  <c r="AU64" i="1"/>
  <c r="G62" i="1"/>
  <c r="H62" i="1" s="1"/>
  <c r="AA64" i="1"/>
  <c r="S64" i="1"/>
  <c r="AI63" i="1"/>
  <c r="AJ63" i="1" s="1"/>
  <c r="AW64" i="1"/>
  <c r="AC61" i="1"/>
  <c r="Z64" i="1"/>
  <c r="BB63" i="1" s="1"/>
  <c r="A65" i="1"/>
  <c r="AK65" i="1" s="1"/>
  <c r="G72" i="6"/>
  <c r="F72" i="6"/>
  <c r="C64" i="1"/>
  <c r="B65" i="1"/>
  <c r="E63" i="1"/>
  <c r="F63" i="1" s="1"/>
  <c r="D63" i="1"/>
  <c r="M62" i="1"/>
  <c r="BC63" i="1" l="1"/>
  <c r="BD63" i="1" s="1"/>
  <c r="BF65" i="1"/>
  <c r="AE61" i="1"/>
  <c r="V37" i="1"/>
  <c r="Y37" i="1"/>
  <c r="X37" i="1" s="1"/>
  <c r="AF37" i="1" s="1"/>
  <c r="AN21" i="1"/>
  <c r="J64" i="1"/>
  <c r="L65" i="1"/>
  <c r="AQ37" i="1"/>
  <c r="AY37" i="1"/>
  <c r="AH36" i="1"/>
  <c r="O37" i="1"/>
  <c r="A86" i="7"/>
  <c r="B85" i="7"/>
  <c r="K65" i="1"/>
  <c r="AU65" i="1"/>
  <c r="AA65" i="1"/>
  <c r="S65" i="1"/>
  <c r="G63" i="1"/>
  <c r="H63" i="1" s="1"/>
  <c r="AI64" i="1"/>
  <c r="AJ64" i="1" s="1"/>
  <c r="AW65" i="1"/>
  <c r="Z65" i="1"/>
  <c r="BB64" i="1" s="1"/>
  <c r="AC62" i="1"/>
  <c r="A66" i="1"/>
  <c r="AK66" i="1" s="1"/>
  <c r="F73" i="6"/>
  <c r="G73" i="6"/>
  <c r="E64" i="1"/>
  <c r="F64" i="1" s="1"/>
  <c r="D64" i="1"/>
  <c r="C65" i="1"/>
  <c r="B66" i="1"/>
  <c r="M63" i="1"/>
  <c r="BC64" i="1" l="1"/>
  <c r="BD64" i="1" s="1"/>
  <c r="BF66" i="1"/>
  <c r="AX37" i="1"/>
  <c r="AE62" i="1"/>
  <c r="AO21" i="1"/>
  <c r="AT38" i="1"/>
  <c r="AS38" i="1" s="1"/>
  <c r="P38" i="1"/>
  <c r="BE38" i="1" s="1"/>
  <c r="U28" i="1"/>
  <c r="J65" i="1"/>
  <c r="L66" i="1"/>
  <c r="BA36" i="1"/>
  <c r="AM38" i="1"/>
  <c r="N38" i="1"/>
  <c r="I38" i="1"/>
  <c r="Q38" i="1" s="1"/>
  <c r="A87" i="7"/>
  <c r="B86" i="7"/>
  <c r="K66" i="1"/>
  <c r="AU66" i="1"/>
  <c r="G64" i="1"/>
  <c r="H64" i="1" s="1"/>
  <c r="AA66" i="1"/>
  <c r="S66" i="1"/>
  <c r="AI65" i="1"/>
  <c r="AJ65" i="1" s="1"/>
  <c r="AW66" i="1"/>
  <c r="AC63" i="1"/>
  <c r="Z66" i="1"/>
  <c r="BB65" i="1" s="1"/>
  <c r="A67" i="1"/>
  <c r="AK67" i="1" s="1"/>
  <c r="G74" i="6"/>
  <c r="F74" i="6"/>
  <c r="C66" i="1"/>
  <c r="B67" i="1"/>
  <c r="E65" i="1"/>
  <c r="F65" i="1" s="1"/>
  <c r="D65" i="1"/>
  <c r="M64" i="1"/>
  <c r="BC65" i="1" l="1"/>
  <c r="BD65" i="1" s="1"/>
  <c r="BF67" i="1"/>
  <c r="AE63" i="1"/>
  <c r="V38" i="1"/>
  <c r="Y38" i="1"/>
  <c r="X38" i="1" s="1"/>
  <c r="AF38" i="1" s="1"/>
  <c r="AP21" i="1"/>
  <c r="AX22" i="1" s="1"/>
  <c r="AL28" i="1"/>
  <c r="J66" i="1"/>
  <c r="L67" i="1"/>
  <c r="AH37" i="1"/>
  <c r="AG37" i="1"/>
  <c r="AQ38" i="1"/>
  <c r="AY38" i="1"/>
  <c r="O38" i="1"/>
  <c r="A88" i="7"/>
  <c r="B87" i="7"/>
  <c r="K67" i="1"/>
  <c r="AU67" i="1"/>
  <c r="G65" i="1"/>
  <c r="H65" i="1" s="1"/>
  <c r="AA67" i="1"/>
  <c r="S67" i="1"/>
  <c r="AI66" i="1"/>
  <c r="AJ66" i="1" s="1"/>
  <c r="AW67" i="1"/>
  <c r="Z67" i="1"/>
  <c r="BB66" i="1" s="1"/>
  <c r="AC64" i="1"/>
  <c r="A68" i="1"/>
  <c r="AK68" i="1" s="1"/>
  <c r="F75" i="6"/>
  <c r="G75" i="6"/>
  <c r="C67" i="1"/>
  <c r="B68" i="1"/>
  <c r="M65" i="1"/>
  <c r="E66" i="1"/>
  <c r="F66" i="1" s="1"/>
  <c r="D66" i="1"/>
  <c r="BC66" i="1" l="1"/>
  <c r="BD66" i="1" s="1"/>
  <c r="BF68" i="1"/>
  <c r="AE64" i="1"/>
  <c r="P39" i="1"/>
  <c r="BE39" i="1" s="1"/>
  <c r="AN28" i="1"/>
  <c r="J67" i="1"/>
  <c r="L68" i="1"/>
  <c r="AG38" i="1"/>
  <c r="BA37" i="1"/>
  <c r="I39" i="1"/>
  <c r="Q39" i="1" s="1"/>
  <c r="N39" i="1"/>
  <c r="AM39" i="1"/>
  <c r="AT39" i="1"/>
  <c r="AS39" i="1" s="1"/>
  <c r="A89" i="7"/>
  <c r="B88" i="7"/>
  <c r="K68" i="1"/>
  <c r="AU68" i="1"/>
  <c r="G66" i="1"/>
  <c r="H66" i="1" s="1"/>
  <c r="AA68" i="1"/>
  <c r="S68" i="1"/>
  <c r="AI67" i="1"/>
  <c r="AJ67" i="1" s="1"/>
  <c r="AW68" i="1"/>
  <c r="AC65" i="1"/>
  <c r="Z68" i="1"/>
  <c r="BB67" i="1" s="1"/>
  <c r="A69" i="1"/>
  <c r="AK69" i="1" s="1"/>
  <c r="G76" i="6"/>
  <c r="F76" i="6"/>
  <c r="C68" i="1"/>
  <c r="B69" i="1"/>
  <c r="M66" i="1"/>
  <c r="D67" i="1"/>
  <c r="E67" i="1"/>
  <c r="F67" i="1" s="1"/>
  <c r="BC67" i="1" l="1"/>
  <c r="BD67" i="1" s="1"/>
  <c r="BF69" i="1"/>
  <c r="AE65" i="1"/>
  <c r="V39" i="1"/>
  <c r="Y39" i="1"/>
  <c r="X39" i="1" s="1"/>
  <c r="AF39" i="1" s="1"/>
  <c r="AY39" i="1"/>
  <c r="U22" i="1"/>
  <c r="AO28" i="1"/>
  <c r="J68" i="1"/>
  <c r="L69" i="1"/>
  <c r="AH38" i="1"/>
  <c r="AQ39" i="1"/>
  <c r="O39" i="1"/>
  <c r="A90" i="7"/>
  <c r="B89" i="7"/>
  <c r="K69" i="1"/>
  <c r="AU69" i="1"/>
  <c r="G67" i="1"/>
  <c r="H67" i="1" s="1"/>
  <c r="AA69" i="1"/>
  <c r="S69" i="1"/>
  <c r="AI68" i="1"/>
  <c r="AJ68" i="1" s="1"/>
  <c r="AW69" i="1"/>
  <c r="AC66" i="1"/>
  <c r="Z69" i="1"/>
  <c r="BB68" i="1" s="1"/>
  <c r="A70" i="1"/>
  <c r="AK70" i="1" s="1"/>
  <c r="F77" i="6"/>
  <c r="G77" i="6"/>
  <c r="C69" i="1"/>
  <c r="B70" i="1"/>
  <c r="M67" i="1"/>
  <c r="E68" i="1"/>
  <c r="F68" i="1" s="1"/>
  <c r="D68" i="1"/>
  <c r="BC68" i="1" l="1"/>
  <c r="BD68" i="1" s="1"/>
  <c r="BF70" i="1"/>
  <c r="AE66" i="1"/>
  <c r="AL22" i="1"/>
  <c r="P40" i="1"/>
  <c r="BE40" i="1" s="1"/>
  <c r="AP28" i="1"/>
  <c r="AX29" i="1" s="1"/>
  <c r="J69" i="1"/>
  <c r="L70" i="1"/>
  <c r="BA38" i="1"/>
  <c r="N40" i="1"/>
  <c r="AT40" i="1"/>
  <c r="AS40" i="1" s="1"/>
  <c r="AM40" i="1"/>
  <c r="I40" i="1"/>
  <c r="Q40" i="1" s="1"/>
  <c r="A91" i="7"/>
  <c r="B90" i="7"/>
  <c r="K70" i="1"/>
  <c r="AU70" i="1"/>
  <c r="AA70" i="1"/>
  <c r="S70" i="1"/>
  <c r="G68" i="1"/>
  <c r="H68" i="1" s="1"/>
  <c r="AI69" i="1"/>
  <c r="AJ69" i="1" s="1"/>
  <c r="AW70" i="1"/>
  <c r="Z70" i="1"/>
  <c r="BB69" i="1" s="1"/>
  <c r="AC67" i="1"/>
  <c r="A71" i="1"/>
  <c r="AK71" i="1" s="1"/>
  <c r="G78" i="6"/>
  <c r="F78" i="6"/>
  <c r="E69" i="1"/>
  <c r="F69" i="1" s="1"/>
  <c r="D69" i="1"/>
  <c r="C70" i="1"/>
  <c r="B71" i="1"/>
  <c r="M68" i="1"/>
  <c r="BC69" i="1" l="1"/>
  <c r="BD69" i="1" s="1"/>
  <c r="BF71" i="1"/>
  <c r="AE67" i="1"/>
  <c r="V40" i="1"/>
  <c r="Y40" i="1"/>
  <c r="X40" i="1" s="1"/>
  <c r="AF40" i="1" s="1"/>
  <c r="AG39" i="1"/>
  <c r="AH39" i="1"/>
  <c r="AQ40" i="1"/>
  <c r="AY40" i="1"/>
  <c r="AN22" i="1"/>
  <c r="J70" i="1"/>
  <c r="L71" i="1"/>
  <c r="O40" i="1"/>
  <c r="A92" i="7"/>
  <c r="B91" i="7"/>
  <c r="K71" i="1"/>
  <c r="AU71" i="1"/>
  <c r="G69" i="1"/>
  <c r="H69" i="1" s="1"/>
  <c r="AA71" i="1"/>
  <c r="S71" i="1"/>
  <c r="AI70" i="1"/>
  <c r="AJ70" i="1" s="1"/>
  <c r="AW71" i="1"/>
  <c r="AC68" i="1"/>
  <c r="Z71" i="1"/>
  <c r="BB70" i="1" s="1"/>
  <c r="A72" i="1"/>
  <c r="F79" i="6"/>
  <c r="G79" i="6"/>
  <c r="E70" i="1"/>
  <c r="F70" i="1" s="1"/>
  <c r="D70" i="1"/>
  <c r="C71" i="1"/>
  <c r="B72" i="1"/>
  <c r="M69" i="1"/>
  <c r="BC70" i="1" l="1"/>
  <c r="BD70" i="1" s="1"/>
  <c r="BF72" i="1"/>
  <c r="AE68" i="1"/>
  <c r="BA39" i="1"/>
  <c r="AO22" i="1"/>
  <c r="AT41" i="1"/>
  <c r="AS41" i="1" s="1"/>
  <c r="P41" i="1"/>
  <c r="BE41" i="1" s="1"/>
  <c r="U29" i="1"/>
  <c r="J71" i="1"/>
  <c r="L72" i="1"/>
  <c r="AG40" i="1"/>
  <c r="AH40" i="1"/>
  <c r="AM41" i="1"/>
  <c r="N41" i="1"/>
  <c r="I41" i="1"/>
  <c r="Q41" i="1" s="1"/>
  <c r="A93" i="7"/>
  <c r="B92" i="7"/>
  <c r="K72" i="1"/>
  <c r="AU72" i="1"/>
  <c r="AA72" i="1"/>
  <c r="S72" i="1"/>
  <c r="G70" i="1"/>
  <c r="H70" i="1" s="1"/>
  <c r="AI71" i="1"/>
  <c r="AJ71" i="1" s="1"/>
  <c r="AK72" i="1"/>
  <c r="AP72" i="1"/>
  <c r="AW72" i="1"/>
  <c r="AC69" i="1"/>
  <c r="Z72" i="1"/>
  <c r="BB71" i="1" s="1"/>
  <c r="A73" i="1"/>
  <c r="AK73" i="1" s="1"/>
  <c r="G80" i="6"/>
  <c r="F80" i="6"/>
  <c r="M70" i="1"/>
  <c r="E71" i="1"/>
  <c r="F71" i="1" s="1"/>
  <c r="D71" i="1"/>
  <c r="C72" i="1"/>
  <c r="B73" i="1"/>
  <c r="BC71" i="1" l="1"/>
  <c r="BD71" i="1" s="1"/>
  <c r="BF73" i="1"/>
  <c r="AE69" i="1"/>
  <c r="V41" i="1"/>
  <c r="Y41" i="1"/>
  <c r="X41" i="1" s="1"/>
  <c r="AF41" i="1" s="1"/>
  <c r="AP22" i="1"/>
  <c r="AX23" i="1" s="1"/>
  <c r="AL29" i="1"/>
  <c r="J72" i="1"/>
  <c r="L73" i="1"/>
  <c r="AY41" i="1"/>
  <c r="BA40" i="1"/>
  <c r="AQ41" i="1"/>
  <c r="O41" i="1"/>
  <c r="A94" i="7"/>
  <c r="B93" i="7"/>
  <c r="K73" i="1"/>
  <c r="AU73" i="1"/>
  <c r="AA73" i="1"/>
  <c r="S73" i="1"/>
  <c r="G71" i="1"/>
  <c r="H71" i="1" s="1"/>
  <c r="AI72" i="1"/>
  <c r="AJ72" i="1" s="1"/>
  <c r="AW73" i="1"/>
  <c r="Z73" i="1"/>
  <c r="BB72" i="1" s="1"/>
  <c r="AC70" i="1"/>
  <c r="A74" i="1"/>
  <c r="AK74" i="1" s="1"/>
  <c r="G81" i="6"/>
  <c r="F81" i="6"/>
  <c r="C73" i="1"/>
  <c r="B74" i="1"/>
  <c r="M71" i="1"/>
  <c r="E72" i="1"/>
  <c r="F72" i="1" s="1"/>
  <c r="D72" i="1"/>
  <c r="BC72" i="1" l="1"/>
  <c r="BD72" i="1" s="1"/>
  <c r="BF74" i="1"/>
  <c r="AE70" i="1"/>
  <c r="AT42" i="1"/>
  <c r="AS42" i="1" s="1"/>
  <c r="P42" i="1"/>
  <c r="BE42" i="1" s="1"/>
  <c r="AN29" i="1"/>
  <c r="J73" i="1"/>
  <c r="L74" i="1"/>
  <c r="N42" i="1"/>
  <c r="AM42" i="1"/>
  <c r="I42" i="1"/>
  <c r="Q42" i="1" s="1"/>
  <c r="A95" i="7"/>
  <c r="B94" i="7"/>
  <c r="K74" i="1"/>
  <c r="AU74" i="1"/>
  <c r="G72" i="1"/>
  <c r="H72" i="1" s="1"/>
  <c r="AA74" i="1"/>
  <c r="S74" i="1"/>
  <c r="AI73" i="1"/>
  <c r="AJ73" i="1" s="1"/>
  <c r="AW74" i="1"/>
  <c r="Z74" i="1"/>
  <c r="BB73" i="1" s="1"/>
  <c r="AC71" i="1"/>
  <c r="A75" i="1"/>
  <c r="AK75" i="1" s="1"/>
  <c r="G82" i="6"/>
  <c r="F82" i="6"/>
  <c r="D73" i="1"/>
  <c r="E73" i="1"/>
  <c r="F73" i="1" s="1"/>
  <c r="C74" i="1"/>
  <c r="B75" i="1"/>
  <c r="M72" i="1"/>
  <c r="BC73" i="1" l="1"/>
  <c r="BD73" i="1" s="1"/>
  <c r="BF75" i="1"/>
  <c r="AE71" i="1"/>
  <c r="V42" i="1"/>
  <c r="Y42" i="1"/>
  <c r="X42" i="1" s="1"/>
  <c r="AF42" i="1" s="1"/>
  <c r="U23" i="1"/>
  <c r="AO29" i="1"/>
  <c r="J74" i="1"/>
  <c r="AH41" i="1"/>
  <c r="AG41" i="1"/>
  <c r="L75" i="1"/>
  <c r="AY42" i="1"/>
  <c r="AQ42" i="1"/>
  <c r="O42" i="1"/>
  <c r="A96" i="7"/>
  <c r="B95" i="7"/>
  <c r="K75" i="1"/>
  <c r="AU75" i="1"/>
  <c r="AA75" i="1"/>
  <c r="S75" i="1"/>
  <c r="G73" i="1"/>
  <c r="H73" i="1" s="1"/>
  <c r="AI74" i="1"/>
  <c r="AJ74" i="1" s="1"/>
  <c r="AW75" i="1"/>
  <c r="AC72" i="1"/>
  <c r="Z75" i="1"/>
  <c r="BB74" i="1" s="1"/>
  <c r="A76" i="1"/>
  <c r="AK76" i="1" s="1"/>
  <c r="G83" i="6"/>
  <c r="F83" i="6"/>
  <c r="C75" i="1"/>
  <c r="B76" i="1"/>
  <c r="M73" i="1"/>
  <c r="E74" i="1"/>
  <c r="F74" i="1" s="1"/>
  <c r="D74" i="1"/>
  <c r="BC74" i="1" l="1"/>
  <c r="BD74" i="1" s="1"/>
  <c r="BF76" i="1"/>
  <c r="AE72" i="1"/>
  <c r="I43" i="1"/>
  <c r="Q43" i="1" s="1"/>
  <c r="P43" i="1"/>
  <c r="BE43" i="1" s="1"/>
  <c r="AL23" i="1"/>
  <c r="AP29" i="1"/>
  <c r="AX30" i="1" s="1"/>
  <c r="J75" i="1"/>
  <c r="L76" i="1"/>
  <c r="BA41" i="1"/>
  <c r="AM43" i="1"/>
  <c r="AT43" i="1"/>
  <c r="AS43" i="1" s="1"/>
  <c r="N43" i="1"/>
  <c r="A97" i="7"/>
  <c r="B96" i="7"/>
  <c r="K76" i="1"/>
  <c r="AU76" i="1"/>
  <c r="G74" i="1"/>
  <c r="H74" i="1" s="1"/>
  <c r="AA76" i="1"/>
  <c r="S76" i="1"/>
  <c r="AI75" i="1"/>
  <c r="AJ75" i="1" s="1"/>
  <c r="AW76" i="1"/>
  <c r="Z76" i="1"/>
  <c r="BB75" i="1" s="1"/>
  <c r="AC73" i="1"/>
  <c r="A77" i="1"/>
  <c r="AK77" i="1" s="1"/>
  <c r="F84" i="6"/>
  <c r="G84" i="6"/>
  <c r="C76" i="1"/>
  <c r="B77" i="1"/>
  <c r="M74" i="1"/>
  <c r="E75" i="1"/>
  <c r="F75" i="1" s="1"/>
  <c r="D75" i="1"/>
  <c r="BC75" i="1" l="1"/>
  <c r="BD75" i="1" s="1"/>
  <c r="BF77" i="1"/>
  <c r="AE73" i="1"/>
  <c r="V43" i="1"/>
  <c r="Y43" i="1"/>
  <c r="X43" i="1" s="1"/>
  <c r="AF43" i="1" s="1"/>
  <c r="AN23" i="1"/>
  <c r="J76" i="1"/>
  <c r="AH42" i="1"/>
  <c r="AG42" i="1"/>
  <c r="L77" i="1"/>
  <c r="AY43" i="1"/>
  <c r="AQ43" i="1"/>
  <c r="O43" i="1"/>
  <c r="A98" i="7"/>
  <c r="B97" i="7"/>
  <c r="K77" i="1"/>
  <c r="AU77" i="1"/>
  <c r="AA77" i="1"/>
  <c r="S77" i="1"/>
  <c r="G75" i="1"/>
  <c r="H75" i="1" s="1"/>
  <c r="AI76" i="1"/>
  <c r="AJ76" i="1" s="1"/>
  <c r="AW77" i="1"/>
  <c r="Z77" i="1"/>
  <c r="BB76" i="1" s="1"/>
  <c r="AC74" i="1"/>
  <c r="A78" i="1"/>
  <c r="AK78" i="1" s="1"/>
  <c r="G85" i="6"/>
  <c r="F85" i="6"/>
  <c r="C77" i="1"/>
  <c r="B78" i="1"/>
  <c r="M75" i="1"/>
  <c r="E76" i="1"/>
  <c r="F76" i="1" s="1"/>
  <c r="D76" i="1"/>
  <c r="BC76" i="1" l="1"/>
  <c r="BD76" i="1" s="1"/>
  <c r="BF78" i="1"/>
  <c r="AE74" i="1"/>
  <c r="I44" i="1"/>
  <c r="Q44" i="1" s="1"/>
  <c r="P44" i="1"/>
  <c r="BE44" i="1" s="1"/>
  <c r="AO23" i="1"/>
  <c r="U30" i="1"/>
  <c r="J77" i="1"/>
  <c r="L78" i="1"/>
  <c r="AG43" i="1"/>
  <c r="BA42" i="1"/>
  <c r="AT44" i="1"/>
  <c r="AS44" i="1" s="1"/>
  <c r="N44" i="1"/>
  <c r="AM44" i="1"/>
  <c r="A99" i="7"/>
  <c r="B98" i="7"/>
  <c r="K78" i="1"/>
  <c r="AU78" i="1"/>
  <c r="AA78" i="1"/>
  <c r="S78" i="1"/>
  <c r="G76" i="1"/>
  <c r="H76" i="1" s="1"/>
  <c r="AI77" i="1"/>
  <c r="AJ77" i="1" s="1"/>
  <c r="AW78" i="1"/>
  <c r="AC75" i="1"/>
  <c r="Z78" i="1"/>
  <c r="BB77" i="1" s="1"/>
  <c r="A79" i="1"/>
  <c r="AK79" i="1" s="1"/>
  <c r="F86" i="6"/>
  <c r="G86" i="6"/>
  <c r="M76" i="1"/>
  <c r="C78" i="1"/>
  <c r="B79" i="1"/>
  <c r="E77" i="1"/>
  <c r="F77" i="1" s="1"/>
  <c r="D77" i="1"/>
  <c r="BC77" i="1" l="1"/>
  <c r="BD77" i="1" s="1"/>
  <c r="BF79" i="1"/>
  <c r="AE75" i="1"/>
  <c r="V44" i="1"/>
  <c r="Y44" i="1"/>
  <c r="X44" i="1" s="1"/>
  <c r="AF44" i="1" s="1"/>
  <c r="AP23" i="1"/>
  <c r="AX24" i="1" s="1"/>
  <c r="AL30" i="1"/>
  <c r="J78" i="1"/>
  <c r="L79" i="1"/>
  <c r="AY44" i="1"/>
  <c r="AH43" i="1"/>
  <c r="AQ44" i="1"/>
  <c r="O44" i="1"/>
  <c r="A100" i="7"/>
  <c r="B99" i="7"/>
  <c r="K79" i="1"/>
  <c r="AU79" i="1"/>
  <c r="G77" i="1"/>
  <c r="H77" i="1" s="1"/>
  <c r="AA79" i="1"/>
  <c r="S79" i="1"/>
  <c r="AI78" i="1"/>
  <c r="AJ78" i="1" s="1"/>
  <c r="AW79" i="1"/>
  <c r="Z79" i="1"/>
  <c r="BB78" i="1" s="1"/>
  <c r="AC76" i="1"/>
  <c r="A80" i="1"/>
  <c r="AK80" i="1" s="1"/>
  <c r="G87" i="6"/>
  <c r="F87" i="6"/>
  <c r="D78" i="1"/>
  <c r="E78" i="1"/>
  <c r="F78" i="1" s="1"/>
  <c r="C79" i="1"/>
  <c r="B80" i="1"/>
  <c r="M77" i="1"/>
  <c r="BC78" i="1" l="1"/>
  <c r="BD78" i="1" s="1"/>
  <c r="BF80" i="1"/>
  <c r="AE76" i="1"/>
  <c r="I45" i="1"/>
  <c r="Q45" i="1" s="1"/>
  <c r="P45" i="1"/>
  <c r="BE45" i="1" s="1"/>
  <c r="AN30" i="1"/>
  <c r="J79" i="1"/>
  <c r="L80" i="1"/>
  <c r="BA43" i="1"/>
  <c r="N45" i="1"/>
  <c r="AM45" i="1"/>
  <c r="AT45" i="1"/>
  <c r="AS45" i="1" s="1"/>
  <c r="A101" i="7"/>
  <c r="B100" i="7"/>
  <c r="K80" i="1"/>
  <c r="AU80" i="1"/>
  <c r="AA80" i="1"/>
  <c r="S80" i="1"/>
  <c r="G78" i="1"/>
  <c r="H78" i="1" s="1"/>
  <c r="AI79" i="1"/>
  <c r="AJ79" i="1" s="1"/>
  <c r="AW80" i="1"/>
  <c r="Z80" i="1"/>
  <c r="BB79" i="1" s="1"/>
  <c r="AC77" i="1"/>
  <c r="A81" i="1"/>
  <c r="AK81" i="1" s="1"/>
  <c r="G88" i="6"/>
  <c r="F88" i="6"/>
  <c r="E79" i="1"/>
  <c r="F79" i="1" s="1"/>
  <c r="D79" i="1"/>
  <c r="M78" i="1"/>
  <c r="C80" i="1"/>
  <c r="B81" i="1"/>
  <c r="BC79" i="1" l="1"/>
  <c r="BD79" i="1" s="1"/>
  <c r="BF81" i="1"/>
  <c r="AE77" i="1"/>
  <c r="V45" i="1"/>
  <c r="Y45" i="1"/>
  <c r="X45" i="1" s="1"/>
  <c r="AF45" i="1" s="1"/>
  <c r="U24" i="1"/>
  <c r="AO30" i="1"/>
  <c r="J80" i="1"/>
  <c r="AH44" i="1"/>
  <c r="AG44" i="1"/>
  <c r="L81" i="1"/>
  <c r="AY45" i="1"/>
  <c r="AQ45" i="1"/>
  <c r="O45" i="1"/>
  <c r="A102" i="7"/>
  <c r="B101" i="7"/>
  <c r="K81" i="1"/>
  <c r="AU81" i="1"/>
  <c r="AA81" i="1"/>
  <c r="S81" i="1"/>
  <c r="G79" i="1"/>
  <c r="H79" i="1" s="1"/>
  <c r="AI80" i="1"/>
  <c r="AJ80" i="1" s="1"/>
  <c r="AW81" i="1"/>
  <c r="Z81" i="1"/>
  <c r="BB80" i="1" s="1"/>
  <c r="AC78" i="1"/>
  <c r="A82" i="1"/>
  <c r="AK82" i="1" s="1"/>
  <c r="G89" i="6"/>
  <c r="F89" i="6"/>
  <c r="M79" i="1"/>
  <c r="C81" i="1"/>
  <c r="B82" i="1"/>
  <c r="E80" i="1"/>
  <c r="F80" i="1" s="1"/>
  <c r="D80" i="1"/>
  <c r="BC80" i="1" l="1"/>
  <c r="BD80" i="1" s="1"/>
  <c r="BF82" i="1"/>
  <c r="AE78" i="1"/>
  <c r="P46" i="1"/>
  <c r="BE46" i="1" s="1"/>
  <c r="AL24" i="1"/>
  <c r="AP30" i="1"/>
  <c r="AX31" i="1" s="1"/>
  <c r="J81" i="1"/>
  <c r="L82" i="1"/>
  <c r="BA44" i="1"/>
  <c r="AT46" i="1"/>
  <c r="AS46" i="1" s="1"/>
  <c r="N46" i="1"/>
  <c r="I46" i="1"/>
  <c r="Q46" i="1" s="1"/>
  <c r="AM46" i="1"/>
  <c r="A103" i="7"/>
  <c r="B102" i="7"/>
  <c r="K82" i="1"/>
  <c r="AU82" i="1"/>
  <c r="AA82" i="1"/>
  <c r="S82" i="1"/>
  <c r="G80" i="1"/>
  <c r="H80" i="1" s="1"/>
  <c r="AI81" i="1"/>
  <c r="AJ81" i="1" s="1"/>
  <c r="AW82" i="1"/>
  <c r="Z82" i="1"/>
  <c r="BB81" i="1" s="1"/>
  <c r="AC79" i="1"/>
  <c r="A83" i="1"/>
  <c r="AK83" i="1" s="1"/>
  <c r="F90" i="6"/>
  <c r="G90" i="6"/>
  <c r="E81" i="1"/>
  <c r="F81" i="1" s="1"/>
  <c r="D81" i="1"/>
  <c r="C82" i="1"/>
  <c r="B83" i="1"/>
  <c r="M80" i="1"/>
  <c r="BC81" i="1" l="1"/>
  <c r="BD81" i="1" s="1"/>
  <c r="BF83" i="1"/>
  <c r="AE79" i="1"/>
  <c r="V46" i="1"/>
  <c r="Y46" i="1"/>
  <c r="X46" i="1" s="1"/>
  <c r="AF46" i="1" s="1"/>
  <c r="AG46" i="1" s="1"/>
  <c r="AQ46" i="1"/>
  <c r="AN24" i="1"/>
  <c r="AY46" i="1"/>
  <c r="J82" i="1"/>
  <c r="L83" i="1"/>
  <c r="AH45" i="1"/>
  <c r="AG45" i="1"/>
  <c r="O46" i="1"/>
  <c r="A104" i="7"/>
  <c r="B103" i="7"/>
  <c r="K83" i="1"/>
  <c r="AU83" i="1"/>
  <c r="G81" i="1"/>
  <c r="H81" i="1" s="1"/>
  <c r="AA83" i="1"/>
  <c r="S83" i="1"/>
  <c r="AI82" i="1"/>
  <c r="AJ82" i="1" s="1"/>
  <c r="AW83" i="1"/>
  <c r="Z83" i="1"/>
  <c r="BB82" i="1" s="1"/>
  <c r="AC80" i="1"/>
  <c r="A84" i="1"/>
  <c r="G91" i="6"/>
  <c r="F91" i="6"/>
  <c r="E82" i="1"/>
  <c r="F82" i="1" s="1"/>
  <c r="D82" i="1"/>
  <c r="M81" i="1"/>
  <c r="C83" i="1"/>
  <c r="B84" i="1"/>
  <c r="BC82" i="1" l="1"/>
  <c r="BD82" i="1" s="1"/>
  <c r="BF84" i="1"/>
  <c r="AE80" i="1"/>
  <c r="AO24" i="1"/>
  <c r="P47" i="1"/>
  <c r="BE47" i="1" s="1"/>
  <c r="U31" i="1"/>
  <c r="J83" i="1"/>
  <c r="L84" i="1"/>
  <c r="BA45" i="1"/>
  <c r="I47" i="1"/>
  <c r="Q47" i="1" s="1"/>
  <c r="N47" i="1"/>
  <c r="AM47" i="1"/>
  <c r="AT47" i="1"/>
  <c r="AS47" i="1" s="1"/>
  <c r="A105" i="7"/>
  <c r="B104" i="7"/>
  <c r="K84" i="1"/>
  <c r="AU84" i="1"/>
  <c r="AA84" i="1"/>
  <c r="S84" i="1"/>
  <c r="G82" i="1"/>
  <c r="H82" i="1" s="1"/>
  <c r="AP84" i="1"/>
  <c r="AK84" i="1"/>
  <c r="AI83" i="1"/>
  <c r="AJ83" i="1" s="1"/>
  <c r="AW84" i="1"/>
  <c r="U37" i="1"/>
  <c r="AC81" i="1"/>
  <c r="Z84" i="1"/>
  <c r="BB83" i="1" s="1"/>
  <c r="A85" i="1"/>
  <c r="AK85" i="1" s="1"/>
  <c r="F92" i="6"/>
  <c r="G92" i="6"/>
  <c r="D83" i="1"/>
  <c r="E83" i="1"/>
  <c r="F83" i="1" s="1"/>
  <c r="C84" i="1"/>
  <c r="B85" i="1"/>
  <c r="M82" i="1"/>
  <c r="BC83" i="1" l="1"/>
  <c r="BD83" i="1" s="1"/>
  <c r="BF85" i="1"/>
  <c r="AE81" i="1"/>
  <c r="V47" i="1"/>
  <c r="Y47" i="1"/>
  <c r="X47" i="1" s="1"/>
  <c r="AF47" i="1" s="1"/>
  <c r="AH46" i="1"/>
  <c r="AY47" i="1"/>
  <c r="AL37" i="1"/>
  <c r="AL31" i="1"/>
  <c r="J84" i="1"/>
  <c r="L85" i="1"/>
  <c r="BA46" i="1"/>
  <c r="AQ47" i="1"/>
  <c r="O47" i="1"/>
  <c r="A106" i="7"/>
  <c r="B105" i="7"/>
  <c r="K85" i="1"/>
  <c r="AU85" i="1"/>
  <c r="G83" i="1"/>
  <c r="H83" i="1" s="1"/>
  <c r="AA85" i="1"/>
  <c r="S85" i="1"/>
  <c r="AI84" i="1"/>
  <c r="AJ84" i="1" s="1"/>
  <c r="AW85" i="1"/>
  <c r="Z85" i="1"/>
  <c r="BB84" i="1" s="1"/>
  <c r="AC82" i="1"/>
  <c r="A86" i="1"/>
  <c r="AK86" i="1" s="1"/>
  <c r="G93" i="6"/>
  <c r="F93" i="6"/>
  <c r="E84" i="1"/>
  <c r="F84" i="1" s="1"/>
  <c r="D84" i="1"/>
  <c r="M83" i="1"/>
  <c r="C85" i="1"/>
  <c r="B86" i="1"/>
  <c r="BC84" i="1" l="1"/>
  <c r="BD84" i="1" s="1"/>
  <c r="BF86" i="1"/>
  <c r="AE82" i="1"/>
  <c r="I48" i="1"/>
  <c r="Q48" i="1" s="1"/>
  <c r="P48" i="1"/>
  <c r="BE48" i="1" s="1"/>
  <c r="AN31" i="1"/>
  <c r="AN37" i="1"/>
  <c r="J85" i="1"/>
  <c r="L86" i="1"/>
  <c r="AG47" i="1"/>
  <c r="AT48" i="1"/>
  <c r="AS48" i="1" s="1"/>
  <c r="N48" i="1"/>
  <c r="AM48" i="1"/>
  <c r="AH47" i="1"/>
  <c r="A107" i="7"/>
  <c r="B106" i="7"/>
  <c r="K86" i="1"/>
  <c r="AU86" i="1"/>
  <c r="AA86" i="1"/>
  <c r="S86" i="1"/>
  <c r="G84" i="1"/>
  <c r="H84" i="1" s="1"/>
  <c r="AI85" i="1"/>
  <c r="AJ85" i="1" s="1"/>
  <c r="AW86" i="1"/>
  <c r="Z86" i="1"/>
  <c r="BB85" i="1" s="1"/>
  <c r="AC83" i="1"/>
  <c r="A87" i="1"/>
  <c r="AK87" i="1" s="1"/>
  <c r="F94" i="6"/>
  <c r="G94" i="6"/>
  <c r="C86" i="1"/>
  <c r="B87" i="1"/>
  <c r="E85" i="1"/>
  <c r="F85" i="1" s="1"/>
  <c r="D85" i="1"/>
  <c r="M84" i="1"/>
  <c r="BC85" i="1" l="1"/>
  <c r="BD85" i="1" s="1"/>
  <c r="BF87" i="1"/>
  <c r="AE83" i="1"/>
  <c r="V48" i="1"/>
  <c r="Y48" i="1"/>
  <c r="X48" i="1" s="1"/>
  <c r="AF48" i="1" s="1"/>
  <c r="AO31" i="1"/>
  <c r="AO37" i="1"/>
  <c r="J86" i="1"/>
  <c r="L87" i="1"/>
  <c r="BA47" i="1"/>
  <c r="AY48" i="1"/>
  <c r="AQ48" i="1"/>
  <c r="O48" i="1"/>
  <c r="A108" i="7"/>
  <c r="B107" i="7"/>
  <c r="K87" i="1"/>
  <c r="AU87" i="1"/>
  <c r="AA87" i="1"/>
  <c r="S87" i="1"/>
  <c r="G85" i="1"/>
  <c r="H85" i="1" s="1"/>
  <c r="AI86" i="1"/>
  <c r="AJ86" i="1" s="1"/>
  <c r="AW87" i="1"/>
  <c r="AC84" i="1"/>
  <c r="Z87" i="1"/>
  <c r="BB86" i="1" s="1"/>
  <c r="A88" i="1"/>
  <c r="AK88" i="1" s="1"/>
  <c r="G95" i="6"/>
  <c r="F95" i="6"/>
  <c r="C87" i="1"/>
  <c r="B88" i="1"/>
  <c r="E86" i="1"/>
  <c r="F86" i="1" s="1"/>
  <c r="D86" i="1"/>
  <c r="M85" i="1"/>
  <c r="BC86" i="1" l="1"/>
  <c r="BD86" i="1" s="1"/>
  <c r="BF88" i="1"/>
  <c r="AE84" i="1"/>
  <c r="AT49" i="1"/>
  <c r="AS49" i="1" s="1"/>
  <c r="P49" i="1"/>
  <c r="BE49" i="1" s="1"/>
  <c r="AP37" i="1"/>
  <c r="AX38" i="1" s="1"/>
  <c r="AP31" i="1"/>
  <c r="AX32" i="1" s="1"/>
  <c r="J87" i="1"/>
  <c r="L88" i="1"/>
  <c r="AG48" i="1"/>
  <c r="N49" i="1"/>
  <c r="AM49" i="1"/>
  <c r="I49" i="1"/>
  <c r="Q49" i="1" s="1"/>
  <c r="A109" i="7"/>
  <c r="B108" i="7"/>
  <c r="K88" i="1"/>
  <c r="AU88" i="1"/>
  <c r="AA88" i="1"/>
  <c r="S88" i="1"/>
  <c r="G86" i="1"/>
  <c r="H86" i="1" s="1"/>
  <c r="AI87" i="1"/>
  <c r="AJ87" i="1" s="1"/>
  <c r="AW88" i="1"/>
  <c r="Z88" i="1"/>
  <c r="BB87" i="1" s="1"/>
  <c r="AC85" i="1"/>
  <c r="A89" i="1"/>
  <c r="AK89" i="1" s="1"/>
  <c r="F96" i="6"/>
  <c r="G96" i="6"/>
  <c r="C88" i="1"/>
  <c r="B89" i="1"/>
  <c r="M86" i="1"/>
  <c r="E87" i="1"/>
  <c r="F87" i="1" s="1"/>
  <c r="D87" i="1"/>
  <c r="BC87" i="1" l="1"/>
  <c r="BD87" i="1" s="1"/>
  <c r="BF89" i="1"/>
  <c r="AE85" i="1"/>
  <c r="V49" i="1"/>
  <c r="Y49" i="1"/>
  <c r="X49" i="1" s="1"/>
  <c r="AF49" i="1" s="1"/>
  <c r="J88" i="1"/>
  <c r="L89" i="1"/>
  <c r="AY49" i="1"/>
  <c r="AH48" i="1"/>
  <c r="AQ49" i="1"/>
  <c r="O49" i="1"/>
  <c r="P50" i="1" s="1"/>
  <c r="BE50" i="1" s="1"/>
  <c r="A110" i="7"/>
  <c r="B109" i="7"/>
  <c r="K89" i="1"/>
  <c r="AU89" i="1"/>
  <c r="G87" i="1"/>
  <c r="H87" i="1" s="1"/>
  <c r="AA89" i="1"/>
  <c r="S89" i="1"/>
  <c r="AI88" i="1"/>
  <c r="AJ88" i="1" s="1"/>
  <c r="AW89" i="1"/>
  <c r="AC86" i="1"/>
  <c r="Z89" i="1"/>
  <c r="BB88" i="1" s="1"/>
  <c r="A90" i="1"/>
  <c r="AK90" i="1" s="1"/>
  <c r="F97" i="6"/>
  <c r="G97" i="6"/>
  <c r="C89" i="1"/>
  <c r="B90" i="1"/>
  <c r="M87" i="1"/>
  <c r="E88" i="1"/>
  <c r="F88" i="1" s="1"/>
  <c r="D88" i="1"/>
  <c r="BC88" i="1" l="1"/>
  <c r="BD88" i="1" s="1"/>
  <c r="BF90" i="1"/>
  <c r="AX49" i="1"/>
  <c r="AE86" i="1"/>
  <c r="V50" i="1"/>
  <c r="Y50" i="1"/>
  <c r="X50" i="1" s="1"/>
  <c r="AF50" i="1" s="1"/>
  <c r="U32" i="1"/>
  <c r="U38" i="1"/>
  <c r="J89" i="1"/>
  <c r="L90" i="1"/>
  <c r="BA48" i="1"/>
  <c r="AG49" i="1"/>
  <c r="N50" i="1"/>
  <c r="AM50" i="1"/>
  <c r="I50" i="1"/>
  <c r="Q50" i="1" s="1"/>
  <c r="AT50" i="1"/>
  <c r="AS50" i="1" s="1"/>
  <c r="A111" i="7"/>
  <c r="B110" i="7"/>
  <c r="K90" i="1"/>
  <c r="AU90" i="1"/>
  <c r="AA90" i="1"/>
  <c r="S90" i="1"/>
  <c r="G88" i="1"/>
  <c r="H88" i="1" s="1"/>
  <c r="AI89" i="1"/>
  <c r="AJ89" i="1" s="1"/>
  <c r="AW90" i="1"/>
  <c r="Z90" i="1"/>
  <c r="BB89" i="1" s="1"/>
  <c r="AC87" i="1"/>
  <c r="A91" i="1"/>
  <c r="AK91" i="1" s="1"/>
  <c r="G98" i="6"/>
  <c r="F98" i="6"/>
  <c r="M88" i="1"/>
  <c r="C90" i="1"/>
  <c r="B91" i="1"/>
  <c r="E89" i="1"/>
  <c r="F89" i="1" s="1"/>
  <c r="D89" i="1"/>
  <c r="BC89" i="1" l="1"/>
  <c r="BD89" i="1" s="1"/>
  <c r="BF91" i="1"/>
  <c r="AE87" i="1"/>
  <c r="AL38" i="1"/>
  <c r="AL32" i="1"/>
  <c r="J90" i="1"/>
  <c r="L91" i="1"/>
  <c r="AY50" i="1"/>
  <c r="AH49" i="1"/>
  <c r="AQ50" i="1"/>
  <c r="O50" i="1"/>
  <c r="A112" i="7"/>
  <c r="B111" i="7"/>
  <c r="K91" i="1"/>
  <c r="AU91" i="1"/>
  <c r="AA91" i="1"/>
  <c r="S91" i="1"/>
  <c r="G89" i="1"/>
  <c r="H89" i="1" s="1"/>
  <c r="AI90" i="1"/>
  <c r="AJ90" i="1" s="1"/>
  <c r="AW91" i="1"/>
  <c r="AC88" i="1"/>
  <c r="Z91" i="1"/>
  <c r="BB90" i="1" s="1"/>
  <c r="A92" i="1"/>
  <c r="AK92" i="1" s="1"/>
  <c r="G99" i="6"/>
  <c r="F99" i="6"/>
  <c r="C91" i="1"/>
  <c r="B92" i="1"/>
  <c r="E90" i="1"/>
  <c r="F90" i="1" s="1"/>
  <c r="D90" i="1"/>
  <c r="M89" i="1"/>
  <c r="BC90" i="1" l="1"/>
  <c r="BD90" i="1" s="1"/>
  <c r="BF92" i="1"/>
  <c r="AE88" i="1"/>
  <c r="AT51" i="1"/>
  <c r="AS51" i="1" s="1"/>
  <c r="P51" i="1"/>
  <c r="BE51" i="1" s="1"/>
  <c r="AN38" i="1"/>
  <c r="AN32" i="1"/>
  <c r="J91" i="1"/>
  <c r="L92" i="1"/>
  <c r="BA49" i="1"/>
  <c r="AM51" i="1"/>
  <c r="N51" i="1"/>
  <c r="I51" i="1"/>
  <c r="Q51" i="1" s="1"/>
  <c r="A113" i="7"/>
  <c r="B112" i="7"/>
  <c r="K92" i="1"/>
  <c r="AU92" i="1"/>
  <c r="G90" i="1"/>
  <c r="H90" i="1" s="1"/>
  <c r="AA92" i="1"/>
  <c r="S92" i="1"/>
  <c r="AI91" i="1"/>
  <c r="AJ91" i="1" s="1"/>
  <c r="AW92" i="1"/>
  <c r="AC89" i="1"/>
  <c r="Z92" i="1"/>
  <c r="BB91" i="1" s="1"/>
  <c r="A93" i="1"/>
  <c r="AK93" i="1" s="1"/>
  <c r="F100" i="6"/>
  <c r="G100" i="6"/>
  <c r="C92" i="1"/>
  <c r="B93" i="1"/>
  <c r="M90" i="1"/>
  <c r="E91" i="1"/>
  <c r="F91" i="1" s="1"/>
  <c r="D91" i="1"/>
  <c r="BC91" i="1" l="1"/>
  <c r="BD91" i="1" s="1"/>
  <c r="BF93" i="1"/>
  <c r="AE89" i="1"/>
  <c r="V51" i="1"/>
  <c r="Y51" i="1"/>
  <c r="X51" i="1" s="1"/>
  <c r="AF51" i="1" s="1"/>
  <c r="AO38" i="1"/>
  <c r="AO32" i="1"/>
  <c r="J92" i="1"/>
  <c r="L93" i="1"/>
  <c r="AH50" i="1"/>
  <c r="AG50" i="1"/>
  <c r="AY51" i="1"/>
  <c r="AQ51" i="1"/>
  <c r="O51" i="1"/>
  <c r="A114" i="7"/>
  <c r="B113" i="7"/>
  <c r="K93" i="1"/>
  <c r="AU93" i="1"/>
  <c r="AA93" i="1"/>
  <c r="S93" i="1"/>
  <c r="G91" i="1"/>
  <c r="H91" i="1" s="1"/>
  <c r="AI92" i="1"/>
  <c r="AJ92" i="1" s="1"/>
  <c r="AW93" i="1"/>
  <c r="Z93" i="1"/>
  <c r="BB92" i="1" s="1"/>
  <c r="AC90" i="1"/>
  <c r="A94" i="1"/>
  <c r="AK94" i="1" s="1"/>
  <c r="G101" i="6"/>
  <c r="F101" i="6"/>
  <c r="C93" i="1"/>
  <c r="B94" i="1"/>
  <c r="M91" i="1"/>
  <c r="E92" i="1"/>
  <c r="F92" i="1" s="1"/>
  <c r="D92" i="1"/>
  <c r="BC92" i="1" l="1"/>
  <c r="BD92" i="1" s="1"/>
  <c r="BF94" i="1"/>
  <c r="AE90" i="1"/>
  <c r="AT52" i="1"/>
  <c r="AS52" i="1" s="1"/>
  <c r="P52" i="1"/>
  <c r="BE52" i="1" s="1"/>
  <c r="AP38" i="1"/>
  <c r="AX39" i="1" s="1"/>
  <c r="AP32" i="1"/>
  <c r="AX33" i="1" s="1"/>
  <c r="J93" i="1"/>
  <c r="L94" i="1"/>
  <c r="BA50" i="1"/>
  <c r="AG51" i="1"/>
  <c r="AM52" i="1"/>
  <c r="I52" i="1"/>
  <c r="Q52" i="1" s="1"/>
  <c r="N52" i="1"/>
  <c r="A115" i="7"/>
  <c r="B114" i="7"/>
  <c r="K94" i="1"/>
  <c r="AU94" i="1"/>
  <c r="AA94" i="1"/>
  <c r="S94" i="1"/>
  <c r="G92" i="1"/>
  <c r="H92" i="1" s="1"/>
  <c r="AI93" i="1"/>
  <c r="AJ93" i="1" s="1"/>
  <c r="AW94" i="1"/>
  <c r="AC91" i="1"/>
  <c r="Z94" i="1"/>
  <c r="BB93" i="1" s="1"/>
  <c r="A95" i="1"/>
  <c r="AK95" i="1" s="1"/>
  <c r="G102" i="6"/>
  <c r="F102" i="6"/>
  <c r="C94" i="1"/>
  <c r="B95" i="1"/>
  <c r="M92" i="1"/>
  <c r="E93" i="1"/>
  <c r="F93" i="1" s="1"/>
  <c r="D93" i="1"/>
  <c r="BC93" i="1" l="1"/>
  <c r="BD93" i="1" s="1"/>
  <c r="BF95" i="1"/>
  <c r="AE91" i="1"/>
  <c r="V52" i="1"/>
  <c r="Y52" i="1"/>
  <c r="X52" i="1" s="1"/>
  <c r="AF52" i="1" s="1"/>
  <c r="J94" i="1"/>
  <c r="L95" i="1"/>
  <c r="AY52" i="1"/>
  <c r="AH51" i="1"/>
  <c r="AQ52" i="1"/>
  <c r="O52" i="1"/>
  <c r="A116" i="7"/>
  <c r="B115" i="7"/>
  <c r="K95" i="1"/>
  <c r="AU95" i="1"/>
  <c r="AA95" i="1"/>
  <c r="S95" i="1"/>
  <c r="G93" i="1"/>
  <c r="H93" i="1" s="1"/>
  <c r="AI94" i="1"/>
  <c r="AJ94" i="1" s="1"/>
  <c r="AW95" i="1"/>
  <c r="AC92" i="1"/>
  <c r="Z95" i="1"/>
  <c r="BB94" i="1" s="1"/>
  <c r="A96" i="1"/>
  <c r="G103" i="6"/>
  <c r="F103" i="6"/>
  <c r="D94" i="1"/>
  <c r="E94" i="1"/>
  <c r="F94" i="1" s="1"/>
  <c r="C95" i="1"/>
  <c r="B96" i="1"/>
  <c r="M93" i="1"/>
  <c r="BC94" i="1" l="1"/>
  <c r="BD94" i="1" s="1"/>
  <c r="BF96" i="1"/>
  <c r="AE92" i="1"/>
  <c r="AT53" i="1"/>
  <c r="AS53" i="1" s="1"/>
  <c r="P53" i="1"/>
  <c r="BE53" i="1" s="1"/>
  <c r="U33" i="1"/>
  <c r="U39" i="1"/>
  <c r="J95" i="1"/>
  <c r="L96" i="1"/>
  <c r="AG52" i="1"/>
  <c r="BA51" i="1"/>
  <c r="I53" i="1"/>
  <c r="Q53" i="1" s="1"/>
  <c r="N53" i="1"/>
  <c r="AM53" i="1"/>
  <c r="A117" i="7"/>
  <c r="B116" i="7"/>
  <c r="K96" i="1"/>
  <c r="AU96" i="1"/>
  <c r="G94" i="1"/>
  <c r="H94" i="1" s="1"/>
  <c r="AA96" i="1"/>
  <c r="S96" i="1"/>
  <c r="AK96" i="1"/>
  <c r="AP96" i="1"/>
  <c r="AI95" i="1"/>
  <c r="AJ95" i="1" s="1"/>
  <c r="AW96" i="1"/>
  <c r="Z96" i="1"/>
  <c r="BB95" i="1" s="1"/>
  <c r="AC93" i="1"/>
  <c r="A97" i="1"/>
  <c r="AK97" i="1" s="1"/>
  <c r="G104" i="6"/>
  <c r="F104" i="6"/>
  <c r="C96" i="1"/>
  <c r="B97" i="1"/>
  <c r="E95" i="1"/>
  <c r="F95" i="1" s="1"/>
  <c r="D95" i="1"/>
  <c r="M94" i="1"/>
  <c r="BC95" i="1" l="1"/>
  <c r="BD95" i="1" s="1"/>
  <c r="BF97" i="1"/>
  <c r="AE93" i="1"/>
  <c r="V53" i="1"/>
  <c r="Y53" i="1"/>
  <c r="X53" i="1" s="1"/>
  <c r="AF53" i="1" s="1"/>
  <c r="AL39" i="1"/>
  <c r="AL33" i="1"/>
  <c r="J96" i="1"/>
  <c r="L97" i="1"/>
  <c r="AY53" i="1"/>
  <c r="AH52" i="1"/>
  <c r="AQ53" i="1"/>
  <c r="O53" i="1"/>
  <c r="A118" i="7"/>
  <c r="B117" i="7"/>
  <c r="K97" i="1"/>
  <c r="AU97" i="1"/>
  <c r="G95" i="1"/>
  <c r="H95" i="1" s="1"/>
  <c r="AA97" i="1"/>
  <c r="S97" i="1"/>
  <c r="AI96" i="1"/>
  <c r="AJ96" i="1" s="1"/>
  <c r="AW97" i="1"/>
  <c r="Z97" i="1"/>
  <c r="BB96" i="1" s="1"/>
  <c r="AC94" i="1"/>
  <c r="A98" i="1"/>
  <c r="AK98" i="1" s="1"/>
  <c r="G105" i="6"/>
  <c r="F105" i="6"/>
  <c r="M95" i="1"/>
  <c r="C97" i="1"/>
  <c r="B98" i="1"/>
  <c r="E96" i="1"/>
  <c r="F96" i="1" s="1"/>
  <c r="D96" i="1"/>
  <c r="BC96" i="1" l="1"/>
  <c r="BD96" i="1" s="1"/>
  <c r="BF98" i="1"/>
  <c r="AE94" i="1"/>
  <c r="AT54" i="1"/>
  <c r="AS54" i="1" s="1"/>
  <c r="P54" i="1"/>
  <c r="BE54" i="1" s="1"/>
  <c r="AN39" i="1"/>
  <c r="AN33" i="1"/>
  <c r="J97" i="1"/>
  <c r="L98" i="1"/>
  <c r="BA52" i="1"/>
  <c r="AM54" i="1"/>
  <c r="N54" i="1"/>
  <c r="I54" i="1"/>
  <c r="Q54" i="1" s="1"/>
  <c r="A119" i="7"/>
  <c r="B118" i="7"/>
  <c r="K98" i="1"/>
  <c r="AU98" i="1"/>
  <c r="G96" i="1"/>
  <c r="H96" i="1" s="1"/>
  <c r="AA98" i="1"/>
  <c r="S98" i="1"/>
  <c r="AI97" i="1"/>
  <c r="AJ97" i="1" s="1"/>
  <c r="AW98" i="1"/>
  <c r="Z98" i="1"/>
  <c r="BB97" i="1" s="1"/>
  <c r="AC95" i="1"/>
  <c r="A99" i="1"/>
  <c r="AK99" i="1" s="1"/>
  <c r="G106" i="6"/>
  <c r="F106" i="6"/>
  <c r="C98" i="1"/>
  <c r="B99" i="1"/>
  <c r="E97" i="1"/>
  <c r="F97" i="1" s="1"/>
  <c r="D97" i="1"/>
  <c r="M96" i="1"/>
  <c r="BC97" i="1" l="1"/>
  <c r="BD97" i="1" s="1"/>
  <c r="BF99" i="1"/>
  <c r="AE95" i="1"/>
  <c r="V54" i="1"/>
  <c r="Y54" i="1"/>
  <c r="X54" i="1" s="1"/>
  <c r="AF54" i="1" s="1"/>
  <c r="AO33" i="1"/>
  <c r="AO39" i="1"/>
  <c r="J98" i="1"/>
  <c r="L99" i="1"/>
  <c r="AH53" i="1"/>
  <c r="AG53" i="1"/>
  <c r="AY54" i="1"/>
  <c r="AQ54" i="1"/>
  <c r="O54" i="1"/>
  <c r="A120" i="7"/>
  <c r="B119" i="7"/>
  <c r="K99" i="1"/>
  <c r="AU99" i="1"/>
  <c r="G97" i="1"/>
  <c r="H97" i="1" s="1"/>
  <c r="AA99" i="1"/>
  <c r="S99" i="1"/>
  <c r="AI98" i="1"/>
  <c r="AJ98" i="1" s="1"/>
  <c r="AW99" i="1"/>
  <c r="Z99" i="1"/>
  <c r="BB98" i="1" s="1"/>
  <c r="AC96" i="1"/>
  <c r="A100" i="1"/>
  <c r="AK100" i="1" s="1"/>
  <c r="G107" i="6"/>
  <c r="F107" i="6"/>
  <c r="C99" i="1"/>
  <c r="B100" i="1"/>
  <c r="M97" i="1"/>
  <c r="E98" i="1"/>
  <c r="F98" i="1" s="1"/>
  <c r="D98" i="1"/>
  <c r="BC98" i="1" l="1"/>
  <c r="BD98" i="1" s="1"/>
  <c r="BF100" i="1"/>
  <c r="AE96" i="1"/>
  <c r="AT55" i="1"/>
  <c r="AS55" i="1" s="1"/>
  <c r="P55" i="1"/>
  <c r="BE55" i="1" s="1"/>
  <c r="AP33" i="1"/>
  <c r="AX34" i="1" s="1"/>
  <c r="AP39" i="1"/>
  <c r="AX40" i="1" s="1"/>
  <c r="J99" i="1"/>
  <c r="L100" i="1"/>
  <c r="BA53" i="1"/>
  <c r="AG54" i="1"/>
  <c r="AM55" i="1"/>
  <c r="I55" i="1"/>
  <c r="Q55" i="1" s="1"/>
  <c r="N55" i="1"/>
  <c r="A121" i="7"/>
  <c r="B120" i="7"/>
  <c r="K100" i="1"/>
  <c r="AU100" i="1"/>
  <c r="G98" i="1"/>
  <c r="H98" i="1" s="1"/>
  <c r="AA100" i="1"/>
  <c r="S100" i="1"/>
  <c r="AI99" i="1"/>
  <c r="AJ99" i="1" s="1"/>
  <c r="AW100" i="1"/>
  <c r="AC97" i="1"/>
  <c r="Z100" i="1"/>
  <c r="BB99" i="1" s="1"/>
  <c r="A101" i="1"/>
  <c r="AK101" i="1" s="1"/>
  <c r="F108" i="6"/>
  <c r="G108" i="6"/>
  <c r="M98" i="1"/>
  <c r="D99" i="1"/>
  <c r="E99" i="1"/>
  <c r="F99" i="1" s="1"/>
  <c r="C100" i="1"/>
  <c r="B101" i="1"/>
  <c r="BC99" i="1" l="1"/>
  <c r="BD99" i="1" s="1"/>
  <c r="BF101" i="1"/>
  <c r="AE97" i="1"/>
  <c r="V55" i="1"/>
  <c r="Y55" i="1"/>
  <c r="X55" i="1" s="1"/>
  <c r="AF55" i="1" s="1"/>
  <c r="J100" i="1"/>
  <c r="L101" i="1"/>
  <c r="AH54" i="1"/>
  <c r="AY55" i="1"/>
  <c r="AQ55" i="1"/>
  <c r="O55" i="1"/>
  <c r="A122" i="7"/>
  <c r="B121" i="7"/>
  <c r="K101" i="1"/>
  <c r="AU101" i="1"/>
  <c r="AA101" i="1"/>
  <c r="S101" i="1"/>
  <c r="G99" i="1"/>
  <c r="H99" i="1" s="1"/>
  <c r="AI100" i="1"/>
  <c r="AJ100" i="1" s="1"/>
  <c r="AW101" i="1"/>
  <c r="Z101" i="1"/>
  <c r="BB100" i="1" s="1"/>
  <c r="AC98" i="1"/>
  <c r="A102" i="1"/>
  <c r="AK102" i="1" s="1"/>
  <c r="G109" i="6"/>
  <c r="F109" i="6"/>
  <c r="E100" i="1"/>
  <c r="F100" i="1" s="1"/>
  <c r="D100" i="1"/>
  <c r="M99" i="1"/>
  <c r="C101" i="1"/>
  <c r="B102" i="1"/>
  <c r="BC100" i="1" l="1"/>
  <c r="BD100" i="1" s="1"/>
  <c r="BF102" i="1"/>
  <c r="AE98" i="1"/>
  <c r="P56" i="1"/>
  <c r="BE56" i="1" s="1"/>
  <c r="U34" i="1"/>
  <c r="U40" i="1"/>
  <c r="J101" i="1"/>
  <c r="L102" i="1"/>
  <c r="BA54" i="1"/>
  <c r="AM56" i="1"/>
  <c r="N56" i="1"/>
  <c r="I56" i="1"/>
  <c r="Q56" i="1" s="1"/>
  <c r="AT56" i="1"/>
  <c r="AS56" i="1" s="1"/>
  <c r="A123" i="7"/>
  <c r="B122" i="7"/>
  <c r="K102" i="1"/>
  <c r="AU102" i="1"/>
  <c r="AA102" i="1"/>
  <c r="S102" i="1"/>
  <c r="G100" i="1"/>
  <c r="H100" i="1" s="1"/>
  <c r="AI101" i="1"/>
  <c r="AJ101" i="1" s="1"/>
  <c r="AW102" i="1"/>
  <c r="Z102" i="1"/>
  <c r="BB101" i="1" s="1"/>
  <c r="AC99" i="1"/>
  <c r="A103" i="1"/>
  <c r="AK103" i="1" s="1"/>
  <c r="F110" i="6"/>
  <c r="G110" i="6"/>
  <c r="M100" i="1"/>
  <c r="E101" i="1"/>
  <c r="F101" i="1" s="1"/>
  <c r="D101" i="1"/>
  <c r="C102" i="1"/>
  <c r="B103" i="1"/>
  <c r="BC101" i="1" l="1"/>
  <c r="BD101" i="1" s="1"/>
  <c r="BF103" i="1"/>
  <c r="AE99" i="1"/>
  <c r="V56" i="1"/>
  <c r="Y56" i="1"/>
  <c r="X56" i="1" s="1"/>
  <c r="AF56" i="1" s="1"/>
  <c r="AQ56" i="1"/>
  <c r="AY56" i="1"/>
  <c r="AL40" i="1"/>
  <c r="AL34" i="1"/>
  <c r="J102" i="1"/>
  <c r="L103" i="1"/>
  <c r="AH55" i="1"/>
  <c r="AG55" i="1"/>
  <c r="O56" i="1"/>
  <c r="A124" i="7"/>
  <c r="B123" i="7"/>
  <c r="K103" i="1"/>
  <c r="AU103" i="1"/>
  <c r="G101" i="1"/>
  <c r="H101" i="1" s="1"/>
  <c r="AA103" i="1"/>
  <c r="S103" i="1"/>
  <c r="AI102" i="1"/>
  <c r="AJ102" i="1" s="1"/>
  <c r="AW103" i="1"/>
  <c r="Z103" i="1"/>
  <c r="BB102" i="1" s="1"/>
  <c r="AC100" i="1"/>
  <c r="A104" i="1"/>
  <c r="AK104" i="1" s="1"/>
  <c r="F111" i="6"/>
  <c r="G111" i="6"/>
  <c r="C103" i="1"/>
  <c r="B104" i="1"/>
  <c r="E102" i="1"/>
  <c r="F102" i="1" s="1"/>
  <c r="D102" i="1"/>
  <c r="M101" i="1"/>
  <c r="BC102" i="1" l="1"/>
  <c r="BD102" i="1" s="1"/>
  <c r="BF104" i="1"/>
  <c r="AE100" i="1"/>
  <c r="AG56" i="1"/>
  <c r="N57" i="1"/>
  <c r="P57" i="1"/>
  <c r="BE57" i="1" s="1"/>
  <c r="AN40" i="1"/>
  <c r="AN34" i="1"/>
  <c r="J103" i="1"/>
  <c r="L104" i="1"/>
  <c r="BA55" i="1"/>
  <c r="I57" i="1"/>
  <c r="Q57" i="1" s="1"/>
  <c r="AT57" i="1"/>
  <c r="AS57" i="1" s="1"/>
  <c r="AM57" i="1"/>
  <c r="A125" i="7"/>
  <c r="B124" i="7"/>
  <c r="K104" i="1"/>
  <c r="AU104" i="1"/>
  <c r="G102" i="1"/>
  <c r="H102" i="1" s="1"/>
  <c r="AA104" i="1"/>
  <c r="S104" i="1"/>
  <c r="AI103" i="1"/>
  <c r="AJ103" i="1" s="1"/>
  <c r="AW104" i="1"/>
  <c r="AC101" i="1"/>
  <c r="Z104" i="1"/>
  <c r="BB103" i="1" s="1"/>
  <c r="A105" i="1"/>
  <c r="AK105" i="1" s="1"/>
  <c r="F112" i="6"/>
  <c r="G112" i="6"/>
  <c r="C104" i="1"/>
  <c r="B105" i="1"/>
  <c r="M102" i="1"/>
  <c r="E103" i="1"/>
  <c r="F103" i="1" s="1"/>
  <c r="D103" i="1"/>
  <c r="BC103" i="1" l="1"/>
  <c r="BD103" i="1" s="1"/>
  <c r="BF105" i="1"/>
  <c r="AE101" i="1"/>
  <c r="V57" i="1"/>
  <c r="Y57" i="1"/>
  <c r="X57" i="1" s="1"/>
  <c r="AF57" i="1" s="1"/>
  <c r="AH56" i="1"/>
  <c r="AO40" i="1"/>
  <c r="AO34" i="1"/>
  <c r="J104" i="1"/>
  <c r="L105" i="1"/>
  <c r="AY57" i="1"/>
  <c r="BA56" i="1"/>
  <c r="AQ57" i="1"/>
  <c r="O57" i="1"/>
  <c r="A126" i="7"/>
  <c r="B125" i="7"/>
  <c r="K105" i="1"/>
  <c r="AU105" i="1"/>
  <c r="AA105" i="1"/>
  <c r="S105" i="1"/>
  <c r="G103" i="1"/>
  <c r="H103" i="1" s="1"/>
  <c r="AI104" i="1"/>
  <c r="AJ104" i="1" s="1"/>
  <c r="AW105" i="1"/>
  <c r="AC102" i="1"/>
  <c r="Z105" i="1"/>
  <c r="BB104" i="1" s="1"/>
  <c r="A106" i="1"/>
  <c r="AK106" i="1" s="1"/>
  <c r="G113" i="6"/>
  <c r="F113" i="6"/>
  <c r="C105" i="1"/>
  <c r="B106" i="1"/>
  <c r="M103" i="1"/>
  <c r="E104" i="1"/>
  <c r="F104" i="1" s="1"/>
  <c r="D104" i="1"/>
  <c r="BC104" i="1" l="1"/>
  <c r="BD104" i="1" s="1"/>
  <c r="BF106" i="1"/>
  <c r="AE102" i="1"/>
  <c r="AT58" i="1"/>
  <c r="AS58" i="1" s="1"/>
  <c r="P58" i="1"/>
  <c r="BE58" i="1" s="1"/>
  <c r="AP34" i="1"/>
  <c r="AX35" i="1" s="1"/>
  <c r="AP40" i="1"/>
  <c r="AX41" i="1" s="1"/>
  <c r="J105" i="1"/>
  <c r="L106" i="1"/>
  <c r="N58" i="1"/>
  <c r="I58" i="1"/>
  <c r="Q58" i="1" s="1"/>
  <c r="AM58" i="1"/>
  <c r="A127" i="7"/>
  <c r="B126" i="7"/>
  <c r="K106" i="1"/>
  <c r="AU106" i="1"/>
  <c r="AA106" i="1"/>
  <c r="S106" i="1"/>
  <c r="G104" i="1"/>
  <c r="H104" i="1" s="1"/>
  <c r="AI105" i="1"/>
  <c r="AJ105" i="1" s="1"/>
  <c r="AW106" i="1"/>
  <c r="Z106" i="1"/>
  <c r="BB105" i="1" s="1"/>
  <c r="AC103" i="1"/>
  <c r="A107" i="1"/>
  <c r="AK107" i="1" s="1"/>
  <c r="F114" i="6"/>
  <c r="G114" i="6"/>
  <c r="M104" i="1"/>
  <c r="C106" i="1"/>
  <c r="B107" i="1"/>
  <c r="D105" i="1"/>
  <c r="E105" i="1"/>
  <c r="F105" i="1" s="1"/>
  <c r="BC105" i="1" l="1"/>
  <c r="BD105" i="1" s="1"/>
  <c r="BF107" i="1"/>
  <c r="AE103" i="1"/>
  <c r="V58" i="1"/>
  <c r="Y58" i="1"/>
  <c r="X58" i="1" s="1"/>
  <c r="AF58" i="1" s="1"/>
  <c r="J106" i="1"/>
  <c r="AH57" i="1"/>
  <c r="AG57" i="1"/>
  <c r="L107" i="1"/>
  <c r="AY58" i="1"/>
  <c r="AQ58" i="1"/>
  <c r="O58" i="1"/>
  <c r="P59" i="1" s="1"/>
  <c r="BE59" i="1" s="1"/>
  <c r="A128" i="7"/>
  <c r="B127" i="7"/>
  <c r="K107" i="1"/>
  <c r="AU107" i="1"/>
  <c r="AA107" i="1"/>
  <c r="S107" i="1"/>
  <c r="G105" i="1"/>
  <c r="H105" i="1" s="1"/>
  <c r="AI106" i="1"/>
  <c r="AJ106" i="1" s="1"/>
  <c r="AW107" i="1"/>
  <c r="AC104" i="1"/>
  <c r="Z107" i="1"/>
  <c r="BB106" i="1" s="1"/>
  <c r="A108" i="1"/>
  <c r="G115" i="6"/>
  <c r="F115" i="6"/>
  <c r="M105" i="1"/>
  <c r="C107" i="1"/>
  <c r="B108" i="1"/>
  <c r="E106" i="1"/>
  <c r="F106" i="1" s="1"/>
  <c r="D106" i="1"/>
  <c r="BC106" i="1" l="1"/>
  <c r="BD106" i="1" s="1"/>
  <c r="BF108" i="1"/>
  <c r="AE104" i="1"/>
  <c r="V59" i="1"/>
  <c r="Y59" i="1"/>
  <c r="X59" i="1" s="1"/>
  <c r="AF59" i="1" s="1"/>
  <c r="U35" i="1"/>
  <c r="U41" i="1"/>
  <c r="J107" i="1"/>
  <c r="L108" i="1"/>
  <c r="AG58" i="1"/>
  <c r="BA57" i="1"/>
  <c r="I59" i="1"/>
  <c r="Q59" i="1" s="1"/>
  <c r="AM59" i="1"/>
  <c r="N59" i="1"/>
  <c r="AT59" i="1"/>
  <c r="AS59" i="1" s="1"/>
  <c r="A129" i="7"/>
  <c r="B128" i="7"/>
  <c r="K108" i="1"/>
  <c r="AU108" i="1"/>
  <c r="G106" i="1"/>
  <c r="H106" i="1" s="1"/>
  <c r="AA108" i="1"/>
  <c r="S108" i="1"/>
  <c r="AI107" i="1"/>
  <c r="AJ107" i="1" s="1"/>
  <c r="AP108" i="1"/>
  <c r="AK108" i="1"/>
  <c r="AW108" i="1"/>
  <c r="Z108" i="1"/>
  <c r="BB107" i="1" s="1"/>
  <c r="AC105" i="1"/>
  <c r="A109" i="1"/>
  <c r="AK109" i="1" s="1"/>
  <c r="F116" i="6"/>
  <c r="G116" i="6"/>
  <c r="C108" i="1"/>
  <c r="B109" i="1"/>
  <c r="E107" i="1"/>
  <c r="F107" i="1" s="1"/>
  <c r="D107" i="1"/>
  <c r="M106" i="1"/>
  <c r="BC107" i="1" l="1"/>
  <c r="BD107" i="1" s="1"/>
  <c r="BF109" i="1"/>
  <c r="AE105" i="1"/>
  <c r="AL41" i="1"/>
  <c r="AL35" i="1"/>
  <c r="J108" i="1"/>
  <c r="L109" i="1"/>
  <c r="AY59" i="1"/>
  <c r="AH58" i="1"/>
  <c r="AQ59" i="1"/>
  <c r="O59" i="1"/>
  <c r="A130" i="7"/>
  <c r="B129" i="7"/>
  <c r="K109" i="1"/>
  <c r="AU109" i="1"/>
  <c r="AA109" i="1"/>
  <c r="S109" i="1"/>
  <c r="G107" i="1"/>
  <c r="H107" i="1" s="1"/>
  <c r="AI108" i="1"/>
  <c r="AJ108" i="1" s="1"/>
  <c r="AW109" i="1"/>
  <c r="AC106" i="1"/>
  <c r="Z109" i="1"/>
  <c r="BB108" i="1" s="1"/>
  <c r="A110" i="1"/>
  <c r="AK110" i="1" s="1"/>
  <c r="G117" i="6"/>
  <c r="F117" i="6"/>
  <c r="C109" i="1"/>
  <c r="B110" i="1"/>
  <c r="M107" i="1"/>
  <c r="E108" i="1"/>
  <c r="F108" i="1" s="1"/>
  <c r="D108" i="1"/>
  <c r="BC108" i="1" l="1"/>
  <c r="BD108" i="1" s="1"/>
  <c r="BF110" i="1"/>
  <c r="AE106" i="1"/>
  <c r="N60" i="1"/>
  <c r="P60" i="1"/>
  <c r="BE60" i="1" s="1"/>
  <c r="AN41" i="1"/>
  <c r="AN35" i="1"/>
  <c r="J109" i="1"/>
  <c r="L110" i="1"/>
  <c r="BA58" i="1"/>
  <c r="AM60" i="1"/>
  <c r="AT60" i="1"/>
  <c r="AS60" i="1" s="1"/>
  <c r="I60" i="1"/>
  <c r="Q60" i="1" s="1"/>
  <c r="A131" i="7"/>
  <c r="B130" i="7"/>
  <c r="K110" i="1"/>
  <c r="AU110" i="1"/>
  <c r="G108" i="1"/>
  <c r="H108" i="1" s="1"/>
  <c r="AA110" i="1"/>
  <c r="S110" i="1"/>
  <c r="AI109" i="1"/>
  <c r="AJ109" i="1" s="1"/>
  <c r="AW110" i="1"/>
  <c r="Z110" i="1"/>
  <c r="BB109" i="1" s="1"/>
  <c r="AC107" i="1"/>
  <c r="A111" i="1"/>
  <c r="AK111" i="1" s="1"/>
  <c r="F118" i="6"/>
  <c r="G118" i="6"/>
  <c r="C110" i="1"/>
  <c r="B111" i="1"/>
  <c r="M108" i="1"/>
  <c r="E109" i="1"/>
  <c r="F109" i="1" s="1"/>
  <c r="D109" i="1"/>
  <c r="BC109" i="1" l="1"/>
  <c r="BD109" i="1" s="1"/>
  <c r="BF111" i="1"/>
  <c r="AE107" i="1"/>
  <c r="V60" i="1"/>
  <c r="Y60" i="1"/>
  <c r="X60" i="1" s="1"/>
  <c r="AF60" i="1" s="1"/>
  <c r="AO41" i="1"/>
  <c r="AO35" i="1"/>
  <c r="J110" i="1"/>
  <c r="L111" i="1"/>
  <c r="AH59" i="1"/>
  <c r="AG59" i="1"/>
  <c r="AY60" i="1"/>
  <c r="AQ60" i="1"/>
  <c r="O60" i="1"/>
  <c r="P61" i="1" s="1"/>
  <c r="BE61" i="1" s="1"/>
  <c r="A132" i="7"/>
  <c r="B131" i="7"/>
  <c r="K111" i="1"/>
  <c r="AU111" i="1"/>
  <c r="AA111" i="1"/>
  <c r="S111" i="1"/>
  <c r="G109" i="1"/>
  <c r="H109" i="1" s="1"/>
  <c r="AI110" i="1"/>
  <c r="AJ110" i="1" s="1"/>
  <c r="AW111" i="1"/>
  <c r="AC108" i="1"/>
  <c r="Z111" i="1"/>
  <c r="BB110" i="1" s="1"/>
  <c r="A112" i="1"/>
  <c r="AK112" i="1" s="1"/>
  <c r="G119" i="6"/>
  <c r="F119" i="6"/>
  <c r="M109" i="1"/>
  <c r="C111" i="1"/>
  <c r="B112" i="1"/>
  <c r="E110" i="1"/>
  <c r="F110" i="1" s="1"/>
  <c r="D110" i="1"/>
  <c r="BC110" i="1" l="1"/>
  <c r="BD110" i="1" s="1"/>
  <c r="BF112" i="1"/>
  <c r="AE108" i="1"/>
  <c r="V61" i="1"/>
  <c r="Y61" i="1"/>
  <c r="X61" i="1" s="1"/>
  <c r="AF61" i="1" s="1"/>
  <c r="AP41" i="1"/>
  <c r="AX42" i="1" s="1"/>
  <c r="AP35" i="1"/>
  <c r="AX36" i="1" s="1"/>
  <c r="J111" i="1"/>
  <c r="L112" i="1"/>
  <c r="BA59" i="1"/>
  <c r="AT61" i="1"/>
  <c r="AS61" i="1" s="1"/>
  <c r="AM61" i="1"/>
  <c r="N61" i="1"/>
  <c r="I61" i="1"/>
  <c r="Q61" i="1" s="1"/>
  <c r="A133" i="7"/>
  <c r="B132" i="7"/>
  <c r="K112" i="1"/>
  <c r="AU112" i="1"/>
  <c r="G110" i="1"/>
  <c r="H110" i="1" s="1"/>
  <c r="AA112" i="1"/>
  <c r="S112" i="1"/>
  <c r="AI111" i="1"/>
  <c r="AJ111" i="1" s="1"/>
  <c r="AW112" i="1"/>
  <c r="Z112" i="1"/>
  <c r="BB111" i="1" s="1"/>
  <c r="AC109" i="1"/>
  <c r="A113" i="1"/>
  <c r="AK113" i="1" s="1"/>
  <c r="F120" i="6"/>
  <c r="G120" i="6"/>
  <c r="E111" i="1"/>
  <c r="F111" i="1" s="1"/>
  <c r="D111" i="1"/>
  <c r="C112" i="1"/>
  <c r="B113" i="1"/>
  <c r="M110" i="1"/>
  <c r="BC111" i="1" l="1"/>
  <c r="BD111" i="1" s="1"/>
  <c r="BF113" i="1"/>
  <c r="AE109" i="1"/>
  <c r="J112" i="1"/>
  <c r="L113" i="1"/>
  <c r="AH60" i="1"/>
  <c r="AG60" i="1"/>
  <c r="AY61" i="1"/>
  <c r="AQ61" i="1"/>
  <c r="O61" i="1"/>
  <c r="P62" i="1" s="1"/>
  <c r="BE62" i="1" s="1"/>
  <c r="A134" i="7"/>
  <c r="B133" i="7"/>
  <c r="K113" i="1"/>
  <c r="AU113" i="1"/>
  <c r="AA113" i="1"/>
  <c r="S113" i="1"/>
  <c r="G111" i="1"/>
  <c r="H111" i="1" s="1"/>
  <c r="AI112" i="1"/>
  <c r="AJ112" i="1" s="1"/>
  <c r="AW113" i="1"/>
  <c r="AC110" i="1"/>
  <c r="Z113" i="1"/>
  <c r="BB112" i="1" s="1"/>
  <c r="A114" i="1"/>
  <c r="AK114" i="1" s="1"/>
  <c r="F121" i="6"/>
  <c r="G121" i="6"/>
  <c r="M111" i="1"/>
  <c r="E112" i="1"/>
  <c r="F112" i="1" s="1"/>
  <c r="D112" i="1"/>
  <c r="C113" i="1"/>
  <c r="B114" i="1"/>
  <c r="BC112" i="1" l="1"/>
  <c r="BD112" i="1" s="1"/>
  <c r="BF114" i="1"/>
  <c r="AX61" i="1"/>
  <c r="AE110" i="1"/>
  <c r="V62" i="1"/>
  <c r="Y62" i="1"/>
  <c r="X62" i="1" s="1"/>
  <c r="AF62" i="1" s="1"/>
  <c r="U36" i="1"/>
  <c r="U42" i="1"/>
  <c r="J113" i="1"/>
  <c r="L114" i="1"/>
  <c r="AG61" i="1"/>
  <c r="BA60" i="1"/>
  <c r="N62" i="1"/>
  <c r="AT62" i="1"/>
  <c r="AS62" i="1" s="1"/>
  <c r="AM62" i="1"/>
  <c r="I62" i="1"/>
  <c r="Q62" i="1" s="1"/>
  <c r="A135" i="7"/>
  <c r="B134" i="7"/>
  <c r="K114" i="1"/>
  <c r="AU114" i="1"/>
  <c r="G112" i="1"/>
  <c r="H112" i="1" s="1"/>
  <c r="AA114" i="1"/>
  <c r="S114" i="1"/>
  <c r="AI113" i="1"/>
  <c r="AJ113" i="1" s="1"/>
  <c r="AW114" i="1"/>
  <c r="AC111" i="1"/>
  <c r="Z114" i="1"/>
  <c r="BB113" i="1" s="1"/>
  <c r="A115" i="1"/>
  <c r="AK115" i="1" s="1"/>
  <c r="G122" i="6"/>
  <c r="F122" i="6"/>
  <c r="E113" i="1"/>
  <c r="F113" i="1" s="1"/>
  <c r="D113" i="1"/>
  <c r="C114" i="1"/>
  <c r="B115" i="1"/>
  <c r="M112" i="1"/>
  <c r="BC113" i="1" l="1"/>
  <c r="BD113" i="1" s="1"/>
  <c r="BF115" i="1"/>
  <c r="AE111" i="1"/>
  <c r="AL42" i="1"/>
  <c r="AL36" i="1"/>
  <c r="J114" i="1"/>
  <c r="L115" i="1"/>
  <c r="AY62" i="1"/>
  <c r="AH61" i="1"/>
  <c r="AQ62" i="1"/>
  <c r="O62" i="1"/>
  <c r="P63" i="1" s="1"/>
  <c r="BE63" i="1" s="1"/>
  <c r="A136" i="7"/>
  <c r="B135" i="7"/>
  <c r="K115" i="1"/>
  <c r="AU115" i="1"/>
  <c r="G113" i="1"/>
  <c r="H113" i="1" s="1"/>
  <c r="AA115" i="1"/>
  <c r="S115" i="1"/>
  <c r="AI114" i="1"/>
  <c r="AJ114" i="1" s="1"/>
  <c r="AW115" i="1"/>
  <c r="AC112" i="1"/>
  <c r="Z115" i="1"/>
  <c r="BB114" i="1" s="1"/>
  <c r="A116" i="1"/>
  <c r="AK116" i="1" s="1"/>
  <c r="F123" i="6"/>
  <c r="G123" i="6"/>
  <c r="E114" i="1"/>
  <c r="F114" i="1" s="1"/>
  <c r="D114" i="1"/>
  <c r="C115" i="1"/>
  <c r="B116" i="1"/>
  <c r="M113" i="1"/>
  <c r="BC114" i="1" l="1"/>
  <c r="BD114" i="1" s="1"/>
  <c r="BF116" i="1"/>
  <c r="AE112" i="1"/>
  <c r="V63" i="1"/>
  <c r="Y63" i="1"/>
  <c r="X63" i="1" s="1"/>
  <c r="AF63" i="1" s="1"/>
  <c r="AN42" i="1"/>
  <c r="AN36" i="1"/>
  <c r="J115" i="1"/>
  <c r="L116" i="1"/>
  <c r="BA61" i="1"/>
  <c r="AT63" i="1"/>
  <c r="AS63" i="1" s="1"/>
  <c r="AM63" i="1"/>
  <c r="N63" i="1"/>
  <c r="I63" i="1"/>
  <c r="Q63" i="1" s="1"/>
  <c r="A137" i="7"/>
  <c r="B136" i="7"/>
  <c r="K116" i="1"/>
  <c r="AU116" i="1"/>
  <c r="AA116" i="1"/>
  <c r="S116" i="1"/>
  <c r="G114" i="1"/>
  <c r="H114" i="1" s="1"/>
  <c r="AI115" i="1"/>
  <c r="AJ115" i="1" s="1"/>
  <c r="AW116" i="1"/>
  <c r="Z116" i="1"/>
  <c r="BB115" i="1" s="1"/>
  <c r="AC113" i="1"/>
  <c r="A117" i="1"/>
  <c r="AK117" i="1" s="1"/>
  <c r="F124" i="6"/>
  <c r="G124" i="6"/>
  <c r="D115" i="1"/>
  <c r="E115" i="1"/>
  <c r="F115" i="1" s="1"/>
  <c r="M114" i="1"/>
  <c r="C116" i="1"/>
  <c r="B117" i="1"/>
  <c r="BC115" i="1" l="1"/>
  <c r="BD115" i="1" s="1"/>
  <c r="BF117" i="1"/>
  <c r="AE113" i="1"/>
  <c r="AO36" i="1"/>
  <c r="AO42" i="1"/>
  <c r="J116" i="1"/>
  <c r="AH62" i="1"/>
  <c r="AG62" i="1"/>
  <c r="L117" i="1"/>
  <c r="AY63" i="1"/>
  <c r="AQ63" i="1"/>
  <c r="O63" i="1"/>
  <c r="A138" i="7"/>
  <c r="B137" i="7"/>
  <c r="K117" i="1"/>
  <c r="AU117" i="1"/>
  <c r="AA117" i="1"/>
  <c r="S117" i="1"/>
  <c r="G115" i="1"/>
  <c r="H115" i="1" s="1"/>
  <c r="AI116" i="1"/>
  <c r="AJ116" i="1" s="1"/>
  <c r="AW117" i="1"/>
  <c r="AC114" i="1"/>
  <c r="Z117" i="1"/>
  <c r="BB116" i="1" s="1"/>
  <c r="A118" i="1"/>
  <c r="AK118" i="1" s="1"/>
  <c r="G125" i="6"/>
  <c r="F125" i="6"/>
  <c r="E116" i="1"/>
  <c r="F116" i="1" s="1"/>
  <c r="D116" i="1"/>
  <c r="C117" i="1"/>
  <c r="B118" i="1"/>
  <c r="M115" i="1"/>
  <c r="BC116" i="1" l="1"/>
  <c r="BD116" i="1" s="1"/>
  <c r="BF118" i="1"/>
  <c r="AE114" i="1"/>
  <c r="AM64" i="1"/>
  <c r="P64" i="1"/>
  <c r="BE64" i="1" s="1"/>
  <c r="AP42" i="1"/>
  <c r="AX43" i="1" s="1"/>
  <c r="J117" i="1"/>
  <c r="L118" i="1"/>
  <c r="AG63" i="1"/>
  <c r="BA62" i="1"/>
  <c r="I64" i="1"/>
  <c r="Q64" i="1" s="1"/>
  <c r="N64" i="1"/>
  <c r="AT64" i="1"/>
  <c r="AS64" i="1" s="1"/>
  <c r="A139" i="7"/>
  <c r="B138" i="7"/>
  <c r="K118" i="1"/>
  <c r="AU118" i="1"/>
  <c r="AA118" i="1"/>
  <c r="S118" i="1"/>
  <c r="G116" i="1"/>
  <c r="H116" i="1" s="1"/>
  <c r="AI117" i="1"/>
  <c r="AJ117" i="1" s="1"/>
  <c r="AW118" i="1"/>
  <c r="Z118" i="1"/>
  <c r="BB117" i="1" s="1"/>
  <c r="AC115" i="1"/>
  <c r="A119" i="1"/>
  <c r="AK119" i="1" s="1"/>
  <c r="F126" i="6"/>
  <c r="G126" i="6"/>
  <c r="E117" i="1"/>
  <c r="F117" i="1" s="1"/>
  <c r="D117" i="1"/>
  <c r="M116" i="1"/>
  <c r="C118" i="1"/>
  <c r="B119" i="1"/>
  <c r="BC117" i="1" l="1"/>
  <c r="BD117" i="1" s="1"/>
  <c r="BF119" i="1"/>
  <c r="AE115" i="1"/>
  <c r="V64" i="1"/>
  <c r="Y64" i="1"/>
  <c r="X64" i="1" s="1"/>
  <c r="AF64" i="1" s="1"/>
  <c r="J118" i="1"/>
  <c r="L119" i="1"/>
  <c r="AY64" i="1"/>
  <c r="AH63" i="1"/>
  <c r="AQ64" i="1"/>
  <c r="O64" i="1"/>
  <c r="A140" i="7"/>
  <c r="B139" i="7"/>
  <c r="K119" i="1"/>
  <c r="AU119" i="1"/>
  <c r="G117" i="1"/>
  <c r="H117" i="1" s="1"/>
  <c r="AA119" i="1"/>
  <c r="S119" i="1"/>
  <c r="AI118" i="1"/>
  <c r="AJ118" i="1" s="1"/>
  <c r="AW119" i="1"/>
  <c r="AC116" i="1"/>
  <c r="Z119" i="1"/>
  <c r="BB118" i="1" s="1"/>
  <c r="A120" i="1"/>
  <c r="G127" i="6"/>
  <c r="F127" i="6"/>
  <c r="M117" i="1"/>
  <c r="C119" i="1"/>
  <c r="B120" i="1"/>
  <c r="E118" i="1"/>
  <c r="F118" i="1" s="1"/>
  <c r="D118" i="1"/>
  <c r="BC118" i="1" l="1"/>
  <c r="BD118" i="1" s="1"/>
  <c r="BF120" i="1"/>
  <c r="AE116" i="1"/>
  <c r="I65" i="1"/>
  <c r="Q65" i="1" s="1"/>
  <c r="P65" i="1"/>
  <c r="BE65" i="1" s="1"/>
  <c r="U43" i="1"/>
  <c r="J119" i="1"/>
  <c r="L120" i="1"/>
  <c r="BA63" i="1"/>
  <c r="AG64" i="1"/>
  <c r="N65" i="1"/>
  <c r="AM65" i="1"/>
  <c r="AT65" i="1"/>
  <c r="AS65" i="1" s="1"/>
  <c r="A141" i="7"/>
  <c r="B140" i="7"/>
  <c r="K120" i="1"/>
  <c r="AU120" i="1"/>
  <c r="G118" i="1"/>
  <c r="H118" i="1" s="1"/>
  <c r="AA120" i="1"/>
  <c r="S120" i="1"/>
  <c r="AP120" i="1"/>
  <c r="AK120" i="1"/>
  <c r="AI119" i="1"/>
  <c r="AJ119" i="1" s="1"/>
  <c r="AW120" i="1"/>
  <c r="U49" i="1"/>
  <c r="AC117" i="1"/>
  <c r="Z120" i="1"/>
  <c r="BB119" i="1" s="1"/>
  <c r="A121" i="1"/>
  <c r="AK121" i="1" s="1"/>
  <c r="F128" i="6"/>
  <c r="G128" i="6"/>
  <c r="C120" i="1"/>
  <c r="B121" i="1"/>
  <c r="E119" i="1"/>
  <c r="F119" i="1" s="1"/>
  <c r="D119" i="1"/>
  <c r="M118" i="1"/>
  <c r="BC119" i="1" l="1"/>
  <c r="BD119" i="1" s="1"/>
  <c r="BF121" i="1"/>
  <c r="AE117" i="1"/>
  <c r="V65" i="1"/>
  <c r="Y65" i="1"/>
  <c r="X65" i="1" s="1"/>
  <c r="AF65" i="1" s="1"/>
  <c r="AL43" i="1"/>
  <c r="AL49" i="1"/>
  <c r="J120" i="1"/>
  <c r="L121" i="1"/>
  <c r="AY65" i="1"/>
  <c r="AH64" i="1"/>
  <c r="AQ65" i="1"/>
  <c r="O65" i="1"/>
  <c r="A142" i="7"/>
  <c r="B141" i="7"/>
  <c r="K121" i="1"/>
  <c r="AU121" i="1"/>
  <c r="AA121" i="1"/>
  <c r="S121" i="1"/>
  <c r="G119" i="1"/>
  <c r="H119" i="1" s="1"/>
  <c r="AI120" i="1"/>
  <c r="AJ120" i="1" s="1"/>
  <c r="AW121" i="1"/>
  <c r="Z121" i="1"/>
  <c r="BB120" i="1" s="1"/>
  <c r="AC118" i="1"/>
  <c r="A122" i="1"/>
  <c r="AK122" i="1" s="1"/>
  <c r="F129" i="6"/>
  <c r="H128" i="6"/>
  <c r="G129" i="6"/>
  <c r="I128" i="6"/>
  <c r="M119" i="1"/>
  <c r="E120" i="1"/>
  <c r="F120" i="1" s="1"/>
  <c r="D120" i="1"/>
  <c r="C121" i="1"/>
  <c r="B122" i="1"/>
  <c r="BC120" i="1" l="1"/>
  <c r="BD120" i="1" s="1"/>
  <c r="BF122" i="1"/>
  <c r="AE118" i="1"/>
  <c r="AM66" i="1"/>
  <c r="P66" i="1"/>
  <c r="BE66" i="1" s="1"/>
  <c r="AN43" i="1"/>
  <c r="AN49" i="1"/>
  <c r="J121" i="1"/>
  <c r="L122" i="1"/>
  <c r="AG65" i="1"/>
  <c r="BA64" i="1"/>
  <c r="N66" i="1"/>
  <c r="AT66" i="1"/>
  <c r="AS66" i="1" s="1"/>
  <c r="I66" i="1"/>
  <c r="Q66" i="1" s="1"/>
  <c r="A143" i="7"/>
  <c r="B142" i="7"/>
  <c r="K122" i="1"/>
  <c r="AU122" i="1"/>
  <c r="AA122" i="1"/>
  <c r="S122" i="1"/>
  <c r="G120" i="1"/>
  <c r="H120" i="1" s="1"/>
  <c r="AI121" i="1"/>
  <c r="AJ121" i="1" s="1"/>
  <c r="AW122" i="1"/>
  <c r="AC119" i="1"/>
  <c r="Z122" i="1"/>
  <c r="BB121" i="1" s="1"/>
  <c r="A123" i="1"/>
  <c r="AK123" i="1" s="1"/>
  <c r="F130" i="6"/>
  <c r="H130" i="6" s="1"/>
  <c r="H129" i="6"/>
  <c r="G130" i="6"/>
  <c r="I129" i="6"/>
  <c r="C122" i="1"/>
  <c r="B123" i="1"/>
  <c r="M120" i="1"/>
  <c r="D121" i="1"/>
  <c r="E121" i="1"/>
  <c r="F121" i="1" s="1"/>
  <c r="BC121" i="1" l="1"/>
  <c r="BD121" i="1" s="1"/>
  <c r="BF123" i="1"/>
  <c r="AE119" i="1"/>
  <c r="V66" i="1"/>
  <c r="Y66" i="1"/>
  <c r="X66" i="1" s="1"/>
  <c r="AF66" i="1" s="1"/>
  <c r="AO43" i="1"/>
  <c r="AO49" i="1"/>
  <c r="J122" i="1"/>
  <c r="L123" i="1"/>
  <c r="AY66" i="1"/>
  <c r="AH65" i="1"/>
  <c r="AQ66" i="1"/>
  <c r="O66" i="1"/>
  <c r="A144" i="7"/>
  <c r="B143" i="7"/>
  <c r="K123" i="1"/>
  <c r="AU123" i="1"/>
  <c r="G121" i="1"/>
  <c r="H121" i="1" s="1"/>
  <c r="AA123" i="1"/>
  <c r="S123" i="1"/>
  <c r="AI122" i="1"/>
  <c r="AJ122" i="1" s="1"/>
  <c r="AW123" i="1"/>
  <c r="Z123" i="1"/>
  <c r="BB122" i="1" s="1"/>
  <c r="AC120" i="1"/>
  <c r="A124" i="1"/>
  <c r="AK124" i="1" s="1"/>
  <c r="K128" i="6"/>
  <c r="K130" i="6"/>
  <c r="J130" i="6"/>
  <c r="I130" i="6"/>
  <c r="J128" i="6"/>
  <c r="J129" i="6"/>
  <c r="K129" i="6"/>
  <c r="M121" i="1"/>
  <c r="C123" i="1"/>
  <c r="B124" i="1"/>
  <c r="E122" i="1"/>
  <c r="F122" i="1" s="1"/>
  <c r="D122" i="1"/>
  <c r="BC122" i="1" l="1"/>
  <c r="BD122" i="1" s="1"/>
  <c r="BF124" i="1"/>
  <c r="AE120" i="1"/>
  <c r="AT67" i="1"/>
  <c r="AS67" i="1" s="1"/>
  <c r="P67" i="1"/>
  <c r="BE67" i="1" s="1"/>
  <c r="AP43" i="1"/>
  <c r="AX44" i="1" s="1"/>
  <c r="AP49" i="1"/>
  <c r="AX50" i="1" s="1"/>
  <c r="J123" i="1"/>
  <c r="L124" i="1"/>
  <c r="BA65" i="1"/>
  <c r="AG66" i="1"/>
  <c r="N67" i="1"/>
  <c r="I67" i="1"/>
  <c r="Q67" i="1" s="1"/>
  <c r="AM67" i="1"/>
  <c r="A145" i="7"/>
  <c r="B144" i="7"/>
  <c r="K124" i="1"/>
  <c r="AU124" i="1"/>
  <c r="G122" i="1"/>
  <c r="H122" i="1" s="1"/>
  <c r="AA124" i="1"/>
  <c r="S124" i="1"/>
  <c r="AI123" i="1"/>
  <c r="AJ123" i="1" s="1"/>
  <c r="AW124" i="1"/>
  <c r="Z124" i="1"/>
  <c r="BB123" i="1" s="1"/>
  <c r="AC121" i="1"/>
  <c r="A125" i="1"/>
  <c r="AK125" i="1" s="1"/>
  <c r="N7" i="1"/>
  <c r="E123" i="1"/>
  <c r="F123" i="1" s="1"/>
  <c r="D123" i="1"/>
  <c r="C124" i="1"/>
  <c r="B125" i="1"/>
  <c r="M122" i="1"/>
  <c r="BC123" i="1" l="1"/>
  <c r="BD123" i="1" s="1"/>
  <c r="BF125" i="1"/>
  <c r="AE121" i="1"/>
  <c r="V67" i="1"/>
  <c r="Y67" i="1"/>
  <c r="X67" i="1" s="1"/>
  <c r="AF67" i="1" s="1"/>
  <c r="J124" i="1"/>
  <c r="L125" i="1"/>
  <c r="AH66" i="1"/>
  <c r="AY67" i="1"/>
  <c r="AQ67" i="1"/>
  <c r="O67" i="1"/>
  <c r="A146" i="7"/>
  <c r="B145" i="7"/>
  <c r="K125" i="1"/>
  <c r="AU125" i="1"/>
  <c r="AA125" i="1"/>
  <c r="S125" i="1"/>
  <c r="G123" i="1"/>
  <c r="H123" i="1" s="1"/>
  <c r="AI124" i="1"/>
  <c r="AJ124" i="1" s="1"/>
  <c r="AW125" i="1"/>
  <c r="AC122" i="1"/>
  <c r="Z125" i="1"/>
  <c r="BB124" i="1" s="1"/>
  <c r="A126" i="1"/>
  <c r="AK126" i="1" s="1"/>
  <c r="N4" i="1"/>
  <c r="N8" i="1"/>
  <c r="C125" i="1"/>
  <c r="B126" i="1"/>
  <c r="M123" i="1"/>
  <c r="E124" i="1"/>
  <c r="F124" i="1" s="1"/>
  <c r="D124" i="1"/>
  <c r="BC124" i="1" l="1"/>
  <c r="BD124" i="1" s="1"/>
  <c r="BF126" i="1"/>
  <c r="AE122" i="1"/>
  <c r="I68" i="1"/>
  <c r="Q68" i="1" s="1"/>
  <c r="P68" i="1"/>
  <c r="BE68" i="1" s="1"/>
  <c r="U44" i="1"/>
  <c r="U50" i="1"/>
  <c r="J125" i="1"/>
  <c r="L126" i="1"/>
  <c r="BA66" i="1"/>
  <c r="AT68" i="1"/>
  <c r="AS68" i="1" s="1"/>
  <c r="N68" i="1"/>
  <c r="AM68" i="1"/>
  <c r="A147" i="7"/>
  <c r="B146" i="7"/>
  <c r="K126" i="1"/>
  <c r="AU126" i="1"/>
  <c r="AA126" i="1"/>
  <c r="S126" i="1"/>
  <c r="G124" i="1"/>
  <c r="H124" i="1" s="1"/>
  <c r="AI125" i="1"/>
  <c r="AJ125" i="1" s="1"/>
  <c r="AW126" i="1"/>
  <c r="AC123" i="1"/>
  <c r="Z126" i="1"/>
  <c r="BB125" i="1" s="1"/>
  <c r="A127" i="1"/>
  <c r="AK127" i="1" s="1"/>
  <c r="E125" i="1"/>
  <c r="F125" i="1" s="1"/>
  <c r="D125" i="1"/>
  <c r="C126" i="1"/>
  <c r="B127" i="1"/>
  <c r="M124" i="1"/>
  <c r="BC125" i="1" l="1"/>
  <c r="BD125" i="1" s="1"/>
  <c r="BF127" i="1"/>
  <c r="AE123" i="1"/>
  <c r="V68" i="1"/>
  <c r="Y68" i="1"/>
  <c r="X68" i="1" s="1"/>
  <c r="AF68" i="1" s="1"/>
  <c r="AL50" i="1"/>
  <c r="AL44" i="1"/>
  <c r="J126" i="1"/>
  <c r="AH67" i="1"/>
  <c r="AG67" i="1"/>
  <c r="L127" i="1"/>
  <c r="AY68" i="1"/>
  <c r="AQ68" i="1"/>
  <c r="O68" i="1"/>
  <c r="P69" i="1" s="1"/>
  <c r="BE69" i="1" s="1"/>
  <c r="A148" i="7"/>
  <c r="B147" i="7"/>
  <c r="K127" i="1"/>
  <c r="AU127" i="1"/>
  <c r="AA127" i="1"/>
  <c r="S127" i="1"/>
  <c r="G125" i="1"/>
  <c r="H125" i="1" s="1"/>
  <c r="AI126" i="1"/>
  <c r="AJ126" i="1" s="1"/>
  <c r="AW127" i="1"/>
  <c r="Z127" i="1"/>
  <c r="BB126" i="1" s="1"/>
  <c r="AC124" i="1"/>
  <c r="A128" i="1"/>
  <c r="AK128" i="1" s="1"/>
  <c r="N9" i="1"/>
  <c r="M125" i="1"/>
  <c r="D126" i="1"/>
  <c r="E126" i="1"/>
  <c r="F126" i="1" s="1"/>
  <c r="C127" i="1"/>
  <c r="B128" i="1"/>
  <c r="BC126" i="1" l="1"/>
  <c r="BD126" i="1" s="1"/>
  <c r="BF128" i="1"/>
  <c r="AE124" i="1"/>
  <c r="V69" i="1"/>
  <c r="Y69" i="1"/>
  <c r="X69" i="1" s="1"/>
  <c r="AF69" i="1" s="1"/>
  <c r="AN50" i="1"/>
  <c r="AN44" i="1"/>
  <c r="J127" i="1"/>
  <c r="L128" i="1"/>
  <c r="BA67" i="1"/>
  <c r="N69" i="1"/>
  <c r="AM69" i="1"/>
  <c r="I69" i="1"/>
  <c r="Q69" i="1" s="1"/>
  <c r="AT69" i="1"/>
  <c r="AS69" i="1" s="1"/>
  <c r="A149" i="7"/>
  <c r="B148" i="7"/>
  <c r="K128" i="1"/>
  <c r="AU128" i="1"/>
  <c r="G126" i="1"/>
  <c r="H126" i="1" s="1"/>
  <c r="AA128" i="1"/>
  <c r="S128" i="1"/>
  <c r="AI127" i="1"/>
  <c r="AJ127" i="1" s="1"/>
  <c r="AW128" i="1"/>
  <c r="AC125" i="1"/>
  <c r="Z128" i="1"/>
  <c r="BB127" i="1" s="1"/>
  <c r="A129" i="1"/>
  <c r="AK129" i="1" s="1"/>
  <c r="E127" i="1"/>
  <c r="F127" i="1" s="1"/>
  <c r="D127" i="1"/>
  <c r="C128" i="1"/>
  <c r="B129" i="1"/>
  <c r="M126" i="1"/>
  <c r="BC127" i="1" l="1"/>
  <c r="BD127" i="1" s="1"/>
  <c r="BF129" i="1"/>
  <c r="AE125" i="1"/>
  <c r="AO44" i="1"/>
  <c r="AO50" i="1"/>
  <c r="J128" i="1"/>
  <c r="AH68" i="1"/>
  <c r="AG68" i="1"/>
  <c r="L129" i="1"/>
  <c r="AY69" i="1"/>
  <c r="AQ69" i="1"/>
  <c r="O69" i="1"/>
  <c r="P70" i="1" s="1"/>
  <c r="BE70" i="1" s="1"/>
  <c r="A150" i="7"/>
  <c r="B149" i="7"/>
  <c r="K129" i="1"/>
  <c r="AU129" i="1"/>
  <c r="AA129" i="1"/>
  <c r="S129" i="1"/>
  <c r="G127" i="1"/>
  <c r="H127" i="1" s="1"/>
  <c r="AI128" i="1"/>
  <c r="AJ128" i="1" s="1"/>
  <c r="AW129" i="1"/>
  <c r="Z129" i="1"/>
  <c r="BB128" i="1" s="1"/>
  <c r="AC126" i="1"/>
  <c r="A130" i="1"/>
  <c r="AK130" i="1" s="1"/>
  <c r="E128" i="1"/>
  <c r="F128" i="1" s="1"/>
  <c r="D128" i="1"/>
  <c r="M127" i="1"/>
  <c r="C129" i="1"/>
  <c r="B130" i="1"/>
  <c r="BC128" i="1" l="1"/>
  <c r="BD128" i="1" s="1"/>
  <c r="BF130" i="1"/>
  <c r="AE126" i="1"/>
  <c r="V70" i="1"/>
  <c r="Y70" i="1"/>
  <c r="X70" i="1" s="1"/>
  <c r="AF70" i="1" s="1"/>
  <c r="AP44" i="1"/>
  <c r="AX45" i="1" s="1"/>
  <c r="AP50" i="1"/>
  <c r="AX51" i="1" s="1"/>
  <c r="J129" i="1"/>
  <c r="L130" i="1"/>
  <c r="BA68" i="1"/>
  <c r="AT70" i="1"/>
  <c r="AS70" i="1" s="1"/>
  <c r="I70" i="1"/>
  <c r="Q70" i="1" s="1"/>
  <c r="AM70" i="1"/>
  <c r="N70" i="1"/>
  <c r="A151" i="7"/>
  <c r="B150" i="7"/>
  <c r="K130" i="1"/>
  <c r="AU130" i="1"/>
  <c r="G128" i="1"/>
  <c r="H128" i="1" s="1"/>
  <c r="AA130" i="1"/>
  <c r="S130" i="1"/>
  <c r="AI129" i="1"/>
  <c r="AJ129" i="1" s="1"/>
  <c r="AW130" i="1"/>
  <c r="AC127" i="1"/>
  <c r="Z130" i="1"/>
  <c r="BB129" i="1" s="1"/>
  <c r="A131" i="1"/>
  <c r="AK131" i="1" s="1"/>
  <c r="C130" i="1"/>
  <c r="B131" i="1"/>
  <c r="M128" i="1"/>
  <c r="E129" i="1"/>
  <c r="F129" i="1" s="1"/>
  <c r="D129" i="1"/>
  <c r="BC129" i="1" l="1"/>
  <c r="BD129" i="1" s="1"/>
  <c r="BF131" i="1"/>
  <c r="AE127" i="1"/>
  <c r="J130" i="1"/>
  <c r="L131" i="1"/>
  <c r="AH69" i="1"/>
  <c r="AG69" i="1"/>
  <c r="AY70" i="1"/>
  <c r="AQ70" i="1"/>
  <c r="O70" i="1"/>
  <c r="P71" i="1" s="1"/>
  <c r="BE71" i="1" s="1"/>
  <c r="A152" i="7"/>
  <c r="B151" i="7"/>
  <c r="K131" i="1"/>
  <c r="AU131" i="1"/>
  <c r="G129" i="1"/>
  <c r="H129" i="1" s="1"/>
  <c r="AA131" i="1"/>
  <c r="S131" i="1"/>
  <c r="AI130" i="1"/>
  <c r="AJ130" i="1" s="1"/>
  <c r="AW131" i="1"/>
  <c r="Z131" i="1"/>
  <c r="BB130" i="1" s="1"/>
  <c r="AC128" i="1"/>
  <c r="A132" i="1"/>
  <c r="C131" i="1"/>
  <c r="B132" i="1"/>
  <c r="M129" i="1"/>
  <c r="E130" i="1"/>
  <c r="F130" i="1" s="1"/>
  <c r="D130" i="1"/>
  <c r="BC130" i="1" l="1"/>
  <c r="BD130" i="1" s="1"/>
  <c r="BF132" i="1"/>
  <c r="AE128" i="1"/>
  <c r="V71" i="1"/>
  <c r="Y71" i="1"/>
  <c r="X71" i="1" s="1"/>
  <c r="AF71" i="1" s="1"/>
  <c r="U51" i="1"/>
  <c r="U45" i="1"/>
  <c r="J131" i="1"/>
  <c r="L132" i="1"/>
  <c r="BA69" i="1"/>
  <c r="AT71" i="1"/>
  <c r="AS71" i="1" s="1"/>
  <c r="I71" i="1"/>
  <c r="Q71" i="1" s="1"/>
  <c r="N71" i="1"/>
  <c r="AM71" i="1"/>
  <c r="A153" i="7"/>
  <c r="B152" i="7"/>
  <c r="K132" i="1"/>
  <c r="AU132" i="1"/>
  <c r="AA132" i="1"/>
  <c r="S132" i="1"/>
  <c r="G130" i="1"/>
  <c r="H130" i="1" s="1"/>
  <c r="AK132" i="1"/>
  <c r="AP132" i="1"/>
  <c r="AI131" i="1"/>
  <c r="AJ131" i="1" s="1"/>
  <c r="AW132" i="1"/>
  <c r="AC129" i="1"/>
  <c r="Z132" i="1"/>
  <c r="BB131" i="1" s="1"/>
  <c r="A133" i="1"/>
  <c r="AK133" i="1" s="1"/>
  <c r="M130" i="1"/>
  <c r="D131" i="1"/>
  <c r="E131" i="1"/>
  <c r="F131" i="1" s="1"/>
  <c r="C132" i="1"/>
  <c r="B133" i="1"/>
  <c r="BC131" i="1" l="1"/>
  <c r="BD131" i="1" s="1"/>
  <c r="BF133" i="1"/>
  <c r="AE129" i="1"/>
  <c r="AL45" i="1"/>
  <c r="AL51" i="1"/>
  <c r="J132" i="1"/>
  <c r="L133" i="1"/>
  <c r="AH70" i="1"/>
  <c r="AG70" i="1"/>
  <c r="AY71" i="1"/>
  <c r="AQ71" i="1"/>
  <c r="O71" i="1"/>
  <c r="P72" i="1" s="1"/>
  <c r="BE72" i="1" s="1"/>
  <c r="A154" i="7"/>
  <c r="B153" i="7"/>
  <c r="K133" i="1"/>
  <c r="AU133" i="1"/>
  <c r="G131" i="1"/>
  <c r="H131" i="1" s="1"/>
  <c r="AA133" i="1"/>
  <c r="S133" i="1"/>
  <c r="AI132" i="1"/>
  <c r="AJ132" i="1" s="1"/>
  <c r="AW133" i="1"/>
  <c r="AC130" i="1"/>
  <c r="Z133" i="1"/>
  <c r="BB132" i="1" s="1"/>
  <c r="A134" i="1"/>
  <c r="AK134" i="1" s="1"/>
  <c r="E132" i="1"/>
  <c r="F132" i="1" s="1"/>
  <c r="D132" i="1"/>
  <c r="C133" i="1"/>
  <c r="B134" i="1"/>
  <c r="M131" i="1"/>
  <c r="BC132" i="1" l="1"/>
  <c r="BD132" i="1" s="1"/>
  <c r="BF134" i="1"/>
  <c r="AE130" i="1"/>
  <c r="V72" i="1"/>
  <c r="Y72" i="1"/>
  <c r="X72" i="1" s="1"/>
  <c r="AF72" i="1" s="1"/>
  <c r="AN45" i="1"/>
  <c r="AN51" i="1"/>
  <c r="J133" i="1"/>
  <c r="L134" i="1"/>
  <c r="AG71" i="1"/>
  <c r="BA70" i="1"/>
  <c r="I72" i="1"/>
  <c r="Q72" i="1" s="1"/>
  <c r="AT72" i="1"/>
  <c r="AS72" i="1" s="1"/>
  <c r="N72" i="1"/>
  <c r="AM72" i="1"/>
  <c r="A155" i="7"/>
  <c r="B154" i="7"/>
  <c r="K134" i="1"/>
  <c r="AU134" i="1"/>
  <c r="G132" i="1"/>
  <c r="H132" i="1" s="1"/>
  <c r="AA134" i="1"/>
  <c r="S134" i="1"/>
  <c r="AI133" i="1"/>
  <c r="AJ133" i="1" s="1"/>
  <c r="AW134" i="1"/>
  <c r="AC131" i="1"/>
  <c r="Z134" i="1"/>
  <c r="BB133" i="1" s="1"/>
  <c r="A135" i="1"/>
  <c r="AK135" i="1" s="1"/>
  <c r="C134" i="1"/>
  <c r="B135" i="1"/>
  <c r="E133" i="1"/>
  <c r="F133" i="1" s="1"/>
  <c r="D133" i="1"/>
  <c r="M132" i="1"/>
  <c r="BC133" i="1" l="1"/>
  <c r="BD133" i="1" s="1"/>
  <c r="BF135" i="1"/>
  <c r="AE131" i="1"/>
  <c r="AO51" i="1"/>
  <c r="AO45" i="1"/>
  <c r="J134" i="1"/>
  <c r="L135" i="1"/>
  <c r="AH71" i="1"/>
  <c r="AY72" i="1"/>
  <c r="AQ72" i="1"/>
  <c r="O72" i="1"/>
  <c r="P73" i="1" s="1"/>
  <c r="BE73" i="1" s="1"/>
  <c r="A156" i="7"/>
  <c r="B155" i="7"/>
  <c r="K135" i="1"/>
  <c r="AU135" i="1"/>
  <c r="AA135" i="1"/>
  <c r="S135" i="1"/>
  <c r="G133" i="1"/>
  <c r="H133" i="1" s="1"/>
  <c r="AI134" i="1"/>
  <c r="AJ134" i="1" s="1"/>
  <c r="AW135" i="1"/>
  <c r="Z135" i="1"/>
  <c r="BB134" i="1" s="1"/>
  <c r="AC132" i="1"/>
  <c r="A136" i="1"/>
  <c r="AK136" i="1" s="1"/>
  <c r="M133" i="1"/>
  <c r="E134" i="1"/>
  <c r="F134" i="1" s="1"/>
  <c r="D134" i="1"/>
  <c r="C135" i="1"/>
  <c r="B136" i="1"/>
  <c r="BC134" i="1" l="1"/>
  <c r="BD134" i="1" s="1"/>
  <c r="BF136" i="1"/>
  <c r="AE132" i="1"/>
  <c r="V73" i="1"/>
  <c r="Y73" i="1"/>
  <c r="X73" i="1" s="1"/>
  <c r="AF73" i="1" s="1"/>
  <c r="AP51" i="1"/>
  <c r="AX52" i="1" s="1"/>
  <c r="AP45" i="1"/>
  <c r="AX46" i="1" s="1"/>
  <c r="J135" i="1"/>
  <c r="L136" i="1"/>
  <c r="BA71" i="1"/>
  <c r="AM73" i="1"/>
  <c r="AT73" i="1"/>
  <c r="AS73" i="1" s="1"/>
  <c r="N73" i="1"/>
  <c r="I73" i="1"/>
  <c r="Q73" i="1" s="1"/>
  <c r="A157" i="7"/>
  <c r="B156" i="7"/>
  <c r="K136" i="1"/>
  <c r="AU136" i="1"/>
  <c r="AA136" i="1"/>
  <c r="S136" i="1"/>
  <c r="G134" i="1"/>
  <c r="H134" i="1" s="1"/>
  <c r="AI135" i="1"/>
  <c r="AJ135" i="1" s="1"/>
  <c r="AW136" i="1"/>
  <c r="AC133" i="1"/>
  <c r="Z136" i="1"/>
  <c r="BB135" i="1" s="1"/>
  <c r="A137" i="1"/>
  <c r="AK137" i="1" s="1"/>
  <c r="M134" i="1"/>
  <c r="E135" i="1"/>
  <c r="F135" i="1" s="1"/>
  <c r="D135" i="1"/>
  <c r="C136" i="1"/>
  <c r="B137" i="1"/>
  <c r="BC135" i="1" l="1"/>
  <c r="BD135" i="1" s="1"/>
  <c r="BF137" i="1"/>
  <c r="AE133" i="1"/>
  <c r="J136" i="1"/>
  <c r="AH72" i="1"/>
  <c r="AG72" i="1"/>
  <c r="L137" i="1"/>
  <c r="AY73" i="1"/>
  <c r="AQ73" i="1"/>
  <c r="O73" i="1"/>
  <c r="P74" i="1" s="1"/>
  <c r="BE74" i="1" s="1"/>
  <c r="A158" i="7"/>
  <c r="B157" i="7"/>
  <c r="K137" i="1"/>
  <c r="AU137" i="1"/>
  <c r="AA137" i="1"/>
  <c r="S137" i="1"/>
  <c r="G135" i="1"/>
  <c r="H135" i="1" s="1"/>
  <c r="AI136" i="1"/>
  <c r="AJ136" i="1" s="1"/>
  <c r="AW137" i="1"/>
  <c r="Z137" i="1"/>
  <c r="BB136" i="1" s="1"/>
  <c r="AC134" i="1"/>
  <c r="A138" i="1"/>
  <c r="AK138" i="1" s="1"/>
  <c r="M135" i="1"/>
  <c r="E136" i="1"/>
  <c r="F136" i="1" s="1"/>
  <c r="D136" i="1"/>
  <c r="C137" i="1"/>
  <c r="B138" i="1"/>
  <c r="BC136" i="1" l="1"/>
  <c r="BD136" i="1" s="1"/>
  <c r="BF138" i="1"/>
  <c r="AX73" i="1"/>
  <c r="AE134" i="1"/>
  <c r="V74" i="1"/>
  <c r="Y74" i="1"/>
  <c r="X74" i="1" s="1"/>
  <c r="AF74" i="1" s="1"/>
  <c r="U46" i="1"/>
  <c r="U52" i="1"/>
  <c r="J137" i="1"/>
  <c r="L138" i="1"/>
  <c r="BA72" i="1"/>
  <c r="I74" i="1"/>
  <c r="Q74" i="1" s="1"/>
  <c r="N74" i="1"/>
  <c r="AT74" i="1"/>
  <c r="AS74" i="1" s="1"/>
  <c r="AM74" i="1"/>
  <c r="A159" i="7"/>
  <c r="B158" i="7"/>
  <c r="K138" i="1"/>
  <c r="AU138" i="1"/>
  <c r="G136" i="1"/>
  <c r="H136" i="1" s="1"/>
  <c r="AA138" i="1"/>
  <c r="S138" i="1"/>
  <c r="AI137" i="1"/>
  <c r="AJ137" i="1" s="1"/>
  <c r="AW138" i="1"/>
  <c r="Z138" i="1"/>
  <c r="BB137" i="1" s="1"/>
  <c r="AC135" i="1"/>
  <c r="A139" i="1"/>
  <c r="AK139" i="1" s="1"/>
  <c r="M136" i="1"/>
  <c r="C138" i="1"/>
  <c r="B139" i="1"/>
  <c r="D137" i="1"/>
  <c r="E137" i="1"/>
  <c r="F137" i="1" s="1"/>
  <c r="BC137" i="1" l="1"/>
  <c r="BD137" i="1" s="1"/>
  <c r="BF139" i="1"/>
  <c r="AE135" i="1"/>
  <c r="AL52" i="1"/>
  <c r="AL46" i="1"/>
  <c r="J138" i="1"/>
  <c r="L139" i="1"/>
  <c r="AH73" i="1"/>
  <c r="AG73" i="1"/>
  <c r="AY74" i="1"/>
  <c r="AQ74" i="1"/>
  <c r="O74" i="1"/>
  <c r="P75" i="1" s="1"/>
  <c r="BE75" i="1" s="1"/>
  <c r="A160" i="7"/>
  <c r="B159" i="7"/>
  <c r="K139" i="1"/>
  <c r="AU139" i="1"/>
  <c r="G137" i="1"/>
  <c r="H137" i="1" s="1"/>
  <c r="AA139" i="1"/>
  <c r="S139" i="1"/>
  <c r="AI138" i="1"/>
  <c r="AJ138" i="1" s="1"/>
  <c r="AW139" i="1"/>
  <c r="AC136" i="1"/>
  <c r="Z139" i="1"/>
  <c r="BB138" i="1" s="1"/>
  <c r="A140" i="1"/>
  <c r="AK140" i="1" s="1"/>
  <c r="M137" i="1"/>
  <c r="E138" i="1"/>
  <c r="F138" i="1" s="1"/>
  <c r="D138" i="1"/>
  <c r="C139" i="1"/>
  <c r="B140" i="1"/>
  <c r="BC138" i="1" l="1"/>
  <c r="BD138" i="1" s="1"/>
  <c r="BF140" i="1"/>
  <c r="AE136" i="1"/>
  <c r="V75" i="1"/>
  <c r="Y75" i="1"/>
  <c r="X75" i="1" s="1"/>
  <c r="AF75" i="1" s="1"/>
  <c r="AN52" i="1"/>
  <c r="AN46" i="1"/>
  <c r="J139" i="1"/>
  <c r="L140" i="1"/>
  <c r="BA73" i="1"/>
  <c r="AG74" i="1"/>
  <c r="AT75" i="1"/>
  <c r="AS75" i="1" s="1"/>
  <c r="AM75" i="1"/>
  <c r="I75" i="1"/>
  <c r="Q75" i="1" s="1"/>
  <c r="N75" i="1"/>
  <c r="A161" i="7"/>
  <c r="B160" i="7"/>
  <c r="K140" i="1"/>
  <c r="AU140" i="1"/>
  <c r="AA140" i="1"/>
  <c r="S140" i="1"/>
  <c r="G138" i="1"/>
  <c r="H138" i="1" s="1"/>
  <c r="AI139" i="1"/>
  <c r="AJ139" i="1" s="1"/>
  <c r="AW140" i="1"/>
  <c r="AC137" i="1"/>
  <c r="Z140" i="1"/>
  <c r="BB139" i="1" s="1"/>
  <c r="A141" i="1"/>
  <c r="AK141" i="1" s="1"/>
  <c r="M138" i="1"/>
  <c r="C140" i="1"/>
  <c r="B141" i="1"/>
  <c r="E139" i="1"/>
  <c r="F139" i="1" s="1"/>
  <c r="D139" i="1"/>
  <c r="BC139" i="1" l="1"/>
  <c r="BD139" i="1" s="1"/>
  <c r="BF141" i="1"/>
  <c r="AE137" i="1"/>
  <c r="AO46" i="1"/>
  <c r="AO52" i="1"/>
  <c r="J140" i="1"/>
  <c r="L141" i="1"/>
  <c r="AY75" i="1"/>
  <c r="AH74" i="1"/>
  <c r="AQ75" i="1"/>
  <c r="O75" i="1"/>
  <c r="P76" i="1" s="1"/>
  <c r="BE76" i="1" s="1"/>
  <c r="A162" i="7"/>
  <c r="B161" i="7"/>
  <c r="K141" i="1"/>
  <c r="AU141" i="1"/>
  <c r="AA141" i="1"/>
  <c r="S141" i="1"/>
  <c r="G139" i="1"/>
  <c r="H139" i="1" s="1"/>
  <c r="AI140" i="1"/>
  <c r="AJ140" i="1" s="1"/>
  <c r="AW141" i="1"/>
  <c r="Z141" i="1"/>
  <c r="BB140" i="1" s="1"/>
  <c r="AC138" i="1"/>
  <c r="A142" i="1"/>
  <c r="AK142" i="1" s="1"/>
  <c r="E140" i="1"/>
  <c r="F140" i="1" s="1"/>
  <c r="D140" i="1"/>
  <c r="C141" i="1"/>
  <c r="B142" i="1"/>
  <c r="M139" i="1"/>
  <c r="BC140" i="1" l="1"/>
  <c r="BD140" i="1" s="1"/>
  <c r="BF142" i="1"/>
  <c r="AE138" i="1"/>
  <c r="V76" i="1"/>
  <c r="Y76" i="1"/>
  <c r="X76" i="1" s="1"/>
  <c r="AF76" i="1" s="1"/>
  <c r="AP46" i="1"/>
  <c r="AX47" i="1" s="1"/>
  <c r="AP52" i="1"/>
  <c r="AX53" i="1" s="1"/>
  <c r="J141" i="1"/>
  <c r="L142" i="1"/>
  <c r="BA74" i="1"/>
  <c r="I76" i="1"/>
  <c r="Q76" i="1" s="1"/>
  <c r="AT76" i="1"/>
  <c r="AS76" i="1" s="1"/>
  <c r="N76" i="1"/>
  <c r="AM76" i="1"/>
  <c r="A163" i="7"/>
  <c r="B162" i="7"/>
  <c r="K142" i="1"/>
  <c r="AU142" i="1"/>
  <c r="G140" i="1"/>
  <c r="H140" i="1" s="1"/>
  <c r="AA142" i="1"/>
  <c r="S142" i="1"/>
  <c r="AI141" i="1"/>
  <c r="AJ141" i="1" s="1"/>
  <c r="AW142" i="1"/>
  <c r="AC139" i="1"/>
  <c r="Z142" i="1"/>
  <c r="BB141" i="1" s="1"/>
  <c r="A143" i="1"/>
  <c r="AK143" i="1" s="1"/>
  <c r="M140" i="1"/>
  <c r="E141" i="1"/>
  <c r="F141" i="1" s="1"/>
  <c r="D141" i="1"/>
  <c r="C142" i="1"/>
  <c r="B143" i="1"/>
  <c r="BC141" i="1" l="1"/>
  <c r="BD141" i="1" s="1"/>
  <c r="BF143" i="1"/>
  <c r="AE139" i="1"/>
  <c r="J142" i="1"/>
  <c r="L143" i="1"/>
  <c r="AH75" i="1"/>
  <c r="AG75" i="1"/>
  <c r="AY76" i="1"/>
  <c r="AQ76" i="1"/>
  <c r="O76" i="1"/>
  <c r="P77" i="1" s="1"/>
  <c r="BE77" i="1" s="1"/>
  <c r="A164" i="7"/>
  <c r="B163" i="7"/>
  <c r="K143" i="1"/>
  <c r="AU143" i="1"/>
  <c r="AA143" i="1"/>
  <c r="S143" i="1"/>
  <c r="G141" i="1"/>
  <c r="H141" i="1" s="1"/>
  <c r="AI142" i="1"/>
  <c r="AJ142" i="1" s="1"/>
  <c r="AW143" i="1"/>
  <c r="AC140" i="1"/>
  <c r="Z143" i="1"/>
  <c r="BB142" i="1" s="1"/>
  <c r="A144" i="1"/>
  <c r="C143" i="1"/>
  <c r="B144" i="1"/>
  <c r="M141" i="1"/>
  <c r="D142" i="1"/>
  <c r="E142" i="1"/>
  <c r="F142" i="1" s="1"/>
  <c r="BC142" i="1" l="1"/>
  <c r="BD142" i="1" s="1"/>
  <c r="BF144" i="1"/>
  <c r="AE140" i="1"/>
  <c r="V77" i="1"/>
  <c r="Y77" i="1"/>
  <c r="X77" i="1" s="1"/>
  <c r="AF77" i="1" s="1"/>
  <c r="U53" i="1"/>
  <c r="U47" i="1"/>
  <c r="J143" i="1"/>
  <c r="L144" i="1"/>
  <c r="AG76" i="1"/>
  <c r="BA75" i="1"/>
  <c r="N77" i="1"/>
  <c r="AT77" i="1"/>
  <c r="AS77" i="1" s="1"/>
  <c r="I77" i="1"/>
  <c r="Q77" i="1" s="1"/>
  <c r="AM77" i="1"/>
  <c r="A165" i="7"/>
  <c r="B164" i="7"/>
  <c r="K144" i="1"/>
  <c r="AU144" i="1"/>
  <c r="G142" i="1"/>
  <c r="H142" i="1" s="1"/>
  <c r="AA144" i="1"/>
  <c r="S144" i="1"/>
  <c r="AI143" i="1"/>
  <c r="AJ143" i="1" s="1"/>
  <c r="AK144" i="1"/>
  <c r="AP144" i="1"/>
  <c r="AW144" i="1"/>
  <c r="AC141" i="1"/>
  <c r="Z144" i="1"/>
  <c r="BB143" i="1" s="1"/>
  <c r="A145" i="1"/>
  <c r="AK145" i="1" s="1"/>
  <c r="M142" i="1"/>
  <c r="C144" i="1"/>
  <c r="B145" i="1"/>
  <c r="E143" i="1"/>
  <c r="F143" i="1" s="1"/>
  <c r="D143" i="1"/>
  <c r="BC143" i="1" l="1"/>
  <c r="BD143" i="1" s="1"/>
  <c r="BF145" i="1"/>
  <c r="AE141" i="1"/>
  <c r="AL47" i="1"/>
  <c r="AL53" i="1"/>
  <c r="J144" i="1"/>
  <c r="L145" i="1"/>
  <c r="AY77" i="1"/>
  <c r="AH76" i="1"/>
  <c r="AQ77" i="1"/>
  <c r="O77" i="1"/>
  <c r="P78" i="1" s="1"/>
  <c r="BE78" i="1" s="1"/>
  <c r="A166" i="7"/>
  <c r="B165" i="7"/>
  <c r="K145" i="1"/>
  <c r="AU145" i="1"/>
  <c r="AA145" i="1"/>
  <c r="S145" i="1"/>
  <c r="G143" i="1"/>
  <c r="H143" i="1" s="1"/>
  <c r="AI144" i="1"/>
  <c r="AJ144" i="1" s="1"/>
  <c r="AW145" i="1"/>
  <c r="Z145" i="1"/>
  <c r="BB144" i="1" s="1"/>
  <c r="AC142" i="1"/>
  <c r="A146" i="1"/>
  <c r="AK146" i="1" s="1"/>
  <c r="M143" i="1"/>
  <c r="E144" i="1"/>
  <c r="F144" i="1" s="1"/>
  <c r="D144" i="1"/>
  <c r="C145" i="1"/>
  <c r="B146" i="1"/>
  <c r="BC144" i="1" l="1"/>
  <c r="BD144" i="1" s="1"/>
  <c r="BF146" i="1"/>
  <c r="AE142" i="1"/>
  <c r="V78" i="1"/>
  <c r="Y78" i="1"/>
  <c r="X78" i="1" s="1"/>
  <c r="AF78" i="1" s="1"/>
  <c r="AN47" i="1"/>
  <c r="AN53" i="1"/>
  <c r="J145" i="1"/>
  <c r="L146" i="1"/>
  <c r="AG77" i="1"/>
  <c r="BA76" i="1"/>
  <c r="N78" i="1"/>
  <c r="AT78" i="1"/>
  <c r="AS78" i="1" s="1"/>
  <c r="I78" i="1"/>
  <c r="Q78" i="1" s="1"/>
  <c r="AM78" i="1"/>
  <c r="A167" i="7"/>
  <c r="B166" i="7"/>
  <c r="K146" i="1"/>
  <c r="AU146" i="1"/>
  <c r="AA146" i="1"/>
  <c r="S146" i="1"/>
  <c r="G144" i="1"/>
  <c r="H144" i="1" s="1"/>
  <c r="AI145" i="1"/>
  <c r="AJ145" i="1" s="1"/>
  <c r="AW146" i="1"/>
  <c r="AC143" i="1"/>
  <c r="Z146" i="1"/>
  <c r="BB145" i="1" s="1"/>
  <c r="A147" i="1"/>
  <c r="AK147" i="1" s="1"/>
  <c r="M144" i="1"/>
  <c r="E145" i="1"/>
  <c r="F145" i="1" s="1"/>
  <c r="D145" i="1"/>
  <c r="C146" i="1"/>
  <c r="B147" i="1"/>
  <c r="BC145" i="1" l="1"/>
  <c r="BD145" i="1" s="1"/>
  <c r="BF147" i="1"/>
  <c r="AE143" i="1"/>
  <c r="AO47" i="1"/>
  <c r="AO53" i="1"/>
  <c r="J146" i="1"/>
  <c r="L147" i="1"/>
  <c r="AY78" i="1"/>
  <c r="AH77" i="1"/>
  <c r="AQ78" i="1"/>
  <c r="O78" i="1"/>
  <c r="P79" i="1" s="1"/>
  <c r="BE79" i="1" s="1"/>
  <c r="A168" i="7"/>
  <c r="B167" i="7"/>
  <c r="K147" i="1"/>
  <c r="AU147" i="1"/>
  <c r="AA147" i="1"/>
  <c r="S147" i="1"/>
  <c r="G145" i="1"/>
  <c r="H145" i="1" s="1"/>
  <c r="AI146" i="1"/>
  <c r="AJ146" i="1" s="1"/>
  <c r="AW147" i="1"/>
  <c r="AC144" i="1"/>
  <c r="Z147" i="1"/>
  <c r="BB146" i="1" s="1"/>
  <c r="A148" i="1"/>
  <c r="AK148" i="1" s="1"/>
  <c r="E146" i="1"/>
  <c r="F146" i="1" s="1"/>
  <c r="D146" i="1"/>
  <c r="M145" i="1"/>
  <c r="C147" i="1"/>
  <c r="B148" i="1"/>
  <c r="BC146" i="1" l="1"/>
  <c r="BD146" i="1" s="1"/>
  <c r="BF148" i="1"/>
  <c r="AE144" i="1"/>
  <c r="V79" i="1"/>
  <c r="Y79" i="1"/>
  <c r="X79" i="1" s="1"/>
  <c r="AF79" i="1" s="1"/>
  <c r="AP47" i="1"/>
  <c r="AX48" i="1" s="1"/>
  <c r="AP53" i="1"/>
  <c r="AX54" i="1" s="1"/>
  <c r="J147" i="1"/>
  <c r="L148" i="1"/>
  <c r="BA77" i="1"/>
  <c r="N79" i="1"/>
  <c r="AM79" i="1"/>
  <c r="AT79" i="1"/>
  <c r="AS79" i="1" s="1"/>
  <c r="I79" i="1"/>
  <c r="Q79" i="1" s="1"/>
  <c r="A169" i="7"/>
  <c r="B168" i="7"/>
  <c r="K148" i="1"/>
  <c r="AU148" i="1"/>
  <c r="AA148" i="1"/>
  <c r="S148" i="1"/>
  <c r="G146" i="1"/>
  <c r="H146" i="1" s="1"/>
  <c r="AI147" i="1"/>
  <c r="AJ147" i="1" s="1"/>
  <c r="AW148" i="1"/>
  <c r="AC145" i="1"/>
  <c r="Z148" i="1"/>
  <c r="BB147" i="1" s="1"/>
  <c r="A149" i="1"/>
  <c r="AK149" i="1" s="1"/>
  <c r="M146" i="1"/>
  <c r="D147" i="1"/>
  <c r="E147" i="1"/>
  <c r="F147" i="1" s="1"/>
  <c r="C148" i="1"/>
  <c r="B149" i="1"/>
  <c r="BC147" i="1" l="1"/>
  <c r="BD147" i="1" s="1"/>
  <c r="BF149" i="1"/>
  <c r="AE145" i="1"/>
  <c r="J148" i="1"/>
  <c r="L149" i="1"/>
  <c r="AH78" i="1"/>
  <c r="AG78" i="1"/>
  <c r="AY79" i="1"/>
  <c r="AQ79" i="1"/>
  <c r="O79" i="1"/>
  <c r="P80" i="1" s="1"/>
  <c r="BE80" i="1" s="1"/>
  <c r="A170" i="7"/>
  <c r="B169" i="7"/>
  <c r="K149" i="1"/>
  <c r="AU149" i="1"/>
  <c r="AA149" i="1"/>
  <c r="S149" i="1"/>
  <c r="G147" i="1"/>
  <c r="H147" i="1" s="1"/>
  <c r="AI148" i="1"/>
  <c r="AJ148" i="1" s="1"/>
  <c r="AW149" i="1"/>
  <c r="Z149" i="1"/>
  <c r="BB148" i="1" s="1"/>
  <c r="AC146" i="1"/>
  <c r="A150" i="1"/>
  <c r="AK150" i="1" s="1"/>
  <c r="E148" i="1"/>
  <c r="F148" i="1" s="1"/>
  <c r="D148" i="1"/>
  <c r="C149" i="1"/>
  <c r="B150" i="1"/>
  <c r="M147" i="1"/>
  <c r="BC148" i="1" l="1"/>
  <c r="BD148" i="1" s="1"/>
  <c r="BF150" i="1"/>
  <c r="AE146" i="1"/>
  <c r="V80" i="1"/>
  <c r="Y80" i="1"/>
  <c r="X80" i="1" s="1"/>
  <c r="AF80" i="1" s="1"/>
  <c r="U54" i="1"/>
  <c r="U48" i="1"/>
  <c r="J149" i="1"/>
  <c r="L150" i="1"/>
  <c r="BA78" i="1"/>
  <c r="AG79" i="1"/>
  <c r="I80" i="1"/>
  <c r="Q80" i="1" s="1"/>
  <c r="AT80" i="1"/>
  <c r="AS80" i="1" s="1"/>
  <c r="AM80" i="1"/>
  <c r="N80" i="1"/>
  <c r="A171" i="7"/>
  <c r="B170" i="7"/>
  <c r="K150" i="1"/>
  <c r="AU150" i="1"/>
  <c r="AA150" i="1"/>
  <c r="S150" i="1"/>
  <c r="G148" i="1"/>
  <c r="H148" i="1" s="1"/>
  <c r="AI149" i="1"/>
  <c r="AJ149" i="1" s="1"/>
  <c r="AW150" i="1"/>
  <c r="AC147" i="1"/>
  <c r="Z150" i="1"/>
  <c r="BB149" i="1" s="1"/>
  <c r="A151" i="1"/>
  <c r="AK151" i="1" s="1"/>
  <c r="E149" i="1"/>
  <c r="F149" i="1" s="1"/>
  <c r="D149" i="1"/>
  <c r="C150" i="1"/>
  <c r="B151" i="1"/>
  <c r="M148" i="1"/>
  <c r="BC149" i="1" l="1"/>
  <c r="BD149" i="1" s="1"/>
  <c r="BF151" i="1"/>
  <c r="AE147" i="1"/>
  <c r="AL48" i="1"/>
  <c r="AL54" i="1"/>
  <c r="J150" i="1"/>
  <c r="L151" i="1"/>
  <c r="AH79" i="1"/>
  <c r="AY80" i="1"/>
  <c r="AQ80" i="1"/>
  <c r="O80" i="1"/>
  <c r="A172" i="7"/>
  <c r="B171" i="7"/>
  <c r="K151" i="1"/>
  <c r="AU151" i="1"/>
  <c r="AA151" i="1"/>
  <c r="S151" i="1"/>
  <c r="G149" i="1"/>
  <c r="H149" i="1" s="1"/>
  <c r="AI150" i="1"/>
  <c r="AJ150" i="1" s="1"/>
  <c r="AW151" i="1"/>
  <c r="AC148" i="1"/>
  <c r="Z151" i="1"/>
  <c r="BB150" i="1" s="1"/>
  <c r="A152" i="1"/>
  <c r="AK152" i="1" s="1"/>
  <c r="E150" i="1"/>
  <c r="F150" i="1" s="1"/>
  <c r="D150" i="1"/>
  <c r="M149" i="1"/>
  <c r="C151" i="1"/>
  <c r="B152" i="1"/>
  <c r="BC150" i="1" l="1"/>
  <c r="BD150" i="1" s="1"/>
  <c r="BF152" i="1"/>
  <c r="AE148" i="1"/>
  <c r="AT81" i="1"/>
  <c r="AS81" i="1" s="1"/>
  <c r="P81" i="1"/>
  <c r="BE81" i="1" s="1"/>
  <c r="AN48" i="1"/>
  <c r="AN54" i="1"/>
  <c r="J151" i="1"/>
  <c r="L152" i="1"/>
  <c r="AG80" i="1"/>
  <c r="BA79" i="1"/>
  <c r="N81" i="1"/>
  <c r="AM81" i="1"/>
  <c r="I81" i="1"/>
  <c r="Q81" i="1" s="1"/>
  <c r="A173" i="7"/>
  <c r="B172" i="7"/>
  <c r="K152" i="1"/>
  <c r="AU152" i="1"/>
  <c r="AA152" i="1"/>
  <c r="S152" i="1"/>
  <c r="G150" i="1"/>
  <c r="H150" i="1" s="1"/>
  <c r="AI151" i="1"/>
  <c r="AJ151" i="1" s="1"/>
  <c r="AW152" i="1"/>
  <c r="AC149" i="1"/>
  <c r="Z152" i="1"/>
  <c r="BB151" i="1" s="1"/>
  <c r="A153" i="1"/>
  <c r="AK153" i="1" s="1"/>
  <c r="D151" i="1"/>
  <c r="E151" i="1"/>
  <c r="F151" i="1" s="1"/>
  <c r="C152" i="1"/>
  <c r="B153" i="1"/>
  <c r="M150" i="1"/>
  <c r="BC151" i="1" l="1"/>
  <c r="BD151" i="1" s="1"/>
  <c r="BF153" i="1"/>
  <c r="AE149" i="1"/>
  <c r="V81" i="1"/>
  <c r="Y81" i="1"/>
  <c r="X81" i="1" s="1"/>
  <c r="AF81" i="1" s="1"/>
  <c r="AO48" i="1"/>
  <c r="AO54" i="1"/>
  <c r="J152" i="1"/>
  <c r="L153" i="1"/>
  <c r="AY81" i="1"/>
  <c r="AH80" i="1"/>
  <c r="AQ81" i="1"/>
  <c r="O81" i="1"/>
  <c r="A174" i="7"/>
  <c r="B173" i="7"/>
  <c r="K153" i="1"/>
  <c r="AU153" i="1"/>
  <c r="AA153" i="1"/>
  <c r="S153" i="1"/>
  <c r="G151" i="1"/>
  <c r="H151" i="1" s="1"/>
  <c r="AI152" i="1"/>
  <c r="AJ152" i="1" s="1"/>
  <c r="AW153" i="1"/>
  <c r="AC150" i="1"/>
  <c r="Z153" i="1"/>
  <c r="BB152" i="1" s="1"/>
  <c r="A154" i="1"/>
  <c r="AK154" i="1" s="1"/>
  <c r="E152" i="1"/>
  <c r="F152" i="1" s="1"/>
  <c r="D152" i="1"/>
  <c r="M151" i="1"/>
  <c r="C153" i="1"/>
  <c r="B154" i="1"/>
  <c r="BC152" i="1" l="1"/>
  <c r="BD152" i="1" s="1"/>
  <c r="BF154" i="1"/>
  <c r="AE150" i="1"/>
  <c r="P82" i="1"/>
  <c r="BE82" i="1" s="1"/>
  <c r="AP54" i="1"/>
  <c r="AX55" i="1" s="1"/>
  <c r="J153" i="1"/>
  <c r="L154" i="1"/>
  <c r="BA80" i="1"/>
  <c r="AG81" i="1"/>
  <c r="AT82" i="1"/>
  <c r="AS82" i="1" s="1"/>
  <c r="AM82" i="1"/>
  <c r="N82" i="1"/>
  <c r="I82" i="1"/>
  <c r="Q82" i="1" s="1"/>
  <c r="A175" i="7"/>
  <c r="B174" i="7"/>
  <c r="K154" i="1"/>
  <c r="AU154" i="1"/>
  <c r="AA154" i="1"/>
  <c r="S154" i="1"/>
  <c r="G152" i="1"/>
  <c r="H152" i="1" s="1"/>
  <c r="AI153" i="1"/>
  <c r="AJ153" i="1" s="1"/>
  <c r="AW154" i="1"/>
  <c r="AC151" i="1"/>
  <c r="Z154" i="1"/>
  <c r="BB153" i="1" s="1"/>
  <c r="A155" i="1"/>
  <c r="AK155" i="1" s="1"/>
  <c r="M152" i="1"/>
  <c r="C154" i="1"/>
  <c r="B155" i="1"/>
  <c r="E153" i="1"/>
  <c r="F153" i="1" s="1"/>
  <c r="D153" i="1"/>
  <c r="BC153" i="1" l="1"/>
  <c r="BD153" i="1" s="1"/>
  <c r="BF155" i="1"/>
  <c r="AE151" i="1"/>
  <c r="V82" i="1"/>
  <c r="Y82" i="1"/>
  <c r="X82" i="1" s="1"/>
  <c r="AF82" i="1" s="1"/>
  <c r="AQ82" i="1"/>
  <c r="AY82" i="1"/>
  <c r="J154" i="1"/>
  <c r="L155" i="1"/>
  <c r="AH81" i="1"/>
  <c r="O82" i="1"/>
  <c r="P83" i="1" s="1"/>
  <c r="BE83" i="1" s="1"/>
  <c r="A176" i="7"/>
  <c r="B175" i="7"/>
  <c r="K155" i="1"/>
  <c r="AU155" i="1"/>
  <c r="G153" i="1"/>
  <c r="H153" i="1" s="1"/>
  <c r="AA155" i="1"/>
  <c r="S155" i="1"/>
  <c r="AI154" i="1"/>
  <c r="AJ154" i="1" s="1"/>
  <c r="AW155" i="1"/>
  <c r="Z155" i="1"/>
  <c r="BB154" i="1" s="1"/>
  <c r="AC152" i="1"/>
  <c r="A156" i="1"/>
  <c r="M153" i="1"/>
  <c r="E154" i="1"/>
  <c r="F154" i="1" s="1"/>
  <c r="D154" i="1"/>
  <c r="C155" i="1"/>
  <c r="B156" i="1"/>
  <c r="BC154" i="1" l="1"/>
  <c r="BD154" i="1" s="1"/>
  <c r="BF156" i="1"/>
  <c r="AE152" i="1"/>
  <c r="V83" i="1"/>
  <c r="Y83" i="1"/>
  <c r="X83" i="1" s="1"/>
  <c r="AF83" i="1" s="1"/>
  <c r="U55" i="1"/>
  <c r="J155" i="1"/>
  <c r="AG82" i="1"/>
  <c r="L156" i="1"/>
  <c r="BA81" i="1"/>
  <c r="AM83" i="1"/>
  <c r="N83" i="1"/>
  <c r="I83" i="1"/>
  <c r="Q83" i="1" s="1"/>
  <c r="AH82" i="1"/>
  <c r="AT83" i="1"/>
  <c r="AS83" i="1" s="1"/>
  <c r="A177" i="7"/>
  <c r="B176" i="7"/>
  <c r="K156" i="1"/>
  <c r="AU156" i="1"/>
  <c r="AA156" i="1"/>
  <c r="S156" i="1"/>
  <c r="G154" i="1"/>
  <c r="H154" i="1" s="1"/>
  <c r="AP156" i="1"/>
  <c r="AK156" i="1"/>
  <c r="AI155" i="1"/>
  <c r="AJ155" i="1" s="1"/>
  <c r="AW156" i="1"/>
  <c r="U61" i="1"/>
  <c r="AC153" i="1"/>
  <c r="Z156" i="1"/>
  <c r="BB155" i="1" s="1"/>
  <c r="A157" i="1"/>
  <c r="AK157" i="1" s="1"/>
  <c r="C156" i="1"/>
  <c r="B157" i="1"/>
  <c r="M154" i="1"/>
  <c r="D155" i="1"/>
  <c r="E155" i="1"/>
  <c r="F155" i="1" s="1"/>
  <c r="BC155" i="1" l="1"/>
  <c r="BD155" i="1" s="1"/>
  <c r="BF157" i="1"/>
  <c r="AE153" i="1"/>
  <c r="AL61" i="1"/>
  <c r="AL55" i="1"/>
  <c r="J156" i="1"/>
  <c r="L157" i="1"/>
  <c r="BA82" i="1"/>
  <c r="AY83" i="1"/>
  <c r="AQ83" i="1"/>
  <c r="O83" i="1"/>
  <c r="P84" i="1" s="1"/>
  <c r="BE84" i="1" s="1"/>
  <c r="A178" i="7"/>
  <c r="B177" i="7"/>
  <c r="K157" i="1"/>
  <c r="AU157" i="1"/>
  <c r="AA157" i="1"/>
  <c r="S157" i="1"/>
  <c r="G155" i="1"/>
  <c r="H155" i="1" s="1"/>
  <c r="AI156" i="1"/>
  <c r="AJ156" i="1" s="1"/>
  <c r="AW157" i="1"/>
  <c r="Z157" i="1"/>
  <c r="BB156" i="1" s="1"/>
  <c r="AC154" i="1"/>
  <c r="A158" i="1"/>
  <c r="AK158" i="1" s="1"/>
  <c r="E156" i="1"/>
  <c r="F156" i="1" s="1"/>
  <c r="D156" i="1"/>
  <c r="C157" i="1"/>
  <c r="B158" i="1"/>
  <c r="M155" i="1"/>
  <c r="BC156" i="1" l="1"/>
  <c r="BD156" i="1" s="1"/>
  <c r="BF158" i="1"/>
  <c r="AE154" i="1"/>
  <c r="V84" i="1"/>
  <c r="Y84" i="1"/>
  <c r="X84" i="1" s="1"/>
  <c r="AF84" i="1" s="1"/>
  <c r="AN61" i="1"/>
  <c r="AN55" i="1"/>
  <c r="J157" i="1"/>
  <c r="L158" i="1"/>
  <c r="I84" i="1"/>
  <c r="Q84" i="1" s="1"/>
  <c r="N84" i="1"/>
  <c r="AM84" i="1"/>
  <c r="AT84" i="1"/>
  <c r="AS84" i="1" s="1"/>
  <c r="A179" i="7"/>
  <c r="B178" i="7"/>
  <c r="K158" i="1"/>
  <c r="AU158" i="1"/>
  <c r="AA158" i="1"/>
  <c r="S158" i="1"/>
  <c r="G156" i="1"/>
  <c r="H156" i="1" s="1"/>
  <c r="AI157" i="1"/>
  <c r="AJ157" i="1" s="1"/>
  <c r="AW158" i="1"/>
  <c r="AC155" i="1"/>
  <c r="Z158" i="1"/>
  <c r="BB157" i="1" s="1"/>
  <c r="A159" i="1"/>
  <c r="AK159" i="1" s="1"/>
  <c r="E157" i="1"/>
  <c r="F157" i="1" s="1"/>
  <c r="D157" i="1"/>
  <c r="C158" i="1"/>
  <c r="B159" i="1"/>
  <c r="M156" i="1"/>
  <c r="BC157" i="1" l="1"/>
  <c r="BD157" i="1" s="1"/>
  <c r="BF159" i="1"/>
  <c r="AE155" i="1"/>
  <c r="AO61" i="1"/>
  <c r="AO55" i="1"/>
  <c r="J158" i="1"/>
  <c r="AH83" i="1"/>
  <c r="AG83" i="1"/>
  <c r="L159" i="1"/>
  <c r="AY84" i="1"/>
  <c r="AQ84" i="1"/>
  <c r="O84" i="1"/>
  <c r="P85" i="1" s="1"/>
  <c r="BE85" i="1" s="1"/>
  <c r="A180" i="7"/>
  <c r="B179" i="7"/>
  <c r="K159" i="1"/>
  <c r="AU159" i="1"/>
  <c r="G157" i="1"/>
  <c r="H157" i="1" s="1"/>
  <c r="AA159" i="1"/>
  <c r="S159" i="1"/>
  <c r="AI158" i="1"/>
  <c r="AJ158" i="1" s="1"/>
  <c r="AW159" i="1"/>
  <c r="Z159" i="1"/>
  <c r="BB158" i="1" s="1"/>
  <c r="AC156" i="1"/>
  <c r="A160" i="1"/>
  <c r="AK160" i="1" s="1"/>
  <c r="M157" i="1"/>
  <c r="C159" i="1"/>
  <c r="B160" i="1"/>
  <c r="E158" i="1"/>
  <c r="F158" i="1" s="1"/>
  <c r="D158" i="1"/>
  <c r="BC158" i="1" l="1"/>
  <c r="BD158" i="1" s="1"/>
  <c r="BF160" i="1"/>
  <c r="AE156" i="1"/>
  <c r="V85" i="1"/>
  <c r="Y85" i="1"/>
  <c r="X85" i="1" s="1"/>
  <c r="AF85" i="1" s="1"/>
  <c r="AP61" i="1"/>
  <c r="AX62" i="1" s="1"/>
  <c r="AP55" i="1"/>
  <c r="AX56" i="1" s="1"/>
  <c r="J159" i="1"/>
  <c r="L160" i="1"/>
  <c r="BA83" i="1"/>
  <c r="AM85" i="1"/>
  <c r="I85" i="1"/>
  <c r="Q85" i="1" s="1"/>
  <c r="N85" i="1"/>
  <c r="AT85" i="1"/>
  <c r="AS85" i="1" s="1"/>
  <c r="A181" i="7"/>
  <c r="B180" i="7"/>
  <c r="K160" i="1"/>
  <c r="AU160" i="1"/>
  <c r="AA160" i="1"/>
  <c r="S160" i="1"/>
  <c r="G158" i="1"/>
  <c r="H158" i="1" s="1"/>
  <c r="AI159" i="1"/>
  <c r="AJ159" i="1" s="1"/>
  <c r="AW160" i="1"/>
  <c r="Z160" i="1"/>
  <c r="BB159" i="1" s="1"/>
  <c r="AC157" i="1"/>
  <c r="A161" i="1"/>
  <c r="AK161" i="1" s="1"/>
  <c r="C160" i="1"/>
  <c r="B161" i="1"/>
  <c r="D159" i="1"/>
  <c r="E159" i="1"/>
  <c r="F159" i="1" s="1"/>
  <c r="M158" i="1"/>
  <c r="BC159" i="1" l="1"/>
  <c r="BD159" i="1" s="1"/>
  <c r="BF161" i="1"/>
  <c r="AE157" i="1"/>
  <c r="J160" i="1"/>
  <c r="AH84" i="1"/>
  <c r="AG84" i="1"/>
  <c r="L161" i="1"/>
  <c r="AY85" i="1"/>
  <c r="AQ85" i="1"/>
  <c r="O85" i="1"/>
  <c r="A182" i="7"/>
  <c r="B181" i="7"/>
  <c r="K161" i="1"/>
  <c r="AU161" i="1"/>
  <c r="AA161" i="1"/>
  <c r="S161" i="1"/>
  <c r="G159" i="1"/>
  <c r="H159" i="1" s="1"/>
  <c r="AI160" i="1"/>
  <c r="AJ160" i="1" s="1"/>
  <c r="AW161" i="1"/>
  <c r="Z161" i="1"/>
  <c r="BB160" i="1" s="1"/>
  <c r="AC158" i="1"/>
  <c r="A162" i="1"/>
  <c r="AK162" i="1" s="1"/>
  <c r="M159" i="1"/>
  <c r="C161" i="1"/>
  <c r="B162" i="1"/>
  <c r="E160" i="1"/>
  <c r="F160" i="1" s="1"/>
  <c r="D160" i="1"/>
  <c r="BC160" i="1" l="1"/>
  <c r="BD160" i="1" s="1"/>
  <c r="BF162" i="1"/>
  <c r="AX85" i="1"/>
  <c r="AE158" i="1"/>
  <c r="AT86" i="1"/>
  <c r="AS86" i="1" s="1"/>
  <c r="P86" i="1"/>
  <c r="BE86" i="1" s="1"/>
  <c r="U56" i="1"/>
  <c r="U62" i="1"/>
  <c r="J161" i="1"/>
  <c r="L162" i="1"/>
  <c r="BA84" i="1"/>
  <c r="AG85" i="1"/>
  <c r="AM86" i="1"/>
  <c r="N86" i="1"/>
  <c r="I86" i="1"/>
  <c r="Q86" i="1" s="1"/>
  <c r="A183" i="7"/>
  <c r="B182" i="7"/>
  <c r="K162" i="1"/>
  <c r="AU162" i="1"/>
  <c r="G160" i="1"/>
  <c r="H160" i="1" s="1"/>
  <c r="AA162" i="1"/>
  <c r="S162" i="1"/>
  <c r="AI161" i="1"/>
  <c r="AJ161" i="1" s="1"/>
  <c r="AW162" i="1"/>
  <c r="AC159" i="1"/>
  <c r="Z162" i="1"/>
  <c r="BB161" i="1" s="1"/>
  <c r="A163" i="1"/>
  <c r="AK163" i="1" s="1"/>
  <c r="E161" i="1"/>
  <c r="F161" i="1" s="1"/>
  <c r="D161" i="1"/>
  <c r="C162" i="1"/>
  <c r="B163" i="1"/>
  <c r="M160" i="1"/>
  <c r="BC161" i="1" l="1"/>
  <c r="BD161" i="1" s="1"/>
  <c r="BF163" i="1"/>
  <c r="AE159" i="1"/>
  <c r="V86" i="1"/>
  <c r="Y86" i="1"/>
  <c r="X86" i="1" s="1"/>
  <c r="AF86" i="1" s="1"/>
  <c r="AL56" i="1"/>
  <c r="AL62" i="1"/>
  <c r="J162" i="1"/>
  <c r="L163" i="1"/>
  <c r="AY86" i="1"/>
  <c r="AH85" i="1"/>
  <c r="AQ86" i="1"/>
  <c r="O86" i="1"/>
  <c r="A184" i="7"/>
  <c r="B183" i="7"/>
  <c r="K163" i="1"/>
  <c r="AU163" i="1"/>
  <c r="G161" i="1"/>
  <c r="H161" i="1" s="1"/>
  <c r="AA163" i="1"/>
  <c r="S163" i="1"/>
  <c r="AI162" i="1"/>
  <c r="AJ162" i="1" s="1"/>
  <c r="AW163" i="1"/>
  <c r="Z163" i="1"/>
  <c r="BB162" i="1" s="1"/>
  <c r="AC160" i="1"/>
  <c r="A164" i="1"/>
  <c r="AK164" i="1" s="1"/>
  <c r="M161" i="1"/>
  <c r="E162" i="1"/>
  <c r="F162" i="1" s="1"/>
  <c r="D162" i="1"/>
  <c r="C163" i="1"/>
  <c r="B164" i="1"/>
  <c r="BC162" i="1" l="1"/>
  <c r="BD162" i="1" s="1"/>
  <c r="BF164" i="1"/>
  <c r="AE160" i="1"/>
  <c r="N87" i="1"/>
  <c r="P87" i="1"/>
  <c r="BE87" i="1" s="1"/>
  <c r="AN56" i="1"/>
  <c r="AN62" i="1"/>
  <c r="J163" i="1"/>
  <c r="L164" i="1"/>
  <c r="BA85" i="1"/>
  <c r="I87" i="1"/>
  <c r="Q87" i="1" s="1"/>
  <c r="AM87" i="1"/>
  <c r="AT87" i="1"/>
  <c r="AS87" i="1" s="1"/>
  <c r="A185" i="7"/>
  <c r="B184" i="7"/>
  <c r="K164" i="1"/>
  <c r="AU164" i="1"/>
  <c r="G162" i="1"/>
  <c r="H162" i="1" s="1"/>
  <c r="AA164" i="1"/>
  <c r="S164" i="1"/>
  <c r="AI163" i="1"/>
  <c r="AJ163" i="1" s="1"/>
  <c r="AW164" i="1"/>
  <c r="Z164" i="1"/>
  <c r="BB163" i="1" s="1"/>
  <c r="AC161" i="1"/>
  <c r="A165" i="1"/>
  <c r="AK165" i="1" s="1"/>
  <c r="D163" i="1"/>
  <c r="E163" i="1"/>
  <c r="F163" i="1" s="1"/>
  <c r="C164" i="1"/>
  <c r="B165" i="1"/>
  <c r="M162" i="1"/>
  <c r="BC163" i="1" l="1"/>
  <c r="BD163" i="1" s="1"/>
  <c r="BF165" i="1"/>
  <c r="AE161" i="1"/>
  <c r="V87" i="1"/>
  <c r="Y87" i="1"/>
  <c r="X87" i="1" s="1"/>
  <c r="AF87" i="1" s="1"/>
  <c r="AO56" i="1"/>
  <c r="AO62" i="1"/>
  <c r="J164" i="1"/>
  <c r="L165" i="1"/>
  <c r="AH86" i="1"/>
  <c r="AG86" i="1"/>
  <c r="AY87" i="1"/>
  <c r="AQ87" i="1"/>
  <c r="O87" i="1"/>
  <c r="P88" i="1" s="1"/>
  <c r="BE88" i="1" s="1"/>
  <c r="A186" i="7"/>
  <c r="B185" i="7"/>
  <c r="K165" i="1"/>
  <c r="AU165" i="1"/>
  <c r="G163" i="1"/>
  <c r="H163" i="1" s="1"/>
  <c r="AA165" i="1"/>
  <c r="S165" i="1"/>
  <c r="AI164" i="1"/>
  <c r="AJ164" i="1" s="1"/>
  <c r="AW165" i="1"/>
  <c r="AC162" i="1"/>
  <c r="Z165" i="1"/>
  <c r="BB164" i="1" s="1"/>
  <c r="A166" i="1"/>
  <c r="AK166" i="1" s="1"/>
  <c r="E164" i="1"/>
  <c r="F164" i="1" s="1"/>
  <c r="D164" i="1"/>
  <c r="C165" i="1"/>
  <c r="B166" i="1"/>
  <c r="M163" i="1"/>
  <c r="BC164" i="1" l="1"/>
  <c r="BD164" i="1" s="1"/>
  <c r="BF166" i="1"/>
  <c r="AE162" i="1"/>
  <c r="V88" i="1"/>
  <c r="Y88" i="1"/>
  <c r="X88" i="1" s="1"/>
  <c r="AF88" i="1" s="1"/>
  <c r="AP56" i="1"/>
  <c r="AX57" i="1" s="1"/>
  <c r="AP62" i="1"/>
  <c r="AX63" i="1" s="1"/>
  <c r="J165" i="1"/>
  <c r="L166" i="1"/>
  <c r="BA86" i="1"/>
  <c r="I88" i="1"/>
  <c r="Q88" i="1" s="1"/>
  <c r="AM88" i="1"/>
  <c r="AT88" i="1"/>
  <c r="AS88" i="1" s="1"/>
  <c r="N88" i="1"/>
  <c r="A187" i="7"/>
  <c r="B186" i="7"/>
  <c r="K166" i="1"/>
  <c r="AU166" i="1"/>
  <c r="AA166" i="1"/>
  <c r="S166" i="1"/>
  <c r="G164" i="1"/>
  <c r="H164" i="1" s="1"/>
  <c r="AI165" i="1"/>
  <c r="AJ165" i="1" s="1"/>
  <c r="AW166" i="1"/>
  <c r="AC163" i="1"/>
  <c r="Z166" i="1"/>
  <c r="BB165" i="1" s="1"/>
  <c r="A167" i="1"/>
  <c r="AK167" i="1" s="1"/>
  <c r="E165" i="1"/>
  <c r="F165" i="1" s="1"/>
  <c r="D165" i="1"/>
  <c r="M164" i="1"/>
  <c r="C166" i="1"/>
  <c r="B167" i="1"/>
  <c r="BC165" i="1" l="1"/>
  <c r="BD165" i="1" s="1"/>
  <c r="BF167" i="1"/>
  <c r="AE163" i="1"/>
  <c r="J166" i="1"/>
  <c r="AH87" i="1"/>
  <c r="AG87" i="1"/>
  <c r="L167" i="1"/>
  <c r="AY88" i="1"/>
  <c r="AQ88" i="1"/>
  <c r="O88" i="1"/>
  <c r="P89" i="1" s="1"/>
  <c r="BE89" i="1" s="1"/>
  <c r="A188" i="7"/>
  <c r="B187" i="7"/>
  <c r="K167" i="1"/>
  <c r="AU167" i="1"/>
  <c r="G165" i="1"/>
  <c r="H165" i="1" s="1"/>
  <c r="AA167" i="1"/>
  <c r="S167" i="1"/>
  <c r="AI166" i="1"/>
  <c r="AJ166" i="1" s="1"/>
  <c r="AW167" i="1"/>
  <c r="Z167" i="1"/>
  <c r="BB166" i="1" s="1"/>
  <c r="AC164" i="1"/>
  <c r="A168" i="1"/>
  <c r="C167" i="1"/>
  <c r="B168" i="1"/>
  <c r="M165" i="1"/>
  <c r="E166" i="1"/>
  <c r="F166" i="1" s="1"/>
  <c r="D166" i="1"/>
  <c r="BC166" i="1" l="1"/>
  <c r="BD166" i="1" s="1"/>
  <c r="BF168" i="1"/>
  <c r="AE164" i="1"/>
  <c r="V89" i="1"/>
  <c r="Y89" i="1"/>
  <c r="X89" i="1" s="1"/>
  <c r="AF89" i="1" s="1"/>
  <c r="U63" i="1"/>
  <c r="U57" i="1"/>
  <c r="J167" i="1"/>
  <c r="L168" i="1"/>
  <c r="BA87" i="1"/>
  <c r="I89" i="1"/>
  <c r="Q89" i="1" s="1"/>
  <c r="AT89" i="1"/>
  <c r="AS89" i="1" s="1"/>
  <c r="N89" i="1"/>
  <c r="AM89" i="1"/>
  <c r="A189" i="7"/>
  <c r="B188" i="7"/>
  <c r="K168" i="1"/>
  <c r="AU168" i="1"/>
  <c r="AA168" i="1"/>
  <c r="S168" i="1"/>
  <c r="G166" i="1"/>
  <c r="H166" i="1" s="1"/>
  <c r="AP168" i="1"/>
  <c r="AK168" i="1"/>
  <c r="AI167" i="1"/>
  <c r="AJ167" i="1" s="1"/>
  <c r="AW168" i="1"/>
  <c r="AC165" i="1"/>
  <c r="Z168" i="1"/>
  <c r="BB167" i="1" s="1"/>
  <c r="A169" i="1"/>
  <c r="AK169" i="1" s="1"/>
  <c r="C168" i="1"/>
  <c r="B169" i="1"/>
  <c r="M166" i="1"/>
  <c r="D167" i="1"/>
  <c r="E167" i="1"/>
  <c r="F167" i="1" s="1"/>
  <c r="BC167" i="1" l="1"/>
  <c r="BD167" i="1" s="1"/>
  <c r="BF169" i="1"/>
  <c r="AE165" i="1"/>
  <c r="AL63" i="1"/>
  <c r="AL57" i="1"/>
  <c r="J168" i="1"/>
  <c r="AH88" i="1"/>
  <c r="AG88" i="1"/>
  <c r="L169" i="1"/>
  <c r="O89" i="1"/>
  <c r="AY89" i="1"/>
  <c r="AQ89" i="1"/>
  <c r="A190" i="7"/>
  <c r="B189" i="7"/>
  <c r="K169" i="1"/>
  <c r="AU169" i="1"/>
  <c r="AA169" i="1"/>
  <c r="S169" i="1"/>
  <c r="G167" i="1"/>
  <c r="H167" i="1" s="1"/>
  <c r="AI168" i="1"/>
  <c r="AJ168" i="1" s="1"/>
  <c r="AW169" i="1"/>
  <c r="Z169" i="1"/>
  <c r="BB168" i="1" s="1"/>
  <c r="AC166" i="1"/>
  <c r="A170" i="1"/>
  <c r="AK170" i="1" s="1"/>
  <c r="C169" i="1"/>
  <c r="B170" i="1"/>
  <c r="M167" i="1"/>
  <c r="E168" i="1"/>
  <c r="F168" i="1" s="1"/>
  <c r="D168" i="1"/>
  <c r="BC168" i="1" l="1"/>
  <c r="BD168" i="1" s="1"/>
  <c r="BF170" i="1"/>
  <c r="AE166" i="1"/>
  <c r="N90" i="1"/>
  <c r="P90" i="1"/>
  <c r="BE90" i="1" s="1"/>
  <c r="AN63" i="1"/>
  <c r="AN57" i="1"/>
  <c r="J169" i="1"/>
  <c r="L170" i="1"/>
  <c r="AT90" i="1"/>
  <c r="AS90" i="1" s="1"/>
  <c r="AM90" i="1"/>
  <c r="I90" i="1"/>
  <c r="Q90" i="1" s="1"/>
  <c r="BA88" i="1"/>
  <c r="AG89" i="1"/>
  <c r="A191" i="7"/>
  <c r="B190" i="7"/>
  <c r="K170" i="1"/>
  <c r="AU170" i="1"/>
  <c r="G168" i="1"/>
  <c r="H168" i="1" s="1"/>
  <c r="AA170" i="1"/>
  <c r="S170" i="1"/>
  <c r="AI169" i="1"/>
  <c r="AJ169" i="1" s="1"/>
  <c r="AW170" i="1"/>
  <c r="AC167" i="1"/>
  <c r="Z170" i="1"/>
  <c r="BB169" i="1" s="1"/>
  <c r="A171" i="1"/>
  <c r="AK171" i="1" s="1"/>
  <c r="M168" i="1"/>
  <c r="C170" i="1"/>
  <c r="B171" i="1"/>
  <c r="E169" i="1"/>
  <c r="F169" i="1" s="1"/>
  <c r="D169" i="1"/>
  <c r="BC169" i="1" l="1"/>
  <c r="BD169" i="1" s="1"/>
  <c r="BF171" i="1"/>
  <c r="AE167" i="1"/>
  <c r="V90" i="1"/>
  <c r="Y90" i="1"/>
  <c r="X90" i="1" s="1"/>
  <c r="AF90" i="1" s="1"/>
  <c r="AO63" i="1"/>
  <c r="AO57" i="1"/>
  <c r="J170" i="1"/>
  <c r="L171" i="1"/>
  <c r="AY90" i="1"/>
  <c r="AQ90" i="1"/>
  <c r="O90" i="1"/>
  <c r="AH89" i="1"/>
  <c r="A192" i="7"/>
  <c r="B191" i="7"/>
  <c r="K171" i="1"/>
  <c r="AU171" i="1"/>
  <c r="G169" i="1"/>
  <c r="H169" i="1" s="1"/>
  <c r="AA171" i="1"/>
  <c r="S171" i="1"/>
  <c r="AI170" i="1"/>
  <c r="AJ170" i="1" s="1"/>
  <c r="AW171" i="1"/>
  <c r="AC168" i="1"/>
  <c r="Z171" i="1"/>
  <c r="BB170" i="1" s="1"/>
  <c r="A172" i="1"/>
  <c r="AK172" i="1" s="1"/>
  <c r="C171" i="1"/>
  <c r="B172" i="1"/>
  <c r="E170" i="1"/>
  <c r="F170" i="1" s="1"/>
  <c r="D170" i="1"/>
  <c r="M169" i="1"/>
  <c r="BC170" i="1" l="1"/>
  <c r="BD170" i="1" s="1"/>
  <c r="BF172" i="1"/>
  <c r="AE168" i="1"/>
  <c r="AT91" i="1"/>
  <c r="AS91" i="1" s="1"/>
  <c r="P91" i="1"/>
  <c r="BE91" i="1" s="1"/>
  <c r="AP57" i="1"/>
  <c r="AX58" i="1" s="1"/>
  <c r="AP63" i="1"/>
  <c r="AX64" i="1" s="1"/>
  <c r="J171" i="1"/>
  <c r="L172" i="1"/>
  <c r="I91" i="1"/>
  <c r="Q91" i="1" s="1"/>
  <c r="AM91" i="1"/>
  <c r="N91" i="1"/>
  <c r="BA89" i="1"/>
  <c r="A193" i="7"/>
  <c r="B192" i="7"/>
  <c r="K172" i="1"/>
  <c r="AU172" i="1"/>
  <c r="G170" i="1"/>
  <c r="H170" i="1" s="1"/>
  <c r="AA172" i="1"/>
  <c r="S172" i="1"/>
  <c r="AI171" i="1"/>
  <c r="AJ171" i="1" s="1"/>
  <c r="AW172" i="1"/>
  <c r="AC169" i="1"/>
  <c r="Z172" i="1"/>
  <c r="BB171" i="1" s="1"/>
  <c r="A173" i="1"/>
  <c r="AK173" i="1" s="1"/>
  <c r="M170" i="1"/>
  <c r="C172" i="1"/>
  <c r="B173" i="1"/>
  <c r="D171" i="1"/>
  <c r="E171" i="1"/>
  <c r="F171" i="1" s="1"/>
  <c r="BC171" i="1" l="1"/>
  <c r="BD171" i="1" s="1"/>
  <c r="BF173" i="1"/>
  <c r="AE169" i="1"/>
  <c r="V91" i="1"/>
  <c r="Y91" i="1"/>
  <c r="X91" i="1" s="1"/>
  <c r="AF91" i="1" s="1"/>
  <c r="AY91" i="1"/>
  <c r="J172" i="1"/>
  <c r="L173" i="1"/>
  <c r="O91" i="1"/>
  <c r="AQ91" i="1"/>
  <c r="A194" i="7"/>
  <c r="B193" i="7"/>
  <c r="K173" i="1"/>
  <c r="AU173" i="1"/>
  <c r="G171" i="1"/>
  <c r="H171" i="1" s="1"/>
  <c r="AA173" i="1"/>
  <c r="S173" i="1"/>
  <c r="AI172" i="1"/>
  <c r="AJ172" i="1" s="1"/>
  <c r="AW173" i="1"/>
  <c r="Z173" i="1"/>
  <c r="BB172" i="1" s="1"/>
  <c r="AC170" i="1"/>
  <c r="A174" i="1"/>
  <c r="AK174" i="1" s="1"/>
  <c r="M171" i="1"/>
  <c r="E172" i="1"/>
  <c r="F172" i="1" s="1"/>
  <c r="D172" i="1"/>
  <c r="C173" i="1"/>
  <c r="B174" i="1"/>
  <c r="BC172" i="1" l="1"/>
  <c r="BD172" i="1" s="1"/>
  <c r="BF174" i="1"/>
  <c r="AE170" i="1"/>
  <c r="I92" i="1"/>
  <c r="Q92" i="1" s="1"/>
  <c r="P92" i="1"/>
  <c r="BE92" i="1" s="1"/>
  <c r="U64" i="1"/>
  <c r="U58" i="1"/>
  <c r="AG90" i="1"/>
  <c r="AH90" i="1"/>
  <c r="J173" i="1"/>
  <c r="L174" i="1"/>
  <c r="AT92" i="1"/>
  <c r="AS92" i="1" s="1"/>
  <c r="N92" i="1"/>
  <c r="AM92" i="1"/>
  <c r="A195" i="7"/>
  <c r="B194" i="7"/>
  <c r="K174" i="1"/>
  <c r="AU174" i="1"/>
  <c r="AA174" i="1"/>
  <c r="S174" i="1"/>
  <c r="G172" i="1"/>
  <c r="H172" i="1" s="1"/>
  <c r="AI173" i="1"/>
  <c r="AJ173" i="1" s="1"/>
  <c r="AW174" i="1"/>
  <c r="AC171" i="1"/>
  <c r="Z174" i="1"/>
  <c r="BB173" i="1" s="1"/>
  <c r="A175" i="1"/>
  <c r="AK175" i="1" s="1"/>
  <c r="C174" i="1"/>
  <c r="B175" i="1"/>
  <c r="M172" i="1"/>
  <c r="E173" i="1"/>
  <c r="F173" i="1" s="1"/>
  <c r="D173" i="1"/>
  <c r="BC173" i="1" l="1"/>
  <c r="BD173" i="1" s="1"/>
  <c r="BF175" i="1"/>
  <c r="AE171" i="1"/>
  <c r="V92" i="1"/>
  <c r="Y92" i="1"/>
  <c r="X92" i="1" s="1"/>
  <c r="AF92" i="1" s="1"/>
  <c r="O92" i="1"/>
  <c r="N93" i="1" s="1"/>
  <c r="AQ92" i="1"/>
  <c r="AY92" i="1"/>
  <c r="AL58" i="1"/>
  <c r="AL64" i="1"/>
  <c r="BA90" i="1"/>
  <c r="J174" i="1"/>
  <c r="L175" i="1"/>
  <c r="A196" i="7"/>
  <c r="B195" i="7"/>
  <c r="K175" i="1"/>
  <c r="AU175" i="1"/>
  <c r="AA175" i="1"/>
  <c r="S175" i="1"/>
  <c r="G173" i="1"/>
  <c r="H173" i="1" s="1"/>
  <c r="AI174" i="1"/>
  <c r="AJ174" i="1" s="1"/>
  <c r="AW175" i="1"/>
  <c r="AC172" i="1"/>
  <c r="Z175" i="1"/>
  <c r="BB174" i="1" s="1"/>
  <c r="A176" i="1"/>
  <c r="AK176" i="1" s="1"/>
  <c r="C175" i="1"/>
  <c r="B176" i="1"/>
  <c r="M173" i="1"/>
  <c r="E174" i="1"/>
  <c r="F174" i="1" s="1"/>
  <c r="D174" i="1"/>
  <c r="BC174" i="1" l="1"/>
  <c r="BD174" i="1" s="1"/>
  <c r="BF176" i="1"/>
  <c r="AE172" i="1"/>
  <c r="I93" i="1"/>
  <c r="Q93" i="1" s="1"/>
  <c r="AM93" i="1"/>
  <c r="P93" i="1"/>
  <c r="BE93" i="1" s="1"/>
  <c r="AT93" i="1"/>
  <c r="AS93" i="1" s="1"/>
  <c r="AN58" i="1"/>
  <c r="AN64" i="1"/>
  <c r="AG91" i="1"/>
  <c r="AH91" i="1"/>
  <c r="J175" i="1"/>
  <c r="AH92" i="1"/>
  <c r="AG92" i="1"/>
  <c r="L176" i="1"/>
  <c r="A197" i="7"/>
  <c r="B196" i="7"/>
  <c r="K176" i="1"/>
  <c r="AU176" i="1"/>
  <c r="AA176" i="1"/>
  <c r="S176" i="1"/>
  <c r="G174" i="1"/>
  <c r="H174" i="1" s="1"/>
  <c r="AI175" i="1"/>
  <c r="AJ175" i="1" s="1"/>
  <c r="AW176" i="1"/>
  <c r="Z176" i="1"/>
  <c r="BB175" i="1" s="1"/>
  <c r="AC173" i="1"/>
  <c r="A177" i="1"/>
  <c r="AK177" i="1" s="1"/>
  <c r="C176" i="1"/>
  <c r="B177" i="1"/>
  <c r="M174" i="1"/>
  <c r="D175" i="1"/>
  <c r="E175" i="1"/>
  <c r="F175" i="1" s="1"/>
  <c r="BC175" i="1" l="1"/>
  <c r="BD175" i="1" s="1"/>
  <c r="BF177" i="1"/>
  <c r="AE173" i="1"/>
  <c r="V93" i="1"/>
  <c r="Y93" i="1"/>
  <c r="X93" i="1" s="1"/>
  <c r="AF93" i="1" s="1"/>
  <c r="O93" i="1"/>
  <c r="P94" i="1" s="1"/>
  <c r="BE94" i="1" s="1"/>
  <c r="AY93" i="1"/>
  <c r="AQ93" i="1"/>
  <c r="AO64" i="1"/>
  <c r="AO58" i="1"/>
  <c r="BA91" i="1"/>
  <c r="J176" i="1"/>
  <c r="L177" i="1"/>
  <c r="BA92" i="1"/>
  <c r="A198" i="7"/>
  <c r="B197" i="7"/>
  <c r="K177" i="1"/>
  <c r="AU177" i="1"/>
  <c r="AA177" i="1"/>
  <c r="S177" i="1"/>
  <c r="G175" i="1"/>
  <c r="H175" i="1" s="1"/>
  <c r="AI176" i="1"/>
  <c r="AJ176" i="1" s="1"/>
  <c r="AW177" i="1"/>
  <c r="Z177" i="1"/>
  <c r="BB176" i="1" s="1"/>
  <c r="AC174" i="1"/>
  <c r="A178" i="1"/>
  <c r="AK178" i="1" s="1"/>
  <c r="M175" i="1"/>
  <c r="C177" i="1"/>
  <c r="B178" i="1"/>
  <c r="E176" i="1"/>
  <c r="F176" i="1" s="1"/>
  <c r="D176" i="1"/>
  <c r="BC176" i="1" l="1"/>
  <c r="BD176" i="1" s="1"/>
  <c r="BF178" i="1"/>
  <c r="AE174" i="1"/>
  <c r="V94" i="1"/>
  <c r="Y94" i="1"/>
  <c r="X94" i="1" s="1"/>
  <c r="AF94" i="1" s="1"/>
  <c r="AM94" i="1"/>
  <c r="I94" i="1"/>
  <c r="Q94" i="1" s="1"/>
  <c r="N94" i="1"/>
  <c r="AT94" i="1"/>
  <c r="AS94" i="1" s="1"/>
  <c r="AQ94" i="1" s="1"/>
  <c r="AH93" i="1"/>
  <c r="AG93" i="1"/>
  <c r="AP58" i="1"/>
  <c r="AX59" i="1" s="1"/>
  <c r="AP64" i="1"/>
  <c r="AX65" i="1" s="1"/>
  <c r="J177" i="1"/>
  <c r="L178" i="1"/>
  <c r="AY94" i="1"/>
  <c r="A199" i="7"/>
  <c r="B198" i="7"/>
  <c r="K178" i="1"/>
  <c r="AU178" i="1"/>
  <c r="AA178" i="1"/>
  <c r="S178" i="1"/>
  <c r="G176" i="1"/>
  <c r="H176" i="1" s="1"/>
  <c r="AI177" i="1"/>
  <c r="AJ177" i="1" s="1"/>
  <c r="AW178" i="1"/>
  <c r="Z178" i="1"/>
  <c r="BB177" i="1" s="1"/>
  <c r="AC175" i="1"/>
  <c r="A179" i="1"/>
  <c r="AK179" i="1" s="1"/>
  <c r="E177" i="1"/>
  <c r="F177" i="1" s="1"/>
  <c r="D177" i="1"/>
  <c r="C178" i="1"/>
  <c r="B179" i="1"/>
  <c r="M176" i="1"/>
  <c r="BC177" i="1" l="1"/>
  <c r="BD177" i="1" s="1"/>
  <c r="BF179" i="1"/>
  <c r="AE175" i="1"/>
  <c r="O94" i="1"/>
  <c r="AM95" i="1" s="1"/>
  <c r="BA93" i="1"/>
  <c r="J178" i="1"/>
  <c r="L179" i="1"/>
  <c r="AG94" i="1"/>
  <c r="A200" i="7"/>
  <c r="B199" i="7"/>
  <c r="K179" i="1"/>
  <c r="AU179" i="1"/>
  <c r="G177" i="1"/>
  <c r="H177" i="1" s="1"/>
  <c r="AA179" i="1"/>
  <c r="S179" i="1"/>
  <c r="AI178" i="1"/>
  <c r="AJ178" i="1" s="1"/>
  <c r="AW179" i="1"/>
  <c r="AC176" i="1"/>
  <c r="Z179" i="1"/>
  <c r="BB178" i="1" s="1"/>
  <c r="A180" i="1"/>
  <c r="E178" i="1"/>
  <c r="F178" i="1" s="1"/>
  <c r="D178" i="1"/>
  <c r="M177" i="1"/>
  <c r="C179" i="1"/>
  <c r="B180" i="1"/>
  <c r="BC178" i="1" l="1"/>
  <c r="BD178" i="1" s="1"/>
  <c r="BF180" i="1"/>
  <c r="AE176" i="1"/>
  <c r="AT95" i="1"/>
  <c r="AS95" i="1" s="1"/>
  <c r="I95" i="1"/>
  <c r="Q95" i="1" s="1"/>
  <c r="P95" i="1"/>
  <c r="BE95" i="1" s="1"/>
  <c r="N95" i="1"/>
  <c r="U59" i="1"/>
  <c r="U65" i="1"/>
  <c r="J179" i="1"/>
  <c r="L180" i="1"/>
  <c r="AH94" i="1"/>
  <c r="A201" i="7"/>
  <c r="B200" i="7"/>
  <c r="K180" i="1"/>
  <c r="AU180" i="1"/>
  <c r="AA180" i="1"/>
  <c r="S180" i="1"/>
  <c r="G178" i="1"/>
  <c r="H178" i="1" s="1"/>
  <c r="AK180" i="1"/>
  <c r="AP180" i="1"/>
  <c r="AI179" i="1"/>
  <c r="AJ179" i="1" s="1"/>
  <c r="AW180" i="1"/>
  <c r="AC177" i="1"/>
  <c r="Z180" i="1"/>
  <c r="BB179" i="1" s="1"/>
  <c r="A181" i="1"/>
  <c r="AK181" i="1" s="1"/>
  <c r="M178" i="1"/>
  <c r="D179" i="1"/>
  <c r="E179" i="1"/>
  <c r="F179" i="1" s="1"/>
  <c r="C180" i="1"/>
  <c r="B181" i="1"/>
  <c r="BC179" i="1" l="1"/>
  <c r="BD179" i="1" s="1"/>
  <c r="BF181" i="1"/>
  <c r="AE177" i="1"/>
  <c r="V95" i="1"/>
  <c r="Y95" i="1"/>
  <c r="X95" i="1" s="1"/>
  <c r="AY95" i="1"/>
  <c r="O95" i="1"/>
  <c r="P96" i="1" s="1"/>
  <c r="BE96" i="1" s="1"/>
  <c r="AQ95" i="1"/>
  <c r="AL65" i="1"/>
  <c r="AL59" i="1"/>
  <c r="J180" i="1"/>
  <c r="L181" i="1"/>
  <c r="BA94" i="1"/>
  <c r="A202" i="7"/>
  <c r="B201" i="7"/>
  <c r="K181" i="1"/>
  <c r="AU181" i="1"/>
  <c r="G179" i="1"/>
  <c r="H179" i="1" s="1"/>
  <c r="AA181" i="1"/>
  <c r="S181" i="1"/>
  <c r="AI180" i="1"/>
  <c r="AJ180" i="1" s="1"/>
  <c r="AW181" i="1"/>
  <c r="Z181" i="1"/>
  <c r="BB180" i="1" s="1"/>
  <c r="AC178" i="1"/>
  <c r="A182" i="1"/>
  <c r="AK182" i="1" s="1"/>
  <c r="C181" i="1"/>
  <c r="B182" i="1"/>
  <c r="M179" i="1"/>
  <c r="E180" i="1"/>
  <c r="F180" i="1" s="1"/>
  <c r="D180" i="1"/>
  <c r="BC180" i="1" l="1"/>
  <c r="BD180" i="1" s="1"/>
  <c r="BF182" i="1"/>
  <c r="AE178" i="1"/>
  <c r="AF95" i="1"/>
  <c r="AG95" i="1" s="1"/>
  <c r="V96" i="1"/>
  <c r="Y96" i="1"/>
  <c r="X96" i="1" s="1"/>
  <c r="AF96" i="1" s="1"/>
  <c r="AM96" i="1"/>
  <c r="N96" i="1"/>
  <c r="I96" i="1"/>
  <c r="Q96" i="1" s="1"/>
  <c r="AT96" i="1"/>
  <c r="AS96" i="1" s="1"/>
  <c r="AQ96" i="1" s="1"/>
  <c r="AN65" i="1"/>
  <c r="AN59" i="1"/>
  <c r="J181" i="1"/>
  <c r="L182" i="1"/>
  <c r="AY96" i="1"/>
  <c r="A203" i="7"/>
  <c r="B202" i="7"/>
  <c r="K182" i="1"/>
  <c r="AU182" i="1"/>
  <c r="AA182" i="1"/>
  <c r="S182" i="1"/>
  <c r="G180" i="1"/>
  <c r="H180" i="1" s="1"/>
  <c r="AI181" i="1"/>
  <c r="AJ181" i="1" s="1"/>
  <c r="AW182" i="1"/>
  <c r="Z182" i="1"/>
  <c r="BB181" i="1" s="1"/>
  <c r="AC179" i="1"/>
  <c r="A183" i="1"/>
  <c r="AK183" i="1" s="1"/>
  <c r="M180" i="1"/>
  <c r="C182" i="1"/>
  <c r="B183" i="1"/>
  <c r="E181" i="1"/>
  <c r="F181" i="1" s="1"/>
  <c r="D181" i="1"/>
  <c r="BC181" i="1" l="1"/>
  <c r="BD181" i="1" s="1"/>
  <c r="BF183" i="1"/>
  <c r="AH95" i="1"/>
  <c r="AE179" i="1"/>
  <c r="O96" i="1"/>
  <c r="I97" i="1" s="1"/>
  <c r="Q97" i="1" s="1"/>
  <c r="AO65" i="1"/>
  <c r="AO59" i="1"/>
  <c r="J182" i="1"/>
  <c r="L183" i="1"/>
  <c r="AG96" i="1"/>
  <c r="BA95" i="1"/>
  <c r="A204" i="7"/>
  <c r="B203" i="7"/>
  <c r="K183" i="1"/>
  <c r="AU183" i="1"/>
  <c r="AA183" i="1"/>
  <c r="S183" i="1"/>
  <c r="G181" i="1"/>
  <c r="H181" i="1" s="1"/>
  <c r="AI182" i="1"/>
  <c r="AJ182" i="1" s="1"/>
  <c r="AW183" i="1"/>
  <c r="AC180" i="1"/>
  <c r="Z183" i="1"/>
  <c r="BB182" i="1" s="1"/>
  <c r="A184" i="1"/>
  <c r="AK184" i="1" s="1"/>
  <c r="M181" i="1"/>
  <c r="E182" i="1"/>
  <c r="F182" i="1" s="1"/>
  <c r="D182" i="1"/>
  <c r="C183" i="1"/>
  <c r="B184" i="1"/>
  <c r="BC182" i="1" l="1"/>
  <c r="BD182" i="1" s="1"/>
  <c r="BF184" i="1"/>
  <c r="AE180" i="1"/>
  <c r="AT97" i="1"/>
  <c r="AS97" i="1" s="1"/>
  <c r="N97" i="1"/>
  <c r="O97" i="1" s="1"/>
  <c r="AM97" i="1"/>
  <c r="P97" i="1"/>
  <c r="BE97" i="1" s="1"/>
  <c r="AP65" i="1"/>
  <c r="AX66" i="1" s="1"/>
  <c r="AP59" i="1"/>
  <c r="AX60" i="1" s="1"/>
  <c r="J183" i="1"/>
  <c r="L184" i="1"/>
  <c r="AH96" i="1"/>
  <c r="A205" i="7"/>
  <c r="B204" i="7"/>
  <c r="K184" i="1"/>
  <c r="AU184" i="1"/>
  <c r="AA184" i="1"/>
  <c r="S184" i="1"/>
  <c r="G182" i="1"/>
  <c r="H182" i="1" s="1"/>
  <c r="AI183" i="1"/>
  <c r="AJ183" i="1" s="1"/>
  <c r="AW184" i="1"/>
  <c r="Z184" i="1"/>
  <c r="BB183" i="1" s="1"/>
  <c r="AC181" i="1"/>
  <c r="A185" i="1"/>
  <c r="AK185" i="1" s="1"/>
  <c r="C184" i="1"/>
  <c r="B185" i="1"/>
  <c r="D183" i="1"/>
  <c r="E183" i="1"/>
  <c r="F183" i="1" s="1"/>
  <c r="M182" i="1"/>
  <c r="BC183" i="1" l="1"/>
  <c r="BD183" i="1" s="1"/>
  <c r="BF185" i="1"/>
  <c r="AE181" i="1"/>
  <c r="V97" i="1"/>
  <c r="Y97" i="1"/>
  <c r="X97" i="1" s="1"/>
  <c r="AF97" i="1" s="1"/>
  <c r="AQ97" i="1"/>
  <c r="AY97" i="1"/>
  <c r="AM98" i="1"/>
  <c r="P98" i="1"/>
  <c r="BE98" i="1" s="1"/>
  <c r="J184" i="1"/>
  <c r="L185" i="1"/>
  <c r="BA96" i="1"/>
  <c r="AT98" i="1"/>
  <c r="AS98" i="1" s="1"/>
  <c r="I98" i="1"/>
  <c r="Q98" i="1" s="1"/>
  <c r="N98" i="1"/>
  <c r="A206" i="7"/>
  <c r="B205" i="7"/>
  <c r="K185" i="1"/>
  <c r="AU185" i="1"/>
  <c r="AA185" i="1"/>
  <c r="S185" i="1"/>
  <c r="G183" i="1"/>
  <c r="H183" i="1" s="1"/>
  <c r="AI184" i="1"/>
  <c r="AJ184" i="1" s="1"/>
  <c r="AW185" i="1"/>
  <c r="AC182" i="1"/>
  <c r="Z185" i="1"/>
  <c r="BB184" i="1" s="1"/>
  <c r="A186" i="1"/>
  <c r="AK186" i="1" s="1"/>
  <c r="E184" i="1"/>
  <c r="F184" i="1" s="1"/>
  <c r="D184" i="1"/>
  <c r="C185" i="1"/>
  <c r="B186" i="1"/>
  <c r="M183" i="1"/>
  <c r="BC184" i="1" l="1"/>
  <c r="BD184" i="1" s="1"/>
  <c r="BF186" i="1"/>
  <c r="AX97" i="1"/>
  <c r="AE182" i="1"/>
  <c r="V98" i="1"/>
  <c r="Y98" i="1"/>
  <c r="X98" i="1" s="1"/>
  <c r="AF98" i="1" s="1"/>
  <c r="U66" i="1"/>
  <c r="U60" i="1"/>
  <c r="J185" i="1"/>
  <c r="AH97" i="1"/>
  <c r="AG97" i="1"/>
  <c r="L186" i="1"/>
  <c r="AY98" i="1"/>
  <c r="AQ98" i="1"/>
  <c r="O98" i="1"/>
  <c r="A207" i="7"/>
  <c r="B206" i="7"/>
  <c r="K186" i="1"/>
  <c r="AU186" i="1"/>
  <c r="G184" i="1"/>
  <c r="H184" i="1" s="1"/>
  <c r="AA186" i="1"/>
  <c r="S186" i="1"/>
  <c r="AI185" i="1"/>
  <c r="AJ185" i="1" s="1"/>
  <c r="AW186" i="1"/>
  <c r="AC183" i="1"/>
  <c r="Z186" i="1"/>
  <c r="BB185" i="1" s="1"/>
  <c r="A187" i="1"/>
  <c r="AK187" i="1" s="1"/>
  <c r="M184" i="1"/>
  <c r="C186" i="1"/>
  <c r="B187" i="1"/>
  <c r="E185" i="1"/>
  <c r="F185" i="1" s="1"/>
  <c r="D185" i="1"/>
  <c r="BC185" i="1" l="1"/>
  <c r="BD185" i="1" s="1"/>
  <c r="BF187" i="1"/>
  <c r="AE183" i="1"/>
  <c r="P99" i="1"/>
  <c r="BE99" i="1" s="1"/>
  <c r="AL60" i="1"/>
  <c r="AL66" i="1"/>
  <c r="J186" i="1"/>
  <c r="L187" i="1"/>
  <c r="AG98" i="1"/>
  <c r="BA97" i="1"/>
  <c r="AT99" i="1"/>
  <c r="AS99" i="1" s="1"/>
  <c r="N99" i="1"/>
  <c r="AM99" i="1"/>
  <c r="I99" i="1"/>
  <c r="Q99" i="1" s="1"/>
  <c r="A208" i="7"/>
  <c r="B207" i="7"/>
  <c r="K187" i="1"/>
  <c r="AU187" i="1"/>
  <c r="AA187" i="1"/>
  <c r="S187" i="1"/>
  <c r="G185" i="1"/>
  <c r="H185" i="1" s="1"/>
  <c r="AI186" i="1"/>
  <c r="AJ186" i="1" s="1"/>
  <c r="AW187" i="1"/>
  <c r="Z187" i="1"/>
  <c r="BB186" i="1" s="1"/>
  <c r="AC184" i="1"/>
  <c r="A188" i="1"/>
  <c r="AK188" i="1" s="1"/>
  <c r="M185" i="1"/>
  <c r="E186" i="1"/>
  <c r="F186" i="1" s="1"/>
  <c r="D186" i="1"/>
  <c r="C187" i="1"/>
  <c r="B188" i="1"/>
  <c r="BC186" i="1" l="1"/>
  <c r="BD186" i="1" s="1"/>
  <c r="BF188" i="1"/>
  <c r="AE184" i="1"/>
  <c r="V99" i="1"/>
  <c r="Y99" i="1"/>
  <c r="X99" i="1" s="1"/>
  <c r="AF99" i="1" s="1"/>
  <c r="AG99" i="1" s="1"/>
  <c r="AY99" i="1"/>
  <c r="AN60" i="1"/>
  <c r="AN66" i="1"/>
  <c r="J187" i="1"/>
  <c r="L188" i="1"/>
  <c r="AH98" i="1"/>
  <c r="AQ99" i="1"/>
  <c r="O99" i="1"/>
  <c r="A209" i="7"/>
  <c r="B208" i="7"/>
  <c r="K188" i="1"/>
  <c r="AU188" i="1"/>
  <c r="G186" i="1"/>
  <c r="H186" i="1" s="1"/>
  <c r="AA188" i="1"/>
  <c r="S188" i="1"/>
  <c r="AI187" i="1"/>
  <c r="AJ187" i="1" s="1"/>
  <c r="AW188" i="1"/>
  <c r="AC185" i="1"/>
  <c r="Z188" i="1"/>
  <c r="BB187" i="1" s="1"/>
  <c r="A189" i="1"/>
  <c r="AK189" i="1" s="1"/>
  <c r="M186" i="1"/>
  <c r="C188" i="1"/>
  <c r="B189" i="1"/>
  <c r="D187" i="1"/>
  <c r="E187" i="1"/>
  <c r="F187" i="1" s="1"/>
  <c r="BC187" i="1" l="1"/>
  <c r="BD187" i="1" s="1"/>
  <c r="BF189" i="1"/>
  <c r="AE185" i="1"/>
  <c r="N100" i="1"/>
  <c r="P100" i="1"/>
  <c r="BE100" i="1" s="1"/>
  <c r="AO66" i="1"/>
  <c r="AO60" i="1"/>
  <c r="J188" i="1"/>
  <c r="L189" i="1"/>
  <c r="BA98" i="1"/>
  <c r="AT100" i="1"/>
  <c r="AS100" i="1" s="1"/>
  <c r="I100" i="1"/>
  <c r="Q100" i="1" s="1"/>
  <c r="AM100" i="1"/>
  <c r="A210" i="7"/>
  <c r="B209" i="7"/>
  <c r="K189" i="1"/>
  <c r="AU189" i="1"/>
  <c r="AA189" i="1"/>
  <c r="S189" i="1"/>
  <c r="G187" i="1"/>
  <c r="H187" i="1" s="1"/>
  <c r="AI188" i="1"/>
  <c r="AJ188" i="1" s="1"/>
  <c r="AW189" i="1"/>
  <c r="Z189" i="1"/>
  <c r="BB188" i="1" s="1"/>
  <c r="AC186" i="1"/>
  <c r="A190" i="1"/>
  <c r="AK190" i="1" s="1"/>
  <c r="C189" i="1"/>
  <c r="B190" i="1"/>
  <c r="E188" i="1"/>
  <c r="F188" i="1" s="1"/>
  <c r="D188" i="1"/>
  <c r="M187" i="1"/>
  <c r="BC188" i="1" l="1"/>
  <c r="BD188" i="1" s="1"/>
  <c r="BF190" i="1"/>
  <c r="AE186" i="1"/>
  <c r="V100" i="1"/>
  <c r="Y100" i="1"/>
  <c r="X100" i="1" s="1"/>
  <c r="AF100" i="1" s="1"/>
  <c r="AH99" i="1"/>
  <c r="AP66" i="1"/>
  <c r="AX67" i="1" s="1"/>
  <c r="J189" i="1"/>
  <c r="L190" i="1"/>
  <c r="AY100" i="1"/>
  <c r="AQ100" i="1"/>
  <c r="O100" i="1"/>
  <c r="A211" i="7"/>
  <c r="B210" i="7"/>
  <c r="K190" i="1"/>
  <c r="AU190" i="1"/>
  <c r="G188" i="1"/>
  <c r="H188" i="1" s="1"/>
  <c r="AA190" i="1"/>
  <c r="S190" i="1"/>
  <c r="AI189" i="1"/>
  <c r="AJ189" i="1" s="1"/>
  <c r="AW190" i="1"/>
  <c r="AC187" i="1"/>
  <c r="Z190" i="1"/>
  <c r="BB189" i="1" s="1"/>
  <c r="A191" i="1"/>
  <c r="AK191" i="1" s="1"/>
  <c r="M188" i="1"/>
  <c r="C190" i="1"/>
  <c r="B191" i="1"/>
  <c r="E189" i="1"/>
  <c r="F189" i="1" s="1"/>
  <c r="D189" i="1"/>
  <c r="BC189" i="1" l="1"/>
  <c r="BD189" i="1" s="1"/>
  <c r="BF191" i="1"/>
  <c r="AE187" i="1"/>
  <c r="BA99" i="1"/>
  <c r="AM101" i="1"/>
  <c r="P101" i="1"/>
  <c r="BE101" i="1" s="1"/>
  <c r="J190" i="1"/>
  <c r="L191" i="1"/>
  <c r="N101" i="1"/>
  <c r="AT101" i="1"/>
  <c r="AS101" i="1" s="1"/>
  <c r="I101" i="1"/>
  <c r="Q101" i="1" s="1"/>
  <c r="A212" i="7"/>
  <c r="B211" i="7"/>
  <c r="K191" i="1"/>
  <c r="AU191" i="1"/>
  <c r="AA191" i="1"/>
  <c r="S191" i="1"/>
  <c r="G189" i="1"/>
  <c r="H189" i="1" s="1"/>
  <c r="AI190" i="1"/>
  <c r="AJ190" i="1" s="1"/>
  <c r="AW191" i="1"/>
  <c r="AC188" i="1"/>
  <c r="Z191" i="1"/>
  <c r="BB190" i="1" s="1"/>
  <c r="A192" i="1"/>
  <c r="C191" i="1"/>
  <c r="B192" i="1"/>
  <c r="M189" i="1"/>
  <c r="E190" i="1"/>
  <c r="F190" i="1" s="1"/>
  <c r="D190" i="1"/>
  <c r="BC190" i="1" l="1"/>
  <c r="BD190" i="1" s="1"/>
  <c r="BF192" i="1"/>
  <c r="AE188" i="1"/>
  <c r="V101" i="1"/>
  <c r="Y101" i="1"/>
  <c r="X101" i="1" s="1"/>
  <c r="AF101" i="1" s="1"/>
  <c r="U67" i="1"/>
  <c r="J191" i="1"/>
  <c r="AH100" i="1"/>
  <c r="AG100" i="1"/>
  <c r="L192" i="1"/>
  <c r="AY101" i="1"/>
  <c r="AQ101" i="1"/>
  <c r="O101" i="1"/>
  <c r="P102" i="1" s="1"/>
  <c r="BE102" i="1" s="1"/>
  <c r="A213" i="7"/>
  <c r="B212" i="7"/>
  <c r="K192" i="1"/>
  <c r="AU192" i="1"/>
  <c r="G190" i="1"/>
  <c r="H190" i="1" s="1"/>
  <c r="AA192" i="1"/>
  <c r="S192" i="1"/>
  <c r="AK192" i="1"/>
  <c r="AP192" i="1"/>
  <c r="AI191" i="1"/>
  <c r="AJ191" i="1" s="1"/>
  <c r="AW192" i="1"/>
  <c r="U73" i="1"/>
  <c r="AC189" i="1"/>
  <c r="Z192" i="1"/>
  <c r="BB191" i="1" s="1"/>
  <c r="A193" i="1"/>
  <c r="AK193" i="1" s="1"/>
  <c r="C192" i="1"/>
  <c r="B193" i="1"/>
  <c r="M190" i="1"/>
  <c r="D191" i="1"/>
  <c r="E191" i="1"/>
  <c r="F191" i="1" s="1"/>
  <c r="BC191" i="1" l="1"/>
  <c r="BD191" i="1" s="1"/>
  <c r="BF193" i="1"/>
  <c r="AE189" i="1"/>
  <c r="V102" i="1"/>
  <c r="Y102" i="1"/>
  <c r="X102" i="1" s="1"/>
  <c r="AF102" i="1" s="1"/>
  <c r="AL73" i="1"/>
  <c r="AL67" i="1"/>
  <c r="J192" i="1"/>
  <c r="L193" i="1"/>
  <c r="BA100" i="1"/>
  <c r="N102" i="1"/>
  <c r="AM102" i="1"/>
  <c r="AT102" i="1"/>
  <c r="AS102" i="1" s="1"/>
  <c r="I102" i="1"/>
  <c r="Q102" i="1" s="1"/>
  <c r="A214" i="7"/>
  <c r="B213" i="7"/>
  <c r="K193" i="1"/>
  <c r="AU193" i="1"/>
  <c r="G191" i="1"/>
  <c r="H191" i="1" s="1"/>
  <c r="AA193" i="1"/>
  <c r="S193" i="1"/>
  <c r="AI192" i="1"/>
  <c r="AJ192" i="1" s="1"/>
  <c r="AW193" i="1"/>
  <c r="AC190" i="1"/>
  <c r="Z193" i="1"/>
  <c r="BB192" i="1" s="1"/>
  <c r="A194" i="1"/>
  <c r="AK194" i="1" s="1"/>
  <c r="M191" i="1"/>
  <c r="C193" i="1"/>
  <c r="B194" i="1"/>
  <c r="E192" i="1"/>
  <c r="F192" i="1" s="1"/>
  <c r="D192" i="1"/>
  <c r="BC192" i="1" l="1"/>
  <c r="BD192" i="1" s="1"/>
  <c r="BF194" i="1"/>
  <c r="AE190" i="1"/>
  <c r="AN73" i="1"/>
  <c r="AN67" i="1"/>
  <c r="J193" i="1"/>
  <c r="AH101" i="1"/>
  <c r="AG101" i="1"/>
  <c r="L194" i="1"/>
  <c r="AY102" i="1"/>
  <c r="AQ102" i="1"/>
  <c r="O102" i="1"/>
  <c r="A215" i="7"/>
  <c r="B214" i="7"/>
  <c r="K194" i="1"/>
  <c r="AU194" i="1"/>
  <c r="AA194" i="1"/>
  <c r="S194" i="1"/>
  <c r="G192" i="1"/>
  <c r="H192" i="1" s="1"/>
  <c r="AI193" i="1"/>
  <c r="AJ193" i="1" s="1"/>
  <c r="AW194" i="1"/>
  <c r="AC191" i="1"/>
  <c r="Z194" i="1"/>
  <c r="BB193" i="1" s="1"/>
  <c r="A195" i="1"/>
  <c r="AK195" i="1" s="1"/>
  <c r="M192" i="1"/>
  <c r="E193" i="1"/>
  <c r="F193" i="1" s="1"/>
  <c r="D193" i="1"/>
  <c r="C194" i="1"/>
  <c r="B195" i="1"/>
  <c r="BC193" i="1" l="1"/>
  <c r="BD193" i="1" s="1"/>
  <c r="BF195" i="1"/>
  <c r="AE191" i="1"/>
  <c r="N103" i="1"/>
  <c r="P103" i="1"/>
  <c r="BE103" i="1" s="1"/>
  <c r="AO73" i="1"/>
  <c r="AO67" i="1"/>
  <c r="J194" i="1"/>
  <c r="L195" i="1"/>
  <c r="BA101" i="1"/>
  <c r="AG102" i="1"/>
  <c r="I103" i="1"/>
  <c r="Q103" i="1" s="1"/>
  <c r="AM103" i="1"/>
  <c r="AT103" i="1"/>
  <c r="AS103" i="1" s="1"/>
  <c r="A216" i="7"/>
  <c r="B215" i="7"/>
  <c r="K195" i="1"/>
  <c r="AU195" i="1"/>
  <c r="G193" i="1"/>
  <c r="H193" i="1" s="1"/>
  <c r="AA195" i="1"/>
  <c r="S195" i="1"/>
  <c r="AI194" i="1"/>
  <c r="AJ194" i="1" s="1"/>
  <c r="AW195" i="1"/>
  <c r="AC192" i="1"/>
  <c r="Z195" i="1"/>
  <c r="BB194" i="1" s="1"/>
  <c r="A196" i="1"/>
  <c r="AK196" i="1" s="1"/>
  <c r="C195" i="1"/>
  <c r="B196" i="1"/>
  <c r="M193" i="1"/>
  <c r="E194" i="1"/>
  <c r="F194" i="1" s="1"/>
  <c r="D194" i="1"/>
  <c r="BC194" i="1" l="1"/>
  <c r="BD194" i="1" s="1"/>
  <c r="BF196" i="1"/>
  <c r="AE192" i="1"/>
  <c r="V103" i="1"/>
  <c r="Y103" i="1"/>
  <c r="X103" i="1" s="1"/>
  <c r="AF103" i="1" s="1"/>
  <c r="AP73" i="1"/>
  <c r="AX74" i="1" s="1"/>
  <c r="AP67" i="1"/>
  <c r="AX68" i="1" s="1"/>
  <c r="J195" i="1"/>
  <c r="L196" i="1"/>
  <c r="AY103" i="1"/>
  <c r="AH102" i="1"/>
  <c r="AQ103" i="1"/>
  <c r="O103" i="1"/>
  <c r="A217" i="7"/>
  <c r="B216" i="7"/>
  <c r="K196" i="1"/>
  <c r="AU196" i="1"/>
  <c r="AA196" i="1"/>
  <c r="S196" i="1"/>
  <c r="G194" i="1"/>
  <c r="H194" i="1" s="1"/>
  <c r="AI195" i="1"/>
  <c r="AJ195" i="1" s="1"/>
  <c r="AW196" i="1"/>
  <c r="AC193" i="1"/>
  <c r="Z196" i="1"/>
  <c r="BB195" i="1" s="1"/>
  <c r="A197" i="1"/>
  <c r="AK197" i="1" s="1"/>
  <c r="C196" i="1"/>
  <c r="B197" i="1"/>
  <c r="D195" i="1"/>
  <c r="E195" i="1"/>
  <c r="F195" i="1" s="1"/>
  <c r="M194" i="1"/>
  <c r="BC195" i="1" l="1"/>
  <c r="BD195" i="1" s="1"/>
  <c r="BF197" i="1"/>
  <c r="AE193" i="1"/>
  <c r="AM104" i="1"/>
  <c r="P104" i="1"/>
  <c r="BE104" i="1" s="1"/>
  <c r="J196" i="1"/>
  <c r="L197" i="1"/>
  <c r="BA102" i="1"/>
  <c r="I104" i="1"/>
  <c r="Q104" i="1" s="1"/>
  <c r="N104" i="1"/>
  <c r="AT104" i="1"/>
  <c r="AS104" i="1" s="1"/>
  <c r="A218" i="7"/>
  <c r="B217" i="7"/>
  <c r="K197" i="1"/>
  <c r="AU197" i="1"/>
  <c r="AA197" i="1"/>
  <c r="S197" i="1"/>
  <c r="G195" i="1"/>
  <c r="H195" i="1" s="1"/>
  <c r="AI196" i="1"/>
  <c r="AJ196" i="1" s="1"/>
  <c r="AW197" i="1"/>
  <c r="Z197" i="1"/>
  <c r="BB196" i="1" s="1"/>
  <c r="AC194" i="1"/>
  <c r="A198" i="1"/>
  <c r="AK198" i="1" s="1"/>
  <c r="C197" i="1"/>
  <c r="B198" i="1"/>
  <c r="M195" i="1"/>
  <c r="E196" i="1"/>
  <c r="F196" i="1" s="1"/>
  <c r="D196" i="1"/>
  <c r="BC196" i="1" l="1"/>
  <c r="BD196" i="1" s="1"/>
  <c r="BF198" i="1"/>
  <c r="AE194" i="1"/>
  <c r="V104" i="1"/>
  <c r="Y104" i="1"/>
  <c r="X104" i="1" s="1"/>
  <c r="AF104" i="1" s="1"/>
  <c r="U68" i="1"/>
  <c r="U74" i="1"/>
  <c r="J197" i="1"/>
  <c r="L198" i="1"/>
  <c r="AH103" i="1"/>
  <c r="AG103" i="1"/>
  <c r="AY104" i="1"/>
  <c r="AQ104" i="1"/>
  <c r="O104" i="1"/>
  <c r="A219" i="7"/>
  <c r="B218" i="7"/>
  <c r="K198" i="1"/>
  <c r="AU198" i="1"/>
  <c r="AA198" i="1"/>
  <c r="S198" i="1"/>
  <c r="G196" i="1"/>
  <c r="H196" i="1" s="1"/>
  <c r="AI197" i="1"/>
  <c r="AJ197" i="1" s="1"/>
  <c r="AW198" i="1"/>
  <c r="AC195" i="1"/>
  <c r="Z198" i="1"/>
  <c r="BB197" i="1" s="1"/>
  <c r="A199" i="1"/>
  <c r="AK199" i="1" s="1"/>
  <c r="E197" i="1"/>
  <c r="F197" i="1" s="1"/>
  <c r="D197" i="1"/>
  <c r="C198" i="1"/>
  <c r="B199" i="1"/>
  <c r="M196" i="1"/>
  <c r="BC197" i="1" l="1"/>
  <c r="BD197" i="1" s="1"/>
  <c r="BF199" i="1"/>
  <c r="AE195" i="1"/>
  <c r="P105" i="1"/>
  <c r="BE105" i="1" s="1"/>
  <c r="AL74" i="1"/>
  <c r="AL68" i="1"/>
  <c r="J198" i="1"/>
  <c r="L199" i="1"/>
  <c r="BA103" i="1"/>
  <c r="I105" i="1"/>
  <c r="Q105" i="1" s="1"/>
  <c r="AM105" i="1"/>
  <c r="N105" i="1"/>
  <c r="AT105" i="1"/>
  <c r="AS105" i="1" s="1"/>
  <c r="A220" i="7"/>
  <c r="B219" i="7"/>
  <c r="K199" i="1"/>
  <c r="AU199" i="1"/>
  <c r="G197" i="1"/>
  <c r="H197" i="1" s="1"/>
  <c r="AA199" i="1"/>
  <c r="S199" i="1"/>
  <c r="AI198" i="1"/>
  <c r="AJ198" i="1" s="1"/>
  <c r="AW199" i="1"/>
  <c r="AC196" i="1"/>
  <c r="Z199" i="1"/>
  <c r="BB198" i="1" s="1"/>
  <c r="A200" i="1"/>
  <c r="AK200" i="1" s="1"/>
  <c r="E198" i="1"/>
  <c r="F198" i="1" s="1"/>
  <c r="D198" i="1"/>
  <c r="C199" i="1"/>
  <c r="B200" i="1"/>
  <c r="M197" i="1"/>
  <c r="BC198" i="1" l="1"/>
  <c r="BD198" i="1" s="1"/>
  <c r="BF200" i="1"/>
  <c r="AE196" i="1"/>
  <c r="V105" i="1"/>
  <c r="Y105" i="1"/>
  <c r="X105" i="1" s="1"/>
  <c r="AF105" i="1" s="1"/>
  <c r="AY105" i="1"/>
  <c r="AN74" i="1"/>
  <c r="AN68" i="1"/>
  <c r="J199" i="1"/>
  <c r="L200" i="1"/>
  <c r="AH104" i="1"/>
  <c r="AG104" i="1"/>
  <c r="AQ105" i="1"/>
  <c r="O105" i="1"/>
  <c r="P106" i="1" s="1"/>
  <c r="BE106" i="1" s="1"/>
  <c r="A221" i="7"/>
  <c r="B220" i="7"/>
  <c r="K200" i="1"/>
  <c r="AU200" i="1"/>
  <c r="AA200" i="1"/>
  <c r="S200" i="1"/>
  <c r="G198" i="1"/>
  <c r="H198" i="1" s="1"/>
  <c r="AI199" i="1"/>
  <c r="AJ199" i="1" s="1"/>
  <c r="AW200" i="1"/>
  <c r="Z200" i="1"/>
  <c r="BB199" i="1" s="1"/>
  <c r="AC197" i="1"/>
  <c r="A201" i="1"/>
  <c r="AK201" i="1" s="1"/>
  <c r="D199" i="1"/>
  <c r="E199" i="1"/>
  <c r="F199" i="1" s="1"/>
  <c r="C200" i="1"/>
  <c r="B201" i="1"/>
  <c r="M198" i="1"/>
  <c r="BC199" i="1" l="1"/>
  <c r="BD199" i="1" s="1"/>
  <c r="BF201" i="1"/>
  <c r="AE197" i="1"/>
  <c r="V106" i="1"/>
  <c r="Y106" i="1"/>
  <c r="AO74" i="1"/>
  <c r="AO68" i="1"/>
  <c r="J200" i="1"/>
  <c r="L201" i="1"/>
  <c r="AG105" i="1"/>
  <c r="AH105" i="1"/>
  <c r="BA104" i="1"/>
  <c r="AT106" i="1"/>
  <c r="AS106" i="1" s="1"/>
  <c r="I106" i="1"/>
  <c r="Q106" i="1" s="1"/>
  <c r="N106" i="1"/>
  <c r="AM106" i="1"/>
  <c r="A222" i="7"/>
  <c r="B221" i="7"/>
  <c r="K201" i="1"/>
  <c r="AU201" i="1"/>
  <c r="AA201" i="1"/>
  <c r="S201" i="1"/>
  <c r="G199" i="1"/>
  <c r="H199" i="1" s="1"/>
  <c r="AI200" i="1"/>
  <c r="AJ200" i="1" s="1"/>
  <c r="AW201" i="1"/>
  <c r="Z201" i="1"/>
  <c r="BB200" i="1" s="1"/>
  <c r="AC198" i="1"/>
  <c r="A202" i="1"/>
  <c r="AK202" i="1" s="1"/>
  <c r="E200" i="1"/>
  <c r="F200" i="1" s="1"/>
  <c r="D200" i="1"/>
  <c r="C201" i="1"/>
  <c r="B202" i="1"/>
  <c r="M199" i="1"/>
  <c r="BC200" i="1" l="1"/>
  <c r="BD200" i="1" s="1"/>
  <c r="BF202" i="1"/>
  <c r="AE198" i="1"/>
  <c r="AP74" i="1"/>
  <c r="AX75" i="1" s="1"/>
  <c r="AP68" i="1"/>
  <c r="AX69" i="1" s="1"/>
  <c r="X106" i="1"/>
  <c r="AF106" i="1" s="1"/>
  <c r="J201" i="1"/>
  <c r="L202" i="1"/>
  <c r="BA105" i="1"/>
  <c r="AY106" i="1"/>
  <c r="AQ106" i="1"/>
  <c r="O106" i="1"/>
  <c r="A223" i="7"/>
  <c r="B222" i="7"/>
  <c r="K202" i="1"/>
  <c r="AU202" i="1"/>
  <c r="G200" i="1"/>
  <c r="H200" i="1" s="1"/>
  <c r="AA202" i="1"/>
  <c r="S202" i="1"/>
  <c r="AI201" i="1"/>
  <c r="AJ201" i="1" s="1"/>
  <c r="AW202" i="1"/>
  <c r="AC199" i="1"/>
  <c r="Z202" i="1"/>
  <c r="BB201" i="1" s="1"/>
  <c r="A203" i="1"/>
  <c r="AK203" i="1" s="1"/>
  <c r="E201" i="1"/>
  <c r="F201" i="1" s="1"/>
  <c r="D201" i="1"/>
  <c r="M200" i="1"/>
  <c r="C202" i="1"/>
  <c r="B203" i="1"/>
  <c r="BC201" i="1" l="1"/>
  <c r="BD201" i="1" s="1"/>
  <c r="BF203" i="1"/>
  <c r="AE199" i="1"/>
  <c r="N107" i="1"/>
  <c r="P107" i="1"/>
  <c r="BE107" i="1" s="1"/>
  <c r="J202" i="1"/>
  <c r="L203" i="1"/>
  <c r="I107" i="1"/>
  <c r="Q107" i="1" s="1"/>
  <c r="AT107" i="1"/>
  <c r="AS107" i="1" s="1"/>
  <c r="AM107" i="1"/>
  <c r="A224" i="7"/>
  <c r="B223" i="7"/>
  <c r="K203" i="1"/>
  <c r="AU203" i="1"/>
  <c r="AA203" i="1"/>
  <c r="S203" i="1"/>
  <c r="G201" i="1"/>
  <c r="H201" i="1" s="1"/>
  <c r="AI202" i="1"/>
  <c r="AJ202" i="1" s="1"/>
  <c r="AW203" i="1"/>
  <c r="AC200" i="1"/>
  <c r="Z203" i="1"/>
  <c r="BB202" i="1" s="1"/>
  <c r="A204" i="1"/>
  <c r="M201" i="1"/>
  <c r="E202" i="1"/>
  <c r="F202" i="1" s="1"/>
  <c r="D202" i="1"/>
  <c r="C203" i="1"/>
  <c r="B204" i="1"/>
  <c r="BC202" i="1" l="1"/>
  <c r="BD202" i="1" s="1"/>
  <c r="BF204" i="1"/>
  <c r="AE200" i="1"/>
  <c r="V107" i="1"/>
  <c r="Y107" i="1"/>
  <c r="X107" i="1" s="1"/>
  <c r="AF107" i="1" s="1"/>
  <c r="U75" i="1"/>
  <c r="U69" i="1"/>
  <c r="J203" i="1"/>
  <c r="L204" i="1"/>
  <c r="AH106" i="1"/>
  <c r="AG106" i="1"/>
  <c r="AY107" i="1"/>
  <c r="AQ107" i="1"/>
  <c r="O107" i="1"/>
  <c r="A225" i="7"/>
  <c r="B224" i="7"/>
  <c r="K204" i="1"/>
  <c r="AU204" i="1"/>
  <c r="G202" i="1"/>
  <c r="H202" i="1" s="1"/>
  <c r="AA204" i="1"/>
  <c r="S204" i="1"/>
  <c r="AP204" i="1"/>
  <c r="AK204" i="1"/>
  <c r="AI203" i="1"/>
  <c r="AJ203" i="1" s="1"/>
  <c r="AW204" i="1"/>
  <c r="AC201" i="1"/>
  <c r="Z204" i="1"/>
  <c r="BB203" i="1" s="1"/>
  <c r="A205" i="1"/>
  <c r="AK205" i="1" s="1"/>
  <c r="M202" i="1"/>
  <c r="C204" i="1"/>
  <c r="B205" i="1"/>
  <c r="D203" i="1"/>
  <c r="E203" i="1"/>
  <c r="F203" i="1" s="1"/>
  <c r="BC203" i="1" l="1"/>
  <c r="BD203" i="1" s="1"/>
  <c r="BF205" i="1"/>
  <c r="AE201" i="1"/>
  <c r="P108" i="1"/>
  <c r="BE108" i="1" s="1"/>
  <c r="AL75" i="1"/>
  <c r="AL69" i="1"/>
  <c r="J204" i="1"/>
  <c r="L205" i="1"/>
  <c r="BA106" i="1"/>
  <c r="AT108" i="1"/>
  <c r="AS108" i="1" s="1"/>
  <c r="I108" i="1"/>
  <c r="Q108" i="1" s="1"/>
  <c r="AM108" i="1"/>
  <c r="N108" i="1"/>
  <c r="A226" i="7"/>
  <c r="B225" i="7"/>
  <c r="K205" i="1"/>
  <c r="AU205" i="1"/>
  <c r="AA205" i="1"/>
  <c r="S205" i="1"/>
  <c r="G203" i="1"/>
  <c r="H203" i="1" s="1"/>
  <c r="AI204" i="1"/>
  <c r="AJ204" i="1" s="1"/>
  <c r="AW205" i="1"/>
  <c r="AC202" i="1"/>
  <c r="Z205" i="1"/>
  <c r="BB204" i="1" s="1"/>
  <c r="A206" i="1"/>
  <c r="AK206" i="1" s="1"/>
  <c r="C205" i="1"/>
  <c r="B206" i="1"/>
  <c r="E204" i="1"/>
  <c r="F204" i="1" s="1"/>
  <c r="D204" i="1"/>
  <c r="M203" i="1"/>
  <c r="BC204" i="1" l="1"/>
  <c r="BD204" i="1" s="1"/>
  <c r="BF206" i="1"/>
  <c r="AQ108" i="1"/>
  <c r="AE202" i="1"/>
  <c r="V108" i="1"/>
  <c r="Y108" i="1"/>
  <c r="X108" i="1" s="1"/>
  <c r="AF108" i="1" s="1"/>
  <c r="AY108" i="1"/>
  <c r="AN75" i="1"/>
  <c r="AN69" i="1"/>
  <c r="J205" i="1"/>
  <c r="L206" i="1"/>
  <c r="AH107" i="1"/>
  <c r="AG107" i="1"/>
  <c r="O108" i="1"/>
  <c r="A227" i="7"/>
  <c r="B226" i="7"/>
  <c r="K206" i="1"/>
  <c r="AU206" i="1"/>
  <c r="G204" i="1"/>
  <c r="H204" i="1" s="1"/>
  <c r="AA206" i="1"/>
  <c r="S206" i="1"/>
  <c r="AI205" i="1"/>
  <c r="AJ205" i="1" s="1"/>
  <c r="AW206" i="1"/>
  <c r="Z206" i="1"/>
  <c r="BB205" i="1" s="1"/>
  <c r="AC203" i="1"/>
  <c r="A207" i="1"/>
  <c r="AK207" i="1" s="1"/>
  <c r="E205" i="1"/>
  <c r="F205" i="1" s="1"/>
  <c r="D205" i="1"/>
  <c r="M204" i="1"/>
  <c r="C206" i="1"/>
  <c r="B207" i="1"/>
  <c r="BC205" i="1" l="1"/>
  <c r="BD205" i="1" s="1"/>
  <c r="BF207" i="1"/>
  <c r="AE203" i="1"/>
  <c r="P109" i="1"/>
  <c r="BE109" i="1" s="1"/>
  <c r="AO69" i="1"/>
  <c r="AO75" i="1"/>
  <c r="J206" i="1"/>
  <c r="L207" i="1"/>
  <c r="BA107" i="1"/>
  <c r="AT109" i="1"/>
  <c r="AS109" i="1" s="1"/>
  <c r="I109" i="1"/>
  <c r="Q109" i="1" s="1"/>
  <c r="N109" i="1"/>
  <c r="AM109" i="1"/>
  <c r="A228" i="7"/>
  <c r="B227" i="7"/>
  <c r="K207" i="1"/>
  <c r="AU207" i="1"/>
  <c r="G205" i="1"/>
  <c r="H205" i="1" s="1"/>
  <c r="AA207" i="1"/>
  <c r="S207" i="1"/>
  <c r="AI206" i="1"/>
  <c r="AJ206" i="1" s="1"/>
  <c r="AW207" i="1"/>
  <c r="Z207" i="1"/>
  <c r="BB206" i="1" s="1"/>
  <c r="AC204" i="1"/>
  <c r="A208" i="1"/>
  <c r="AK208" i="1" s="1"/>
  <c r="M205" i="1"/>
  <c r="E206" i="1"/>
  <c r="F206" i="1" s="1"/>
  <c r="D206" i="1"/>
  <c r="C207" i="1"/>
  <c r="B208" i="1"/>
  <c r="BC206" i="1" l="1"/>
  <c r="BD206" i="1" s="1"/>
  <c r="BF208" i="1"/>
  <c r="AE204" i="1"/>
  <c r="V109" i="1"/>
  <c r="Y109" i="1"/>
  <c r="X109" i="1" s="1"/>
  <c r="AF109" i="1" s="1"/>
  <c r="AH108" i="1"/>
  <c r="AG108" i="1"/>
  <c r="BA108" i="1" s="1"/>
  <c r="AY109" i="1"/>
  <c r="AP69" i="1"/>
  <c r="AX70" i="1" s="1"/>
  <c r="AP75" i="1"/>
  <c r="AX76" i="1" s="1"/>
  <c r="J207" i="1"/>
  <c r="L208" i="1"/>
  <c r="AQ109" i="1"/>
  <c r="O109" i="1"/>
  <c r="P110" i="1" s="1"/>
  <c r="BE110" i="1" s="1"/>
  <c r="A229" i="7"/>
  <c r="B228" i="7"/>
  <c r="K208" i="1"/>
  <c r="AU208" i="1"/>
  <c r="G206" i="1"/>
  <c r="H206" i="1" s="1"/>
  <c r="AA208" i="1"/>
  <c r="S208" i="1"/>
  <c r="AI207" i="1"/>
  <c r="AJ207" i="1" s="1"/>
  <c r="AW208" i="1"/>
  <c r="Z208" i="1"/>
  <c r="BB207" i="1" s="1"/>
  <c r="AC205" i="1"/>
  <c r="A209" i="1"/>
  <c r="AK209" i="1" s="1"/>
  <c r="C208" i="1"/>
  <c r="B209" i="1"/>
  <c r="D207" i="1"/>
  <c r="E207" i="1"/>
  <c r="F207" i="1" s="1"/>
  <c r="M206" i="1"/>
  <c r="BC207" i="1" l="1"/>
  <c r="BD207" i="1" s="1"/>
  <c r="BF209" i="1"/>
  <c r="AX109" i="1"/>
  <c r="AE205" i="1"/>
  <c r="V110" i="1"/>
  <c r="Y110" i="1"/>
  <c r="X110" i="1" s="1"/>
  <c r="AF110" i="1" s="1"/>
  <c r="J208" i="1"/>
  <c r="AG109" i="1"/>
  <c r="L209" i="1"/>
  <c r="AH109" i="1"/>
  <c r="N110" i="1"/>
  <c r="AM110" i="1"/>
  <c r="I110" i="1"/>
  <c r="Q110" i="1" s="1"/>
  <c r="AT110" i="1"/>
  <c r="AS110" i="1" s="1"/>
  <c r="A230" i="7"/>
  <c r="B229" i="7"/>
  <c r="K209" i="1"/>
  <c r="AU209" i="1"/>
  <c r="AA209" i="1"/>
  <c r="S209" i="1"/>
  <c r="G207" i="1"/>
  <c r="H207" i="1" s="1"/>
  <c r="AI208" i="1"/>
  <c r="AJ208" i="1" s="1"/>
  <c r="AW209" i="1"/>
  <c r="Z209" i="1"/>
  <c r="BB208" i="1" s="1"/>
  <c r="AC206" i="1"/>
  <c r="A210" i="1"/>
  <c r="AK210" i="1" s="1"/>
  <c r="E208" i="1"/>
  <c r="F208" i="1" s="1"/>
  <c r="D208" i="1"/>
  <c r="C209" i="1"/>
  <c r="B210" i="1"/>
  <c r="M207" i="1"/>
  <c r="BC208" i="1" l="1"/>
  <c r="BD208" i="1" s="1"/>
  <c r="BF210" i="1"/>
  <c r="AE206" i="1"/>
  <c r="U76" i="1"/>
  <c r="U70" i="1"/>
  <c r="J209" i="1"/>
  <c r="L210" i="1"/>
  <c r="AY110" i="1"/>
  <c r="BA109" i="1"/>
  <c r="AQ110" i="1"/>
  <c r="O110" i="1"/>
  <c r="P111" i="1" s="1"/>
  <c r="BE111" i="1" s="1"/>
  <c r="A231" i="7"/>
  <c r="B230" i="7"/>
  <c r="K210" i="1"/>
  <c r="AU210" i="1"/>
  <c r="G208" i="1"/>
  <c r="H208" i="1" s="1"/>
  <c r="AA210" i="1"/>
  <c r="S210" i="1"/>
  <c r="AI209" i="1"/>
  <c r="AJ209" i="1" s="1"/>
  <c r="AW210" i="1"/>
  <c r="AC207" i="1"/>
  <c r="Z210" i="1"/>
  <c r="BB209" i="1" s="1"/>
  <c r="A211" i="1"/>
  <c r="AK211" i="1" s="1"/>
  <c r="E209" i="1"/>
  <c r="F209" i="1" s="1"/>
  <c r="D209" i="1"/>
  <c r="M208" i="1"/>
  <c r="C210" i="1"/>
  <c r="B211" i="1"/>
  <c r="BC209" i="1" l="1"/>
  <c r="BD209" i="1" s="1"/>
  <c r="BF211" i="1"/>
  <c r="AE207" i="1"/>
  <c r="V111" i="1"/>
  <c r="Y111" i="1"/>
  <c r="X111" i="1" s="1"/>
  <c r="AF111" i="1" s="1"/>
  <c r="AL70" i="1"/>
  <c r="AL76" i="1"/>
  <c r="J210" i="1"/>
  <c r="L211" i="1"/>
  <c r="I111" i="1"/>
  <c r="Q111" i="1" s="1"/>
  <c r="AT111" i="1"/>
  <c r="AS111" i="1" s="1"/>
  <c r="AM111" i="1"/>
  <c r="N111" i="1"/>
  <c r="A232" i="7"/>
  <c r="B231" i="7"/>
  <c r="K211" i="1"/>
  <c r="AU211" i="1"/>
  <c r="G209" i="1"/>
  <c r="H209" i="1" s="1"/>
  <c r="AA211" i="1"/>
  <c r="S211" i="1"/>
  <c r="AI210" i="1"/>
  <c r="AJ210" i="1" s="1"/>
  <c r="AW211" i="1"/>
  <c r="Z211" i="1"/>
  <c r="BB210" i="1" s="1"/>
  <c r="AC208" i="1"/>
  <c r="A212" i="1"/>
  <c r="AK212" i="1" s="1"/>
  <c r="M209" i="1"/>
  <c r="C211" i="1"/>
  <c r="B212" i="1"/>
  <c r="E210" i="1"/>
  <c r="F210" i="1" s="1"/>
  <c r="D210" i="1"/>
  <c r="BC210" i="1" l="1"/>
  <c r="BD210" i="1" s="1"/>
  <c r="BF212" i="1"/>
  <c r="AE208" i="1"/>
  <c r="AN70" i="1"/>
  <c r="AN76" i="1"/>
  <c r="J211" i="1"/>
  <c r="L212" i="1"/>
  <c r="AH110" i="1"/>
  <c r="AG110" i="1"/>
  <c r="AY111" i="1"/>
  <c r="AQ111" i="1"/>
  <c r="O111" i="1"/>
  <c r="A233" i="7"/>
  <c r="B232" i="7"/>
  <c r="K212" i="1"/>
  <c r="AU212" i="1"/>
  <c r="G210" i="1"/>
  <c r="H210" i="1" s="1"/>
  <c r="AA212" i="1"/>
  <c r="S212" i="1"/>
  <c r="AI211" i="1"/>
  <c r="AJ211" i="1" s="1"/>
  <c r="AW212" i="1"/>
  <c r="AC209" i="1"/>
  <c r="Z212" i="1"/>
  <c r="BB211" i="1" s="1"/>
  <c r="A213" i="1"/>
  <c r="AK213" i="1" s="1"/>
  <c r="D211" i="1"/>
  <c r="E211" i="1"/>
  <c r="F211" i="1" s="1"/>
  <c r="M210" i="1"/>
  <c r="C212" i="1"/>
  <c r="B213" i="1"/>
  <c r="BC211" i="1" l="1"/>
  <c r="BD211" i="1" s="1"/>
  <c r="BF213" i="1"/>
  <c r="AE209" i="1"/>
  <c r="N112" i="1"/>
  <c r="P112" i="1"/>
  <c r="BE112" i="1" s="1"/>
  <c r="AO76" i="1"/>
  <c r="AO70" i="1"/>
  <c r="J212" i="1"/>
  <c r="L213" i="1"/>
  <c r="BA110" i="1"/>
  <c r="AT112" i="1"/>
  <c r="AS112" i="1" s="1"/>
  <c r="AM112" i="1"/>
  <c r="I112" i="1"/>
  <c r="Q112" i="1" s="1"/>
  <c r="A234" i="7"/>
  <c r="B233" i="7"/>
  <c r="K213" i="1"/>
  <c r="AU213" i="1"/>
  <c r="G211" i="1"/>
  <c r="H211" i="1" s="1"/>
  <c r="AA213" i="1"/>
  <c r="S213" i="1"/>
  <c r="AI212" i="1"/>
  <c r="AJ212" i="1" s="1"/>
  <c r="AW213" i="1"/>
  <c r="AC210" i="1"/>
  <c r="Z213" i="1"/>
  <c r="BB212" i="1" s="1"/>
  <c r="A214" i="1"/>
  <c r="AK214" i="1" s="1"/>
  <c r="C213" i="1"/>
  <c r="B214" i="1"/>
  <c r="E212" i="1"/>
  <c r="F212" i="1" s="1"/>
  <c r="D212" i="1"/>
  <c r="M211" i="1"/>
  <c r="BC212" i="1" l="1"/>
  <c r="BD212" i="1" s="1"/>
  <c r="BF214" i="1"/>
  <c r="AE210" i="1"/>
  <c r="V112" i="1"/>
  <c r="Y112" i="1"/>
  <c r="X112" i="1" s="1"/>
  <c r="AF112" i="1" s="1"/>
  <c r="AP76" i="1"/>
  <c r="AX77" i="1" s="1"/>
  <c r="AP70" i="1"/>
  <c r="AX71" i="1" s="1"/>
  <c r="J213" i="1"/>
  <c r="AH111" i="1"/>
  <c r="AG111" i="1"/>
  <c r="L214" i="1"/>
  <c r="AY112" i="1"/>
  <c r="AQ112" i="1"/>
  <c r="O112" i="1"/>
  <c r="A235" i="7"/>
  <c r="B234" i="7"/>
  <c r="K214" i="1"/>
  <c r="AU214" i="1"/>
  <c r="G212" i="1"/>
  <c r="H212" i="1" s="1"/>
  <c r="AA214" i="1"/>
  <c r="S214" i="1"/>
  <c r="AI213" i="1"/>
  <c r="AJ213" i="1" s="1"/>
  <c r="AW214" i="1"/>
  <c r="Z214" i="1"/>
  <c r="BB213" i="1" s="1"/>
  <c r="AC211" i="1"/>
  <c r="A215" i="1"/>
  <c r="AK215" i="1" s="1"/>
  <c r="M212" i="1"/>
  <c r="C214" i="1"/>
  <c r="B215" i="1"/>
  <c r="E213" i="1"/>
  <c r="F213" i="1" s="1"/>
  <c r="D213" i="1"/>
  <c r="BC213" i="1" l="1"/>
  <c r="BD213" i="1" s="1"/>
  <c r="BF215" i="1"/>
  <c r="AE211" i="1"/>
  <c r="AM113" i="1"/>
  <c r="P113" i="1"/>
  <c r="BE113" i="1" s="1"/>
  <c r="J214" i="1"/>
  <c r="L215" i="1"/>
  <c r="BA111" i="1"/>
  <c r="AG112" i="1"/>
  <c r="I113" i="1"/>
  <c r="Q113" i="1" s="1"/>
  <c r="N113" i="1"/>
  <c r="AT113" i="1"/>
  <c r="AS113" i="1" s="1"/>
  <c r="A236" i="7"/>
  <c r="B235" i="7"/>
  <c r="K215" i="1"/>
  <c r="AU215" i="1"/>
  <c r="G213" i="1"/>
  <c r="H213" i="1" s="1"/>
  <c r="AA215" i="1"/>
  <c r="S215" i="1"/>
  <c r="AI214" i="1"/>
  <c r="AJ214" i="1" s="1"/>
  <c r="AW215" i="1"/>
  <c r="AC212" i="1"/>
  <c r="Z215" i="1"/>
  <c r="BB214" i="1" s="1"/>
  <c r="A216" i="1"/>
  <c r="C215" i="1"/>
  <c r="B216" i="1"/>
  <c r="M213" i="1"/>
  <c r="E214" i="1"/>
  <c r="F214" i="1" s="1"/>
  <c r="D214" i="1"/>
  <c r="BC214" i="1" l="1"/>
  <c r="BD214" i="1" s="1"/>
  <c r="BF216" i="1"/>
  <c r="AE212" i="1"/>
  <c r="V113" i="1"/>
  <c r="Y113" i="1"/>
  <c r="X113" i="1" s="1"/>
  <c r="AF113" i="1" s="1"/>
  <c r="U77" i="1"/>
  <c r="U71" i="1"/>
  <c r="J215" i="1"/>
  <c r="L216" i="1"/>
  <c r="AY113" i="1"/>
  <c r="AH112" i="1"/>
  <c r="AQ113" i="1"/>
  <c r="O113" i="1"/>
  <c r="A237" i="7"/>
  <c r="B236" i="7"/>
  <c r="K216" i="1"/>
  <c r="AU216" i="1"/>
  <c r="G214" i="1"/>
  <c r="H214" i="1" s="1"/>
  <c r="AA216" i="1"/>
  <c r="S216" i="1"/>
  <c r="AI215" i="1"/>
  <c r="AJ215" i="1" s="1"/>
  <c r="AP216" i="1"/>
  <c r="AK216" i="1"/>
  <c r="AW216" i="1"/>
  <c r="AC213" i="1"/>
  <c r="Z216" i="1"/>
  <c r="BB215" i="1" s="1"/>
  <c r="A217" i="1"/>
  <c r="AK217" i="1" s="1"/>
  <c r="C216" i="1"/>
  <c r="B217" i="1"/>
  <c r="M214" i="1"/>
  <c r="D215" i="1"/>
  <c r="E215" i="1"/>
  <c r="F215" i="1" s="1"/>
  <c r="BC215" i="1" l="1"/>
  <c r="BD215" i="1" s="1"/>
  <c r="BF217" i="1"/>
  <c r="AE213" i="1"/>
  <c r="N114" i="1"/>
  <c r="P114" i="1"/>
  <c r="BE114" i="1" s="1"/>
  <c r="AL71" i="1"/>
  <c r="AL77" i="1"/>
  <c r="J216" i="1"/>
  <c r="L217" i="1"/>
  <c r="BA112" i="1"/>
  <c r="AM114" i="1"/>
  <c r="I114" i="1"/>
  <c r="Q114" i="1" s="1"/>
  <c r="AT114" i="1"/>
  <c r="AS114" i="1" s="1"/>
  <c r="A238" i="7"/>
  <c r="B237" i="7"/>
  <c r="K217" i="1"/>
  <c r="AU217" i="1"/>
  <c r="AA217" i="1"/>
  <c r="S217" i="1"/>
  <c r="G215" i="1"/>
  <c r="H215" i="1" s="1"/>
  <c r="AI216" i="1"/>
  <c r="AJ216" i="1" s="1"/>
  <c r="AW217" i="1"/>
  <c r="Z217" i="1"/>
  <c r="BB216" i="1" s="1"/>
  <c r="AC214" i="1"/>
  <c r="A218" i="1"/>
  <c r="AK218" i="1" s="1"/>
  <c r="C217" i="1"/>
  <c r="B218" i="1"/>
  <c r="M215" i="1"/>
  <c r="E216" i="1"/>
  <c r="F216" i="1" s="1"/>
  <c r="D216" i="1"/>
  <c r="BC216" i="1" l="1"/>
  <c r="BD216" i="1" s="1"/>
  <c r="BF218" i="1"/>
  <c r="AE214" i="1"/>
  <c r="V114" i="1"/>
  <c r="Y114" i="1"/>
  <c r="X114" i="1" s="1"/>
  <c r="AF114" i="1" s="1"/>
  <c r="AN71" i="1"/>
  <c r="AN77" i="1"/>
  <c r="J217" i="1"/>
  <c r="L218" i="1"/>
  <c r="AH113" i="1"/>
  <c r="AG113" i="1"/>
  <c r="AY114" i="1"/>
  <c r="AQ114" i="1"/>
  <c r="O114" i="1"/>
  <c r="P115" i="1" s="1"/>
  <c r="BE115" i="1" s="1"/>
  <c r="A239" i="7"/>
  <c r="B238" i="7"/>
  <c r="K218" i="1"/>
  <c r="AU218" i="1"/>
  <c r="AA218" i="1"/>
  <c r="S218" i="1"/>
  <c r="G216" i="1"/>
  <c r="H216" i="1" s="1"/>
  <c r="AI217" i="1"/>
  <c r="AJ217" i="1" s="1"/>
  <c r="AW218" i="1"/>
  <c r="Z218" i="1"/>
  <c r="BB217" i="1" s="1"/>
  <c r="AC215" i="1"/>
  <c r="A219" i="1"/>
  <c r="AK219" i="1" s="1"/>
  <c r="M216" i="1"/>
  <c r="C218" i="1"/>
  <c r="B219" i="1"/>
  <c r="E217" i="1"/>
  <c r="F217" i="1" s="1"/>
  <c r="D217" i="1"/>
  <c r="BC217" i="1" l="1"/>
  <c r="BD217" i="1" s="1"/>
  <c r="BF219" i="1"/>
  <c r="AE215" i="1"/>
  <c r="V115" i="1"/>
  <c r="Y115" i="1"/>
  <c r="X115" i="1" s="1"/>
  <c r="AF115" i="1" s="1"/>
  <c r="AO77" i="1"/>
  <c r="AO71" i="1"/>
  <c r="J218" i="1"/>
  <c r="L219" i="1"/>
  <c r="BA113" i="1"/>
  <c r="AG114" i="1"/>
  <c r="I115" i="1"/>
  <c r="Q115" i="1" s="1"/>
  <c r="AM115" i="1"/>
  <c r="N115" i="1"/>
  <c r="AT115" i="1"/>
  <c r="AS115" i="1" s="1"/>
  <c r="A240" i="7"/>
  <c r="B239" i="7"/>
  <c r="K219" i="1"/>
  <c r="AU219" i="1"/>
  <c r="AA219" i="1"/>
  <c r="S219" i="1"/>
  <c r="G217" i="1"/>
  <c r="H217" i="1" s="1"/>
  <c r="AI218" i="1"/>
  <c r="AJ218" i="1" s="1"/>
  <c r="AW219" i="1"/>
  <c r="AC216" i="1"/>
  <c r="Z219" i="1"/>
  <c r="BB218" i="1" s="1"/>
  <c r="A220" i="1"/>
  <c r="AK220" i="1" s="1"/>
  <c r="C219" i="1"/>
  <c r="B220" i="1"/>
  <c r="M217" i="1"/>
  <c r="E218" i="1"/>
  <c r="F218" i="1" s="1"/>
  <c r="D218" i="1"/>
  <c r="BC218" i="1" l="1"/>
  <c r="BD218" i="1" s="1"/>
  <c r="BF220" i="1"/>
  <c r="AE216" i="1"/>
  <c r="AP77" i="1"/>
  <c r="AX78" i="1" s="1"/>
  <c r="AP71" i="1"/>
  <c r="AX72" i="1" s="1"/>
  <c r="J219" i="1"/>
  <c r="L220" i="1"/>
  <c r="AY115" i="1"/>
  <c r="AH114" i="1"/>
  <c r="AQ115" i="1"/>
  <c r="O115" i="1"/>
  <c r="A241" i="7"/>
  <c r="B240" i="7"/>
  <c r="K220" i="1"/>
  <c r="AU220" i="1"/>
  <c r="AA220" i="1"/>
  <c r="S220" i="1"/>
  <c r="G218" i="1"/>
  <c r="H218" i="1" s="1"/>
  <c r="AI219" i="1"/>
  <c r="AJ219" i="1" s="1"/>
  <c r="AW220" i="1"/>
  <c r="AC217" i="1"/>
  <c r="Z220" i="1"/>
  <c r="BB219" i="1" s="1"/>
  <c r="A221" i="1"/>
  <c r="AK221" i="1" s="1"/>
  <c r="M218" i="1"/>
  <c r="C220" i="1"/>
  <c r="B221" i="1"/>
  <c r="D219" i="1"/>
  <c r="E219" i="1"/>
  <c r="F219" i="1" s="1"/>
  <c r="BC219" i="1" l="1"/>
  <c r="BD219" i="1" s="1"/>
  <c r="BF221" i="1"/>
  <c r="AE217" i="1"/>
  <c r="AM116" i="1"/>
  <c r="P116" i="1"/>
  <c r="BE116" i="1" s="1"/>
  <c r="J220" i="1"/>
  <c r="L221" i="1"/>
  <c r="BA114" i="1"/>
  <c r="AG115" i="1"/>
  <c r="I116" i="1"/>
  <c r="Q116" i="1" s="1"/>
  <c r="AT116" i="1"/>
  <c r="AS116" i="1" s="1"/>
  <c r="N116" i="1"/>
  <c r="A242" i="7"/>
  <c r="B241" i="7"/>
  <c r="K221" i="1"/>
  <c r="AU221" i="1"/>
  <c r="AA221" i="1"/>
  <c r="S221" i="1"/>
  <c r="G219" i="1"/>
  <c r="H219" i="1" s="1"/>
  <c r="AI220" i="1"/>
  <c r="AJ220" i="1" s="1"/>
  <c r="AW221" i="1"/>
  <c r="Z221" i="1"/>
  <c r="BB220" i="1" s="1"/>
  <c r="AC218" i="1"/>
  <c r="A222" i="1"/>
  <c r="AK222" i="1" s="1"/>
  <c r="M219" i="1"/>
  <c r="E220" i="1"/>
  <c r="F220" i="1" s="1"/>
  <c r="D220" i="1"/>
  <c r="C221" i="1"/>
  <c r="B222" i="1"/>
  <c r="BC220" i="1" l="1"/>
  <c r="BD220" i="1" s="1"/>
  <c r="BF222" i="1"/>
  <c r="AE218" i="1"/>
  <c r="V116" i="1"/>
  <c r="Y116" i="1"/>
  <c r="X116" i="1" s="1"/>
  <c r="AF116" i="1" s="1"/>
  <c r="U78" i="1"/>
  <c r="U72" i="1"/>
  <c r="J221" i="1"/>
  <c r="L222" i="1"/>
  <c r="AY116" i="1"/>
  <c r="AH115" i="1"/>
  <c r="AQ116" i="1"/>
  <c r="O116" i="1"/>
  <c r="A243" i="7"/>
  <c r="B242" i="7"/>
  <c r="K222" i="1"/>
  <c r="AU222" i="1"/>
  <c r="AA222" i="1"/>
  <c r="S222" i="1"/>
  <c r="G220" i="1"/>
  <c r="H220" i="1" s="1"/>
  <c r="AI221" i="1"/>
  <c r="AJ221" i="1" s="1"/>
  <c r="AW222" i="1"/>
  <c r="AC219" i="1"/>
  <c r="Z222" i="1"/>
  <c r="BB221" i="1" s="1"/>
  <c r="A223" i="1"/>
  <c r="AK223" i="1" s="1"/>
  <c r="E221" i="1"/>
  <c r="F221" i="1" s="1"/>
  <c r="D221" i="1"/>
  <c r="M220" i="1"/>
  <c r="C222" i="1"/>
  <c r="B223" i="1"/>
  <c r="BC221" i="1" l="1"/>
  <c r="BD221" i="1" s="1"/>
  <c r="BF223" i="1"/>
  <c r="AE219" i="1"/>
  <c r="AM117" i="1"/>
  <c r="P117" i="1"/>
  <c r="BE117" i="1" s="1"/>
  <c r="AL72" i="1"/>
  <c r="AL78" i="1"/>
  <c r="J222" i="1"/>
  <c r="L223" i="1"/>
  <c r="AG116" i="1"/>
  <c r="BA115" i="1"/>
  <c r="N117" i="1"/>
  <c r="I117" i="1"/>
  <c r="Q117" i="1" s="1"/>
  <c r="AT117" i="1"/>
  <c r="AS117" i="1" s="1"/>
  <c r="A244" i="7"/>
  <c r="B243" i="7"/>
  <c r="K223" i="1"/>
  <c r="AU223" i="1"/>
  <c r="AA223" i="1"/>
  <c r="S223" i="1"/>
  <c r="G221" i="1"/>
  <c r="H221" i="1" s="1"/>
  <c r="AI222" i="1"/>
  <c r="AJ222" i="1" s="1"/>
  <c r="AW223" i="1"/>
  <c r="AC220" i="1"/>
  <c r="Z223" i="1"/>
  <c r="BB222" i="1" s="1"/>
  <c r="A224" i="1"/>
  <c r="AK224" i="1" s="1"/>
  <c r="C223" i="1"/>
  <c r="B224" i="1"/>
  <c r="E222" i="1"/>
  <c r="F222" i="1" s="1"/>
  <c r="D222" i="1"/>
  <c r="M221" i="1"/>
  <c r="BC222" i="1" l="1"/>
  <c r="BD222" i="1" s="1"/>
  <c r="BF224" i="1"/>
  <c r="AE220" i="1"/>
  <c r="V117" i="1"/>
  <c r="Y117" i="1"/>
  <c r="X117" i="1" s="1"/>
  <c r="AF117" i="1" s="1"/>
  <c r="AN72" i="1"/>
  <c r="AN78" i="1"/>
  <c r="J223" i="1"/>
  <c r="L224" i="1"/>
  <c r="AY117" i="1"/>
  <c r="AH116" i="1"/>
  <c r="AQ117" i="1"/>
  <c r="O117" i="1"/>
  <c r="P118" i="1" s="1"/>
  <c r="BE118" i="1" s="1"/>
  <c r="A245" i="7"/>
  <c r="B244" i="7"/>
  <c r="K224" i="1"/>
  <c r="AU224" i="1"/>
  <c r="G222" i="1"/>
  <c r="H222" i="1" s="1"/>
  <c r="AA224" i="1"/>
  <c r="S224" i="1"/>
  <c r="AI223" i="1"/>
  <c r="AJ223" i="1" s="1"/>
  <c r="AW224" i="1"/>
  <c r="Z224" i="1"/>
  <c r="BB223" i="1" s="1"/>
  <c r="AC221" i="1"/>
  <c r="A225" i="1"/>
  <c r="AK225" i="1" s="1"/>
  <c r="M222" i="1"/>
  <c r="C224" i="1"/>
  <c r="B225" i="1"/>
  <c r="D223" i="1"/>
  <c r="E223" i="1"/>
  <c r="F223" i="1" s="1"/>
  <c r="BC223" i="1" l="1"/>
  <c r="BD223" i="1" s="1"/>
  <c r="BF225" i="1"/>
  <c r="AE221" i="1"/>
  <c r="V118" i="1"/>
  <c r="Y118" i="1"/>
  <c r="X118" i="1" s="1"/>
  <c r="AF118" i="1" s="1"/>
  <c r="AO72" i="1"/>
  <c r="AO78" i="1"/>
  <c r="J224" i="1"/>
  <c r="L225" i="1"/>
  <c r="BA116" i="1"/>
  <c r="AM118" i="1"/>
  <c r="N118" i="1"/>
  <c r="AT118" i="1"/>
  <c r="AS118" i="1" s="1"/>
  <c r="I118" i="1"/>
  <c r="Q118" i="1" s="1"/>
  <c r="A246" i="7"/>
  <c r="B245" i="7"/>
  <c r="K225" i="1"/>
  <c r="AU225" i="1"/>
  <c r="AA225" i="1"/>
  <c r="S225" i="1"/>
  <c r="G223" i="1"/>
  <c r="H223" i="1" s="1"/>
  <c r="AI224" i="1"/>
  <c r="AJ224" i="1" s="1"/>
  <c r="AW225" i="1"/>
  <c r="AC222" i="1"/>
  <c r="Z225" i="1"/>
  <c r="BB224" i="1" s="1"/>
  <c r="A226" i="1"/>
  <c r="AK226" i="1" s="1"/>
  <c r="E224" i="1"/>
  <c r="F224" i="1" s="1"/>
  <c r="D224" i="1"/>
  <c r="M223" i="1"/>
  <c r="C225" i="1"/>
  <c r="B226" i="1"/>
  <c r="BC224" i="1" l="1"/>
  <c r="BD224" i="1" s="1"/>
  <c r="BF226" i="1"/>
  <c r="AE222" i="1"/>
  <c r="AP78" i="1"/>
  <c r="AX79" i="1" s="1"/>
  <c r="J225" i="1"/>
  <c r="AH117" i="1"/>
  <c r="AG117" i="1"/>
  <c r="L226" i="1"/>
  <c r="AY118" i="1"/>
  <c r="AQ118" i="1"/>
  <c r="O118" i="1"/>
  <c r="A247" i="7"/>
  <c r="B246" i="7"/>
  <c r="K226" i="1"/>
  <c r="AU226" i="1"/>
  <c r="G224" i="1"/>
  <c r="H224" i="1" s="1"/>
  <c r="AA226" i="1"/>
  <c r="S226" i="1"/>
  <c r="AI225" i="1"/>
  <c r="AJ225" i="1" s="1"/>
  <c r="AW226" i="1"/>
  <c r="Z226" i="1"/>
  <c r="BB225" i="1" s="1"/>
  <c r="AC223" i="1"/>
  <c r="A227" i="1"/>
  <c r="AK227" i="1" s="1"/>
  <c r="M224" i="1"/>
  <c r="E225" i="1"/>
  <c r="F225" i="1" s="1"/>
  <c r="D225" i="1"/>
  <c r="C226" i="1"/>
  <c r="B227" i="1"/>
  <c r="BC225" i="1" l="1"/>
  <c r="BD225" i="1" s="1"/>
  <c r="BF227" i="1"/>
  <c r="AE223" i="1"/>
  <c r="AT119" i="1"/>
  <c r="AS119" i="1" s="1"/>
  <c r="P119" i="1"/>
  <c r="BE119" i="1" s="1"/>
  <c r="J226" i="1"/>
  <c r="L227" i="1"/>
  <c r="BA117" i="1"/>
  <c r="N119" i="1"/>
  <c r="AM119" i="1"/>
  <c r="I119" i="1"/>
  <c r="Q119" i="1" s="1"/>
  <c r="A248" i="7"/>
  <c r="B247" i="7"/>
  <c r="K227" i="1"/>
  <c r="AU227" i="1"/>
  <c r="G225" i="1"/>
  <c r="H225" i="1" s="1"/>
  <c r="AA227" i="1"/>
  <c r="S227" i="1"/>
  <c r="AI226" i="1"/>
  <c r="AJ226" i="1" s="1"/>
  <c r="AW227" i="1"/>
  <c r="AC224" i="1"/>
  <c r="Z227" i="1"/>
  <c r="BB226" i="1" s="1"/>
  <c r="A228" i="1"/>
  <c r="C227" i="1"/>
  <c r="B228" i="1"/>
  <c r="E226" i="1"/>
  <c r="F226" i="1" s="1"/>
  <c r="D226" i="1"/>
  <c r="M225" i="1"/>
  <c r="BC226" i="1" l="1"/>
  <c r="BD226" i="1" s="1"/>
  <c r="BF228" i="1"/>
  <c r="AE224" i="1"/>
  <c r="V119" i="1"/>
  <c r="Y119" i="1"/>
  <c r="X119" i="1" s="1"/>
  <c r="AF119" i="1" s="1"/>
  <c r="U79" i="1"/>
  <c r="J227" i="1"/>
  <c r="L228" i="1"/>
  <c r="AH118" i="1"/>
  <c r="AG118" i="1"/>
  <c r="AY119" i="1"/>
  <c r="AQ119" i="1"/>
  <c r="O119" i="1"/>
  <c r="P120" i="1" s="1"/>
  <c r="BE120" i="1" s="1"/>
  <c r="A249" i="7"/>
  <c r="B248" i="7"/>
  <c r="K228" i="1"/>
  <c r="AU228" i="1"/>
  <c r="AA228" i="1"/>
  <c r="S228" i="1"/>
  <c r="G226" i="1"/>
  <c r="H226" i="1" s="1"/>
  <c r="AI227" i="1"/>
  <c r="AJ227" i="1" s="1"/>
  <c r="AK228" i="1"/>
  <c r="AP228" i="1"/>
  <c r="AW228" i="1"/>
  <c r="U85" i="1"/>
  <c r="AC225" i="1"/>
  <c r="Z228" i="1"/>
  <c r="BB227" i="1" s="1"/>
  <c r="A229" i="1"/>
  <c r="AK229" i="1" s="1"/>
  <c r="C228" i="1"/>
  <c r="B229" i="1"/>
  <c r="M226" i="1"/>
  <c r="D227" i="1"/>
  <c r="E227" i="1"/>
  <c r="F227" i="1" s="1"/>
  <c r="BC227" i="1" l="1"/>
  <c r="BD227" i="1" s="1"/>
  <c r="BF229" i="1"/>
  <c r="AE225" i="1"/>
  <c r="V120" i="1"/>
  <c r="Y120" i="1"/>
  <c r="X120" i="1" s="1"/>
  <c r="AF120" i="1" s="1"/>
  <c r="AL79" i="1"/>
  <c r="AL85" i="1"/>
  <c r="J228" i="1"/>
  <c r="L229" i="1"/>
  <c r="BA118" i="1"/>
  <c r="AT120" i="1"/>
  <c r="AS120" i="1" s="1"/>
  <c r="N120" i="1"/>
  <c r="AM120" i="1"/>
  <c r="I120" i="1"/>
  <c r="Q120" i="1" s="1"/>
  <c r="A250" i="7"/>
  <c r="B249" i="7"/>
  <c r="K229" i="1"/>
  <c r="AU229" i="1"/>
  <c r="G227" i="1"/>
  <c r="H227" i="1" s="1"/>
  <c r="AA229" i="1"/>
  <c r="S229" i="1"/>
  <c r="AI228" i="1"/>
  <c r="AJ228" i="1" s="1"/>
  <c r="AW229" i="1"/>
  <c r="Z229" i="1"/>
  <c r="BB228" i="1" s="1"/>
  <c r="AC226" i="1"/>
  <c r="A230" i="1"/>
  <c r="AK230" i="1" s="1"/>
  <c r="C229" i="1"/>
  <c r="B230" i="1"/>
  <c r="M227" i="1"/>
  <c r="E228" i="1"/>
  <c r="F228" i="1" s="1"/>
  <c r="D228" i="1"/>
  <c r="BC228" i="1" l="1"/>
  <c r="BD228" i="1" s="1"/>
  <c r="BF230" i="1"/>
  <c r="AE226" i="1"/>
  <c r="AN79" i="1"/>
  <c r="AN85" i="1"/>
  <c r="J229" i="1"/>
  <c r="L230" i="1"/>
  <c r="AH119" i="1"/>
  <c r="AG119" i="1"/>
  <c r="AY120" i="1"/>
  <c r="AQ120" i="1"/>
  <c r="O120" i="1"/>
  <c r="P121" i="1" s="1"/>
  <c r="BE121" i="1" s="1"/>
  <c r="A251" i="7"/>
  <c r="B250" i="7"/>
  <c r="K230" i="1"/>
  <c r="AU230" i="1"/>
  <c r="G228" i="1"/>
  <c r="H228" i="1" s="1"/>
  <c r="AA230" i="1"/>
  <c r="S230" i="1"/>
  <c r="AI229" i="1"/>
  <c r="AJ229" i="1" s="1"/>
  <c r="AW230" i="1"/>
  <c r="AC227" i="1"/>
  <c r="Z230" i="1"/>
  <c r="BB229" i="1" s="1"/>
  <c r="A231" i="1"/>
  <c r="AK231" i="1" s="1"/>
  <c r="M228" i="1"/>
  <c r="C230" i="1"/>
  <c r="B231" i="1"/>
  <c r="E229" i="1"/>
  <c r="F229" i="1" s="1"/>
  <c r="D229" i="1"/>
  <c r="BC229" i="1" l="1"/>
  <c r="BD229" i="1" s="1"/>
  <c r="BF231" i="1"/>
  <c r="AE227" i="1"/>
  <c r="V121" i="1"/>
  <c r="Y121" i="1"/>
  <c r="X121" i="1" s="1"/>
  <c r="AF121" i="1" s="1"/>
  <c r="AO79" i="1"/>
  <c r="AO85" i="1"/>
  <c r="J230" i="1"/>
  <c r="L231" i="1"/>
  <c r="AG120" i="1"/>
  <c r="BA119" i="1"/>
  <c r="AT121" i="1"/>
  <c r="AS121" i="1" s="1"/>
  <c r="I121" i="1"/>
  <c r="Q121" i="1" s="1"/>
  <c r="N121" i="1"/>
  <c r="AM121" i="1"/>
  <c r="A252" i="7"/>
  <c r="B251" i="7"/>
  <c r="K231" i="1"/>
  <c r="AU231" i="1"/>
  <c r="G229" i="1"/>
  <c r="H229" i="1" s="1"/>
  <c r="AA231" i="1"/>
  <c r="S231" i="1"/>
  <c r="AI230" i="1"/>
  <c r="AJ230" i="1" s="1"/>
  <c r="AW231" i="1"/>
  <c r="AC228" i="1"/>
  <c r="Z231" i="1"/>
  <c r="BB230" i="1" s="1"/>
  <c r="A232" i="1"/>
  <c r="AK232" i="1" s="1"/>
  <c r="E230" i="1"/>
  <c r="F230" i="1" s="1"/>
  <c r="D230" i="1"/>
  <c r="C231" i="1"/>
  <c r="B232" i="1"/>
  <c r="M229" i="1"/>
  <c r="BC230" i="1" l="1"/>
  <c r="BD230" i="1" s="1"/>
  <c r="BF232" i="1"/>
  <c r="AE228" i="1"/>
  <c r="AP85" i="1"/>
  <c r="AX86" i="1" s="1"/>
  <c r="AP79" i="1"/>
  <c r="AX80" i="1" s="1"/>
  <c r="J231" i="1"/>
  <c r="L232" i="1"/>
  <c r="AY121" i="1"/>
  <c r="AH120" i="1"/>
  <c r="AQ121" i="1"/>
  <c r="O121" i="1"/>
  <c r="A253" i="7"/>
  <c r="B252" i="7"/>
  <c r="K232" i="1"/>
  <c r="AU232" i="1"/>
  <c r="AA232" i="1"/>
  <c r="S232" i="1"/>
  <c r="G230" i="1"/>
  <c r="H230" i="1" s="1"/>
  <c r="AI231" i="1"/>
  <c r="AJ231" i="1" s="1"/>
  <c r="AW232" i="1"/>
  <c r="Z232" i="1"/>
  <c r="BB231" i="1" s="1"/>
  <c r="AC229" i="1"/>
  <c r="A233" i="1"/>
  <c r="AK233" i="1" s="1"/>
  <c r="C232" i="1"/>
  <c r="B233" i="1"/>
  <c r="M230" i="1"/>
  <c r="D231" i="1"/>
  <c r="E231" i="1"/>
  <c r="F231" i="1" s="1"/>
  <c r="BC231" i="1" l="1"/>
  <c r="BD231" i="1" s="1"/>
  <c r="BF233" i="1"/>
  <c r="AX121" i="1"/>
  <c r="AE229" i="1"/>
  <c r="AT122" i="1"/>
  <c r="AS122" i="1" s="1"/>
  <c r="P122" i="1"/>
  <c r="BE122" i="1" s="1"/>
  <c r="J232" i="1"/>
  <c r="L233" i="1"/>
  <c r="BA120" i="1"/>
  <c r="N122" i="1"/>
  <c r="AM122" i="1"/>
  <c r="I122" i="1"/>
  <c r="Q122" i="1" s="1"/>
  <c r="A254" i="7"/>
  <c r="B253" i="7"/>
  <c r="K233" i="1"/>
  <c r="AU233" i="1"/>
  <c r="G231" i="1"/>
  <c r="H231" i="1" s="1"/>
  <c r="AA233" i="1"/>
  <c r="S233" i="1"/>
  <c r="AI232" i="1"/>
  <c r="AJ232" i="1" s="1"/>
  <c r="AW233" i="1"/>
  <c r="AC230" i="1"/>
  <c r="Z233" i="1"/>
  <c r="BB232" i="1" s="1"/>
  <c r="A234" i="1"/>
  <c r="AK234" i="1" s="1"/>
  <c r="C233" i="1"/>
  <c r="B234" i="1"/>
  <c r="M231" i="1"/>
  <c r="E232" i="1"/>
  <c r="F232" i="1" s="1"/>
  <c r="D232" i="1"/>
  <c r="BC232" i="1" l="1"/>
  <c r="BD232" i="1" s="1"/>
  <c r="BF234" i="1"/>
  <c r="AE230" i="1"/>
  <c r="V122" i="1"/>
  <c r="Y122" i="1"/>
  <c r="X122" i="1" s="1"/>
  <c r="AF122" i="1" s="1"/>
  <c r="U86" i="1"/>
  <c r="U80" i="1"/>
  <c r="J233" i="1"/>
  <c r="AH121" i="1"/>
  <c r="AG121" i="1"/>
  <c r="L234" i="1"/>
  <c r="AY122" i="1"/>
  <c r="AQ122" i="1"/>
  <c r="O122" i="1"/>
  <c r="P123" i="1" s="1"/>
  <c r="BE123" i="1" s="1"/>
  <c r="A255" i="7"/>
  <c r="B254" i="7"/>
  <c r="K234" i="1"/>
  <c r="AU234" i="1"/>
  <c r="G232" i="1"/>
  <c r="H232" i="1" s="1"/>
  <c r="AA234" i="1"/>
  <c r="S234" i="1"/>
  <c r="AI233" i="1"/>
  <c r="AJ233" i="1" s="1"/>
  <c r="AW234" i="1"/>
  <c r="AC231" i="1"/>
  <c r="Z234" i="1"/>
  <c r="BB233" i="1" s="1"/>
  <c r="A235" i="1"/>
  <c r="AK235" i="1" s="1"/>
  <c r="C234" i="1"/>
  <c r="B235" i="1"/>
  <c r="M232" i="1"/>
  <c r="E233" i="1"/>
  <c r="F233" i="1" s="1"/>
  <c r="D233" i="1"/>
  <c r="BC233" i="1" l="1"/>
  <c r="BD233" i="1" s="1"/>
  <c r="BF235" i="1"/>
  <c r="AE231" i="1"/>
  <c r="V123" i="1"/>
  <c r="Y123" i="1"/>
  <c r="X123" i="1" s="1"/>
  <c r="AF123" i="1" s="1"/>
  <c r="AL80" i="1"/>
  <c r="AL86" i="1"/>
  <c r="J234" i="1"/>
  <c r="L235" i="1"/>
  <c r="BA121" i="1"/>
  <c r="AT123" i="1"/>
  <c r="AS123" i="1" s="1"/>
  <c r="N123" i="1"/>
  <c r="AM123" i="1"/>
  <c r="I123" i="1"/>
  <c r="Q123" i="1" s="1"/>
  <c r="A256" i="7"/>
  <c r="B255" i="7"/>
  <c r="K235" i="1"/>
  <c r="AU235" i="1"/>
  <c r="AA235" i="1"/>
  <c r="S235" i="1"/>
  <c r="G233" i="1"/>
  <c r="H233" i="1" s="1"/>
  <c r="AI234" i="1"/>
  <c r="AJ234" i="1" s="1"/>
  <c r="AW235" i="1"/>
  <c r="Z235" i="1"/>
  <c r="BB234" i="1" s="1"/>
  <c r="AC232" i="1"/>
  <c r="A236" i="1"/>
  <c r="AK236" i="1" s="1"/>
  <c r="C235" i="1"/>
  <c r="B236" i="1"/>
  <c r="M233" i="1"/>
  <c r="E234" i="1"/>
  <c r="F234" i="1" s="1"/>
  <c r="D234" i="1"/>
  <c r="BC234" i="1" l="1"/>
  <c r="BD234" i="1" s="1"/>
  <c r="BF236" i="1"/>
  <c r="AE232" i="1"/>
  <c r="AN80" i="1"/>
  <c r="AN86" i="1"/>
  <c r="J235" i="1"/>
  <c r="L236" i="1"/>
  <c r="AH122" i="1"/>
  <c r="AG122" i="1"/>
  <c r="AY123" i="1"/>
  <c r="AQ123" i="1"/>
  <c r="O123" i="1"/>
  <c r="A257" i="7"/>
  <c r="B256" i="7"/>
  <c r="K236" i="1"/>
  <c r="AU236" i="1"/>
  <c r="AA236" i="1"/>
  <c r="S236" i="1"/>
  <c r="G234" i="1"/>
  <c r="H234" i="1" s="1"/>
  <c r="AI235" i="1"/>
  <c r="AJ235" i="1" s="1"/>
  <c r="AW236" i="1"/>
  <c r="AC233" i="1"/>
  <c r="Z236" i="1"/>
  <c r="BB235" i="1" s="1"/>
  <c r="A237" i="1"/>
  <c r="AK237" i="1" s="1"/>
  <c r="M234" i="1"/>
  <c r="C236" i="1"/>
  <c r="B237" i="1"/>
  <c r="D235" i="1"/>
  <c r="E235" i="1"/>
  <c r="F235" i="1" s="1"/>
  <c r="BC235" i="1" l="1"/>
  <c r="BD235" i="1" s="1"/>
  <c r="BF237" i="1"/>
  <c r="AE233" i="1"/>
  <c r="AM124" i="1"/>
  <c r="P124" i="1"/>
  <c r="BE124" i="1" s="1"/>
  <c r="AO80" i="1"/>
  <c r="AO86" i="1"/>
  <c r="J236" i="1"/>
  <c r="L237" i="1"/>
  <c r="BA122" i="1"/>
  <c r="AG123" i="1"/>
  <c r="N124" i="1"/>
  <c r="AT124" i="1"/>
  <c r="AS124" i="1" s="1"/>
  <c r="I124" i="1"/>
  <c r="Q124" i="1" s="1"/>
  <c r="A258" i="7"/>
  <c r="B257" i="7"/>
  <c r="K237" i="1"/>
  <c r="AU237" i="1"/>
  <c r="G235" i="1"/>
  <c r="H235" i="1" s="1"/>
  <c r="AA237" i="1"/>
  <c r="S237" i="1"/>
  <c r="AI236" i="1"/>
  <c r="AJ236" i="1" s="1"/>
  <c r="AW237" i="1"/>
  <c r="AC234" i="1"/>
  <c r="Z237" i="1"/>
  <c r="BB236" i="1" s="1"/>
  <c r="A238" i="1"/>
  <c r="AK238" i="1" s="1"/>
  <c r="C237" i="1"/>
  <c r="B238" i="1"/>
  <c r="E236" i="1"/>
  <c r="F236" i="1" s="1"/>
  <c r="D236" i="1"/>
  <c r="M235" i="1"/>
  <c r="BC236" i="1" l="1"/>
  <c r="BD236" i="1" s="1"/>
  <c r="BF238" i="1"/>
  <c r="AE234" i="1"/>
  <c r="V124" i="1"/>
  <c r="Y124" i="1"/>
  <c r="X124" i="1" s="1"/>
  <c r="AF124" i="1" s="1"/>
  <c r="AP86" i="1"/>
  <c r="AX87" i="1" s="1"/>
  <c r="AP80" i="1"/>
  <c r="AX81" i="1" s="1"/>
  <c r="J237" i="1"/>
  <c r="L238" i="1"/>
  <c r="AH123" i="1"/>
  <c r="AY124" i="1"/>
  <c r="AQ124" i="1"/>
  <c r="O124" i="1"/>
  <c r="A259" i="7"/>
  <c r="B258" i="7"/>
  <c r="K238" i="1"/>
  <c r="AU238" i="1"/>
  <c r="G236" i="1"/>
  <c r="H236" i="1" s="1"/>
  <c r="AA238" i="1"/>
  <c r="S238" i="1"/>
  <c r="AI237" i="1"/>
  <c r="AJ237" i="1" s="1"/>
  <c r="AW238" i="1"/>
  <c r="Z238" i="1"/>
  <c r="BB237" i="1" s="1"/>
  <c r="AC235" i="1"/>
  <c r="A239" i="1"/>
  <c r="AK239" i="1" s="1"/>
  <c r="M236" i="1"/>
  <c r="C238" i="1"/>
  <c r="B239" i="1"/>
  <c r="E237" i="1"/>
  <c r="F237" i="1" s="1"/>
  <c r="D237" i="1"/>
  <c r="BC237" i="1" l="1"/>
  <c r="BD237" i="1" s="1"/>
  <c r="BF239" i="1"/>
  <c r="AE235" i="1"/>
  <c r="I125" i="1"/>
  <c r="Q125" i="1" s="1"/>
  <c r="P125" i="1"/>
  <c r="BE125" i="1" s="1"/>
  <c r="J238" i="1"/>
  <c r="L239" i="1"/>
  <c r="BA123" i="1"/>
  <c r="AG124" i="1"/>
  <c r="N125" i="1"/>
  <c r="AM125" i="1"/>
  <c r="AT125" i="1"/>
  <c r="AS125" i="1" s="1"/>
  <c r="A260" i="7"/>
  <c r="B259" i="7"/>
  <c r="K239" i="1"/>
  <c r="AU239" i="1"/>
  <c r="G237" i="1"/>
  <c r="H237" i="1" s="1"/>
  <c r="AA239" i="1"/>
  <c r="S239" i="1"/>
  <c r="AI238" i="1"/>
  <c r="AJ238" i="1" s="1"/>
  <c r="AW239" i="1"/>
  <c r="AC236" i="1"/>
  <c r="Z239" i="1"/>
  <c r="BB238" i="1" s="1"/>
  <c r="A240" i="1"/>
  <c r="C239" i="1"/>
  <c r="B240" i="1"/>
  <c r="M237" i="1"/>
  <c r="E238" i="1"/>
  <c r="F238" i="1" s="1"/>
  <c r="D238" i="1"/>
  <c r="BC238" i="1" l="1"/>
  <c r="BD238" i="1" s="1"/>
  <c r="BF240" i="1"/>
  <c r="AE236" i="1"/>
  <c r="V125" i="1"/>
  <c r="Y125" i="1"/>
  <c r="X125" i="1" s="1"/>
  <c r="AF125" i="1" s="1"/>
  <c r="U81" i="1"/>
  <c r="U87" i="1"/>
  <c r="J239" i="1"/>
  <c r="L240" i="1"/>
  <c r="AY125" i="1"/>
  <c r="AH124" i="1"/>
  <c r="AQ125" i="1"/>
  <c r="O125" i="1"/>
  <c r="A261" i="7"/>
  <c r="B260" i="7"/>
  <c r="K240" i="1"/>
  <c r="AU240" i="1"/>
  <c r="G238" i="1"/>
  <c r="H238" i="1" s="1"/>
  <c r="AA240" i="1"/>
  <c r="S240" i="1"/>
  <c r="AI239" i="1"/>
  <c r="AJ239" i="1" s="1"/>
  <c r="AP240" i="1"/>
  <c r="AK240" i="1"/>
  <c r="AW240" i="1"/>
  <c r="AC237" i="1"/>
  <c r="Z240" i="1"/>
  <c r="BB239" i="1" s="1"/>
  <c r="A241" i="1"/>
  <c r="AK241" i="1" s="1"/>
  <c r="C240" i="1"/>
  <c r="B241" i="1"/>
  <c r="M238" i="1"/>
  <c r="D239" i="1"/>
  <c r="E239" i="1"/>
  <c r="F239" i="1" s="1"/>
  <c r="BC239" i="1" l="1"/>
  <c r="BD239" i="1" s="1"/>
  <c r="BF241" i="1"/>
  <c r="AE237" i="1"/>
  <c r="AT126" i="1"/>
  <c r="AS126" i="1" s="1"/>
  <c r="P126" i="1"/>
  <c r="BE126" i="1" s="1"/>
  <c r="AL81" i="1"/>
  <c r="AL87" i="1"/>
  <c r="J240" i="1"/>
  <c r="L241" i="1"/>
  <c r="BA124" i="1"/>
  <c r="AG125" i="1"/>
  <c r="AM126" i="1"/>
  <c r="N126" i="1"/>
  <c r="I126" i="1"/>
  <c r="Q126" i="1" s="1"/>
  <c r="A262" i="7"/>
  <c r="B261" i="7"/>
  <c r="K241" i="1"/>
  <c r="AU241" i="1"/>
  <c r="G239" i="1"/>
  <c r="H239" i="1" s="1"/>
  <c r="AA241" i="1"/>
  <c r="S241" i="1"/>
  <c r="AI240" i="1"/>
  <c r="AJ240" i="1" s="1"/>
  <c r="AW241" i="1"/>
  <c r="AC238" i="1"/>
  <c r="Z241" i="1"/>
  <c r="BB240" i="1" s="1"/>
  <c r="A242" i="1"/>
  <c r="AK242" i="1" s="1"/>
  <c r="M239" i="1"/>
  <c r="C241" i="1"/>
  <c r="B242" i="1"/>
  <c r="E240" i="1"/>
  <c r="F240" i="1" s="1"/>
  <c r="D240" i="1"/>
  <c r="BC240" i="1" l="1"/>
  <c r="BD240" i="1" s="1"/>
  <c r="BF242" i="1"/>
  <c r="AE238" i="1"/>
  <c r="V126" i="1"/>
  <c r="Y126" i="1"/>
  <c r="X126" i="1" s="1"/>
  <c r="AF126" i="1" s="1"/>
  <c r="AN81" i="1"/>
  <c r="AN87" i="1"/>
  <c r="J241" i="1"/>
  <c r="L242" i="1"/>
  <c r="AH125" i="1"/>
  <c r="AY126" i="1"/>
  <c r="AQ126" i="1"/>
  <c r="O126" i="1"/>
  <c r="P127" i="1" s="1"/>
  <c r="BE127" i="1" s="1"/>
  <c r="A263" i="7"/>
  <c r="B262" i="7"/>
  <c r="K242" i="1"/>
  <c r="AU242" i="1"/>
  <c r="AA242" i="1"/>
  <c r="S242" i="1"/>
  <c r="G240" i="1"/>
  <c r="H240" i="1" s="1"/>
  <c r="AI241" i="1"/>
  <c r="AJ241" i="1" s="1"/>
  <c r="AW242" i="1"/>
  <c r="AC239" i="1"/>
  <c r="Z242" i="1"/>
  <c r="BB241" i="1" s="1"/>
  <c r="A243" i="1"/>
  <c r="AK243" i="1" s="1"/>
  <c r="E241" i="1"/>
  <c r="F241" i="1" s="1"/>
  <c r="D241" i="1"/>
  <c r="M240" i="1"/>
  <c r="C242" i="1"/>
  <c r="B243" i="1"/>
  <c r="BC241" i="1" l="1"/>
  <c r="BD241" i="1" s="1"/>
  <c r="BF243" i="1"/>
  <c r="AE239" i="1"/>
  <c r="V127" i="1"/>
  <c r="Y127" i="1"/>
  <c r="X127" i="1" s="1"/>
  <c r="AF127" i="1" s="1"/>
  <c r="AO81" i="1"/>
  <c r="AO87" i="1"/>
  <c r="J242" i="1"/>
  <c r="L243" i="1"/>
  <c r="AG126" i="1"/>
  <c r="BA125" i="1"/>
  <c r="AT127" i="1"/>
  <c r="AS127" i="1" s="1"/>
  <c r="N127" i="1"/>
  <c r="AM127" i="1"/>
  <c r="I127" i="1"/>
  <c r="Q127" i="1" s="1"/>
  <c r="A264" i="7"/>
  <c r="B263" i="7"/>
  <c r="K243" i="1"/>
  <c r="AU243" i="1"/>
  <c r="G241" i="1"/>
  <c r="H241" i="1" s="1"/>
  <c r="AA243" i="1"/>
  <c r="S243" i="1"/>
  <c r="AI242" i="1"/>
  <c r="AJ242" i="1" s="1"/>
  <c r="AW243" i="1"/>
  <c r="AC240" i="1"/>
  <c r="Z243" i="1"/>
  <c r="BB242" i="1" s="1"/>
  <c r="A244" i="1"/>
  <c r="AK244" i="1" s="1"/>
  <c r="C243" i="1"/>
  <c r="B244" i="1"/>
  <c r="M241" i="1"/>
  <c r="E242" i="1"/>
  <c r="F242" i="1" s="1"/>
  <c r="D242" i="1"/>
  <c r="BC242" i="1" l="1"/>
  <c r="BD242" i="1" s="1"/>
  <c r="BF244" i="1"/>
  <c r="AE240" i="1"/>
  <c r="AP87" i="1"/>
  <c r="AX88" i="1" s="1"/>
  <c r="AP81" i="1"/>
  <c r="AX82" i="1" s="1"/>
  <c r="J243" i="1"/>
  <c r="L244" i="1"/>
  <c r="AY127" i="1"/>
  <c r="AH126" i="1"/>
  <c r="AQ127" i="1"/>
  <c r="O127" i="1"/>
  <c r="A265" i="7"/>
  <c r="B264" i="7"/>
  <c r="K244" i="1"/>
  <c r="AU244" i="1"/>
  <c r="G242" i="1"/>
  <c r="H242" i="1" s="1"/>
  <c r="AA244" i="1"/>
  <c r="S244" i="1"/>
  <c r="AI243" i="1"/>
  <c r="AJ243" i="1" s="1"/>
  <c r="AW244" i="1"/>
  <c r="AC241" i="1"/>
  <c r="Z244" i="1"/>
  <c r="BB243" i="1" s="1"/>
  <c r="A245" i="1"/>
  <c r="AK245" i="1" s="1"/>
  <c r="M242" i="1"/>
  <c r="C244" i="1"/>
  <c r="B245" i="1"/>
  <c r="D243" i="1"/>
  <c r="E243" i="1"/>
  <c r="F243" i="1" s="1"/>
  <c r="BC243" i="1" l="1"/>
  <c r="BD243" i="1" s="1"/>
  <c r="BF245" i="1"/>
  <c r="AE241" i="1"/>
  <c r="AM128" i="1"/>
  <c r="P128" i="1"/>
  <c r="BE128" i="1" s="1"/>
  <c r="J244" i="1"/>
  <c r="L245" i="1"/>
  <c r="BA126" i="1"/>
  <c r="AT128" i="1"/>
  <c r="AS128" i="1" s="1"/>
  <c r="N128" i="1"/>
  <c r="I128" i="1"/>
  <c r="Q128" i="1" s="1"/>
  <c r="A266" i="7"/>
  <c r="B265" i="7"/>
  <c r="K245" i="1"/>
  <c r="AU245" i="1"/>
  <c r="AA245" i="1"/>
  <c r="S245" i="1"/>
  <c r="G243" i="1"/>
  <c r="H243" i="1" s="1"/>
  <c r="AI244" i="1"/>
  <c r="AJ244" i="1" s="1"/>
  <c r="AW245" i="1"/>
  <c r="Z245" i="1"/>
  <c r="BB244" i="1" s="1"/>
  <c r="AC242" i="1"/>
  <c r="A246" i="1"/>
  <c r="AK246" i="1" s="1"/>
  <c r="C245" i="1"/>
  <c r="B246" i="1"/>
  <c r="M243" i="1"/>
  <c r="E244" i="1"/>
  <c r="F244" i="1" s="1"/>
  <c r="D244" i="1"/>
  <c r="BC244" i="1" l="1"/>
  <c r="BD244" i="1" s="1"/>
  <c r="BF246" i="1"/>
  <c r="AE242" i="1"/>
  <c r="V128" i="1"/>
  <c r="Y128" i="1"/>
  <c r="X128" i="1" s="1"/>
  <c r="AF128" i="1" s="1"/>
  <c r="U88" i="1"/>
  <c r="U82" i="1"/>
  <c r="J245" i="1"/>
  <c r="AH127" i="1"/>
  <c r="AG127" i="1"/>
  <c r="L246" i="1"/>
  <c r="AY128" i="1"/>
  <c r="AQ128" i="1"/>
  <c r="O128" i="1"/>
  <c r="A267" i="7"/>
  <c r="B266" i="7"/>
  <c r="K246" i="1"/>
  <c r="AU246" i="1"/>
  <c r="G244" i="1"/>
  <c r="H244" i="1" s="1"/>
  <c r="AA246" i="1"/>
  <c r="S246" i="1"/>
  <c r="AI245" i="1"/>
  <c r="AJ245" i="1" s="1"/>
  <c r="AW246" i="1"/>
  <c r="Z246" i="1"/>
  <c r="BB245" i="1" s="1"/>
  <c r="AC243" i="1"/>
  <c r="A247" i="1"/>
  <c r="AK247" i="1" s="1"/>
  <c r="M244" i="1"/>
  <c r="C246" i="1"/>
  <c r="B247" i="1"/>
  <c r="E245" i="1"/>
  <c r="F245" i="1" s="1"/>
  <c r="D245" i="1"/>
  <c r="BC245" i="1" l="1"/>
  <c r="BD245" i="1" s="1"/>
  <c r="BF247" i="1"/>
  <c r="AE243" i="1"/>
  <c r="P129" i="1"/>
  <c r="BE129" i="1" s="1"/>
  <c r="AL82" i="1"/>
  <c r="AL88" i="1"/>
  <c r="J246" i="1"/>
  <c r="L247" i="1"/>
  <c r="BA127" i="1"/>
  <c r="I129" i="1"/>
  <c r="Q129" i="1" s="1"/>
  <c r="N129" i="1"/>
  <c r="AM129" i="1"/>
  <c r="AT129" i="1"/>
  <c r="AS129" i="1" s="1"/>
  <c r="A268" i="7"/>
  <c r="B267" i="7"/>
  <c r="K247" i="1"/>
  <c r="AU247" i="1"/>
  <c r="AA247" i="1"/>
  <c r="S247" i="1"/>
  <c r="G245" i="1"/>
  <c r="H245" i="1" s="1"/>
  <c r="AI246" i="1"/>
  <c r="AJ246" i="1" s="1"/>
  <c r="AW247" i="1"/>
  <c r="AC244" i="1"/>
  <c r="Z247" i="1"/>
  <c r="BB246" i="1" s="1"/>
  <c r="A248" i="1"/>
  <c r="AK248" i="1" s="1"/>
  <c r="E246" i="1"/>
  <c r="F246" i="1" s="1"/>
  <c r="D246" i="1"/>
  <c r="C247" i="1"/>
  <c r="B248" i="1"/>
  <c r="M245" i="1"/>
  <c r="BC246" i="1" l="1"/>
  <c r="BD246" i="1" s="1"/>
  <c r="BF248" i="1"/>
  <c r="AE244" i="1"/>
  <c r="V129" i="1"/>
  <c r="Y129" i="1"/>
  <c r="X129" i="1" s="1"/>
  <c r="AF129" i="1" s="1"/>
  <c r="AY129" i="1"/>
  <c r="AN82" i="1"/>
  <c r="AN88" i="1"/>
  <c r="J247" i="1"/>
  <c r="AH128" i="1"/>
  <c r="AG128" i="1"/>
  <c r="L248" i="1"/>
  <c r="AQ129" i="1"/>
  <c r="O129" i="1"/>
  <c r="P130" i="1" s="1"/>
  <c r="BE130" i="1" s="1"/>
  <c r="A269" i="7"/>
  <c r="B268" i="7"/>
  <c r="K248" i="1"/>
  <c r="AU248" i="1"/>
  <c r="G246" i="1"/>
  <c r="H246" i="1" s="1"/>
  <c r="AA248" i="1"/>
  <c r="S248" i="1"/>
  <c r="AI247" i="1"/>
  <c r="AJ247" i="1" s="1"/>
  <c r="AW248" i="1"/>
  <c r="Z248" i="1"/>
  <c r="BB247" i="1" s="1"/>
  <c r="AC245" i="1"/>
  <c r="A249" i="1"/>
  <c r="AK249" i="1" s="1"/>
  <c r="C248" i="1"/>
  <c r="B249" i="1"/>
  <c r="D247" i="1"/>
  <c r="E247" i="1"/>
  <c r="F247" i="1" s="1"/>
  <c r="M246" i="1"/>
  <c r="BC247" i="1" l="1"/>
  <c r="BD247" i="1" s="1"/>
  <c r="BF249" i="1"/>
  <c r="AE245" i="1"/>
  <c r="V130" i="1"/>
  <c r="Y130" i="1"/>
  <c r="X130" i="1" s="1"/>
  <c r="AF130" i="1" s="1"/>
  <c r="AG129" i="1"/>
  <c r="AO82" i="1"/>
  <c r="AO88" i="1"/>
  <c r="J248" i="1"/>
  <c r="L249" i="1"/>
  <c r="BA128" i="1"/>
  <c r="N130" i="1"/>
  <c r="AT130" i="1"/>
  <c r="AS130" i="1" s="1"/>
  <c r="I130" i="1"/>
  <c r="Q130" i="1" s="1"/>
  <c r="AM130" i="1"/>
  <c r="A270" i="7"/>
  <c r="B269" i="7"/>
  <c r="K249" i="1"/>
  <c r="AU249" i="1"/>
  <c r="AA249" i="1"/>
  <c r="S249" i="1"/>
  <c r="G247" i="1"/>
  <c r="H247" i="1" s="1"/>
  <c r="AI248" i="1"/>
  <c r="AJ248" i="1" s="1"/>
  <c r="AW249" i="1"/>
  <c r="AC246" i="1"/>
  <c r="Z249" i="1"/>
  <c r="BB248" i="1" s="1"/>
  <c r="A250" i="1"/>
  <c r="AK250" i="1" s="1"/>
  <c r="C249" i="1"/>
  <c r="B250" i="1"/>
  <c r="M247" i="1"/>
  <c r="E248" i="1"/>
  <c r="F248" i="1" s="1"/>
  <c r="D248" i="1"/>
  <c r="BC248" i="1" l="1"/>
  <c r="BD248" i="1" s="1"/>
  <c r="BF250" i="1"/>
  <c r="AE246" i="1"/>
  <c r="AH129" i="1"/>
  <c r="AP82" i="1"/>
  <c r="AX83" i="1" s="1"/>
  <c r="AP88" i="1"/>
  <c r="AX89" i="1" s="1"/>
  <c r="J249" i="1"/>
  <c r="L250" i="1"/>
  <c r="BA129" i="1"/>
  <c r="AY130" i="1"/>
  <c r="AQ130" i="1"/>
  <c r="O130" i="1"/>
  <c r="A271" i="7"/>
  <c r="B270" i="7"/>
  <c r="K250" i="1"/>
  <c r="AU250" i="1"/>
  <c r="AA250" i="1"/>
  <c r="S250" i="1"/>
  <c r="G248" i="1"/>
  <c r="H248" i="1" s="1"/>
  <c r="AI249" i="1"/>
  <c r="AJ249" i="1" s="1"/>
  <c r="AW250" i="1"/>
  <c r="AC247" i="1"/>
  <c r="Z250" i="1"/>
  <c r="BB249" i="1" s="1"/>
  <c r="A251" i="1"/>
  <c r="AK251" i="1" s="1"/>
  <c r="C250" i="1"/>
  <c r="B251" i="1"/>
  <c r="M248" i="1"/>
  <c r="E249" i="1"/>
  <c r="F249" i="1" s="1"/>
  <c r="D249" i="1"/>
  <c r="BC249" i="1" l="1"/>
  <c r="BD249" i="1" s="1"/>
  <c r="BF251" i="1"/>
  <c r="AE247" i="1"/>
  <c r="I131" i="1"/>
  <c r="Q131" i="1" s="1"/>
  <c r="P131" i="1"/>
  <c r="BE131" i="1" s="1"/>
  <c r="J250" i="1"/>
  <c r="L251" i="1"/>
  <c r="AG130" i="1"/>
  <c r="AM131" i="1"/>
  <c r="N131" i="1"/>
  <c r="AT131" i="1"/>
  <c r="AS131" i="1" s="1"/>
  <c r="A272" i="7"/>
  <c r="B271" i="7"/>
  <c r="K251" i="1"/>
  <c r="AU251" i="1"/>
  <c r="G249" i="1"/>
  <c r="H249" i="1" s="1"/>
  <c r="AA251" i="1"/>
  <c r="S251" i="1"/>
  <c r="AI250" i="1"/>
  <c r="AJ250" i="1" s="1"/>
  <c r="AW251" i="1"/>
  <c r="Z251" i="1"/>
  <c r="BB250" i="1" s="1"/>
  <c r="AC248" i="1"/>
  <c r="A252" i="1"/>
  <c r="M249" i="1"/>
  <c r="C251" i="1"/>
  <c r="B252" i="1"/>
  <c r="E250" i="1"/>
  <c r="F250" i="1" s="1"/>
  <c r="D250" i="1"/>
  <c r="BC250" i="1" l="1"/>
  <c r="BD250" i="1" s="1"/>
  <c r="BF252" i="1"/>
  <c r="AE248" i="1"/>
  <c r="V131" i="1"/>
  <c r="Y131" i="1"/>
  <c r="X131" i="1" s="1"/>
  <c r="AF131" i="1" s="1"/>
  <c r="O131" i="1"/>
  <c r="I132" i="1" s="1"/>
  <c r="Q132" i="1" s="1"/>
  <c r="U89" i="1"/>
  <c r="U83" i="1"/>
  <c r="J251" i="1"/>
  <c r="L252" i="1"/>
  <c r="AY131" i="1"/>
  <c r="AH130" i="1"/>
  <c r="AQ131" i="1"/>
  <c r="A273" i="7"/>
  <c r="B272" i="7"/>
  <c r="K252" i="1"/>
  <c r="AU252" i="1"/>
  <c r="G250" i="1"/>
  <c r="H250" i="1" s="1"/>
  <c r="AA252" i="1"/>
  <c r="S252" i="1"/>
  <c r="AP252" i="1"/>
  <c r="AK252" i="1"/>
  <c r="AI251" i="1"/>
  <c r="AJ251" i="1" s="1"/>
  <c r="AW252" i="1"/>
  <c r="Z252" i="1"/>
  <c r="BB251" i="1" s="1"/>
  <c r="AC249" i="1"/>
  <c r="A253" i="1"/>
  <c r="AK253" i="1" s="1"/>
  <c r="C252" i="1"/>
  <c r="B253" i="1"/>
  <c r="D251" i="1"/>
  <c r="E251" i="1"/>
  <c r="F251" i="1" s="1"/>
  <c r="M250" i="1"/>
  <c r="BC251" i="1" l="1"/>
  <c r="BD251" i="1" s="1"/>
  <c r="BF253" i="1"/>
  <c r="AE249" i="1"/>
  <c r="AM132" i="1"/>
  <c r="N132" i="1"/>
  <c r="O132" i="1" s="1"/>
  <c r="P132" i="1"/>
  <c r="BE132" i="1" s="1"/>
  <c r="AT132" i="1"/>
  <c r="AS132" i="1" s="1"/>
  <c r="AL89" i="1"/>
  <c r="AL83" i="1"/>
  <c r="J252" i="1"/>
  <c r="L253" i="1"/>
  <c r="BA130" i="1"/>
  <c r="AG131" i="1"/>
  <c r="A274" i="7"/>
  <c r="B273" i="7"/>
  <c r="K253" i="1"/>
  <c r="AU253" i="1"/>
  <c r="G251" i="1"/>
  <c r="H251" i="1" s="1"/>
  <c r="AA253" i="1"/>
  <c r="S253" i="1"/>
  <c r="AI252" i="1"/>
  <c r="AJ252" i="1" s="1"/>
  <c r="AW253" i="1"/>
  <c r="AC250" i="1"/>
  <c r="Z253" i="1"/>
  <c r="BB252" i="1" s="1"/>
  <c r="A254" i="1"/>
  <c r="AK254" i="1" s="1"/>
  <c r="C253" i="1"/>
  <c r="B254" i="1"/>
  <c r="M251" i="1"/>
  <c r="E252" i="1"/>
  <c r="F252" i="1" s="1"/>
  <c r="D252" i="1"/>
  <c r="BC252" i="1" l="1"/>
  <c r="BD252" i="1" s="1"/>
  <c r="BF254" i="1"/>
  <c r="AE250" i="1"/>
  <c r="AY132" i="1"/>
  <c r="Y132" i="1"/>
  <c r="X132" i="1" s="1"/>
  <c r="AQ132" i="1"/>
  <c r="V132" i="1"/>
  <c r="AT133" i="1"/>
  <c r="AS133" i="1" s="1"/>
  <c r="P133" i="1"/>
  <c r="BE133" i="1" s="1"/>
  <c r="AN89" i="1"/>
  <c r="AN83" i="1"/>
  <c r="J253" i="1"/>
  <c r="L254" i="1"/>
  <c r="AH131" i="1"/>
  <c r="AM133" i="1"/>
  <c r="N133" i="1"/>
  <c r="I133" i="1"/>
  <c r="Q133" i="1" s="1"/>
  <c r="A275" i="7"/>
  <c r="B274" i="7"/>
  <c r="K254" i="1"/>
  <c r="AU254" i="1"/>
  <c r="AA254" i="1"/>
  <c r="S254" i="1"/>
  <c r="G252" i="1"/>
  <c r="H252" i="1" s="1"/>
  <c r="AI253" i="1"/>
  <c r="AJ253" i="1" s="1"/>
  <c r="AW254" i="1"/>
  <c r="AC251" i="1"/>
  <c r="Z254" i="1"/>
  <c r="BB253" i="1" s="1"/>
  <c r="A255" i="1"/>
  <c r="AK255" i="1" s="1"/>
  <c r="C254" i="1"/>
  <c r="B255" i="1"/>
  <c r="M252" i="1"/>
  <c r="E253" i="1"/>
  <c r="F253" i="1" s="1"/>
  <c r="D253" i="1"/>
  <c r="BC253" i="1" l="1"/>
  <c r="BD253" i="1" s="1"/>
  <c r="BF255" i="1"/>
  <c r="AE251" i="1"/>
  <c r="AF132" i="1"/>
  <c r="AG132" i="1" s="1"/>
  <c r="V133" i="1"/>
  <c r="Y133" i="1"/>
  <c r="X133" i="1" s="1"/>
  <c r="AF133" i="1" s="1"/>
  <c r="AO83" i="1"/>
  <c r="AO89" i="1"/>
  <c r="J254" i="1"/>
  <c r="L255" i="1"/>
  <c r="AY133" i="1"/>
  <c r="BA131" i="1"/>
  <c r="AQ133" i="1"/>
  <c r="O133" i="1"/>
  <c r="P134" i="1" s="1"/>
  <c r="BE134" i="1" s="1"/>
  <c r="A276" i="7"/>
  <c r="B275" i="7"/>
  <c r="K255" i="1"/>
  <c r="AU255" i="1"/>
  <c r="AA255" i="1"/>
  <c r="S255" i="1"/>
  <c r="G253" i="1"/>
  <c r="H253" i="1" s="1"/>
  <c r="AI254" i="1"/>
  <c r="AJ254" i="1" s="1"/>
  <c r="AW255" i="1"/>
  <c r="AC252" i="1"/>
  <c r="Z255" i="1"/>
  <c r="BB254" i="1" s="1"/>
  <c r="A256" i="1"/>
  <c r="AK256" i="1" s="1"/>
  <c r="C255" i="1"/>
  <c r="B256" i="1"/>
  <c r="M253" i="1"/>
  <c r="E254" i="1"/>
  <c r="F254" i="1" s="1"/>
  <c r="D254" i="1"/>
  <c r="BC254" i="1" l="1"/>
  <c r="BD254" i="1" s="1"/>
  <c r="BF256" i="1"/>
  <c r="AH132" i="1"/>
  <c r="AE252" i="1"/>
  <c r="V134" i="1"/>
  <c r="Y134" i="1"/>
  <c r="X134" i="1" s="1"/>
  <c r="AF134" i="1" s="1"/>
  <c r="AP89" i="1"/>
  <c r="AX90" i="1" s="1"/>
  <c r="AP83" i="1"/>
  <c r="AX84" i="1" s="1"/>
  <c r="J255" i="1"/>
  <c r="L256" i="1"/>
  <c r="AG133" i="1"/>
  <c r="BA132" i="1"/>
  <c r="AM134" i="1"/>
  <c r="I134" i="1"/>
  <c r="Q134" i="1" s="1"/>
  <c r="N134" i="1"/>
  <c r="AT134" i="1"/>
  <c r="AS134" i="1" s="1"/>
  <c r="A277" i="7"/>
  <c r="B276" i="7"/>
  <c r="K256" i="1"/>
  <c r="AU256" i="1"/>
  <c r="G254" i="1"/>
  <c r="H254" i="1" s="1"/>
  <c r="AA256" i="1"/>
  <c r="S256" i="1"/>
  <c r="AI255" i="1"/>
  <c r="AJ255" i="1" s="1"/>
  <c r="AW256" i="1"/>
  <c r="Z256" i="1"/>
  <c r="BB255" i="1" s="1"/>
  <c r="AC253" i="1"/>
  <c r="A257" i="1"/>
  <c r="AK257" i="1" s="1"/>
  <c r="D255" i="1"/>
  <c r="E255" i="1"/>
  <c r="F255" i="1" s="1"/>
  <c r="M254" i="1"/>
  <c r="C256" i="1"/>
  <c r="B257" i="1"/>
  <c r="BC255" i="1" l="1"/>
  <c r="BD255" i="1" s="1"/>
  <c r="BF257" i="1"/>
  <c r="AX133" i="1"/>
  <c r="AE253" i="1"/>
  <c r="J256" i="1"/>
  <c r="L257" i="1"/>
  <c r="AY134" i="1"/>
  <c r="AH133" i="1"/>
  <c r="O134" i="1"/>
  <c r="AQ134" i="1"/>
  <c r="A278" i="7"/>
  <c r="B277" i="7"/>
  <c r="K257" i="1"/>
  <c r="AU257" i="1"/>
  <c r="AA257" i="1"/>
  <c r="S257" i="1"/>
  <c r="G255" i="1"/>
  <c r="H255" i="1" s="1"/>
  <c r="AI256" i="1"/>
  <c r="AJ256" i="1" s="1"/>
  <c r="AW257" i="1"/>
  <c r="AC254" i="1"/>
  <c r="Z257" i="1"/>
  <c r="BB256" i="1" s="1"/>
  <c r="A258" i="1"/>
  <c r="AK258" i="1" s="1"/>
  <c r="M255" i="1"/>
  <c r="E256" i="1"/>
  <c r="F256" i="1" s="1"/>
  <c r="D256" i="1"/>
  <c r="C257" i="1"/>
  <c r="B258" i="1"/>
  <c r="BC256" i="1" l="1"/>
  <c r="BD256" i="1" s="1"/>
  <c r="BF258" i="1"/>
  <c r="AE254" i="1"/>
  <c r="P135" i="1"/>
  <c r="BE135" i="1" s="1"/>
  <c r="U84" i="1"/>
  <c r="U90" i="1"/>
  <c r="J257" i="1"/>
  <c r="L258" i="1"/>
  <c r="BA133" i="1"/>
  <c r="AG134" i="1"/>
  <c r="N135" i="1"/>
  <c r="I135" i="1"/>
  <c r="Q135" i="1" s="1"/>
  <c r="AM135" i="1"/>
  <c r="AT135" i="1"/>
  <c r="AS135" i="1" s="1"/>
  <c r="A279" i="7"/>
  <c r="B278" i="7"/>
  <c r="K258" i="1"/>
  <c r="AU258" i="1"/>
  <c r="AA258" i="1"/>
  <c r="S258" i="1"/>
  <c r="G256" i="1"/>
  <c r="H256" i="1" s="1"/>
  <c r="AI257" i="1"/>
  <c r="AJ257" i="1" s="1"/>
  <c r="AW258" i="1"/>
  <c r="AC255" i="1"/>
  <c r="Z258" i="1"/>
  <c r="BB257" i="1" s="1"/>
  <c r="A259" i="1"/>
  <c r="AK259" i="1" s="1"/>
  <c r="C258" i="1"/>
  <c r="B259" i="1"/>
  <c r="E257" i="1"/>
  <c r="F257" i="1" s="1"/>
  <c r="D257" i="1"/>
  <c r="M256" i="1"/>
  <c r="BC257" i="1" l="1"/>
  <c r="BD257" i="1" s="1"/>
  <c r="BF259" i="1"/>
  <c r="AE255" i="1"/>
  <c r="V135" i="1"/>
  <c r="Y135" i="1"/>
  <c r="X135" i="1" s="1"/>
  <c r="AF135" i="1" s="1"/>
  <c r="AQ135" i="1"/>
  <c r="AY135" i="1"/>
  <c r="AL90" i="1"/>
  <c r="AL84" i="1"/>
  <c r="J258" i="1"/>
  <c r="L259" i="1"/>
  <c r="AH134" i="1"/>
  <c r="O135" i="1"/>
  <c r="A280" i="7"/>
  <c r="B279" i="7"/>
  <c r="K259" i="1"/>
  <c r="AU259" i="1"/>
  <c r="AA259" i="1"/>
  <c r="S259" i="1"/>
  <c r="G257" i="1"/>
  <c r="H257" i="1" s="1"/>
  <c r="AI258" i="1"/>
  <c r="AJ258" i="1" s="1"/>
  <c r="AW259" i="1"/>
  <c r="Z259" i="1"/>
  <c r="BB258" i="1" s="1"/>
  <c r="AC256" i="1"/>
  <c r="A260" i="1"/>
  <c r="AK260" i="1" s="1"/>
  <c r="C259" i="1"/>
  <c r="B260" i="1"/>
  <c r="M257" i="1"/>
  <c r="E258" i="1"/>
  <c r="F258" i="1" s="1"/>
  <c r="D258" i="1"/>
  <c r="BC258" i="1" l="1"/>
  <c r="BD258" i="1" s="1"/>
  <c r="BF260" i="1"/>
  <c r="AE256" i="1"/>
  <c r="I136" i="1"/>
  <c r="Q136" i="1" s="1"/>
  <c r="P136" i="1"/>
  <c r="BE136" i="1" s="1"/>
  <c r="AN90" i="1"/>
  <c r="AN84" i="1"/>
  <c r="J259" i="1"/>
  <c r="L260" i="1"/>
  <c r="AG135" i="1"/>
  <c r="BA134" i="1"/>
  <c r="AM136" i="1"/>
  <c r="AT136" i="1"/>
  <c r="AS136" i="1" s="1"/>
  <c r="N136" i="1"/>
  <c r="AH135" i="1"/>
  <c r="A281" i="7"/>
  <c r="B280" i="7"/>
  <c r="K260" i="1"/>
  <c r="AU260" i="1"/>
  <c r="AA260" i="1"/>
  <c r="S260" i="1"/>
  <c r="G258" i="1"/>
  <c r="H258" i="1" s="1"/>
  <c r="AI259" i="1"/>
  <c r="AJ259" i="1" s="1"/>
  <c r="AW260" i="1"/>
  <c r="AC257" i="1"/>
  <c r="Z260" i="1"/>
  <c r="BB259" i="1" s="1"/>
  <c r="A261" i="1"/>
  <c r="AK261" i="1" s="1"/>
  <c r="C260" i="1"/>
  <c r="B261" i="1"/>
  <c r="M258" i="1"/>
  <c r="D259" i="1"/>
  <c r="E259" i="1"/>
  <c r="F259" i="1" s="1"/>
  <c r="BC259" i="1" l="1"/>
  <c r="BD259" i="1" s="1"/>
  <c r="BF261" i="1"/>
  <c r="AE257" i="1"/>
  <c r="V136" i="1"/>
  <c r="Y136" i="1"/>
  <c r="X136" i="1" s="1"/>
  <c r="AF136" i="1" s="1"/>
  <c r="AO90" i="1"/>
  <c r="AO84" i="1"/>
  <c r="J260" i="1"/>
  <c r="L261" i="1"/>
  <c r="AY136" i="1"/>
  <c r="BA135" i="1"/>
  <c r="AQ136" i="1"/>
  <c r="O136" i="1"/>
  <c r="A282" i="7"/>
  <c r="B281" i="7"/>
  <c r="K261" i="1"/>
  <c r="AU261" i="1"/>
  <c r="AA261" i="1"/>
  <c r="S261" i="1"/>
  <c r="G259" i="1"/>
  <c r="H259" i="1" s="1"/>
  <c r="AI260" i="1"/>
  <c r="AJ260" i="1" s="1"/>
  <c r="AW261" i="1"/>
  <c r="AC258" i="1"/>
  <c r="Z261" i="1"/>
  <c r="BB260" i="1" s="1"/>
  <c r="A262" i="1"/>
  <c r="AK262" i="1" s="1"/>
  <c r="C261" i="1"/>
  <c r="B262" i="1"/>
  <c r="M259" i="1"/>
  <c r="E260" i="1"/>
  <c r="F260" i="1" s="1"/>
  <c r="D260" i="1"/>
  <c r="BC260" i="1" l="1"/>
  <c r="BD260" i="1" s="1"/>
  <c r="BF262" i="1"/>
  <c r="AE258" i="1"/>
  <c r="AM137" i="1"/>
  <c r="P137" i="1"/>
  <c r="BE137" i="1" s="1"/>
  <c r="AP90" i="1"/>
  <c r="AX91" i="1" s="1"/>
  <c r="J261" i="1"/>
  <c r="L262" i="1"/>
  <c r="AG136" i="1"/>
  <c r="I137" i="1"/>
  <c r="Q137" i="1" s="1"/>
  <c r="N137" i="1"/>
  <c r="AT137" i="1"/>
  <c r="AS137" i="1" s="1"/>
  <c r="A283" i="7"/>
  <c r="B282" i="7"/>
  <c r="K262" i="1"/>
  <c r="AU262" i="1"/>
  <c r="AA262" i="1"/>
  <c r="S262" i="1"/>
  <c r="G260" i="1"/>
  <c r="H260" i="1" s="1"/>
  <c r="AI261" i="1"/>
  <c r="AJ261" i="1" s="1"/>
  <c r="AW262" i="1"/>
  <c r="AC259" i="1"/>
  <c r="Z262" i="1"/>
  <c r="BB261" i="1" s="1"/>
  <c r="A263" i="1"/>
  <c r="AK263" i="1" s="1"/>
  <c r="M260" i="1"/>
  <c r="C262" i="1"/>
  <c r="B263" i="1"/>
  <c r="E261" i="1"/>
  <c r="F261" i="1" s="1"/>
  <c r="D261" i="1"/>
  <c r="BC261" i="1" l="1"/>
  <c r="BD261" i="1" s="1"/>
  <c r="BF263" i="1"/>
  <c r="AE259" i="1"/>
  <c r="V137" i="1"/>
  <c r="Y137" i="1"/>
  <c r="X137" i="1" s="1"/>
  <c r="AF137" i="1" s="1"/>
  <c r="J262" i="1"/>
  <c r="L263" i="1"/>
  <c r="AH136" i="1"/>
  <c r="AY137" i="1"/>
  <c r="O137" i="1"/>
  <c r="AQ137" i="1"/>
  <c r="A284" i="7"/>
  <c r="B283" i="7"/>
  <c r="K263" i="1"/>
  <c r="AU263" i="1"/>
  <c r="G261" i="1"/>
  <c r="H261" i="1" s="1"/>
  <c r="AA263" i="1"/>
  <c r="S263" i="1"/>
  <c r="AI262" i="1"/>
  <c r="AJ262" i="1" s="1"/>
  <c r="AW263" i="1"/>
  <c r="AC260" i="1"/>
  <c r="Z263" i="1"/>
  <c r="BB262" i="1" s="1"/>
  <c r="A264" i="1"/>
  <c r="M261" i="1"/>
  <c r="E262" i="1"/>
  <c r="F262" i="1" s="1"/>
  <c r="D262" i="1"/>
  <c r="C263" i="1"/>
  <c r="B264" i="1"/>
  <c r="BC262" i="1" l="1"/>
  <c r="BD262" i="1" s="1"/>
  <c r="BF264" i="1"/>
  <c r="AE260" i="1"/>
  <c r="AT138" i="1"/>
  <c r="AS138" i="1" s="1"/>
  <c r="P138" i="1"/>
  <c r="BE138" i="1" s="1"/>
  <c r="U91" i="1"/>
  <c r="J263" i="1"/>
  <c r="L264" i="1"/>
  <c r="BA136" i="1"/>
  <c r="N138" i="1"/>
  <c r="AM138" i="1"/>
  <c r="I138" i="1"/>
  <c r="Q138" i="1" s="1"/>
  <c r="A285" i="7"/>
  <c r="B284" i="7"/>
  <c r="K264" i="1"/>
  <c r="AU264" i="1"/>
  <c r="G262" i="1"/>
  <c r="H262" i="1" s="1"/>
  <c r="AA264" i="1"/>
  <c r="S264" i="1"/>
  <c r="AP264" i="1"/>
  <c r="AK264" i="1"/>
  <c r="AI263" i="1"/>
  <c r="AJ263" i="1" s="1"/>
  <c r="AW264" i="1"/>
  <c r="U97" i="1"/>
  <c r="Z264" i="1"/>
  <c r="BB263" i="1" s="1"/>
  <c r="AC261" i="1"/>
  <c r="A265" i="1"/>
  <c r="AK265" i="1" s="1"/>
  <c r="C264" i="1"/>
  <c r="B265" i="1"/>
  <c r="D263" i="1"/>
  <c r="E263" i="1"/>
  <c r="F263" i="1" s="1"/>
  <c r="M262" i="1"/>
  <c r="BC263" i="1" l="1"/>
  <c r="BD263" i="1" s="1"/>
  <c r="BF265" i="1"/>
  <c r="AE261" i="1"/>
  <c r="V138" i="1"/>
  <c r="Y138" i="1"/>
  <c r="X138" i="1" s="1"/>
  <c r="AF138" i="1" s="1"/>
  <c r="AL97" i="1"/>
  <c r="AL91" i="1"/>
  <c r="J264" i="1"/>
  <c r="AH137" i="1"/>
  <c r="AG137" i="1"/>
  <c r="L265" i="1"/>
  <c r="AQ138" i="1"/>
  <c r="AY138" i="1"/>
  <c r="O138" i="1"/>
  <c r="A286" i="7"/>
  <c r="B285" i="7"/>
  <c r="K265" i="1"/>
  <c r="AU265" i="1"/>
  <c r="AA265" i="1"/>
  <c r="S265" i="1"/>
  <c r="G263" i="1"/>
  <c r="H263" i="1" s="1"/>
  <c r="AI264" i="1"/>
  <c r="AJ264" i="1" s="1"/>
  <c r="AW265" i="1"/>
  <c r="AC262" i="1"/>
  <c r="Z265" i="1"/>
  <c r="BB264" i="1" s="1"/>
  <c r="A266" i="1"/>
  <c r="AK266" i="1" s="1"/>
  <c r="C265" i="1"/>
  <c r="B266" i="1"/>
  <c r="M263" i="1"/>
  <c r="E264" i="1"/>
  <c r="F264" i="1" s="1"/>
  <c r="D264" i="1"/>
  <c r="BC264" i="1" l="1"/>
  <c r="BD264" i="1" s="1"/>
  <c r="BF266" i="1"/>
  <c r="AE262" i="1"/>
  <c r="N139" i="1"/>
  <c r="P139" i="1"/>
  <c r="BE139" i="1" s="1"/>
  <c r="AN97" i="1"/>
  <c r="AN91" i="1"/>
  <c r="J265" i="1"/>
  <c r="L266" i="1"/>
  <c r="BA137" i="1"/>
  <c r="AT139" i="1"/>
  <c r="AS139" i="1" s="1"/>
  <c r="I139" i="1"/>
  <c r="Q139" i="1" s="1"/>
  <c r="AM139" i="1"/>
  <c r="A287" i="7"/>
  <c r="B286" i="7"/>
  <c r="K266" i="1"/>
  <c r="AU266" i="1"/>
  <c r="AA266" i="1"/>
  <c r="S266" i="1"/>
  <c r="G264" i="1"/>
  <c r="H264" i="1" s="1"/>
  <c r="AI265" i="1"/>
  <c r="AJ265" i="1" s="1"/>
  <c r="AW266" i="1"/>
  <c r="AC263" i="1"/>
  <c r="Z266" i="1"/>
  <c r="BB265" i="1" s="1"/>
  <c r="A267" i="1"/>
  <c r="AK267" i="1" s="1"/>
  <c r="C266" i="1"/>
  <c r="B267" i="1"/>
  <c r="M264" i="1"/>
  <c r="E265" i="1"/>
  <c r="F265" i="1" s="1"/>
  <c r="D265" i="1"/>
  <c r="BC265" i="1" l="1"/>
  <c r="BD265" i="1" s="1"/>
  <c r="BF267" i="1"/>
  <c r="AE263" i="1"/>
  <c r="V139" i="1"/>
  <c r="Y139" i="1"/>
  <c r="X139" i="1" s="1"/>
  <c r="AF139" i="1" s="1"/>
  <c r="AO97" i="1"/>
  <c r="AO91" i="1"/>
  <c r="J266" i="1"/>
  <c r="AH138" i="1"/>
  <c r="AG138" i="1"/>
  <c r="L267" i="1"/>
  <c r="AY139" i="1"/>
  <c r="O139" i="1"/>
  <c r="AQ139" i="1"/>
  <c r="A288" i="7"/>
  <c r="B287" i="7"/>
  <c r="K267" i="1"/>
  <c r="AU267" i="1"/>
  <c r="G265" i="1"/>
  <c r="H265" i="1" s="1"/>
  <c r="AA267" i="1"/>
  <c r="S267" i="1"/>
  <c r="AI266" i="1"/>
  <c r="AJ266" i="1" s="1"/>
  <c r="AW267" i="1"/>
  <c r="AC264" i="1"/>
  <c r="Z267" i="1"/>
  <c r="BB266" i="1" s="1"/>
  <c r="A268" i="1"/>
  <c r="AK268" i="1" s="1"/>
  <c r="M265" i="1"/>
  <c r="C267" i="1"/>
  <c r="B268" i="1"/>
  <c r="E266" i="1"/>
  <c r="F266" i="1" s="1"/>
  <c r="D266" i="1"/>
  <c r="BC266" i="1" l="1"/>
  <c r="BD266" i="1" s="1"/>
  <c r="BF268" i="1"/>
  <c r="AE264" i="1"/>
  <c r="N140" i="1"/>
  <c r="P140" i="1"/>
  <c r="BE140" i="1" s="1"/>
  <c r="AP91" i="1"/>
  <c r="AX92" i="1" s="1"/>
  <c r="AP97" i="1"/>
  <c r="AX98" i="1" s="1"/>
  <c r="J267" i="1"/>
  <c r="L268" i="1"/>
  <c r="BA138" i="1"/>
  <c r="AG139" i="1"/>
  <c r="AT140" i="1"/>
  <c r="AS140" i="1" s="1"/>
  <c r="AM140" i="1"/>
  <c r="I140" i="1"/>
  <c r="Q140" i="1" s="1"/>
  <c r="A289" i="7"/>
  <c r="B288" i="7"/>
  <c r="K268" i="1"/>
  <c r="AU268" i="1"/>
  <c r="G266" i="1"/>
  <c r="H266" i="1" s="1"/>
  <c r="AA268" i="1"/>
  <c r="S268" i="1"/>
  <c r="AI267" i="1"/>
  <c r="AJ267" i="1" s="1"/>
  <c r="AW268" i="1"/>
  <c r="Z268" i="1"/>
  <c r="BB267" i="1" s="1"/>
  <c r="AC265" i="1"/>
  <c r="A269" i="1"/>
  <c r="AK269" i="1" s="1"/>
  <c r="M266" i="1"/>
  <c r="D267" i="1"/>
  <c r="E267" i="1"/>
  <c r="F267" i="1" s="1"/>
  <c r="C268" i="1"/>
  <c r="B269" i="1"/>
  <c r="BC267" i="1" l="1"/>
  <c r="BD267" i="1" s="1"/>
  <c r="BF269" i="1"/>
  <c r="AE265" i="1"/>
  <c r="V140" i="1"/>
  <c r="Y140" i="1"/>
  <c r="X140" i="1" s="1"/>
  <c r="AF140" i="1" s="1"/>
  <c r="J268" i="1"/>
  <c r="L269" i="1"/>
  <c r="AH139" i="1"/>
  <c r="AY140" i="1"/>
  <c r="AQ140" i="1"/>
  <c r="O140" i="1"/>
  <c r="P141" i="1" s="1"/>
  <c r="BE141" i="1" s="1"/>
  <c r="A290" i="7"/>
  <c r="B289" i="7"/>
  <c r="K269" i="1"/>
  <c r="AU269" i="1"/>
  <c r="AA269" i="1"/>
  <c r="S269" i="1"/>
  <c r="G267" i="1"/>
  <c r="H267" i="1" s="1"/>
  <c r="AI268" i="1"/>
  <c r="AJ268" i="1" s="1"/>
  <c r="AW269" i="1"/>
  <c r="Z269" i="1"/>
  <c r="BB268" i="1" s="1"/>
  <c r="AC266" i="1"/>
  <c r="A270" i="1"/>
  <c r="AK270" i="1" s="1"/>
  <c r="M267" i="1"/>
  <c r="E268" i="1"/>
  <c r="F268" i="1" s="1"/>
  <c r="D268" i="1"/>
  <c r="C269" i="1"/>
  <c r="B270" i="1"/>
  <c r="BC268" i="1" l="1"/>
  <c r="BD268" i="1" s="1"/>
  <c r="BF270" i="1"/>
  <c r="AE266" i="1"/>
  <c r="V141" i="1"/>
  <c r="Y141" i="1"/>
  <c r="X141" i="1" s="1"/>
  <c r="AF141" i="1" s="1"/>
  <c r="U98" i="1"/>
  <c r="U92" i="1"/>
  <c r="J269" i="1"/>
  <c r="L270" i="1"/>
  <c r="BA139" i="1"/>
  <c r="I141" i="1"/>
  <c r="Q141" i="1" s="1"/>
  <c r="AT141" i="1"/>
  <c r="AS141" i="1" s="1"/>
  <c r="N141" i="1"/>
  <c r="AM141" i="1"/>
  <c r="A291" i="7"/>
  <c r="B290" i="7"/>
  <c r="K270" i="1"/>
  <c r="AU270" i="1"/>
  <c r="AA270" i="1"/>
  <c r="S270" i="1"/>
  <c r="G268" i="1"/>
  <c r="H268" i="1" s="1"/>
  <c r="AI269" i="1"/>
  <c r="AJ269" i="1" s="1"/>
  <c r="AW270" i="1"/>
  <c r="Z270" i="1"/>
  <c r="BB269" i="1" s="1"/>
  <c r="AC267" i="1"/>
  <c r="A271" i="1"/>
  <c r="AK271" i="1" s="1"/>
  <c r="C270" i="1"/>
  <c r="B271" i="1"/>
  <c r="M268" i="1"/>
  <c r="D269" i="1"/>
  <c r="E269" i="1"/>
  <c r="F269" i="1" s="1"/>
  <c r="BC269" i="1" l="1"/>
  <c r="BD269" i="1" s="1"/>
  <c r="BF271" i="1"/>
  <c r="AE267" i="1"/>
  <c r="AL92" i="1"/>
  <c r="AL98" i="1"/>
  <c r="J270" i="1"/>
  <c r="AH140" i="1"/>
  <c r="AG140" i="1"/>
  <c r="L271" i="1"/>
  <c r="AY141" i="1"/>
  <c r="O141" i="1"/>
  <c r="AQ141" i="1"/>
  <c r="A292" i="7"/>
  <c r="B291" i="7"/>
  <c r="K271" i="1"/>
  <c r="AU271" i="1"/>
  <c r="AA271" i="1"/>
  <c r="S271" i="1"/>
  <c r="G269" i="1"/>
  <c r="H269" i="1" s="1"/>
  <c r="AI270" i="1"/>
  <c r="AJ270" i="1" s="1"/>
  <c r="AW271" i="1"/>
  <c r="AC268" i="1"/>
  <c r="Z271" i="1"/>
  <c r="BB270" i="1" s="1"/>
  <c r="A272" i="1"/>
  <c r="AK272" i="1" s="1"/>
  <c r="E270" i="1"/>
  <c r="F270" i="1" s="1"/>
  <c r="D270" i="1"/>
  <c r="C271" i="1"/>
  <c r="B272" i="1"/>
  <c r="M269" i="1"/>
  <c r="BC270" i="1" l="1"/>
  <c r="BD270" i="1" s="1"/>
  <c r="BF272" i="1"/>
  <c r="AE268" i="1"/>
  <c r="AT142" i="1"/>
  <c r="AS142" i="1" s="1"/>
  <c r="P142" i="1"/>
  <c r="BE142" i="1" s="1"/>
  <c r="AN92" i="1"/>
  <c r="AN98" i="1"/>
  <c r="J271" i="1"/>
  <c r="L272" i="1"/>
  <c r="BA140" i="1"/>
  <c r="AG141" i="1"/>
  <c r="I142" i="1"/>
  <c r="Q142" i="1" s="1"/>
  <c r="N142" i="1"/>
  <c r="AM142" i="1"/>
  <c r="A293" i="7"/>
  <c r="B292" i="7"/>
  <c r="K272" i="1"/>
  <c r="AU272" i="1"/>
  <c r="G270" i="1"/>
  <c r="H270" i="1" s="1"/>
  <c r="AA272" i="1"/>
  <c r="S272" i="1"/>
  <c r="AI271" i="1"/>
  <c r="AJ271" i="1" s="1"/>
  <c r="AW272" i="1"/>
  <c r="Z272" i="1"/>
  <c r="BB271" i="1" s="1"/>
  <c r="AC269" i="1"/>
  <c r="A273" i="1"/>
  <c r="AK273" i="1" s="1"/>
  <c r="C272" i="1"/>
  <c r="B273" i="1"/>
  <c r="M270" i="1"/>
  <c r="D271" i="1"/>
  <c r="E271" i="1"/>
  <c r="F271" i="1" s="1"/>
  <c r="BC271" i="1" l="1"/>
  <c r="BD271" i="1" s="1"/>
  <c r="BF273" i="1"/>
  <c r="AE269" i="1"/>
  <c r="V142" i="1"/>
  <c r="Y142" i="1"/>
  <c r="X142" i="1" s="1"/>
  <c r="AF142" i="1" s="1"/>
  <c r="AO92" i="1"/>
  <c r="AO98" i="1"/>
  <c r="J272" i="1"/>
  <c r="L273" i="1"/>
  <c r="AY142" i="1"/>
  <c r="AH141" i="1"/>
  <c r="O142" i="1"/>
  <c r="P143" i="1" s="1"/>
  <c r="BE143" i="1" s="1"/>
  <c r="AQ142" i="1"/>
  <c r="A294" i="7"/>
  <c r="B293" i="7"/>
  <c r="K273" i="1"/>
  <c r="AU273" i="1"/>
  <c r="G271" i="1"/>
  <c r="H271" i="1" s="1"/>
  <c r="AA273" i="1"/>
  <c r="S273" i="1"/>
  <c r="AI272" i="1"/>
  <c r="AJ272" i="1" s="1"/>
  <c r="AW273" i="1"/>
  <c r="Z273" i="1"/>
  <c r="BB272" i="1" s="1"/>
  <c r="AC270" i="1"/>
  <c r="A274" i="1"/>
  <c r="AK274" i="1" s="1"/>
  <c r="M271" i="1"/>
  <c r="C273" i="1"/>
  <c r="B274" i="1"/>
  <c r="E272" i="1"/>
  <c r="F272" i="1" s="1"/>
  <c r="D272" i="1"/>
  <c r="BC272" i="1" l="1"/>
  <c r="BD272" i="1" s="1"/>
  <c r="BF274" i="1"/>
  <c r="AE270" i="1"/>
  <c r="V143" i="1"/>
  <c r="Y143" i="1"/>
  <c r="X143" i="1" s="1"/>
  <c r="AF143" i="1" s="1"/>
  <c r="AP92" i="1"/>
  <c r="AX93" i="1" s="1"/>
  <c r="AP98" i="1"/>
  <c r="AX99" i="1" s="1"/>
  <c r="J273" i="1"/>
  <c r="L274" i="1"/>
  <c r="AG142" i="1"/>
  <c r="BA141" i="1"/>
  <c r="N143" i="1"/>
  <c r="AT143" i="1"/>
  <c r="AS143" i="1" s="1"/>
  <c r="AM143" i="1"/>
  <c r="I143" i="1"/>
  <c r="Q143" i="1" s="1"/>
  <c r="A295" i="7"/>
  <c r="B294" i="7"/>
  <c r="K274" i="1"/>
  <c r="AU274" i="1"/>
  <c r="AA274" i="1"/>
  <c r="S274" i="1"/>
  <c r="G272" i="1"/>
  <c r="H272" i="1" s="1"/>
  <c r="AI273" i="1"/>
  <c r="AJ273" i="1" s="1"/>
  <c r="AW274" i="1"/>
  <c r="AC271" i="1"/>
  <c r="Z274" i="1"/>
  <c r="BB273" i="1" s="1"/>
  <c r="A275" i="1"/>
  <c r="AK275" i="1" s="1"/>
  <c r="M272" i="1"/>
  <c r="E273" i="1"/>
  <c r="F273" i="1" s="1"/>
  <c r="D273" i="1"/>
  <c r="C274" i="1"/>
  <c r="B275" i="1"/>
  <c r="BC273" i="1" l="1"/>
  <c r="BD273" i="1" s="1"/>
  <c r="BF275" i="1"/>
  <c r="AE271" i="1"/>
  <c r="J274" i="1"/>
  <c r="L275" i="1"/>
  <c r="AY143" i="1"/>
  <c r="AH142" i="1"/>
  <c r="O143" i="1"/>
  <c r="AQ143" i="1"/>
  <c r="A296" i="7"/>
  <c r="B295" i="7"/>
  <c r="K275" i="1"/>
  <c r="AU275" i="1"/>
  <c r="AA275" i="1"/>
  <c r="S275" i="1"/>
  <c r="G273" i="1"/>
  <c r="H273" i="1" s="1"/>
  <c r="AI274" i="1"/>
  <c r="AJ274" i="1" s="1"/>
  <c r="AW275" i="1"/>
  <c r="AC272" i="1"/>
  <c r="Z275" i="1"/>
  <c r="BB274" i="1" s="1"/>
  <c r="A276" i="1"/>
  <c r="C275" i="1"/>
  <c r="B276" i="1"/>
  <c r="E274" i="1"/>
  <c r="F274" i="1" s="1"/>
  <c r="D274" i="1"/>
  <c r="M273" i="1"/>
  <c r="BC274" i="1" l="1"/>
  <c r="BD274" i="1" s="1"/>
  <c r="BF276" i="1"/>
  <c r="AE272" i="1"/>
  <c r="N144" i="1"/>
  <c r="P144" i="1"/>
  <c r="BE144" i="1" s="1"/>
  <c r="U93" i="1"/>
  <c r="U99" i="1"/>
  <c r="J275" i="1"/>
  <c r="L276" i="1"/>
  <c r="BA142" i="1"/>
  <c r="AT144" i="1"/>
  <c r="AS144" i="1" s="1"/>
  <c r="I144" i="1"/>
  <c r="Q144" i="1" s="1"/>
  <c r="AM144" i="1"/>
  <c r="A297" i="7"/>
  <c r="B296" i="7"/>
  <c r="K276" i="1"/>
  <c r="AU276" i="1"/>
  <c r="G274" i="1"/>
  <c r="H274" i="1" s="1"/>
  <c r="AA276" i="1"/>
  <c r="S276" i="1"/>
  <c r="AI275" i="1"/>
  <c r="AJ275" i="1" s="1"/>
  <c r="AK276" i="1"/>
  <c r="AP276" i="1"/>
  <c r="AW276" i="1"/>
  <c r="Z276" i="1"/>
  <c r="BB275" i="1" s="1"/>
  <c r="AC273" i="1"/>
  <c r="A277" i="1"/>
  <c r="AK277" i="1" s="1"/>
  <c r="C276" i="1"/>
  <c r="B277" i="1"/>
  <c r="M274" i="1"/>
  <c r="D275" i="1"/>
  <c r="E275" i="1"/>
  <c r="F275" i="1" s="1"/>
  <c r="BC275" i="1" l="1"/>
  <c r="BD275" i="1" s="1"/>
  <c r="BF277" i="1"/>
  <c r="AE273" i="1"/>
  <c r="V144" i="1"/>
  <c r="Y144" i="1"/>
  <c r="X144" i="1" s="1"/>
  <c r="AF144" i="1" s="1"/>
  <c r="AL99" i="1"/>
  <c r="AL93" i="1"/>
  <c r="J276" i="1"/>
  <c r="AH143" i="1"/>
  <c r="AG143" i="1"/>
  <c r="L277" i="1"/>
  <c r="AY144" i="1"/>
  <c r="O144" i="1"/>
  <c r="P145" i="1" s="1"/>
  <c r="BE145" i="1" s="1"/>
  <c r="AQ144" i="1"/>
  <c r="A298" i="7"/>
  <c r="B297" i="7"/>
  <c r="K277" i="1"/>
  <c r="AU277" i="1"/>
  <c r="AA277" i="1"/>
  <c r="S277" i="1"/>
  <c r="G275" i="1"/>
  <c r="H275" i="1" s="1"/>
  <c r="AI276" i="1"/>
  <c r="AJ276" i="1" s="1"/>
  <c r="AW277" i="1"/>
  <c r="Z277" i="1"/>
  <c r="BB276" i="1" s="1"/>
  <c r="AC274" i="1"/>
  <c r="A278" i="1"/>
  <c r="AK278" i="1" s="1"/>
  <c r="M275" i="1"/>
  <c r="C277" i="1"/>
  <c r="B278" i="1"/>
  <c r="E276" i="1"/>
  <c r="F276" i="1" s="1"/>
  <c r="D276" i="1"/>
  <c r="BC276" i="1" l="1"/>
  <c r="BD276" i="1" s="1"/>
  <c r="BF278" i="1"/>
  <c r="AE274" i="1"/>
  <c r="V145" i="1"/>
  <c r="Y145" i="1"/>
  <c r="X145" i="1" s="1"/>
  <c r="AF145" i="1" s="1"/>
  <c r="AN99" i="1"/>
  <c r="AN93" i="1"/>
  <c r="J277" i="1"/>
  <c r="L278" i="1"/>
  <c r="AG144" i="1"/>
  <c r="BA143" i="1"/>
  <c r="AT145" i="1"/>
  <c r="AS145" i="1" s="1"/>
  <c r="N145" i="1"/>
  <c r="AM145" i="1"/>
  <c r="I145" i="1"/>
  <c r="Q145" i="1" s="1"/>
  <c r="A299" i="7"/>
  <c r="B298" i="7"/>
  <c r="K278" i="1"/>
  <c r="AU278" i="1"/>
  <c r="AA278" i="1"/>
  <c r="S278" i="1"/>
  <c r="G276" i="1"/>
  <c r="H276" i="1" s="1"/>
  <c r="AI277" i="1"/>
  <c r="AJ277" i="1" s="1"/>
  <c r="AW278" i="1"/>
  <c r="AC275" i="1"/>
  <c r="Z278" i="1"/>
  <c r="BB277" i="1" s="1"/>
  <c r="A279" i="1"/>
  <c r="AK279" i="1" s="1"/>
  <c r="C278" i="1"/>
  <c r="B279" i="1"/>
  <c r="D277" i="1"/>
  <c r="E277" i="1"/>
  <c r="F277" i="1" s="1"/>
  <c r="M276" i="1"/>
  <c r="BC277" i="1" l="1"/>
  <c r="BD277" i="1" s="1"/>
  <c r="BF279" i="1"/>
  <c r="AE275" i="1"/>
  <c r="AO99" i="1"/>
  <c r="AO93" i="1"/>
  <c r="J278" i="1"/>
  <c r="L279" i="1"/>
  <c r="AY145" i="1"/>
  <c r="AH144" i="1"/>
  <c r="O145" i="1"/>
  <c r="AQ145" i="1"/>
  <c r="A300" i="7"/>
  <c r="B299" i="7"/>
  <c r="K279" i="1"/>
  <c r="AU279" i="1"/>
  <c r="AA279" i="1"/>
  <c r="S279" i="1"/>
  <c r="G277" i="1"/>
  <c r="H277" i="1" s="1"/>
  <c r="AI278" i="1"/>
  <c r="AJ278" i="1" s="1"/>
  <c r="AW279" i="1"/>
  <c r="Z279" i="1"/>
  <c r="BB278" i="1" s="1"/>
  <c r="AC276" i="1"/>
  <c r="A280" i="1"/>
  <c r="AK280" i="1" s="1"/>
  <c r="C279" i="1"/>
  <c r="B280" i="1"/>
  <c r="M277" i="1"/>
  <c r="E278" i="1"/>
  <c r="F278" i="1" s="1"/>
  <c r="D278" i="1"/>
  <c r="BC278" i="1" l="1"/>
  <c r="BD278" i="1" s="1"/>
  <c r="BF280" i="1"/>
  <c r="AX145" i="1"/>
  <c r="AE276" i="1"/>
  <c r="AT146" i="1"/>
  <c r="AS146" i="1" s="1"/>
  <c r="P146" i="1"/>
  <c r="BE146" i="1" s="1"/>
  <c r="AP99" i="1"/>
  <c r="AX100" i="1" s="1"/>
  <c r="AP93" i="1"/>
  <c r="AX94" i="1" s="1"/>
  <c r="J279" i="1"/>
  <c r="L280" i="1"/>
  <c r="BA144" i="1"/>
  <c r="AG145" i="1"/>
  <c r="N146" i="1"/>
  <c r="AM146" i="1"/>
  <c r="I146" i="1"/>
  <c r="Q146" i="1" s="1"/>
  <c r="A301" i="7"/>
  <c r="B300" i="7"/>
  <c r="K280" i="1"/>
  <c r="AU280" i="1"/>
  <c r="AA280" i="1"/>
  <c r="S280" i="1"/>
  <c r="G278" i="1"/>
  <c r="H278" i="1" s="1"/>
  <c r="AI279" i="1"/>
  <c r="AJ279" i="1" s="1"/>
  <c r="AW280" i="1"/>
  <c r="Z280" i="1"/>
  <c r="BB279" i="1" s="1"/>
  <c r="AC277" i="1"/>
  <c r="A281" i="1"/>
  <c r="AK281" i="1" s="1"/>
  <c r="C280" i="1"/>
  <c r="B281" i="1"/>
  <c r="M278" i="1"/>
  <c r="D279" i="1"/>
  <c r="E279" i="1"/>
  <c r="F279" i="1" s="1"/>
  <c r="BC279" i="1" l="1"/>
  <c r="BD279" i="1" s="1"/>
  <c r="BF281" i="1"/>
  <c r="AE277" i="1"/>
  <c r="V146" i="1"/>
  <c r="Y146" i="1"/>
  <c r="X146" i="1" s="1"/>
  <c r="AF146" i="1" s="1"/>
  <c r="J280" i="1"/>
  <c r="L281" i="1"/>
  <c r="AH145" i="1"/>
  <c r="AY146" i="1"/>
  <c r="AQ146" i="1"/>
  <c r="O146" i="1"/>
  <c r="P147" i="1" s="1"/>
  <c r="BE147" i="1" s="1"/>
  <c r="A302" i="7"/>
  <c r="B301" i="7"/>
  <c r="K281" i="1"/>
  <c r="AU281" i="1"/>
  <c r="G279" i="1"/>
  <c r="H279" i="1" s="1"/>
  <c r="AA281" i="1"/>
  <c r="S281" i="1"/>
  <c r="AI280" i="1"/>
  <c r="AJ280" i="1" s="1"/>
  <c r="AW281" i="1"/>
  <c r="AC278" i="1"/>
  <c r="Z281" i="1"/>
  <c r="BB280" i="1" s="1"/>
  <c r="A282" i="1"/>
  <c r="AK282" i="1" s="1"/>
  <c r="C281" i="1"/>
  <c r="B282" i="1"/>
  <c r="E280" i="1"/>
  <c r="F280" i="1" s="1"/>
  <c r="D280" i="1"/>
  <c r="M279" i="1"/>
  <c r="BC280" i="1" l="1"/>
  <c r="BD280" i="1" s="1"/>
  <c r="BF282" i="1"/>
  <c r="AE278" i="1"/>
  <c r="V147" i="1"/>
  <c r="Y147" i="1"/>
  <c r="X147" i="1" s="1"/>
  <c r="AF147" i="1" s="1"/>
  <c r="U94" i="1"/>
  <c r="U100" i="1"/>
  <c r="J281" i="1"/>
  <c r="L282" i="1"/>
  <c r="BA145" i="1"/>
  <c r="N147" i="1"/>
  <c r="I147" i="1"/>
  <c r="Q147" i="1" s="1"/>
  <c r="AT147" i="1"/>
  <c r="AS147" i="1" s="1"/>
  <c r="AM147" i="1"/>
  <c r="A303" i="7"/>
  <c r="B302" i="7"/>
  <c r="K282" i="1"/>
  <c r="AU282" i="1"/>
  <c r="AA282" i="1"/>
  <c r="S282" i="1"/>
  <c r="G280" i="1"/>
  <c r="H280" i="1" s="1"/>
  <c r="AI281" i="1"/>
  <c r="AJ281" i="1" s="1"/>
  <c r="AW282" i="1"/>
  <c r="AC279" i="1"/>
  <c r="Z282" i="1"/>
  <c r="BB281" i="1" s="1"/>
  <c r="A283" i="1"/>
  <c r="AK283" i="1" s="1"/>
  <c r="C282" i="1"/>
  <c r="B283" i="1"/>
  <c r="M280" i="1"/>
  <c r="E281" i="1"/>
  <c r="F281" i="1" s="1"/>
  <c r="D281" i="1"/>
  <c r="BC281" i="1" l="1"/>
  <c r="BD281" i="1" s="1"/>
  <c r="BF283" i="1"/>
  <c r="AE279" i="1"/>
  <c r="AL100" i="1"/>
  <c r="AL94" i="1"/>
  <c r="J282" i="1"/>
  <c r="AH146" i="1"/>
  <c r="AG146" i="1"/>
  <c r="L283" i="1"/>
  <c r="AY147" i="1"/>
  <c r="O147" i="1"/>
  <c r="AQ147" i="1"/>
  <c r="A304" i="7"/>
  <c r="B303" i="7"/>
  <c r="K283" i="1"/>
  <c r="AU283" i="1"/>
  <c r="G281" i="1"/>
  <c r="H281" i="1" s="1"/>
  <c r="AA283" i="1"/>
  <c r="S283" i="1"/>
  <c r="AI282" i="1"/>
  <c r="AJ282" i="1" s="1"/>
  <c r="AW283" i="1"/>
  <c r="AC280" i="1"/>
  <c r="Z283" i="1"/>
  <c r="BB282" i="1" s="1"/>
  <c r="A284" i="1"/>
  <c r="AK284" i="1" s="1"/>
  <c r="E282" i="1"/>
  <c r="F282" i="1" s="1"/>
  <c r="D282" i="1"/>
  <c r="C283" i="1"/>
  <c r="B284" i="1"/>
  <c r="M281" i="1"/>
  <c r="BC282" i="1" l="1"/>
  <c r="BD282" i="1" s="1"/>
  <c r="BF284" i="1"/>
  <c r="AE280" i="1"/>
  <c r="P148" i="1"/>
  <c r="BE148" i="1" s="1"/>
  <c r="AN100" i="1"/>
  <c r="AN94" i="1"/>
  <c r="J283" i="1"/>
  <c r="L284" i="1"/>
  <c r="BA146" i="1"/>
  <c r="AT148" i="1"/>
  <c r="AS148" i="1" s="1"/>
  <c r="N148" i="1"/>
  <c r="I148" i="1"/>
  <c r="Q148" i="1" s="1"/>
  <c r="AM148" i="1"/>
  <c r="A305" i="7"/>
  <c r="B304" i="7"/>
  <c r="K284" i="1"/>
  <c r="AU284" i="1"/>
  <c r="AA284" i="1"/>
  <c r="S284" i="1"/>
  <c r="G282" i="1"/>
  <c r="H282" i="1" s="1"/>
  <c r="AI283" i="1"/>
  <c r="AJ283" i="1" s="1"/>
  <c r="AW284" i="1"/>
  <c r="AC281" i="1"/>
  <c r="Z284" i="1"/>
  <c r="BB283" i="1" s="1"/>
  <c r="A285" i="1"/>
  <c r="AK285" i="1" s="1"/>
  <c r="D283" i="1"/>
  <c r="E283" i="1"/>
  <c r="F283" i="1" s="1"/>
  <c r="C284" i="1"/>
  <c r="B285" i="1"/>
  <c r="M282" i="1"/>
  <c r="BC283" i="1" l="1"/>
  <c r="BD283" i="1" s="1"/>
  <c r="BF285" i="1"/>
  <c r="AE281" i="1"/>
  <c r="V148" i="1"/>
  <c r="Y148" i="1"/>
  <c r="X148" i="1" s="1"/>
  <c r="AF148" i="1" s="1"/>
  <c r="AY148" i="1"/>
  <c r="AQ148" i="1"/>
  <c r="AO94" i="1"/>
  <c r="AO100" i="1"/>
  <c r="J284" i="1"/>
  <c r="L285" i="1"/>
  <c r="AH147" i="1"/>
  <c r="AG147" i="1"/>
  <c r="O148" i="1"/>
  <c r="A306" i="7"/>
  <c r="B305" i="7"/>
  <c r="K285" i="1"/>
  <c r="AU285" i="1"/>
  <c r="G283" i="1"/>
  <c r="H283" i="1" s="1"/>
  <c r="AA285" i="1"/>
  <c r="S285" i="1"/>
  <c r="AI284" i="1"/>
  <c r="AJ284" i="1" s="1"/>
  <c r="AW285" i="1"/>
  <c r="Z285" i="1"/>
  <c r="BB284" i="1" s="1"/>
  <c r="AC282" i="1"/>
  <c r="A286" i="1"/>
  <c r="AK286" i="1" s="1"/>
  <c r="E284" i="1"/>
  <c r="F284" i="1" s="1"/>
  <c r="D284" i="1"/>
  <c r="M283" i="1"/>
  <c r="C285" i="1"/>
  <c r="B286" i="1"/>
  <c r="BC284" i="1" l="1"/>
  <c r="BD284" i="1" s="1"/>
  <c r="BF286" i="1"/>
  <c r="AE282" i="1"/>
  <c r="AH148" i="1"/>
  <c r="I149" i="1"/>
  <c r="Q149" i="1" s="1"/>
  <c r="P149" i="1"/>
  <c r="BE149" i="1" s="1"/>
  <c r="AP94" i="1"/>
  <c r="AX95" i="1" s="1"/>
  <c r="AP100" i="1"/>
  <c r="AX101" i="1" s="1"/>
  <c r="J285" i="1"/>
  <c r="L286" i="1"/>
  <c r="BA147" i="1"/>
  <c r="N149" i="1"/>
  <c r="AM149" i="1"/>
  <c r="AT149" i="1"/>
  <c r="AS149" i="1" s="1"/>
  <c r="A307" i="7"/>
  <c r="B306" i="7"/>
  <c r="K286" i="1"/>
  <c r="AU286" i="1"/>
  <c r="AA286" i="1"/>
  <c r="S286" i="1"/>
  <c r="G284" i="1"/>
  <c r="H284" i="1" s="1"/>
  <c r="AI285" i="1"/>
  <c r="AJ285" i="1" s="1"/>
  <c r="AW286" i="1"/>
  <c r="AC283" i="1"/>
  <c r="Z286" i="1"/>
  <c r="BB285" i="1" s="1"/>
  <c r="A287" i="1"/>
  <c r="AK287" i="1" s="1"/>
  <c r="E285" i="1"/>
  <c r="F285" i="1" s="1"/>
  <c r="D285" i="1"/>
  <c r="C286" i="1"/>
  <c r="B287" i="1"/>
  <c r="M284" i="1"/>
  <c r="BC285" i="1" l="1"/>
  <c r="BD285" i="1" s="1"/>
  <c r="BF287" i="1"/>
  <c r="AE283" i="1"/>
  <c r="V149" i="1"/>
  <c r="Y149" i="1"/>
  <c r="X149" i="1" s="1"/>
  <c r="AF149" i="1" s="1"/>
  <c r="AG148" i="1"/>
  <c r="O149" i="1"/>
  <c r="P150" i="1" s="1"/>
  <c r="BE150" i="1" s="1"/>
  <c r="J286" i="1"/>
  <c r="L287" i="1"/>
  <c r="AY149" i="1"/>
  <c r="AQ149" i="1"/>
  <c r="A308" i="7"/>
  <c r="B307" i="7"/>
  <c r="K287" i="1"/>
  <c r="AU287" i="1"/>
  <c r="AA287" i="1"/>
  <c r="S287" i="1"/>
  <c r="G285" i="1"/>
  <c r="H285" i="1" s="1"/>
  <c r="AI286" i="1"/>
  <c r="AJ286" i="1" s="1"/>
  <c r="AW287" i="1"/>
  <c r="Z287" i="1"/>
  <c r="BB286" i="1" s="1"/>
  <c r="AC284" i="1"/>
  <c r="A288" i="1"/>
  <c r="E286" i="1"/>
  <c r="F286" i="1" s="1"/>
  <c r="D286" i="1"/>
  <c r="C287" i="1"/>
  <c r="B288" i="1"/>
  <c r="M285" i="1"/>
  <c r="BC286" i="1" l="1"/>
  <c r="BD286" i="1" s="1"/>
  <c r="BF288" i="1"/>
  <c r="AE284" i="1"/>
  <c r="V150" i="1"/>
  <c r="Y150" i="1"/>
  <c r="X150" i="1" s="1"/>
  <c r="AF150" i="1" s="1"/>
  <c r="AM150" i="1"/>
  <c r="BA148" i="1"/>
  <c r="I150" i="1"/>
  <c r="Q150" i="1" s="1"/>
  <c r="N150" i="1"/>
  <c r="AT150" i="1"/>
  <c r="AS150" i="1" s="1"/>
  <c r="AQ150" i="1" s="1"/>
  <c r="U101" i="1"/>
  <c r="U95" i="1"/>
  <c r="J287" i="1"/>
  <c r="L288" i="1"/>
  <c r="AY150" i="1"/>
  <c r="AG149" i="1"/>
  <c r="A309" i="7"/>
  <c r="B308" i="7"/>
  <c r="K288" i="1"/>
  <c r="AU288" i="1"/>
  <c r="AA288" i="1"/>
  <c r="S288" i="1"/>
  <c r="G286" i="1"/>
  <c r="H286" i="1" s="1"/>
  <c r="AI287" i="1"/>
  <c r="AJ287" i="1" s="1"/>
  <c r="AK288" i="1"/>
  <c r="AP288" i="1"/>
  <c r="AW288" i="1"/>
  <c r="AC285" i="1"/>
  <c r="Z288" i="1"/>
  <c r="BB287" i="1" s="1"/>
  <c r="A289" i="1"/>
  <c r="AK289" i="1" s="1"/>
  <c r="M286" i="1"/>
  <c r="D287" i="1"/>
  <c r="E287" i="1"/>
  <c r="F287" i="1" s="1"/>
  <c r="C288" i="1"/>
  <c r="B289" i="1"/>
  <c r="BC287" i="1" l="1"/>
  <c r="BD287" i="1" s="1"/>
  <c r="BF289" i="1"/>
  <c r="AE285" i="1"/>
  <c r="O150" i="1"/>
  <c r="P151" i="1" s="1"/>
  <c r="BE151" i="1" s="1"/>
  <c r="AL95" i="1"/>
  <c r="AL101" i="1"/>
  <c r="J288" i="1"/>
  <c r="L289" i="1"/>
  <c r="AG150" i="1"/>
  <c r="AH149" i="1"/>
  <c r="A310" i="7"/>
  <c r="B309" i="7"/>
  <c r="K289" i="1"/>
  <c r="AU289" i="1"/>
  <c r="AA289" i="1"/>
  <c r="S289" i="1"/>
  <c r="G287" i="1"/>
  <c r="H287" i="1" s="1"/>
  <c r="AI288" i="1"/>
  <c r="AJ288" i="1" s="1"/>
  <c r="AW289" i="1"/>
  <c r="AC286" i="1"/>
  <c r="Z289" i="1"/>
  <c r="BB288" i="1" s="1"/>
  <c r="A290" i="1"/>
  <c r="AK290" i="1" s="1"/>
  <c r="E288" i="1"/>
  <c r="F288" i="1" s="1"/>
  <c r="D288" i="1"/>
  <c r="C289" i="1"/>
  <c r="B290" i="1"/>
  <c r="M287" i="1"/>
  <c r="BC288" i="1" l="1"/>
  <c r="BD288" i="1" s="1"/>
  <c r="BF290" i="1"/>
  <c r="AE286" i="1"/>
  <c r="V151" i="1"/>
  <c r="Y151" i="1"/>
  <c r="X151" i="1" s="1"/>
  <c r="AF151" i="1" s="1"/>
  <c r="I151" i="1"/>
  <c r="Q151" i="1" s="1"/>
  <c r="AT151" i="1"/>
  <c r="AS151" i="1" s="1"/>
  <c r="AQ151" i="1" s="1"/>
  <c r="AM151" i="1"/>
  <c r="N151" i="1"/>
  <c r="AN95" i="1"/>
  <c r="AN101" i="1"/>
  <c r="J289" i="1"/>
  <c r="L290" i="1"/>
  <c r="AY151" i="1"/>
  <c r="BA149" i="1"/>
  <c r="AH150" i="1"/>
  <c r="A311" i="7"/>
  <c r="B310" i="7"/>
  <c r="K290" i="1"/>
  <c r="AU290" i="1"/>
  <c r="AA290" i="1"/>
  <c r="S290" i="1"/>
  <c r="G288" i="1"/>
  <c r="H288" i="1" s="1"/>
  <c r="AI289" i="1"/>
  <c r="AJ289" i="1" s="1"/>
  <c r="AW290" i="1"/>
  <c r="AC287" i="1"/>
  <c r="Z290" i="1"/>
  <c r="BB289" i="1" s="1"/>
  <c r="A291" i="1"/>
  <c r="AK291" i="1" s="1"/>
  <c r="M288" i="1"/>
  <c r="E289" i="1"/>
  <c r="F289" i="1" s="1"/>
  <c r="D289" i="1"/>
  <c r="C290" i="1"/>
  <c r="B291" i="1"/>
  <c r="BC289" i="1" l="1"/>
  <c r="BD289" i="1" s="1"/>
  <c r="BF291" i="1"/>
  <c r="AE287" i="1"/>
  <c r="O151" i="1"/>
  <c r="P152" i="1" s="1"/>
  <c r="BE152" i="1" s="1"/>
  <c r="AO95" i="1"/>
  <c r="AO101" i="1"/>
  <c r="J290" i="1"/>
  <c r="L291" i="1"/>
  <c r="AG151" i="1"/>
  <c r="BA150" i="1"/>
  <c r="A312" i="7"/>
  <c r="B311" i="7"/>
  <c r="K291" i="1"/>
  <c r="AU291" i="1"/>
  <c r="G289" i="1"/>
  <c r="H289" i="1" s="1"/>
  <c r="AA291" i="1"/>
  <c r="S291" i="1"/>
  <c r="AI290" i="1"/>
  <c r="AJ290" i="1" s="1"/>
  <c r="AW291" i="1"/>
  <c r="Z291" i="1"/>
  <c r="BB290" i="1" s="1"/>
  <c r="AC288" i="1"/>
  <c r="A292" i="1"/>
  <c r="AK292" i="1" s="1"/>
  <c r="E290" i="1"/>
  <c r="F290" i="1" s="1"/>
  <c r="D290" i="1"/>
  <c r="M289" i="1"/>
  <c r="C291" i="1"/>
  <c r="B292" i="1"/>
  <c r="BC290" i="1" l="1"/>
  <c r="BD290" i="1" s="1"/>
  <c r="BF292" i="1"/>
  <c r="AE288" i="1"/>
  <c r="V152" i="1"/>
  <c r="Y152" i="1"/>
  <c r="X152" i="1" s="1"/>
  <c r="AF152" i="1" s="1"/>
  <c r="AM152" i="1"/>
  <c r="N152" i="1"/>
  <c r="I152" i="1"/>
  <c r="Q152" i="1" s="1"/>
  <c r="AT152" i="1"/>
  <c r="AS152" i="1" s="1"/>
  <c r="AQ152" i="1" s="1"/>
  <c r="AY152" i="1"/>
  <c r="AP95" i="1"/>
  <c r="AX96" i="1" s="1"/>
  <c r="AP101" i="1"/>
  <c r="AX102" i="1" s="1"/>
  <c r="J291" i="1"/>
  <c r="L292" i="1"/>
  <c r="AH151" i="1"/>
  <c r="A313" i="7"/>
  <c r="B312" i="7"/>
  <c r="K292" i="1"/>
  <c r="AU292" i="1"/>
  <c r="AA292" i="1"/>
  <c r="S292" i="1"/>
  <c r="G290" i="1"/>
  <c r="H290" i="1" s="1"/>
  <c r="AI291" i="1"/>
  <c r="AJ291" i="1" s="1"/>
  <c r="AW292" i="1"/>
  <c r="AC289" i="1"/>
  <c r="Z292" i="1"/>
  <c r="BB291" i="1" s="1"/>
  <c r="A293" i="1"/>
  <c r="AK293" i="1" s="1"/>
  <c r="M290" i="1"/>
  <c r="C292" i="1"/>
  <c r="B293" i="1"/>
  <c r="D291" i="1"/>
  <c r="E291" i="1"/>
  <c r="F291" i="1" s="1"/>
  <c r="BC291" i="1" l="1"/>
  <c r="BD291" i="1" s="1"/>
  <c r="BF293" i="1"/>
  <c r="AE289" i="1"/>
  <c r="O152" i="1"/>
  <c r="P153" i="1" s="1"/>
  <c r="BE153" i="1" s="1"/>
  <c r="AG152" i="1"/>
  <c r="J292" i="1"/>
  <c r="L293" i="1"/>
  <c r="BA151" i="1"/>
  <c r="A314" i="7"/>
  <c r="B313" i="7"/>
  <c r="K293" i="1"/>
  <c r="AU293" i="1"/>
  <c r="AA293" i="1"/>
  <c r="S293" i="1"/>
  <c r="G291" i="1"/>
  <c r="H291" i="1" s="1"/>
  <c r="AI292" i="1"/>
  <c r="AJ292" i="1" s="1"/>
  <c r="AW293" i="1"/>
  <c r="AC290" i="1"/>
  <c r="Z293" i="1"/>
  <c r="BB292" i="1" s="1"/>
  <c r="A294" i="1"/>
  <c r="AK294" i="1" s="1"/>
  <c r="M291" i="1"/>
  <c r="E292" i="1"/>
  <c r="F292" i="1" s="1"/>
  <c r="D292" i="1"/>
  <c r="C293" i="1"/>
  <c r="B294" i="1"/>
  <c r="BC292" i="1" l="1"/>
  <c r="BD292" i="1" s="1"/>
  <c r="BF294" i="1"/>
  <c r="AE290" i="1"/>
  <c r="BA152" i="1"/>
  <c r="V153" i="1"/>
  <c r="Y153" i="1"/>
  <c r="X153" i="1" s="1"/>
  <c r="AF153" i="1" s="1"/>
  <c r="N153" i="1"/>
  <c r="AT153" i="1"/>
  <c r="AS153" i="1" s="1"/>
  <c r="AQ153" i="1" s="1"/>
  <c r="AM153" i="1"/>
  <c r="I153" i="1"/>
  <c r="Q153" i="1" s="1"/>
  <c r="AH152" i="1"/>
  <c r="AY153" i="1"/>
  <c r="U96" i="1"/>
  <c r="U102" i="1"/>
  <c r="J293" i="1"/>
  <c r="L294" i="1"/>
  <c r="A315" i="7"/>
  <c r="B314" i="7"/>
  <c r="K294" i="1"/>
  <c r="AU294" i="1"/>
  <c r="AA294" i="1"/>
  <c r="S294" i="1"/>
  <c r="G292" i="1"/>
  <c r="H292" i="1" s="1"/>
  <c r="AI293" i="1"/>
  <c r="AJ293" i="1" s="1"/>
  <c r="AW294" i="1"/>
  <c r="AC291" i="1"/>
  <c r="Z294" i="1"/>
  <c r="BB293" i="1" s="1"/>
  <c r="A295" i="1"/>
  <c r="AK295" i="1" s="1"/>
  <c r="E293" i="1"/>
  <c r="F293" i="1" s="1"/>
  <c r="D293" i="1"/>
  <c r="M292" i="1"/>
  <c r="C294" i="1"/>
  <c r="B295" i="1"/>
  <c r="BC293" i="1" l="1"/>
  <c r="BD293" i="1" s="1"/>
  <c r="BF295" i="1"/>
  <c r="AE291" i="1"/>
  <c r="O153" i="1"/>
  <c r="N154" i="1" s="1"/>
  <c r="AL96" i="1"/>
  <c r="AL102" i="1"/>
  <c r="J294" i="1"/>
  <c r="L295" i="1"/>
  <c r="A316" i="7"/>
  <c r="B315" i="7"/>
  <c r="K295" i="1"/>
  <c r="AU295" i="1"/>
  <c r="G293" i="1"/>
  <c r="H293" i="1" s="1"/>
  <c r="AA295" i="1"/>
  <c r="S295" i="1"/>
  <c r="AI294" i="1"/>
  <c r="AJ294" i="1" s="1"/>
  <c r="AW295" i="1"/>
  <c r="Z295" i="1"/>
  <c r="BB294" i="1" s="1"/>
  <c r="AC292" i="1"/>
  <c r="A296" i="1"/>
  <c r="AK296" i="1" s="1"/>
  <c r="C295" i="1"/>
  <c r="B296" i="1"/>
  <c r="M293" i="1"/>
  <c r="E294" i="1"/>
  <c r="F294" i="1" s="1"/>
  <c r="D294" i="1"/>
  <c r="BC294" i="1" l="1"/>
  <c r="BD294" i="1" s="1"/>
  <c r="BF296" i="1"/>
  <c r="AE292" i="1"/>
  <c r="AT154" i="1"/>
  <c r="AS154" i="1" s="1"/>
  <c r="I154" i="1"/>
  <c r="Q154" i="1" s="1"/>
  <c r="AM154" i="1"/>
  <c r="P154" i="1"/>
  <c r="BE154" i="1" s="1"/>
  <c r="AH153" i="1"/>
  <c r="AG153" i="1"/>
  <c r="BA153" i="1" s="1"/>
  <c r="AN96" i="1"/>
  <c r="AN102" i="1"/>
  <c r="J295" i="1"/>
  <c r="L296" i="1"/>
  <c r="A317" i="7"/>
  <c r="B316" i="7"/>
  <c r="K296" i="1"/>
  <c r="AU296" i="1"/>
  <c r="AA296" i="1"/>
  <c r="S296" i="1"/>
  <c r="G294" i="1"/>
  <c r="H294" i="1" s="1"/>
  <c r="AI295" i="1"/>
  <c r="AJ295" i="1" s="1"/>
  <c r="AW296" i="1"/>
  <c r="AC293" i="1"/>
  <c r="Z296" i="1"/>
  <c r="BB295" i="1" s="1"/>
  <c r="A297" i="1"/>
  <c r="AK297" i="1" s="1"/>
  <c r="M294" i="1"/>
  <c r="C296" i="1"/>
  <c r="B297" i="1"/>
  <c r="D295" i="1"/>
  <c r="E295" i="1"/>
  <c r="F295" i="1" s="1"/>
  <c r="BC295" i="1" l="1"/>
  <c r="BD295" i="1" s="1"/>
  <c r="BF297" i="1"/>
  <c r="AE293" i="1"/>
  <c r="O154" i="1"/>
  <c r="P155" i="1" s="1"/>
  <c r="BE155" i="1" s="1"/>
  <c r="V154" i="1"/>
  <c r="Y154" i="1"/>
  <c r="X154" i="1" s="1"/>
  <c r="AY154" i="1"/>
  <c r="AQ154" i="1"/>
  <c r="AO96" i="1"/>
  <c r="AO102" i="1"/>
  <c r="J296" i="1"/>
  <c r="L297" i="1"/>
  <c r="A318" i="7"/>
  <c r="B317" i="7"/>
  <c r="K297" i="1"/>
  <c r="AU297" i="1"/>
  <c r="AA297" i="1"/>
  <c r="S297" i="1"/>
  <c r="G295" i="1"/>
  <c r="H295" i="1" s="1"/>
  <c r="AI296" i="1"/>
  <c r="AJ296" i="1" s="1"/>
  <c r="AW297" i="1"/>
  <c r="Z297" i="1"/>
  <c r="BB296" i="1" s="1"/>
  <c r="AC294" i="1"/>
  <c r="A298" i="1"/>
  <c r="AK298" i="1" s="1"/>
  <c r="C297" i="1"/>
  <c r="B298" i="1"/>
  <c r="M295" i="1"/>
  <c r="E296" i="1"/>
  <c r="F296" i="1" s="1"/>
  <c r="D296" i="1"/>
  <c r="AT155" i="1" l="1"/>
  <c r="AS155" i="1" s="1"/>
  <c r="BC296" i="1"/>
  <c r="BD296" i="1" s="1"/>
  <c r="BF298" i="1"/>
  <c r="AE294" i="1"/>
  <c r="AF154" i="1"/>
  <c r="AM155" i="1"/>
  <c r="I155" i="1"/>
  <c r="Q155" i="1" s="1"/>
  <c r="N155" i="1"/>
  <c r="V155" i="1"/>
  <c r="Y155" i="1"/>
  <c r="X155" i="1" s="1"/>
  <c r="AF155" i="1" s="1"/>
  <c r="AP102" i="1"/>
  <c r="AX103" i="1" s="1"/>
  <c r="J297" i="1"/>
  <c r="L298" i="1"/>
  <c r="AY155" i="1"/>
  <c r="AQ155" i="1"/>
  <c r="A319" i="7"/>
  <c r="B318" i="7"/>
  <c r="K298" i="1"/>
  <c r="AU298" i="1"/>
  <c r="AA298" i="1"/>
  <c r="S298" i="1"/>
  <c r="G296" i="1"/>
  <c r="H296" i="1" s="1"/>
  <c r="AI297" i="1"/>
  <c r="AJ297" i="1" s="1"/>
  <c r="AW298" i="1"/>
  <c r="AC295" i="1"/>
  <c r="Z298" i="1"/>
  <c r="BB297" i="1" s="1"/>
  <c r="A299" i="1"/>
  <c r="AK299" i="1" s="1"/>
  <c r="C298" i="1"/>
  <c r="B299" i="1"/>
  <c r="M296" i="1"/>
  <c r="E297" i="1"/>
  <c r="F297" i="1" s="1"/>
  <c r="D297" i="1"/>
  <c r="BC297" i="1" l="1"/>
  <c r="BD297" i="1" s="1"/>
  <c r="BF299" i="1"/>
  <c r="AG154" i="1"/>
  <c r="BA154" i="1" s="1"/>
  <c r="AH154" i="1"/>
  <c r="AE295" i="1"/>
  <c r="O155" i="1"/>
  <c r="AT156" i="1" s="1"/>
  <c r="AS156" i="1" s="1"/>
  <c r="J298" i="1"/>
  <c r="L299" i="1"/>
  <c r="A320" i="7"/>
  <c r="B319" i="7"/>
  <c r="K299" i="1"/>
  <c r="AU299" i="1"/>
  <c r="AA299" i="1"/>
  <c r="S299" i="1"/>
  <c r="G297" i="1"/>
  <c r="H297" i="1" s="1"/>
  <c r="AI298" i="1"/>
  <c r="AJ298" i="1" s="1"/>
  <c r="AW299" i="1"/>
  <c r="AC296" i="1"/>
  <c r="Z299" i="1"/>
  <c r="BB298" i="1" s="1"/>
  <c r="A300" i="1"/>
  <c r="M297" i="1"/>
  <c r="C299" i="1"/>
  <c r="B300" i="1"/>
  <c r="E298" i="1"/>
  <c r="F298" i="1" s="1"/>
  <c r="D298" i="1"/>
  <c r="BC298" i="1" l="1"/>
  <c r="BD298" i="1" s="1"/>
  <c r="BF300" i="1"/>
  <c r="AE296" i="1"/>
  <c r="AM156" i="1"/>
  <c r="P156" i="1"/>
  <c r="BE156" i="1" s="1"/>
  <c r="I156" i="1"/>
  <c r="Q156" i="1" s="1"/>
  <c r="N156" i="1"/>
  <c r="U103" i="1"/>
  <c r="J299" i="1"/>
  <c r="AH155" i="1"/>
  <c r="AG155" i="1"/>
  <c r="L300" i="1"/>
  <c r="A321" i="7"/>
  <c r="B320" i="7"/>
  <c r="K300" i="1"/>
  <c r="AU300" i="1"/>
  <c r="G298" i="1"/>
  <c r="H298" i="1" s="1"/>
  <c r="AA300" i="1"/>
  <c r="S300" i="1"/>
  <c r="AP300" i="1"/>
  <c r="AK300" i="1"/>
  <c r="AI299" i="1"/>
  <c r="AJ299" i="1" s="1"/>
  <c r="AW300" i="1"/>
  <c r="U109" i="1"/>
  <c r="Z300" i="1"/>
  <c r="BB299" i="1" s="1"/>
  <c r="AC297" i="1"/>
  <c r="A301" i="1"/>
  <c r="AK301" i="1" s="1"/>
  <c r="M298" i="1"/>
  <c r="D299" i="1"/>
  <c r="E299" i="1"/>
  <c r="F299" i="1" s="1"/>
  <c r="C300" i="1"/>
  <c r="B301" i="1"/>
  <c r="BC299" i="1" l="1"/>
  <c r="BD299" i="1" s="1"/>
  <c r="BF301" i="1"/>
  <c r="V156" i="1"/>
  <c r="AE297" i="1"/>
  <c r="O156" i="1"/>
  <c r="P157" i="1" s="1"/>
  <c r="BE157" i="1" s="1"/>
  <c r="AQ156" i="1"/>
  <c r="AY156" i="1"/>
  <c r="Y156" i="1"/>
  <c r="X156" i="1" s="1"/>
  <c r="AL109" i="1"/>
  <c r="AL103" i="1"/>
  <c r="J300" i="1"/>
  <c r="L301" i="1"/>
  <c r="BA155" i="1"/>
  <c r="A322" i="7"/>
  <c r="B321" i="7"/>
  <c r="K301" i="1"/>
  <c r="AU301" i="1"/>
  <c r="AA301" i="1"/>
  <c r="S301" i="1"/>
  <c r="G299" i="1"/>
  <c r="H299" i="1" s="1"/>
  <c r="AI300" i="1"/>
  <c r="AJ300" i="1" s="1"/>
  <c r="AW301" i="1"/>
  <c r="AC298" i="1"/>
  <c r="Z301" i="1"/>
  <c r="BB300" i="1" s="1"/>
  <c r="A302" i="1"/>
  <c r="AK302" i="1" s="1"/>
  <c r="M299" i="1"/>
  <c r="C301" i="1"/>
  <c r="B302" i="1"/>
  <c r="E300" i="1"/>
  <c r="F300" i="1" s="1"/>
  <c r="D300" i="1"/>
  <c r="BC300" i="1" l="1"/>
  <c r="BD300" i="1" s="1"/>
  <c r="BF302" i="1"/>
  <c r="AE298" i="1"/>
  <c r="AF156" i="1"/>
  <c r="AG156" i="1" s="1"/>
  <c r="AT157" i="1"/>
  <c r="AS157" i="1" s="1"/>
  <c r="AQ157" i="1" s="1"/>
  <c r="I157" i="1"/>
  <c r="Q157" i="1" s="1"/>
  <c r="N157" i="1"/>
  <c r="AM157" i="1"/>
  <c r="V157" i="1"/>
  <c r="Y157" i="1"/>
  <c r="X157" i="1" s="1"/>
  <c r="AF157" i="1" s="1"/>
  <c r="AN109" i="1"/>
  <c r="AN103" i="1"/>
  <c r="J301" i="1"/>
  <c r="AY157" i="1"/>
  <c r="L302" i="1"/>
  <c r="A323" i="7"/>
  <c r="B322" i="7"/>
  <c r="K302" i="1"/>
  <c r="AU302" i="1"/>
  <c r="AA302" i="1"/>
  <c r="S302" i="1"/>
  <c r="G300" i="1"/>
  <c r="H300" i="1" s="1"/>
  <c r="AI301" i="1"/>
  <c r="AJ301" i="1" s="1"/>
  <c r="AW302" i="1"/>
  <c r="AC299" i="1"/>
  <c r="Z302" i="1"/>
  <c r="BB301" i="1" s="1"/>
  <c r="A303" i="1"/>
  <c r="AK303" i="1" s="1"/>
  <c r="M300" i="1"/>
  <c r="E301" i="1"/>
  <c r="F301" i="1" s="1"/>
  <c r="D301" i="1"/>
  <c r="C302" i="1"/>
  <c r="B303" i="1"/>
  <c r="BC301" i="1" l="1"/>
  <c r="BD301" i="1" s="1"/>
  <c r="BF303" i="1"/>
  <c r="AH156" i="1"/>
  <c r="AE299" i="1"/>
  <c r="O157" i="1"/>
  <c r="AM158" i="1" s="1"/>
  <c r="AO109" i="1"/>
  <c r="AO103" i="1"/>
  <c r="J302" i="1"/>
  <c r="L303" i="1"/>
  <c r="BA156" i="1"/>
  <c r="A324" i="7"/>
  <c r="B323" i="7"/>
  <c r="K303" i="1"/>
  <c r="AU303" i="1"/>
  <c r="AA303" i="1"/>
  <c r="S303" i="1"/>
  <c r="G301" i="1"/>
  <c r="H301" i="1" s="1"/>
  <c r="AI302" i="1"/>
  <c r="AJ302" i="1" s="1"/>
  <c r="AW303" i="1"/>
  <c r="Z303" i="1"/>
  <c r="BB302" i="1" s="1"/>
  <c r="AC300" i="1"/>
  <c r="A304" i="1"/>
  <c r="AK304" i="1" s="1"/>
  <c r="M301" i="1"/>
  <c r="E302" i="1"/>
  <c r="F302" i="1" s="1"/>
  <c r="D302" i="1"/>
  <c r="C303" i="1"/>
  <c r="B304" i="1"/>
  <c r="BC302" i="1" l="1"/>
  <c r="BD302" i="1" s="1"/>
  <c r="BF304" i="1"/>
  <c r="AX157" i="1"/>
  <c r="AE300" i="1"/>
  <c r="N158" i="1"/>
  <c r="P158" i="1"/>
  <c r="BE158" i="1" s="1"/>
  <c r="I158" i="1"/>
  <c r="Q158" i="1" s="1"/>
  <c r="AT158" i="1"/>
  <c r="AS158" i="1" s="1"/>
  <c r="AP109" i="1"/>
  <c r="AX110" i="1" s="1"/>
  <c r="AP103" i="1"/>
  <c r="AX104" i="1" s="1"/>
  <c r="J303" i="1"/>
  <c r="L304" i="1"/>
  <c r="A325" i="7"/>
  <c r="B324" i="7"/>
  <c r="K304" i="1"/>
  <c r="AU304" i="1"/>
  <c r="AA304" i="1"/>
  <c r="S304" i="1"/>
  <c r="G302" i="1"/>
  <c r="H302" i="1" s="1"/>
  <c r="AI303" i="1"/>
  <c r="AJ303" i="1" s="1"/>
  <c r="AW304" i="1"/>
  <c r="AC301" i="1"/>
  <c r="Z304" i="1"/>
  <c r="BB303" i="1" s="1"/>
  <c r="A305" i="1"/>
  <c r="AK305" i="1" s="1"/>
  <c r="C304" i="1"/>
  <c r="B305" i="1"/>
  <c r="M302" i="1"/>
  <c r="D303" i="1"/>
  <c r="E303" i="1"/>
  <c r="F303" i="1" s="1"/>
  <c r="BC303" i="1" l="1"/>
  <c r="BD303" i="1" s="1"/>
  <c r="BF305" i="1"/>
  <c r="V158" i="1"/>
  <c r="AE301" i="1"/>
  <c r="AQ158" i="1"/>
  <c r="AY158" i="1"/>
  <c r="Y158" i="1"/>
  <c r="X158" i="1" s="1"/>
  <c r="AF158" i="1" s="1"/>
  <c r="O158" i="1"/>
  <c r="P159" i="1" s="1"/>
  <c r="BE159" i="1" s="1"/>
  <c r="AH157" i="1"/>
  <c r="AG157" i="1"/>
  <c r="J304" i="1"/>
  <c r="L305" i="1"/>
  <c r="A326" i="7"/>
  <c r="B325" i="7"/>
  <c r="K305" i="1"/>
  <c r="AU305" i="1"/>
  <c r="G303" i="1"/>
  <c r="H303" i="1" s="1"/>
  <c r="AA305" i="1"/>
  <c r="S305" i="1"/>
  <c r="AI304" i="1"/>
  <c r="AJ304" i="1" s="1"/>
  <c r="AW305" i="1"/>
  <c r="AC302" i="1"/>
  <c r="Z305" i="1"/>
  <c r="BB304" i="1" s="1"/>
  <c r="A306" i="1"/>
  <c r="AK306" i="1" s="1"/>
  <c r="E304" i="1"/>
  <c r="F304" i="1" s="1"/>
  <c r="D304" i="1"/>
  <c r="M303" i="1"/>
  <c r="C305" i="1"/>
  <c r="B306" i="1"/>
  <c r="BC304" i="1" l="1"/>
  <c r="BD304" i="1" s="1"/>
  <c r="BF306" i="1"/>
  <c r="V159" i="1"/>
  <c r="AE302" i="1"/>
  <c r="AH158" i="1"/>
  <c r="AT159" i="1"/>
  <c r="AS159" i="1" s="1"/>
  <c r="AQ159" i="1" s="1"/>
  <c r="AM159" i="1"/>
  <c r="AY159" i="1"/>
  <c r="AG158" i="1"/>
  <c r="BA158" i="1" s="1"/>
  <c r="N159" i="1"/>
  <c r="Y159" i="1"/>
  <c r="X159" i="1" s="1"/>
  <c r="AF159" i="1" s="1"/>
  <c r="I159" i="1"/>
  <c r="Q159" i="1" s="1"/>
  <c r="U110" i="1"/>
  <c r="U104" i="1"/>
  <c r="BA157" i="1"/>
  <c r="J305" i="1"/>
  <c r="L306" i="1"/>
  <c r="A327" i="7"/>
  <c r="B326" i="7"/>
  <c r="K306" i="1"/>
  <c r="AU306" i="1"/>
  <c r="AA306" i="1"/>
  <c r="S306" i="1"/>
  <c r="G304" i="1"/>
  <c r="H304" i="1" s="1"/>
  <c r="AI305" i="1"/>
  <c r="AJ305" i="1" s="1"/>
  <c r="AW306" i="1"/>
  <c r="Z306" i="1"/>
  <c r="BB305" i="1" s="1"/>
  <c r="AC303" i="1"/>
  <c r="A307" i="1"/>
  <c r="AK307" i="1" s="1"/>
  <c r="M304" i="1"/>
  <c r="C306" i="1"/>
  <c r="B307" i="1"/>
  <c r="E305" i="1"/>
  <c r="F305" i="1" s="1"/>
  <c r="D305" i="1"/>
  <c r="BC305" i="1" l="1"/>
  <c r="BD305" i="1" s="1"/>
  <c r="BF307" i="1"/>
  <c r="AE303" i="1"/>
  <c r="O159" i="1"/>
  <c r="I160" i="1" s="1"/>
  <c r="Q160" i="1" s="1"/>
  <c r="AL110" i="1"/>
  <c r="AL104" i="1"/>
  <c r="J306" i="1"/>
  <c r="AG159" i="1"/>
  <c r="L307" i="1"/>
  <c r="A328" i="7"/>
  <c r="B327" i="7"/>
  <c r="K307" i="1"/>
  <c r="AU307" i="1"/>
  <c r="AA307" i="1"/>
  <c r="S307" i="1"/>
  <c r="G305" i="1"/>
  <c r="H305" i="1" s="1"/>
  <c r="AI306" i="1"/>
  <c r="AJ306" i="1" s="1"/>
  <c r="AW307" i="1"/>
  <c r="AC304" i="1"/>
  <c r="Z307" i="1"/>
  <c r="BB306" i="1" s="1"/>
  <c r="A308" i="1"/>
  <c r="AK308" i="1" s="1"/>
  <c r="M305" i="1"/>
  <c r="E306" i="1"/>
  <c r="F306" i="1" s="1"/>
  <c r="D306" i="1"/>
  <c r="C307" i="1"/>
  <c r="B308" i="1"/>
  <c r="BC306" i="1" l="1"/>
  <c r="BD306" i="1" s="1"/>
  <c r="BF308" i="1"/>
  <c r="AE304" i="1"/>
  <c r="AM160" i="1"/>
  <c r="AH159" i="1"/>
  <c r="P160" i="1"/>
  <c r="BE160" i="1" s="1"/>
  <c r="N160" i="1"/>
  <c r="O160" i="1" s="1"/>
  <c r="AT161" i="1" s="1"/>
  <c r="AS161" i="1" s="1"/>
  <c r="AT160" i="1"/>
  <c r="AS160" i="1" s="1"/>
  <c r="AN110" i="1"/>
  <c r="AN104" i="1"/>
  <c r="J307" i="1"/>
  <c r="L308" i="1"/>
  <c r="BA159" i="1"/>
  <c r="A329" i="7"/>
  <c r="B328" i="7"/>
  <c r="K308" i="1"/>
  <c r="AU308" i="1"/>
  <c r="AA308" i="1"/>
  <c r="S308" i="1"/>
  <c r="G306" i="1"/>
  <c r="H306" i="1" s="1"/>
  <c r="AI307" i="1"/>
  <c r="AJ307" i="1" s="1"/>
  <c r="AW308" i="1"/>
  <c r="AC305" i="1"/>
  <c r="Z308" i="1"/>
  <c r="BB307" i="1" s="1"/>
  <c r="A309" i="1"/>
  <c r="AK309" i="1" s="1"/>
  <c r="C308" i="1"/>
  <c r="B309" i="1"/>
  <c r="M306" i="1"/>
  <c r="D307" i="1"/>
  <c r="E307" i="1"/>
  <c r="F307" i="1" s="1"/>
  <c r="BC307" i="1" l="1"/>
  <c r="BD307" i="1" s="1"/>
  <c r="BF309" i="1"/>
  <c r="V160" i="1"/>
  <c r="AE305" i="1"/>
  <c r="AQ160" i="1"/>
  <c r="I161" i="1"/>
  <c r="Q161" i="1" s="1"/>
  <c r="AY160" i="1"/>
  <c r="P161" i="1"/>
  <c r="BE161" i="1" s="1"/>
  <c r="N161" i="1"/>
  <c r="AM161" i="1"/>
  <c r="Y160" i="1"/>
  <c r="X160" i="1" s="1"/>
  <c r="AO104" i="1"/>
  <c r="AO110" i="1"/>
  <c r="J308" i="1"/>
  <c r="L309" i="1"/>
  <c r="A330" i="7"/>
  <c r="B329" i="7"/>
  <c r="K309" i="1"/>
  <c r="AU309" i="1"/>
  <c r="G307" i="1"/>
  <c r="H307" i="1" s="1"/>
  <c r="AA309" i="1"/>
  <c r="S309" i="1"/>
  <c r="AI308" i="1"/>
  <c r="AJ308" i="1" s="1"/>
  <c r="AW309" i="1"/>
  <c r="AC306" i="1"/>
  <c r="Z309" i="1"/>
  <c r="BB308" i="1" s="1"/>
  <c r="A310" i="1"/>
  <c r="AK310" i="1" s="1"/>
  <c r="M307" i="1"/>
  <c r="C309" i="1"/>
  <c r="B310" i="1"/>
  <c r="E308" i="1"/>
  <c r="F308" i="1" s="1"/>
  <c r="D308" i="1"/>
  <c r="BC308" i="1" l="1"/>
  <c r="BD308" i="1" s="1"/>
  <c r="BF310" i="1"/>
  <c r="AE306" i="1"/>
  <c r="AF160" i="1"/>
  <c r="AG160" i="1" s="1"/>
  <c r="O161" i="1"/>
  <c r="P162" i="1" s="1"/>
  <c r="BE162" i="1" s="1"/>
  <c r="V161" i="1"/>
  <c r="AQ161" i="1"/>
  <c r="Y161" i="1"/>
  <c r="X161" i="1" s="1"/>
  <c r="AF161" i="1" s="1"/>
  <c r="AY161" i="1"/>
  <c r="AP110" i="1"/>
  <c r="AX111" i="1" s="1"/>
  <c r="AP104" i="1"/>
  <c r="AX105" i="1" s="1"/>
  <c r="J309" i="1"/>
  <c r="L310" i="1"/>
  <c r="A331" i="7"/>
  <c r="B330" i="7"/>
  <c r="K310" i="1"/>
  <c r="AU310" i="1"/>
  <c r="AA310" i="1"/>
  <c r="S310" i="1"/>
  <c r="G308" i="1"/>
  <c r="H308" i="1" s="1"/>
  <c r="AI309" i="1"/>
  <c r="AJ309" i="1" s="1"/>
  <c r="AW310" i="1"/>
  <c r="AC307" i="1"/>
  <c r="Z310" i="1"/>
  <c r="BB309" i="1" s="1"/>
  <c r="A311" i="1"/>
  <c r="AK311" i="1" s="1"/>
  <c r="E309" i="1"/>
  <c r="F309" i="1" s="1"/>
  <c r="D309" i="1"/>
  <c r="C310" i="1"/>
  <c r="B311" i="1"/>
  <c r="M308" i="1"/>
  <c r="BC309" i="1" l="1"/>
  <c r="BD309" i="1" s="1"/>
  <c r="BF311" i="1"/>
  <c r="Y162" i="1"/>
  <c r="X162" i="1" s="1"/>
  <c r="AF162" i="1" s="1"/>
  <c r="AE307" i="1"/>
  <c r="AH160" i="1"/>
  <c r="BA160" i="1"/>
  <c r="AT162" i="1"/>
  <c r="AS162" i="1" s="1"/>
  <c r="AQ162" i="1" s="1"/>
  <c r="V162" i="1"/>
  <c r="I162" i="1"/>
  <c r="Q162" i="1" s="1"/>
  <c r="AM162" i="1"/>
  <c r="N162" i="1"/>
  <c r="J310" i="1"/>
  <c r="AH161" i="1"/>
  <c r="AG161" i="1"/>
  <c r="L311" i="1"/>
  <c r="AY162" i="1"/>
  <c r="A332" i="7"/>
  <c r="B331" i="7"/>
  <c r="K311" i="1"/>
  <c r="AU311" i="1"/>
  <c r="G309" i="1"/>
  <c r="H309" i="1" s="1"/>
  <c r="AA311" i="1"/>
  <c r="S311" i="1"/>
  <c r="AI310" i="1"/>
  <c r="AJ310" i="1" s="1"/>
  <c r="AW311" i="1"/>
  <c r="AC308" i="1"/>
  <c r="Z311" i="1"/>
  <c r="BB310" i="1" s="1"/>
  <c r="A312" i="1"/>
  <c r="C311" i="1"/>
  <c r="B312" i="1"/>
  <c r="E310" i="1"/>
  <c r="F310" i="1" s="1"/>
  <c r="D310" i="1"/>
  <c r="M309" i="1"/>
  <c r="BC310" i="1" l="1"/>
  <c r="BD310" i="1" s="1"/>
  <c r="BF312" i="1"/>
  <c r="AE308" i="1"/>
  <c r="O162" i="1"/>
  <c r="P163" i="1" s="1"/>
  <c r="BE163" i="1" s="1"/>
  <c r="U105" i="1"/>
  <c r="U111" i="1"/>
  <c r="J311" i="1"/>
  <c r="L312" i="1"/>
  <c r="BA161" i="1"/>
  <c r="A333" i="7"/>
  <c r="B332" i="7"/>
  <c r="K312" i="1"/>
  <c r="AU312" i="1"/>
  <c r="G310" i="1"/>
  <c r="H310" i="1" s="1"/>
  <c r="AA312" i="1"/>
  <c r="S312" i="1"/>
  <c r="AI311" i="1"/>
  <c r="AJ311" i="1" s="1"/>
  <c r="AP312" i="1"/>
  <c r="AK312" i="1"/>
  <c r="AW312" i="1"/>
  <c r="AC309" i="1"/>
  <c r="Z312" i="1"/>
  <c r="BB311" i="1" s="1"/>
  <c r="A313" i="1"/>
  <c r="AK313" i="1" s="1"/>
  <c r="C312" i="1"/>
  <c r="B313" i="1"/>
  <c r="M310" i="1"/>
  <c r="D311" i="1"/>
  <c r="E311" i="1"/>
  <c r="F311" i="1" s="1"/>
  <c r="BC311" i="1" l="1"/>
  <c r="BD311" i="1" s="1"/>
  <c r="BF313" i="1"/>
  <c r="V163" i="1"/>
  <c r="I163" i="1"/>
  <c r="Q163" i="1" s="1"/>
  <c r="N163" i="1"/>
  <c r="AT163" i="1"/>
  <c r="AS163" i="1" s="1"/>
  <c r="AQ163" i="1" s="1"/>
  <c r="Y163" i="1"/>
  <c r="X163" i="1" s="1"/>
  <c r="AF163" i="1" s="1"/>
  <c r="AM163" i="1"/>
  <c r="AE309" i="1"/>
  <c r="AL111" i="1"/>
  <c r="AL105" i="1"/>
  <c r="J312" i="1"/>
  <c r="AH162" i="1"/>
  <c r="AG162" i="1"/>
  <c r="L313" i="1"/>
  <c r="AY163" i="1"/>
  <c r="A334" i="7"/>
  <c r="B333" i="7"/>
  <c r="K313" i="1"/>
  <c r="AU313" i="1"/>
  <c r="AA313" i="1"/>
  <c r="S313" i="1"/>
  <c r="G311" i="1"/>
  <c r="H311" i="1" s="1"/>
  <c r="AI312" i="1"/>
  <c r="AJ312" i="1" s="1"/>
  <c r="AW313" i="1"/>
  <c r="AC310" i="1"/>
  <c r="Z313" i="1"/>
  <c r="BB312" i="1" s="1"/>
  <c r="A314" i="1"/>
  <c r="AK314" i="1" s="1"/>
  <c r="C313" i="1"/>
  <c r="B314" i="1"/>
  <c r="M311" i="1"/>
  <c r="E312" i="1"/>
  <c r="F312" i="1" s="1"/>
  <c r="D312" i="1"/>
  <c r="BC312" i="1" l="1"/>
  <c r="BD312" i="1" s="1"/>
  <c r="BF314" i="1"/>
  <c r="O163" i="1"/>
  <c r="P164" i="1" s="1"/>
  <c r="BE164" i="1" s="1"/>
  <c r="AE310" i="1"/>
  <c r="AN111" i="1"/>
  <c r="AN105" i="1"/>
  <c r="J313" i="1"/>
  <c r="L314" i="1"/>
  <c r="BA162" i="1"/>
  <c r="AG163" i="1"/>
  <c r="A335" i="7"/>
  <c r="B334" i="7"/>
  <c r="K314" i="1"/>
  <c r="AU314" i="1"/>
  <c r="AA314" i="1"/>
  <c r="S314" i="1"/>
  <c r="G312" i="1"/>
  <c r="H312" i="1" s="1"/>
  <c r="AI313" i="1"/>
  <c r="AJ313" i="1" s="1"/>
  <c r="AW314" i="1"/>
  <c r="AC311" i="1"/>
  <c r="Z314" i="1"/>
  <c r="BB313" i="1" s="1"/>
  <c r="A315" i="1"/>
  <c r="AK315" i="1" s="1"/>
  <c r="E313" i="1"/>
  <c r="F313" i="1" s="1"/>
  <c r="D313" i="1"/>
  <c r="M312" i="1"/>
  <c r="C314" i="1"/>
  <c r="B315" i="1"/>
  <c r="BC313" i="1" l="1"/>
  <c r="BD313" i="1" s="1"/>
  <c r="BF315" i="1"/>
  <c r="V164" i="1"/>
  <c r="AT164" i="1"/>
  <c r="AS164" i="1" s="1"/>
  <c r="AQ164" i="1" s="1"/>
  <c r="I164" i="1"/>
  <c r="Q164" i="1" s="1"/>
  <c r="AM164" i="1"/>
  <c r="N164" i="1"/>
  <c r="Y164" i="1"/>
  <c r="X164" i="1" s="1"/>
  <c r="AF164" i="1" s="1"/>
  <c r="AE311" i="1"/>
  <c r="AO105" i="1"/>
  <c r="AO111" i="1"/>
  <c r="J314" i="1"/>
  <c r="L315" i="1"/>
  <c r="AH163" i="1"/>
  <c r="AY164" i="1"/>
  <c r="A336" i="7"/>
  <c r="B335" i="7"/>
  <c r="K315" i="1"/>
  <c r="AU315" i="1"/>
  <c r="G313" i="1"/>
  <c r="H313" i="1" s="1"/>
  <c r="AA315" i="1"/>
  <c r="S315" i="1"/>
  <c r="AI314" i="1"/>
  <c r="AJ314" i="1" s="1"/>
  <c r="AW315" i="1"/>
  <c r="AC312" i="1"/>
  <c r="Z315" i="1"/>
  <c r="BB314" i="1" s="1"/>
  <c r="A316" i="1"/>
  <c r="AK316" i="1" s="1"/>
  <c r="C315" i="1"/>
  <c r="B316" i="1"/>
  <c r="M313" i="1"/>
  <c r="E314" i="1"/>
  <c r="F314" i="1" s="1"/>
  <c r="D314" i="1"/>
  <c r="BC314" i="1" l="1"/>
  <c r="BD314" i="1" s="1"/>
  <c r="BF316" i="1"/>
  <c r="O164" i="1"/>
  <c r="P165" i="1" s="1"/>
  <c r="BE165" i="1" s="1"/>
  <c r="AE312" i="1"/>
  <c r="AP105" i="1"/>
  <c r="AX106" i="1" s="1"/>
  <c r="AP111" i="1"/>
  <c r="AX112" i="1" s="1"/>
  <c r="J315" i="1"/>
  <c r="L316" i="1"/>
  <c r="AG164" i="1"/>
  <c r="BA163" i="1"/>
  <c r="A337" i="7"/>
  <c r="B336" i="7"/>
  <c r="K316" i="1"/>
  <c r="AU316" i="1"/>
  <c r="AA316" i="1"/>
  <c r="S316" i="1"/>
  <c r="G314" i="1"/>
  <c r="H314" i="1" s="1"/>
  <c r="AI315" i="1"/>
  <c r="AJ315" i="1" s="1"/>
  <c r="AW316" i="1"/>
  <c r="Z316" i="1"/>
  <c r="BB315" i="1" s="1"/>
  <c r="AC313" i="1"/>
  <c r="A317" i="1"/>
  <c r="AK317" i="1" s="1"/>
  <c r="C316" i="1"/>
  <c r="B317" i="1"/>
  <c r="M314" i="1"/>
  <c r="D315" i="1"/>
  <c r="E315" i="1"/>
  <c r="F315" i="1" s="1"/>
  <c r="BC315" i="1" l="1"/>
  <c r="BD315" i="1" s="1"/>
  <c r="BF317" i="1"/>
  <c r="V165" i="1"/>
  <c r="I165" i="1"/>
  <c r="Q165" i="1" s="1"/>
  <c r="AT165" i="1"/>
  <c r="AS165" i="1" s="1"/>
  <c r="AQ165" i="1" s="1"/>
  <c r="AM165" i="1"/>
  <c r="N165" i="1"/>
  <c r="Y165" i="1"/>
  <c r="X165" i="1" s="1"/>
  <c r="AF165" i="1" s="1"/>
  <c r="AE313" i="1"/>
  <c r="J316" i="1"/>
  <c r="L317" i="1"/>
  <c r="AY165" i="1"/>
  <c r="AH164" i="1"/>
  <c r="A338" i="7"/>
  <c r="B337" i="7"/>
  <c r="K317" i="1"/>
  <c r="AU317" i="1"/>
  <c r="AA317" i="1"/>
  <c r="S317" i="1"/>
  <c r="G315" i="1"/>
  <c r="H315" i="1" s="1"/>
  <c r="AI316" i="1"/>
  <c r="AJ316" i="1" s="1"/>
  <c r="AW317" i="1"/>
  <c r="Z317" i="1"/>
  <c r="BB316" i="1" s="1"/>
  <c r="AC314" i="1"/>
  <c r="A318" i="1"/>
  <c r="AK318" i="1" s="1"/>
  <c r="C317" i="1"/>
  <c r="B318" i="1"/>
  <c r="M315" i="1"/>
  <c r="E316" i="1"/>
  <c r="F316" i="1" s="1"/>
  <c r="D316" i="1"/>
  <c r="BC316" i="1" l="1"/>
  <c r="BD316" i="1" s="1"/>
  <c r="BF318" i="1"/>
  <c r="O165" i="1"/>
  <c r="P166" i="1" s="1"/>
  <c r="BE166" i="1" s="1"/>
  <c r="AE314" i="1"/>
  <c r="U112" i="1"/>
  <c r="U106" i="1"/>
  <c r="J317" i="1"/>
  <c r="L318" i="1"/>
  <c r="BA164" i="1"/>
  <c r="A339" i="7"/>
  <c r="B338" i="7"/>
  <c r="K318" i="1"/>
  <c r="AU318" i="1"/>
  <c r="G316" i="1"/>
  <c r="H316" i="1" s="1"/>
  <c r="AA318" i="1"/>
  <c r="S318" i="1"/>
  <c r="AI317" i="1"/>
  <c r="AJ317" i="1" s="1"/>
  <c r="AW318" i="1"/>
  <c r="Z318" i="1"/>
  <c r="BB317" i="1" s="1"/>
  <c r="AC315" i="1"/>
  <c r="A319" i="1"/>
  <c r="AK319" i="1" s="1"/>
  <c r="M316" i="1"/>
  <c r="C318" i="1"/>
  <c r="B319" i="1"/>
  <c r="E317" i="1"/>
  <c r="F317" i="1" s="1"/>
  <c r="D317" i="1"/>
  <c r="BC317" i="1" l="1"/>
  <c r="BD317" i="1" s="1"/>
  <c r="BF319" i="1"/>
  <c r="I166" i="1"/>
  <c r="Q166" i="1" s="1"/>
  <c r="AM166" i="1"/>
  <c r="N166" i="1"/>
  <c r="AT166" i="1"/>
  <c r="AS166" i="1" s="1"/>
  <c r="AQ166" i="1" s="1"/>
  <c r="AE315" i="1"/>
  <c r="V166" i="1"/>
  <c r="Y166" i="1"/>
  <c r="X166" i="1" s="1"/>
  <c r="AF166" i="1" s="1"/>
  <c r="AY166" i="1"/>
  <c r="AL106" i="1"/>
  <c r="AL112" i="1"/>
  <c r="J318" i="1"/>
  <c r="L319" i="1"/>
  <c r="AH165" i="1"/>
  <c r="AG165" i="1"/>
  <c r="A340" i="7"/>
  <c r="B339" i="7"/>
  <c r="K319" i="1"/>
  <c r="AU319" i="1"/>
  <c r="G317" i="1"/>
  <c r="H317" i="1" s="1"/>
  <c r="AA319" i="1"/>
  <c r="S319" i="1"/>
  <c r="AI318" i="1"/>
  <c r="AJ318" i="1" s="1"/>
  <c r="AW319" i="1"/>
  <c r="Z319" i="1"/>
  <c r="BB318" i="1" s="1"/>
  <c r="AC316" i="1"/>
  <c r="A320" i="1"/>
  <c r="AK320" i="1" s="1"/>
  <c r="C319" i="1"/>
  <c r="B320" i="1"/>
  <c r="M317" i="1"/>
  <c r="E318" i="1"/>
  <c r="F318" i="1" s="1"/>
  <c r="D318" i="1"/>
  <c r="BC318" i="1" l="1"/>
  <c r="BD318" i="1" s="1"/>
  <c r="BF320" i="1"/>
  <c r="O166" i="1"/>
  <c r="P167" i="1" s="1"/>
  <c r="BE167" i="1" s="1"/>
  <c r="AE316" i="1"/>
  <c r="AN106" i="1"/>
  <c r="AN112" i="1"/>
  <c r="J319" i="1"/>
  <c r="L320" i="1"/>
  <c r="BA165" i="1"/>
  <c r="A341" i="7"/>
  <c r="B340" i="7"/>
  <c r="K320" i="1"/>
  <c r="AU320" i="1"/>
  <c r="G318" i="1"/>
  <c r="H318" i="1" s="1"/>
  <c r="AA320" i="1"/>
  <c r="S320" i="1"/>
  <c r="AI319" i="1"/>
  <c r="AJ319" i="1" s="1"/>
  <c r="AW320" i="1"/>
  <c r="AC317" i="1"/>
  <c r="Z320" i="1"/>
  <c r="BB319" i="1" s="1"/>
  <c r="A321" i="1"/>
  <c r="AK321" i="1" s="1"/>
  <c r="M318" i="1"/>
  <c r="C320" i="1"/>
  <c r="B321" i="1"/>
  <c r="D319" i="1"/>
  <c r="E319" i="1"/>
  <c r="F319" i="1" s="1"/>
  <c r="BC319" i="1" l="1"/>
  <c r="BD319" i="1" s="1"/>
  <c r="BF321" i="1"/>
  <c r="V167" i="1"/>
  <c r="I167" i="1"/>
  <c r="Q167" i="1" s="1"/>
  <c r="AM167" i="1"/>
  <c r="AT167" i="1"/>
  <c r="AS167" i="1" s="1"/>
  <c r="AQ167" i="1" s="1"/>
  <c r="N167" i="1"/>
  <c r="Y167" i="1"/>
  <c r="X167" i="1" s="1"/>
  <c r="AF167" i="1" s="1"/>
  <c r="AE317" i="1"/>
  <c r="AG166" i="1"/>
  <c r="AH166" i="1"/>
  <c r="AO112" i="1"/>
  <c r="AO106" i="1"/>
  <c r="J320" i="1"/>
  <c r="L321" i="1"/>
  <c r="AY167" i="1"/>
  <c r="A342" i="7"/>
  <c r="B341" i="7"/>
  <c r="K321" i="1"/>
  <c r="AU321" i="1"/>
  <c r="AA321" i="1"/>
  <c r="S321" i="1"/>
  <c r="G319" i="1"/>
  <c r="H319" i="1" s="1"/>
  <c r="AI320" i="1"/>
  <c r="AJ320" i="1" s="1"/>
  <c r="AW321" i="1"/>
  <c r="Z321" i="1"/>
  <c r="BB320" i="1" s="1"/>
  <c r="AC318" i="1"/>
  <c r="A322" i="1"/>
  <c r="AK322" i="1" s="1"/>
  <c r="C321" i="1"/>
  <c r="B322" i="1"/>
  <c r="E320" i="1"/>
  <c r="F320" i="1" s="1"/>
  <c r="D320" i="1"/>
  <c r="M319" i="1"/>
  <c r="BC320" i="1" l="1"/>
  <c r="BD320" i="1" s="1"/>
  <c r="BF322" i="1"/>
  <c r="O167" i="1"/>
  <c r="P168" i="1" s="1"/>
  <c r="BE168" i="1" s="1"/>
  <c r="AE318" i="1"/>
  <c r="BA166" i="1"/>
  <c r="AP106" i="1"/>
  <c r="AX107" i="1" s="1"/>
  <c r="AP112" i="1"/>
  <c r="AX113" i="1" s="1"/>
  <c r="J321" i="1"/>
  <c r="L322" i="1"/>
  <c r="AG167" i="1"/>
  <c r="A343" i="7"/>
  <c r="B342" i="7"/>
  <c r="K322" i="1"/>
  <c r="AU322" i="1"/>
  <c r="AA322" i="1"/>
  <c r="S322" i="1"/>
  <c r="G320" i="1"/>
  <c r="H320" i="1" s="1"/>
  <c r="AI321" i="1"/>
  <c r="AJ321" i="1" s="1"/>
  <c r="AW322" i="1"/>
  <c r="Z322" i="1"/>
  <c r="BB321" i="1" s="1"/>
  <c r="AC319" i="1"/>
  <c r="A323" i="1"/>
  <c r="AK323" i="1" s="1"/>
  <c r="C322" i="1"/>
  <c r="B323" i="1"/>
  <c r="M320" i="1"/>
  <c r="E321" i="1"/>
  <c r="F321" i="1" s="1"/>
  <c r="D321" i="1"/>
  <c r="BC321" i="1" l="1"/>
  <c r="BD321" i="1" s="1"/>
  <c r="BF323" i="1"/>
  <c r="V168" i="1"/>
  <c r="I168" i="1"/>
  <c r="Q168" i="1" s="1"/>
  <c r="N168" i="1"/>
  <c r="AM168" i="1"/>
  <c r="AT168" i="1"/>
  <c r="AS168" i="1" s="1"/>
  <c r="AQ168" i="1" s="1"/>
  <c r="Y168" i="1"/>
  <c r="X168" i="1" s="1"/>
  <c r="AF168" i="1" s="1"/>
  <c r="AE319" i="1"/>
  <c r="J322" i="1"/>
  <c r="L323" i="1"/>
  <c r="AY168" i="1"/>
  <c r="AH167" i="1"/>
  <c r="A344" i="7"/>
  <c r="B343" i="7"/>
  <c r="K323" i="1"/>
  <c r="AU323" i="1"/>
  <c r="AA323" i="1"/>
  <c r="S323" i="1"/>
  <c r="G321" i="1"/>
  <c r="H321" i="1" s="1"/>
  <c r="AI322" i="1"/>
  <c r="AJ322" i="1" s="1"/>
  <c r="AW323" i="1"/>
  <c r="Z323" i="1"/>
  <c r="BB322" i="1" s="1"/>
  <c r="AC320" i="1"/>
  <c r="A324" i="1"/>
  <c r="C323" i="1"/>
  <c r="B324" i="1"/>
  <c r="M321" i="1"/>
  <c r="E322" i="1"/>
  <c r="F322" i="1" s="1"/>
  <c r="D322" i="1"/>
  <c r="BC322" i="1" l="1"/>
  <c r="BD322" i="1" s="1"/>
  <c r="BF324" i="1"/>
  <c r="O168" i="1"/>
  <c r="P169" i="1" s="1"/>
  <c r="BE169" i="1" s="1"/>
  <c r="AE320" i="1"/>
  <c r="U113" i="1"/>
  <c r="U107" i="1"/>
  <c r="J323" i="1"/>
  <c r="L324" i="1"/>
  <c r="AG168" i="1"/>
  <c r="BA167" i="1"/>
  <c r="A345" i="7"/>
  <c r="B344" i="7"/>
  <c r="K324" i="1"/>
  <c r="AU324" i="1"/>
  <c r="AA324" i="1"/>
  <c r="S324" i="1"/>
  <c r="G322" i="1"/>
  <c r="H322" i="1" s="1"/>
  <c r="AK324" i="1"/>
  <c r="AP324" i="1"/>
  <c r="AI323" i="1"/>
  <c r="AJ323" i="1" s="1"/>
  <c r="AW324" i="1"/>
  <c r="AC321" i="1"/>
  <c r="Z324" i="1"/>
  <c r="BB323" i="1" s="1"/>
  <c r="A325" i="1"/>
  <c r="AK325" i="1" s="1"/>
  <c r="M322" i="1"/>
  <c r="C324" i="1"/>
  <c r="B325" i="1"/>
  <c r="D323" i="1"/>
  <c r="E323" i="1"/>
  <c r="F323" i="1" s="1"/>
  <c r="BC323" i="1" l="1"/>
  <c r="BD323" i="1" s="1"/>
  <c r="BF325" i="1"/>
  <c r="V169" i="1"/>
  <c r="AT169" i="1"/>
  <c r="AS169" i="1" s="1"/>
  <c r="AQ169" i="1" s="1"/>
  <c r="AM169" i="1"/>
  <c r="I169" i="1"/>
  <c r="Q169" i="1" s="1"/>
  <c r="N169" i="1"/>
  <c r="Y169" i="1"/>
  <c r="X169" i="1" s="1"/>
  <c r="AF169" i="1" s="1"/>
  <c r="AE321" i="1"/>
  <c r="AL107" i="1"/>
  <c r="AL113" i="1"/>
  <c r="J324" i="1"/>
  <c r="L325" i="1"/>
  <c r="AH168" i="1"/>
  <c r="AY169" i="1"/>
  <c r="A346" i="7"/>
  <c r="B345" i="7"/>
  <c r="K325" i="1"/>
  <c r="AU325" i="1"/>
  <c r="AA325" i="1"/>
  <c r="S325" i="1"/>
  <c r="G323" i="1"/>
  <c r="H323" i="1" s="1"/>
  <c r="AI324" i="1"/>
  <c r="AJ324" i="1" s="1"/>
  <c r="AW325" i="1"/>
  <c r="AC322" i="1"/>
  <c r="Z325" i="1"/>
  <c r="BB324" i="1" s="1"/>
  <c r="A326" i="1"/>
  <c r="AK326" i="1" s="1"/>
  <c r="E324" i="1"/>
  <c r="F324" i="1" s="1"/>
  <c r="D324" i="1"/>
  <c r="M323" i="1"/>
  <c r="C325" i="1"/>
  <c r="B326" i="1"/>
  <c r="BC324" i="1" l="1"/>
  <c r="BD324" i="1" s="1"/>
  <c r="BF326" i="1"/>
  <c r="AX169" i="1"/>
  <c r="O169" i="1"/>
  <c r="P170" i="1" s="1"/>
  <c r="BE170" i="1" s="1"/>
  <c r="AE322" i="1"/>
  <c r="AN107" i="1"/>
  <c r="AN113" i="1"/>
  <c r="J325" i="1"/>
  <c r="L326" i="1"/>
  <c r="BA168" i="1"/>
  <c r="A347" i="7"/>
  <c r="B346" i="7"/>
  <c r="K326" i="1"/>
  <c r="AU326" i="1"/>
  <c r="AA326" i="1"/>
  <c r="S326" i="1"/>
  <c r="G324" i="1"/>
  <c r="H324" i="1" s="1"/>
  <c r="AI325" i="1"/>
  <c r="AJ325" i="1" s="1"/>
  <c r="AW326" i="1"/>
  <c r="Z326" i="1"/>
  <c r="BB325" i="1" s="1"/>
  <c r="AC323" i="1"/>
  <c r="A327" i="1"/>
  <c r="AK327" i="1" s="1"/>
  <c r="E325" i="1"/>
  <c r="F325" i="1" s="1"/>
  <c r="D325" i="1"/>
  <c r="C326" i="1"/>
  <c r="B327" i="1"/>
  <c r="M324" i="1"/>
  <c r="BC325" i="1" l="1"/>
  <c r="BD325" i="1" s="1"/>
  <c r="BF327" i="1"/>
  <c r="V170" i="1"/>
  <c r="N170" i="1"/>
  <c r="AT170" i="1"/>
  <c r="AS170" i="1" s="1"/>
  <c r="AQ170" i="1" s="1"/>
  <c r="AM170" i="1"/>
  <c r="I170" i="1"/>
  <c r="Q170" i="1" s="1"/>
  <c r="Y170" i="1"/>
  <c r="X170" i="1" s="1"/>
  <c r="AF170" i="1" s="1"/>
  <c r="AE323" i="1"/>
  <c r="AO113" i="1"/>
  <c r="AO107" i="1"/>
  <c r="J326" i="1"/>
  <c r="AH169" i="1"/>
  <c r="AG169" i="1"/>
  <c r="L327" i="1"/>
  <c r="AY170" i="1"/>
  <c r="A348" i="7"/>
  <c r="B347" i="7"/>
  <c r="K327" i="1"/>
  <c r="AU327" i="1"/>
  <c r="AA327" i="1"/>
  <c r="S327" i="1"/>
  <c r="G325" i="1"/>
  <c r="H325" i="1" s="1"/>
  <c r="AI326" i="1"/>
  <c r="AJ326" i="1" s="1"/>
  <c r="AW327" i="1"/>
  <c r="Z327" i="1"/>
  <c r="BB326" i="1" s="1"/>
  <c r="AC324" i="1"/>
  <c r="A328" i="1"/>
  <c r="AK328" i="1" s="1"/>
  <c r="E326" i="1"/>
  <c r="F326" i="1" s="1"/>
  <c r="D326" i="1"/>
  <c r="M325" i="1"/>
  <c r="C327" i="1"/>
  <c r="B328" i="1"/>
  <c r="BC326" i="1" l="1"/>
  <c r="BD326" i="1" s="1"/>
  <c r="BF328" i="1"/>
  <c r="O170" i="1"/>
  <c r="P171" i="1" s="1"/>
  <c r="BE171" i="1" s="1"/>
  <c r="AE324" i="1"/>
  <c r="AP113" i="1"/>
  <c r="AX114" i="1" s="1"/>
  <c r="AP107" i="1"/>
  <c r="AX108" i="1" s="1"/>
  <c r="J327" i="1"/>
  <c r="L328" i="1"/>
  <c r="AG170" i="1"/>
  <c r="BA169" i="1"/>
  <c r="A349" i="7"/>
  <c r="B348" i="7"/>
  <c r="K328" i="1"/>
  <c r="AU328" i="1"/>
  <c r="AA328" i="1"/>
  <c r="S328" i="1"/>
  <c r="G326" i="1"/>
  <c r="H326" i="1" s="1"/>
  <c r="AI327" i="1"/>
  <c r="AJ327" i="1" s="1"/>
  <c r="AW328" i="1"/>
  <c r="AC325" i="1"/>
  <c r="Z328" i="1"/>
  <c r="BB327" i="1" s="1"/>
  <c r="A329" i="1"/>
  <c r="AK329" i="1" s="1"/>
  <c r="C328" i="1"/>
  <c r="B329" i="1"/>
  <c r="D327" i="1"/>
  <c r="E327" i="1"/>
  <c r="F327" i="1" s="1"/>
  <c r="M326" i="1"/>
  <c r="BC327" i="1" l="1"/>
  <c r="BD327" i="1" s="1"/>
  <c r="BF329" i="1"/>
  <c r="AT171" i="1"/>
  <c r="AS171" i="1" s="1"/>
  <c r="AQ171" i="1" s="1"/>
  <c r="V171" i="1"/>
  <c r="N171" i="1"/>
  <c r="I171" i="1"/>
  <c r="Q171" i="1" s="1"/>
  <c r="AM171" i="1"/>
  <c r="Y171" i="1"/>
  <c r="X171" i="1" s="1"/>
  <c r="AF171" i="1" s="1"/>
  <c r="AE325" i="1"/>
  <c r="J328" i="1"/>
  <c r="L329" i="1"/>
  <c r="AY171" i="1"/>
  <c r="AH170" i="1"/>
  <c r="A350" i="7"/>
  <c r="B349" i="7"/>
  <c r="K329" i="1"/>
  <c r="AU329" i="1"/>
  <c r="AA329" i="1"/>
  <c r="S329" i="1"/>
  <c r="G327" i="1"/>
  <c r="H327" i="1" s="1"/>
  <c r="AI328" i="1"/>
  <c r="AJ328" i="1" s="1"/>
  <c r="AW329" i="1"/>
  <c r="AC326" i="1"/>
  <c r="Z329" i="1"/>
  <c r="BB328" i="1" s="1"/>
  <c r="A330" i="1"/>
  <c r="AK330" i="1" s="1"/>
  <c r="C329" i="1"/>
  <c r="B330" i="1"/>
  <c r="M327" i="1"/>
  <c r="E328" i="1"/>
  <c r="F328" i="1" s="1"/>
  <c r="D328" i="1"/>
  <c r="BC328" i="1" l="1"/>
  <c r="BD328" i="1" s="1"/>
  <c r="BF330" i="1"/>
  <c r="O171" i="1"/>
  <c r="P172" i="1" s="1"/>
  <c r="BE172" i="1" s="1"/>
  <c r="AE326" i="1"/>
  <c r="U108" i="1"/>
  <c r="U114" i="1"/>
  <c r="J329" i="1"/>
  <c r="L330" i="1"/>
  <c r="BA170" i="1"/>
  <c r="A351" i="7"/>
  <c r="B350" i="7"/>
  <c r="K330" i="1"/>
  <c r="AU330" i="1"/>
  <c r="AA330" i="1"/>
  <c r="S330" i="1"/>
  <c r="G328" i="1"/>
  <c r="H328" i="1" s="1"/>
  <c r="AI329" i="1"/>
  <c r="AJ329" i="1" s="1"/>
  <c r="AW330" i="1"/>
  <c r="AC327" i="1"/>
  <c r="Z330" i="1"/>
  <c r="BB329" i="1" s="1"/>
  <c r="A331" i="1"/>
  <c r="AK331" i="1" s="1"/>
  <c r="M328" i="1"/>
  <c r="C330" i="1"/>
  <c r="B331" i="1"/>
  <c r="E329" i="1"/>
  <c r="F329" i="1" s="1"/>
  <c r="D329" i="1"/>
  <c r="BC329" i="1" l="1"/>
  <c r="BD329" i="1" s="1"/>
  <c r="BF331" i="1"/>
  <c r="V172" i="1"/>
  <c r="AT172" i="1"/>
  <c r="AS172" i="1" s="1"/>
  <c r="AQ172" i="1" s="1"/>
  <c r="I172" i="1"/>
  <c r="Q172" i="1" s="1"/>
  <c r="AM172" i="1"/>
  <c r="N172" i="1"/>
  <c r="Y172" i="1"/>
  <c r="X172" i="1" s="1"/>
  <c r="AF172" i="1" s="1"/>
  <c r="AE327" i="1"/>
  <c r="AL114" i="1"/>
  <c r="AL108" i="1"/>
  <c r="J330" i="1"/>
  <c r="AH171" i="1"/>
  <c r="AG171" i="1"/>
  <c r="L331" i="1"/>
  <c r="AY172" i="1"/>
  <c r="A352" i="7"/>
  <c r="B351" i="7"/>
  <c r="K331" i="1"/>
  <c r="AU331" i="1"/>
  <c r="AA331" i="1"/>
  <c r="S331" i="1"/>
  <c r="G329" i="1"/>
  <c r="H329" i="1" s="1"/>
  <c r="AI330" i="1"/>
  <c r="AJ330" i="1" s="1"/>
  <c r="AW331" i="1"/>
  <c r="AC328" i="1"/>
  <c r="Z331" i="1"/>
  <c r="BB330" i="1" s="1"/>
  <c r="A332" i="1"/>
  <c r="AK332" i="1" s="1"/>
  <c r="M329" i="1"/>
  <c r="E330" i="1"/>
  <c r="F330" i="1" s="1"/>
  <c r="D330" i="1"/>
  <c r="C331" i="1"/>
  <c r="B332" i="1"/>
  <c r="BC330" i="1" l="1"/>
  <c r="BD330" i="1" s="1"/>
  <c r="BF332" i="1"/>
  <c r="O172" i="1"/>
  <c r="P173" i="1" s="1"/>
  <c r="BE173" i="1" s="1"/>
  <c r="AE328" i="1"/>
  <c r="AN114" i="1"/>
  <c r="AN108" i="1"/>
  <c r="J331" i="1"/>
  <c r="L332" i="1"/>
  <c r="BA171" i="1"/>
  <c r="A353" i="7"/>
  <c r="B352" i="7"/>
  <c r="K332" i="1"/>
  <c r="AU332" i="1"/>
  <c r="AA332" i="1"/>
  <c r="S332" i="1"/>
  <c r="G330" i="1"/>
  <c r="H330" i="1" s="1"/>
  <c r="AI331" i="1"/>
  <c r="AJ331" i="1" s="1"/>
  <c r="AW332" i="1"/>
  <c r="Z332" i="1"/>
  <c r="BB331" i="1" s="1"/>
  <c r="AC329" i="1"/>
  <c r="A333" i="1"/>
  <c r="AK333" i="1" s="1"/>
  <c r="C332" i="1"/>
  <c r="B333" i="1"/>
  <c r="M330" i="1"/>
  <c r="D331" i="1"/>
  <c r="E331" i="1"/>
  <c r="F331" i="1" s="1"/>
  <c r="BC331" i="1" l="1"/>
  <c r="BD331" i="1" s="1"/>
  <c r="BF333" i="1"/>
  <c r="V173" i="1"/>
  <c r="AT173" i="1"/>
  <c r="AS173" i="1" s="1"/>
  <c r="AQ173" i="1" s="1"/>
  <c r="I173" i="1"/>
  <c r="Q173" i="1" s="1"/>
  <c r="N173" i="1"/>
  <c r="AM173" i="1"/>
  <c r="Y173" i="1"/>
  <c r="X173" i="1" s="1"/>
  <c r="AF173" i="1" s="1"/>
  <c r="AE329" i="1"/>
  <c r="AO114" i="1"/>
  <c r="AO108" i="1"/>
  <c r="J332" i="1"/>
  <c r="L333" i="1"/>
  <c r="AH172" i="1"/>
  <c r="AG172" i="1"/>
  <c r="AY173" i="1"/>
  <c r="A354" i="7"/>
  <c r="B353" i="7"/>
  <c r="K333" i="1"/>
  <c r="AU333" i="1"/>
  <c r="AA333" i="1"/>
  <c r="S333" i="1"/>
  <c r="G331" i="1"/>
  <c r="H331" i="1" s="1"/>
  <c r="AI332" i="1"/>
  <c r="AJ332" i="1" s="1"/>
  <c r="AW333" i="1"/>
  <c r="AC330" i="1"/>
  <c r="Z333" i="1"/>
  <c r="BB332" i="1" s="1"/>
  <c r="A334" i="1"/>
  <c r="AK334" i="1" s="1"/>
  <c r="C333" i="1"/>
  <c r="B334" i="1"/>
  <c r="M331" i="1"/>
  <c r="E332" i="1"/>
  <c r="F332" i="1" s="1"/>
  <c r="D332" i="1"/>
  <c r="BC332" i="1" l="1"/>
  <c r="BD332" i="1" s="1"/>
  <c r="BF334" i="1"/>
  <c r="O173" i="1"/>
  <c r="P174" i="1" s="1"/>
  <c r="BE174" i="1" s="1"/>
  <c r="AE330" i="1"/>
  <c r="AP114" i="1"/>
  <c r="AX115" i="1" s="1"/>
  <c r="J333" i="1"/>
  <c r="L334" i="1"/>
  <c r="BA172" i="1"/>
  <c r="AG173" i="1"/>
  <c r="A355" i="7"/>
  <c r="B354" i="7"/>
  <c r="K334" i="1"/>
  <c r="AU334" i="1"/>
  <c r="AA334" i="1"/>
  <c r="S334" i="1"/>
  <c r="G332" i="1"/>
  <c r="H332" i="1" s="1"/>
  <c r="AI333" i="1"/>
  <c r="AJ333" i="1" s="1"/>
  <c r="AW334" i="1"/>
  <c r="Z334" i="1"/>
  <c r="BB333" i="1" s="1"/>
  <c r="AC331" i="1"/>
  <c r="A335" i="1"/>
  <c r="AK335" i="1" s="1"/>
  <c r="E333" i="1"/>
  <c r="F333" i="1" s="1"/>
  <c r="D333" i="1"/>
  <c r="C334" i="1"/>
  <c r="B335" i="1"/>
  <c r="M332" i="1"/>
  <c r="BC333" i="1" l="1"/>
  <c r="BD333" i="1" s="1"/>
  <c r="BF335" i="1"/>
  <c r="V174" i="1"/>
  <c r="AT174" i="1"/>
  <c r="AS174" i="1" s="1"/>
  <c r="AQ174" i="1" s="1"/>
  <c r="I174" i="1"/>
  <c r="Q174" i="1" s="1"/>
  <c r="AM174" i="1"/>
  <c r="N174" i="1"/>
  <c r="Y174" i="1"/>
  <c r="X174" i="1" s="1"/>
  <c r="AF174" i="1" s="1"/>
  <c r="AE331" i="1"/>
  <c r="J334" i="1"/>
  <c r="L335" i="1"/>
  <c r="AH173" i="1"/>
  <c r="AY174" i="1"/>
  <c r="A356" i="7"/>
  <c r="B355" i="7"/>
  <c r="K335" i="1"/>
  <c r="AU335" i="1"/>
  <c r="AA335" i="1"/>
  <c r="S335" i="1"/>
  <c r="G333" i="1"/>
  <c r="H333" i="1" s="1"/>
  <c r="AI334" i="1"/>
  <c r="AJ334" i="1" s="1"/>
  <c r="AW335" i="1"/>
  <c r="Z335" i="1"/>
  <c r="BB334" i="1" s="1"/>
  <c r="AC332" i="1"/>
  <c r="A336" i="1"/>
  <c r="C335" i="1"/>
  <c r="B336" i="1"/>
  <c r="E334" i="1"/>
  <c r="F334" i="1" s="1"/>
  <c r="D334" i="1"/>
  <c r="M333" i="1"/>
  <c r="BC334" i="1" l="1"/>
  <c r="BD334" i="1" s="1"/>
  <c r="BF336" i="1"/>
  <c r="O174" i="1"/>
  <c r="AM175" i="1" s="1"/>
  <c r="AE332" i="1"/>
  <c r="U115" i="1"/>
  <c r="J335" i="1"/>
  <c r="L336" i="1"/>
  <c r="BA173" i="1"/>
  <c r="A357" i="7"/>
  <c r="B356" i="7"/>
  <c r="K336" i="1"/>
  <c r="AU336" i="1"/>
  <c r="AA336" i="1"/>
  <c r="S336" i="1"/>
  <c r="G334" i="1"/>
  <c r="H334" i="1" s="1"/>
  <c r="AP336" i="1"/>
  <c r="AK336" i="1"/>
  <c r="AI335" i="1"/>
  <c r="AJ335" i="1" s="1"/>
  <c r="AW336" i="1"/>
  <c r="U121" i="1"/>
  <c r="AC333" i="1"/>
  <c r="Z336" i="1"/>
  <c r="BB335" i="1" s="1"/>
  <c r="A337" i="1"/>
  <c r="AK337" i="1" s="1"/>
  <c r="M334" i="1"/>
  <c r="C336" i="1"/>
  <c r="B337" i="1"/>
  <c r="D335" i="1"/>
  <c r="E335" i="1"/>
  <c r="F335" i="1" s="1"/>
  <c r="BC335" i="1" l="1"/>
  <c r="BD335" i="1" s="1"/>
  <c r="BF337" i="1"/>
  <c r="N175" i="1"/>
  <c r="I175" i="1"/>
  <c r="Q175" i="1" s="1"/>
  <c r="AT175" i="1"/>
  <c r="AS175" i="1" s="1"/>
  <c r="P175" i="1"/>
  <c r="BE175" i="1" s="1"/>
  <c r="AE333" i="1"/>
  <c r="AL121" i="1"/>
  <c r="AL115" i="1"/>
  <c r="J336" i="1"/>
  <c r="AH174" i="1"/>
  <c r="AG174" i="1"/>
  <c r="L337" i="1"/>
  <c r="A358" i="7"/>
  <c r="B357" i="7"/>
  <c r="K337" i="1"/>
  <c r="AU337" i="1"/>
  <c r="AA337" i="1"/>
  <c r="S337" i="1"/>
  <c r="G335" i="1"/>
  <c r="H335" i="1" s="1"/>
  <c r="AI336" i="1"/>
  <c r="AJ336" i="1" s="1"/>
  <c r="AW337" i="1"/>
  <c r="Z337" i="1"/>
  <c r="BB336" i="1" s="1"/>
  <c r="AC334" i="1"/>
  <c r="A338" i="1"/>
  <c r="AK338" i="1" s="1"/>
  <c r="E336" i="1"/>
  <c r="F336" i="1" s="1"/>
  <c r="D336" i="1"/>
  <c r="M335" i="1"/>
  <c r="C337" i="1"/>
  <c r="B338" i="1"/>
  <c r="BC336" i="1" l="1"/>
  <c r="BD336" i="1" s="1"/>
  <c r="BF338" i="1"/>
  <c r="V175" i="1"/>
  <c r="O175" i="1"/>
  <c r="P176" i="1" s="1"/>
  <c r="BE176" i="1" s="1"/>
  <c r="AQ175" i="1"/>
  <c r="AY175" i="1"/>
  <c r="Y175" i="1"/>
  <c r="X175" i="1" s="1"/>
  <c r="AF175" i="1" s="1"/>
  <c r="AG175" i="1" s="1"/>
  <c r="AE334" i="1"/>
  <c r="AN115" i="1"/>
  <c r="AN121" i="1"/>
  <c r="J337" i="1"/>
  <c r="L338" i="1"/>
  <c r="BA174" i="1"/>
  <c r="A359" i="7"/>
  <c r="B358" i="7"/>
  <c r="K338" i="1"/>
  <c r="AU338" i="1"/>
  <c r="AA338" i="1"/>
  <c r="S338" i="1"/>
  <c r="G336" i="1"/>
  <c r="H336" i="1" s="1"/>
  <c r="AI337" i="1"/>
  <c r="AJ337" i="1" s="1"/>
  <c r="AW338" i="1"/>
  <c r="AC335" i="1"/>
  <c r="Z338" i="1"/>
  <c r="BB337" i="1" s="1"/>
  <c r="A339" i="1"/>
  <c r="AK339" i="1" s="1"/>
  <c r="E337" i="1"/>
  <c r="F337" i="1" s="1"/>
  <c r="D337" i="1"/>
  <c r="C338" i="1"/>
  <c r="B339" i="1"/>
  <c r="M336" i="1"/>
  <c r="BC337" i="1" l="1"/>
  <c r="BD337" i="1" s="1"/>
  <c r="BF339" i="1"/>
  <c r="N176" i="1"/>
  <c r="AT176" i="1"/>
  <c r="AS176" i="1" s="1"/>
  <c r="AQ176" i="1" s="1"/>
  <c r="I176" i="1"/>
  <c r="Q176" i="1" s="1"/>
  <c r="Y176" i="1"/>
  <c r="X176" i="1" s="1"/>
  <c r="AF176" i="1" s="1"/>
  <c r="AM176" i="1"/>
  <c r="V176" i="1"/>
  <c r="AE335" i="1"/>
  <c r="AO121" i="1"/>
  <c r="AO115" i="1"/>
  <c r="J338" i="1"/>
  <c r="L339" i="1"/>
  <c r="AY176" i="1"/>
  <c r="AH175" i="1"/>
  <c r="A360" i="7"/>
  <c r="B359" i="7"/>
  <c r="K339" i="1"/>
  <c r="AU339" i="1"/>
  <c r="AA339" i="1"/>
  <c r="S339" i="1"/>
  <c r="G337" i="1"/>
  <c r="H337" i="1" s="1"/>
  <c r="AI338" i="1"/>
  <c r="AJ338" i="1" s="1"/>
  <c r="AW339" i="1"/>
  <c r="AC336" i="1"/>
  <c r="Z339" i="1"/>
  <c r="BB338" i="1" s="1"/>
  <c r="A340" i="1"/>
  <c r="AK340" i="1" s="1"/>
  <c r="E338" i="1"/>
  <c r="F338" i="1" s="1"/>
  <c r="D338" i="1"/>
  <c r="M337" i="1"/>
  <c r="C339" i="1"/>
  <c r="B340" i="1"/>
  <c r="BC338" i="1" l="1"/>
  <c r="BD338" i="1" s="1"/>
  <c r="BF340" i="1"/>
  <c r="O176" i="1"/>
  <c r="P177" i="1" s="1"/>
  <c r="BE177" i="1" s="1"/>
  <c r="AE336" i="1"/>
  <c r="AP121" i="1"/>
  <c r="AX122" i="1" s="1"/>
  <c r="AP115" i="1"/>
  <c r="AX116" i="1" s="1"/>
  <c r="J339" i="1"/>
  <c r="L340" i="1"/>
  <c r="BA175" i="1"/>
  <c r="A361" i="7"/>
  <c r="B360" i="7"/>
  <c r="K340" i="1"/>
  <c r="AU340" i="1"/>
  <c r="AA340" i="1"/>
  <c r="S340" i="1"/>
  <c r="G338" i="1"/>
  <c r="H338" i="1" s="1"/>
  <c r="AI339" i="1"/>
  <c r="AJ339" i="1" s="1"/>
  <c r="AW340" i="1"/>
  <c r="Z340" i="1"/>
  <c r="BB339" i="1" s="1"/>
  <c r="AC337" i="1"/>
  <c r="A341" i="1"/>
  <c r="AK341" i="1" s="1"/>
  <c r="C340" i="1"/>
  <c r="B341" i="1"/>
  <c r="D339" i="1"/>
  <c r="E339" i="1"/>
  <c r="F339" i="1" s="1"/>
  <c r="M338" i="1"/>
  <c r="BC339" i="1" l="1"/>
  <c r="BD339" i="1" s="1"/>
  <c r="BF341" i="1"/>
  <c r="AM177" i="1"/>
  <c r="N177" i="1"/>
  <c r="I177" i="1"/>
  <c r="Q177" i="1" s="1"/>
  <c r="AT177" i="1"/>
  <c r="AS177" i="1" s="1"/>
  <c r="AQ177" i="1" s="1"/>
  <c r="AE337" i="1"/>
  <c r="V177" i="1"/>
  <c r="Y177" i="1"/>
  <c r="X177" i="1" s="1"/>
  <c r="AF177" i="1" s="1"/>
  <c r="AY177" i="1"/>
  <c r="J340" i="1"/>
  <c r="L341" i="1"/>
  <c r="AH176" i="1"/>
  <c r="AG176" i="1"/>
  <c r="A362" i="7"/>
  <c r="B361" i="7"/>
  <c r="K341" i="1"/>
  <c r="AU341" i="1"/>
  <c r="AA341" i="1"/>
  <c r="S341" i="1"/>
  <c r="G339" i="1"/>
  <c r="H339" i="1" s="1"/>
  <c r="AI340" i="1"/>
  <c r="AJ340" i="1" s="1"/>
  <c r="AW341" i="1"/>
  <c r="Z341" i="1"/>
  <c r="BB340" i="1" s="1"/>
  <c r="AC338" i="1"/>
  <c r="A342" i="1"/>
  <c r="AK342" i="1" s="1"/>
  <c r="C341" i="1"/>
  <c r="B342" i="1"/>
  <c r="M339" i="1"/>
  <c r="E340" i="1"/>
  <c r="F340" i="1" s="1"/>
  <c r="D340" i="1"/>
  <c r="BC340" i="1" l="1"/>
  <c r="BD340" i="1" s="1"/>
  <c r="BF342" i="1"/>
  <c r="O177" i="1"/>
  <c r="AT178" i="1" s="1"/>
  <c r="AS178" i="1" s="1"/>
  <c r="AE338" i="1"/>
  <c r="U116" i="1"/>
  <c r="U122" i="1"/>
  <c r="J341" i="1"/>
  <c r="L342" i="1"/>
  <c r="AG177" i="1"/>
  <c r="BA176" i="1"/>
  <c r="A363" i="7"/>
  <c r="B362" i="7"/>
  <c r="K342" i="1"/>
  <c r="AU342" i="1"/>
  <c r="AA342" i="1"/>
  <c r="S342" i="1"/>
  <c r="G340" i="1"/>
  <c r="H340" i="1" s="1"/>
  <c r="AI341" i="1"/>
  <c r="AJ341" i="1" s="1"/>
  <c r="AW342" i="1"/>
  <c r="AC339" i="1"/>
  <c r="Z342" i="1"/>
  <c r="BB341" i="1" s="1"/>
  <c r="A343" i="1"/>
  <c r="AK343" i="1" s="1"/>
  <c r="M340" i="1"/>
  <c r="C342" i="1"/>
  <c r="B343" i="1"/>
  <c r="E341" i="1"/>
  <c r="F341" i="1" s="1"/>
  <c r="D341" i="1"/>
  <c r="BC341" i="1" l="1"/>
  <c r="BD341" i="1" s="1"/>
  <c r="AH177" i="1"/>
  <c r="BF343" i="1"/>
  <c r="N178" i="1"/>
  <c r="I178" i="1"/>
  <c r="Q178" i="1" s="1"/>
  <c r="P178" i="1"/>
  <c r="BE178" i="1" s="1"/>
  <c r="AM178" i="1"/>
  <c r="AE339" i="1"/>
  <c r="AL122" i="1"/>
  <c r="AL116" i="1"/>
  <c r="J342" i="1"/>
  <c r="L343" i="1"/>
  <c r="BA177" i="1"/>
  <c r="A364" i="7"/>
  <c r="B363" i="7"/>
  <c r="K343" i="1"/>
  <c r="AU343" i="1"/>
  <c r="AA343" i="1"/>
  <c r="S343" i="1"/>
  <c r="G341" i="1"/>
  <c r="H341" i="1" s="1"/>
  <c r="AI342" i="1"/>
  <c r="AJ342" i="1" s="1"/>
  <c r="AW343" i="1"/>
  <c r="AC340" i="1"/>
  <c r="Z343" i="1"/>
  <c r="BB342" i="1" s="1"/>
  <c r="A344" i="1"/>
  <c r="AK344" i="1" s="1"/>
  <c r="E342" i="1"/>
  <c r="F342" i="1" s="1"/>
  <c r="D342" i="1"/>
  <c r="C343" i="1"/>
  <c r="B344" i="1"/>
  <c r="M341" i="1"/>
  <c r="BC342" i="1" l="1"/>
  <c r="BD342" i="1" s="1"/>
  <c r="BF344" i="1"/>
  <c r="O178" i="1"/>
  <c r="P179" i="1" s="1"/>
  <c r="BE179" i="1" s="1"/>
  <c r="V178" i="1"/>
  <c r="AY178" i="1"/>
  <c r="AQ178" i="1"/>
  <c r="Y178" i="1"/>
  <c r="X178" i="1" s="1"/>
  <c r="AF178" i="1" s="1"/>
  <c r="AE340" i="1"/>
  <c r="AN122" i="1"/>
  <c r="AN116" i="1"/>
  <c r="J343" i="1"/>
  <c r="L344" i="1"/>
  <c r="A365" i="7"/>
  <c r="B364" i="7"/>
  <c r="K344" i="1"/>
  <c r="AU344" i="1"/>
  <c r="AA344" i="1"/>
  <c r="S344" i="1"/>
  <c r="G342" i="1"/>
  <c r="H342" i="1" s="1"/>
  <c r="AI343" i="1"/>
  <c r="AJ343" i="1" s="1"/>
  <c r="AW344" i="1"/>
  <c r="AC341" i="1"/>
  <c r="Z344" i="1"/>
  <c r="BB343" i="1" s="1"/>
  <c r="A345" i="1"/>
  <c r="AK345" i="1" s="1"/>
  <c r="D343" i="1"/>
  <c r="E343" i="1"/>
  <c r="F343" i="1" s="1"/>
  <c r="M342" i="1"/>
  <c r="C344" i="1"/>
  <c r="B345" i="1"/>
  <c r="BC343" i="1" l="1"/>
  <c r="BD343" i="1" s="1"/>
  <c r="I179" i="1"/>
  <c r="Q179" i="1" s="1"/>
  <c r="BF345" i="1"/>
  <c r="AM179" i="1"/>
  <c r="AT179" i="1"/>
  <c r="AS179" i="1" s="1"/>
  <c r="AQ179" i="1" s="1"/>
  <c r="N179" i="1"/>
  <c r="Y179" i="1"/>
  <c r="X179" i="1" s="1"/>
  <c r="AF179" i="1" s="1"/>
  <c r="V179" i="1"/>
  <c r="AE341" i="1"/>
  <c r="AG178" i="1"/>
  <c r="AH178" i="1"/>
  <c r="AO122" i="1"/>
  <c r="AO116" i="1"/>
  <c r="J344" i="1"/>
  <c r="L345" i="1"/>
  <c r="AY179" i="1"/>
  <c r="A366" i="7"/>
  <c r="B365" i="7"/>
  <c r="K345" i="1"/>
  <c r="AU345" i="1"/>
  <c r="AA345" i="1"/>
  <c r="S345" i="1"/>
  <c r="G343" i="1"/>
  <c r="H343" i="1" s="1"/>
  <c r="AI344" i="1"/>
  <c r="AJ344" i="1" s="1"/>
  <c r="AW345" i="1"/>
  <c r="AC342" i="1"/>
  <c r="Z345" i="1"/>
  <c r="BB344" i="1" s="1"/>
  <c r="A346" i="1"/>
  <c r="AK346" i="1" s="1"/>
  <c r="C345" i="1"/>
  <c r="B346" i="1"/>
  <c r="E344" i="1"/>
  <c r="F344" i="1" s="1"/>
  <c r="D344" i="1"/>
  <c r="M343" i="1"/>
  <c r="BC344" i="1" l="1"/>
  <c r="BD344" i="1" s="1"/>
  <c r="O179" i="1"/>
  <c r="P180" i="1" s="1"/>
  <c r="BE180" i="1" s="1"/>
  <c r="BF346" i="1"/>
  <c r="AE342" i="1"/>
  <c r="BA178" i="1"/>
  <c r="AP116" i="1"/>
  <c r="AX117" i="1" s="1"/>
  <c r="AP122" i="1"/>
  <c r="AX123" i="1" s="1"/>
  <c r="J345" i="1"/>
  <c r="L346" i="1"/>
  <c r="A367" i="7"/>
  <c r="B366" i="7"/>
  <c r="K346" i="1"/>
  <c r="AU346" i="1"/>
  <c r="AA346" i="1"/>
  <c r="S346" i="1"/>
  <c r="G344" i="1"/>
  <c r="H344" i="1" s="1"/>
  <c r="AI345" i="1"/>
  <c r="AJ345" i="1" s="1"/>
  <c r="AW346" i="1"/>
  <c r="AC343" i="1"/>
  <c r="Z346" i="1"/>
  <c r="BB345" i="1" s="1"/>
  <c r="A347" i="1"/>
  <c r="AK347" i="1" s="1"/>
  <c r="M344" i="1"/>
  <c r="C346" i="1"/>
  <c r="B347" i="1"/>
  <c r="E345" i="1"/>
  <c r="F345" i="1" s="1"/>
  <c r="D345" i="1"/>
  <c r="AM180" i="1" l="1"/>
  <c r="BC345" i="1"/>
  <c r="BD345" i="1" s="1"/>
  <c r="I180" i="1"/>
  <c r="Q180" i="1" s="1"/>
  <c r="Y180" i="1"/>
  <c r="X180" i="1" s="1"/>
  <c r="AF180" i="1" s="1"/>
  <c r="AT180" i="1"/>
  <c r="AS180" i="1" s="1"/>
  <c r="AQ180" i="1" s="1"/>
  <c r="N180" i="1"/>
  <c r="V180" i="1"/>
  <c r="BF347" i="1"/>
  <c r="AE343" i="1"/>
  <c r="J346" i="1"/>
  <c r="AH179" i="1"/>
  <c r="AG179" i="1"/>
  <c r="L347" i="1"/>
  <c r="AY180" i="1"/>
  <c r="A368" i="7"/>
  <c r="B367" i="7"/>
  <c r="K347" i="1"/>
  <c r="AU347" i="1"/>
  <c r="AA347" i="1"/>
  <c r="S347" i="1"/>
  <c r="G345" i="1"/>
  <c r="H345" i="1" s="1"/>
  <c r="AI346" i="1"/>
  <c r="AJ346" i="1" s="1"/>
  <c r="AW347" i="1"/>
  <c r="Z347" i="1"/>
  <c r="BB346" i="1" s="1"/>
  <c r="AC344" i="1"/>
  <c r="A348" i="1"/>
  <c r="M345" i="1"/>
  <c r="E346" i="1"/>
  <c r="F346" i="1" s="1"/>
  <c r="D346" i="1"/>
  <c r="C347" i="1"/>
  <c r="B348" i="1"/>
  <c r="BC346" i="1" l="1"/>
  <c r="BD346" i="1" s="1"/>
  <c r="O180" i="1"/>
  <c r="P181" i="1" s="1"/>
  <c r="BE181" i="1" s="1"/>
  <c r="BF348" i="1"/>
  <c r="AE344" i="1"/>
  <c r="U117" i="1"/>
  <c r="U123" i="1"/>
  <c r="J347" i="1"/>
  <c r="L348" i="1"/>
  <c r="BA179" i="1"/>
  <c r="A369" i="7"/>
  <c r="B368" i="7"/>
  <c r="K348" i="1"/>
  <c r="AU348" i="1"/>
  <c r="AA348" i="1"/>
  <c r="S348" i="1"/>
  <c r="G346" i="1"/>
  <c r="H346" i="1" s="1"/>
  <c r="AP348" i="1"/>
  <c r="AK348" i="1"/>
  <c r="AI347" i="1"/>
  <c r="AJ347" i="1" s="1"/>
  <c r="AW348" i="1"/>
  <c r="AC345" i="1"/>
  <c r="Z348" i="1"/>
  <c r="BB347" i="1" s="1"/>
  <c r="A349" i="1"/>
  <c r="AK349" i="1" s="1"/>
  <c r="M346" i="1"/>
  <c r="C348" i="1"/>
  <c r="B349" i="1"/>
  <c r="D347" i="1"/>
  <c r="E347" i="1"/>
  <c r="F347" i="1" s="1"/>
  <c r="BC347" i="1" l="1"/>
  <c r="BD347" i="1" s="1"/>
  <c r="N181" i="1"/>
  <c r="AT181" i="1"/>
  <c r="AS181" i="1" s="1"/>
  <c r="AQ181" i="1" s="1"/>
  <c r="I181" i="1"/>
  <c r="Q181" i="1" s="1"/>
  <c r="AM181" i="1"/>
  <c r="V181" i="1"/>
  <c r="Y181" i="1"/>
  <c r="X181" i="1" s="1"/>
  <c r="AF181" i="1" s="1"/>
  <c r="BF349" i="1"/>
  <c r="AE345" i="1"/>
  <c r="AL123" i="1"/>
  <c r="AL117" i="1"/>
  <c r="J348" i="1"/>
  <c r="AH180" i="1"/>
  <c r="AG180" i="1"/>
  <c r="L349" i="1"/>
  <c r="AY181" i="1"/>
  <c r="A370" i="7"/>
  <c r="B369" i="7"/>
  <c r="K349" i="1"/>
  <c r="AU349" i="1"/>
  <c r="AA349" i="1"/>
  <c r="S349" i="1"/>
  <c r="G347" i="1"/>
  <c r="H347" i="1" s="1"/>
  <c r="AI348" i="1"/>
  <c r="AJ348" i="1" s="1"/>
  <c r="AW349" i="1"/>
  <c r="AC346" i="1"/>
  <c r="Z349" i="1"/>
  <c r="BB348" i="1" s="1"/>
  <c r="A350" i="1"/>
  <c r="AK350" i="1" s="1"/>
  <c r="E348" i="1"/>
  <c r="F348" i="1" s="1"/>
  <c r="D348" i="1"/>
  <c r="C349" i="1"/>
  <c r="B350" i="1"/>
  <c r="M347" i="1"/>
  <c r="BC348" i="1" l="1"/>
  <c r="BD348" i="1" s="1"/>
  <c r="O181" i="1"/>
  <c r="P182" i="1" s="1"/>
  <c r="BE182" i="1" s="1"/>
  <c r="BF350" i="1"/>
  <c r="AX181" i="1"/>
  <c r="AE346" i="1"/>
  <c r="AN123" i="1"/>
  <c r="AN117" i="1"/>
  <c r="J349" i="1"/>
  <c r="L350" i="1"/>
  <c r="BA180" i="1"/>
  <c r="A371" i="7"/>
  <c r="B370" i="7"/>
  <c r="K350" i="1"/>
  <c r="AU350" i="1"/>
  <c r="AA350" i="1"/>
  <c r="S350" i="1"/>
  <c r="G348" i="1"/>
  <c r="H348" i="1" s="1"/>
  <c r="AI349" i="1"/>
  <c r="AJ349" i="1" s="1"/>
  <c r="AW350" i="1"/>
  <c r="Z350" i="1"/>
  <c r="BB349" i="1" s="1"/>
  <c r="AC347" i="1"/>
  <c r="A351" i="1"/>
  <c r="AK351" i="1" s="1"/>
  <c r="M348" i="1"/>
  <c r="E349" i="1"/>
  <c r="F349" i="1" s="1"/>
  <c r="D349" i="1"/>
  <c r="C350" i="1"/>
  <c r="B351" i="1"/>
  <c r="BC349" i="1" l="1"/>
  <c r="BD349" i="1" s="1"/>
  <c r="V182" i="1"/>
  <c r="AT182" i="1"/>
  <c r="AS182" i="1" s="1"/>
  <c r="AQ182" i="1" s="1"/>
  <c r="N182" i="1"/>
  <c r="I182" i="1"/>
  <c r="Q182" i="1" s="1"/>
  <c r="AM182" i="1"/>
  <c r="Y182" i="1"/>
  <c r="X182" i="1" s="1"/>
  <c r="AF182" i="1" s="1"/>
  <c r="BF351" i="1"/>
  <c r="AE347" i="1"/>
  <c r="AO123" i="1"/>
  <c r="AO117" i="1"/>
  <c r="J350" i="1"/>
  <c r="L351" i="1"/>
  <c r="AH181" i="1"/>
  <c r="AG181" i="1"/>
  <c r="AY182" i="1"/>
  <c r="A372" i="7"/>
  <c r="B371" i="7"/>
  <c r="K351" i="1"/>
  <c r="AU351" i="1"/>
  <c r="AA351" i="1"/>
  <c r="S351" i="1"/>
  <c r="G349" i="1"/>
  <c r="H349" i="1" s="1"/>
  <c r="AI350" i="1"/>
  <c r="AJ350" i="1" s="1"/>
  <c r="AW351" i="1"/>
  <c r="Z351" i="1"/>
  <c r="BB350" i="1" s="1"/>
  <c r="AC348" i="1"/>
  <c r="A352" i="1"/>
  <c r="AK352" i="1" s="1"/>
  <c r="C351" i="1"/>
  <c r="B352" i="1"/>
  <c r="M349" i="1"/>
  <c r="E350" i="1"/>
  <c r="F350" i="1" s="1"/>
  <c r="D350" i="1"/>
  <c r="BC350" i="1" l="1"/>
  <c r="BD350" i="1" s="1"/>
  <c r="O182" i="1"/>
  <c r="P183" i="1" s="1"/>
  <c r="BE183" i="1" s="1"/>
  <c r="BF352" i="1"/>
  <c r="AE348" i="1"/>
  <c r="AP123" i="1"/>
  <c r="AX124" i="1" s="1"/>
  <c r="AP117" i="1"/>
  <c r="AX118" i="1" s="1"/>
  <c r="J351" i="1"/>
  <c r="L352" i="1"/>
  <c r="BA181" i="1"/>
  <c r="A373" i="7"/>
  <c r="B372" i="7"/>
  <c r="K352" i="1"/>
  <c r="AU352" i="1"/>
  <c r="AA352" i="1"/>
  <c r="S352" i="1"/>
  <c r="G350" i="1"/>
  <c r="H350" i="1" s="1"/>
  <c r="AI351" i="1"/>
  <c r="AJ351" i="1" s="1"/>
  <c r="AW352" i="1"/>
  <c r="Z352" i="1"/>
  <c r="BB351" i="1" s="1"/>
  <c r="AC349" i="1"/>
  <c r="A353" i="1"/>
  <c r="AK353" i="1" s="1"/>
  <c r="M350" i="1"/>
  <c r="C352" i="1"/>
  <c r="B353" i="1"/>
  <c r="D351" i="1"/>
  <c r="E351" i="1"/>
  <c r="F351" i="1" s="1"/>
  <c r="BC351" i="1" l="1"/>
  <c r="BD351" i="1" s="1"/>
  <c r="AM183" i="1"/>
  <c r="N183" i="1"/>
  <c r="I183" i="1"/>
  <c r="Q183" i="1" s="1"/>
  <c r="Y183" i="1"/>
  <c r="X183" i="1" s="1"/>
  <c r="AF183" i="1" s="1"/>
  <c r="V183" i="1"/>
  <c r="AT183" i="1"/>
  <c r="AS183" i="1" s="1"/>
  <c r="AQ183" i="1" s="1"/>
  <c r="BF353" i="1"/>
  <c r="AE349" i="1"/>
  <c r="J352" i="1"/>
  <c r="L353" i="1"/>
  <c r="AH182" i="1"/>
  <c r="AG182" i="1"/>
  <c r="AY183" i="1"/>
  <c r="A374" i="7"/>
  <c r="B373" i="7"/>
  <c r="K353" i="1"/>
  <c r="AU353" i="1"/>
  <c r="AA353" i="1"/>
  <c r="S353" i="1"/>
  <c r="G351" i="1"/>
  <c r="H351" i="1" s="1"/>
  <c r="AI352" i="1"/>
  <c r="AJ352" i="1" s="1"/>
  <c r="AW353" i="1"/>
  <c r="AC350" i="1"/>
  <c r="Z353" i="1"/>
  <c r="BB352" i="1" s="1"/>
  <c r="A354" i="1"/>
  <c r="AK354" i="1" s="1"/>
  <c r="E352" i="1"/>
  <c r="F352" i="1" s="1"/>
  <c r="D352" i="1"/>
  <c r="M351" i="1"/>
  <c r="C353" i="1"/>
  <c r="B354" i="1"/>
  <c r="BC352" i="1" l="1"/>
  <c r="BD352" i="1" s="1"/>
  <c r="O183" i="1"/>
  <c r="P184" i="1" s="1"/>
  <c r="BE184" i="1" s="1"/>
  <c r="BF354" i="1"/>
  <c r="AE350" i="1"/>
  <c r="U124" i="1"/>
  <c r="U118" i="1"/>
  <c r="J353" i="1"/>
  <c r="L354" i="1"/>
  <c r="BA182" i="1"/>
  <c r="A375" i="7"/>
  <c r="B374" i="7"/>
  <c r="K354" i="1"/>
  <c r="AU354" i="1"/>
  <c r="AA354" i="1"/>
  <c r="S354" i="1"/>
  <c r="G352" i="1"/>
  <c r="H352" i="1" s="1"/>
  <c r="AI353" i="1"/>
  <c r="AJ353" i="1" s="1"/>
  <c r="AW354" i="1"/>
  <c r="AC351" i="1"/>
  <c r="Z354" i="1"/>
  <c r="BB353" i="1" s="1"/>
  <c r="A355" i="1"/>
  <c r="AK355" i="1" s="1"/>
  <c r="C354" i="1"/>
  <c r="B355" i="1"/>
  <c r="M352" i="1"/>
  <c r="E353" i="1"/>
  <c r="F353" i="1" s="1"/>
  <c r="D353" i="1"/>
  <c r="BC353" i="1" l="1"/>
  <c r="BD353" i="1" s="1"/>
  <c r="AM184" i="1"/>
  <c r="Y184" i="1"/>
  <c r="X184" i="1" s="1"/>
  <c r="AF184" i="1" s="1"/>
  <c r="AT184" i="1"/>
  <c r="AS184" i="1" s="1"/>
  <c r="AQ184" i="1" s="1"/>
  <c r="V184" i="1"/>
  <c r="I184" i="1"/>
  <c r="Q184" i="1" s="1"/>
  <c r="N184" i="1"/>
  <c r="BF355" i="1"/>
  <c r="AE351" i="1"/>
  <c r="AL118" i="1"/>
  <c r="AL124" i="1"/>
  <c r="J354" i="1"/>
  <c r="L355" i="1"/>
  <c r="AH183" i="1"/>
  <c r="AG183" i="1"/>
  <c r="AY184" i="1"/>
  <c r="A376" i="7"/>
  <c r="B375" i="7"/>
  <c r="K355" i="1"/>
  <c r="AU355" i="1"/>
  <c r="AA355" i="1"/>
  <c r="S355" i="1"/>
  <c r="G353" i="1"/>
  <c r="H353" i="1" s="1"/>
  <c r="AI354" i="1"/>
  <c r="AJ354" i="1" s="1"/>
  <c r="AW355" i="1"/>
  <c r="AC352" i="1"/>
  <c r="Z355" i="1"/>
  <c r="BB354" i="1" s="1"/>
  <c r="A356" i="1"/>
  <c r="AK356" i="1" s="1"/>
  <c r="M353" i="1"/>
  <c r="C355" i="1"/>
  <c r="B356" i="1"/>
  <c r="E354" i="1"/>
  <c r="F354" i="1" s="1"/>
  <c r="D354" i="1"/>
  <c r="BC354" i="1" l="1"/>
  <c r="BD354" i="1" s="1"/>
  <c r="O184" i="1"/>
  <c r="P185" i="1" s="1"/>
  <c r="BE185" i="1" s="1"/>
  <c r="BF356" i="1"/>
  <c r="AE352" i="1"/>
  <c r="AN118" i="1"/>
  <c r="AN124" i="1"/>
  <c r="J355" i="1"/>
  <c r="L356" i="1"/>
  <c r="BA183" i="1"/>
  <c r="AG184" i="1"/>
  <c r="A377" i="7"/>
  <c r="B376" i="7"/>
  <c r="K356" i="1"/>
  <c r="AU356" i="1"/>
  <c r="AA356" i="1"/>
  <c r="S356" i="1"/>
  <c r="G354" i="1"/>
  <c r="H354" i="1" s="1"/>
  <c r="AI355" i="1"/>
  <c r="AJ355" i="1" s="1"/>
  <c r="AW356" i="1"/>
  <c r="AC353" i="1"/>
  <c r="Z356" i="1"/>
  <c r="BB355" i="1" s="1"/>
  <c r="A357" i="1"/>
  <c r="AK357" i="1" s="1"/>
  <c r="C356" i="1"/>
  <c r="B357" i="1"/>
  <c r="D355" i="1"/>
  <c r="E355" i="1"/>
  <c r="F355" i="1" s="1"/>
  <c r="M354" i="1"/>
  <c r="BC355" i="1" l="1"/>
  <c r="BD355" i="1" s="1"/>
  <c r="AM185" i="1"/>
  <c r="N185" i="1"/>
  <c r="AT185" i="1"/>
  <c r="AS185" i="1" s="1"/>
  <c r="AQ185" i="1" s="1"/>
  <c r="Y185" i="1"/>
  <c r="X185" i="1" s="1"/>
  <c r="AF185" i="1" s="1"/>
  <c r="I185" i="1"/>
  <c r="Q185" i="1" s="1"/>
  <c r="V185" i="1"/>
  <c r="BF357" i="1"/>
  <c r="AE353" i="1"/>
  <c r="AO118" i="1"/>
  <c r="AO124" i="1"/>
  <c r="J356" i="1"/>
  <c r="L357" i="1"/>
  <c r="AY185" i="1"/>
  <c r="AH184" i="1"/>
  <c r="A378" i="7"/>
  <c r="B377" i="7"/>
  <c r="K357" i="1"/>
  <c r="AU357" i="1"/>
  <c r="AA357" i="1"/>
  <c r="S357" i="1"/>
  <c r="G355" i="1"/>
  <c r="H355" i="1" s="1"/>
  <c r="AI356" i="1"/>
  <c r="AJ356" i="1" s="1"/>
  <c r="AW357" i="1"/>
  <c r="AC354" i="1"/>
  <c r="Z357" i="1"/>
  <c r="BB356" i="1" s="1"/>
  <c r="A358" i="1"/>
  <c r="AK358" i="1" s="1"/>
  <c r="C357" i="1"/>
  <c r="B358" i="1"/>
  <c r="E356" i="1"/>
  <c r="F356" i="1" s="1"/>
  <c r="D356" i="1"/>
  <c r="M355" i="1"/>
  <c r="BC356" i="1" l="1"/>
  <c r="BD356" i="1" s="1"/>
  <c r="O185" i="1"/>
  <c r="P186" i="1" s="1"/>
  <c r="BE186" i="1" s="1"/>
  <c r="BF358" i="1"/>
  <c r="AE354" i="1"/>
  <c r="AP118" i="1"/>
  <c r="AX119" i="1" s="1"/>
  <c r="AP124" i="1"/>
  <c r="AX125" i="1" s="1"/>
  <c r="J357" i="1"/>
  <c r="L358" i="1"/>
  <c r="BA184" i="1"/>
  <c r="A379" i="7"/>
  <c r="B378" i="7"/>
  <c r="K358" i="1"/>
  <c r="AU358" i="1"/>
  <c r="AA358" i="1"/>
  <c r="S358" i="1"/>
  <c r="G356" i="1"/>
  <c r="H356" i="1" s="1"/>
  <c r="AI357" i="1"/>
  <c r="AJ357" i="1" s="1"/>
  <c r="AW358" i="1"/>
  <c r="AC355" i="1"/>
  <c r="Z358" i="1"/>
  <c r="BB357" i="1" s="1"/>
  <c r="A359" i="1"/>
  <c r="AK359" i="1" s="1"/>
  <c r="M356" i="1"/>
  <c r="E357" i="1"/>
  <c r="F357" i="1" s="1"/>
  <c r="D357" i="1"/>
  <c r="C358" i="1"/>
  <c r="B359" i="1"/>
  <c r="BC357" i="1" l="1"/>
  <c r="BD357" i="1" s="1"/>
  <c r="I186" i="1"/>
  <c r="Q186" i="1" s="1"/>
  <c r="AT186" i="1"/>
  <c r="AS186" i="1" s="1"/>
  <c r="AQ186" i="1" s="1"/>
  <c r="Y186" i="1"/>
  <c r="X186" i="1" s="1"/>
  <c r="AF186" i="1" s="1"/>
  <c r="AM186" i="1"/>
  <c r="V186" i="1"/>
  <c r="N186" i="1"/>
  <c r="BF359" i="1"/>
  <c r="AE355" i="1"/>
  <c r="J358" i="1"/>
  <c r="AH185" i="1"/>
  <c r="AG185" i="1"/>
  <c r="L359" i="1"/>
  <c r="AY186" i="1"/>
  <c r="A380" i="7"/>
  <c r="B379" i="7"/>
  <c r="K359" i="1"/>
  <c r="AU359" i="1"/>
  <c r="AA359" i="1"/>
  <c r="S359" i="1"/>
  <c r="G357" i="1"/>
  <c r="H357" i="1" s="1"/>
  <c r="AI358" i="1"/>
  <c r="AJ358" i="1" s="1"/>
  <c r="AW359" i="1"/>
  <c r="Z359" i="1"/>
  <c r="BB358" i="1" s="1"/>
  <c r="AC356" i="1"/>
  <c r="A360" i="1"/>
  <c r="C359" i="1"/>
  <c r="B360" i="1"/>
  <c r="M357" i="1"/>
  <c r="E358" i="1"/>
  <c r="F358" i="1" s="1"/>
  <c r="D358" i="1"/>
  <c r="BC358" i="1" l="1"/>
  <c r="BD358" i="1" s="1"/>
  <c r="O186" i="1"/>
  <c r="N187" i="1" s="1"/>
  <c r="BF360" i="1"/>
  <c r="AE356" i="1"/>
  <c r="U119" i="1"/>
  <c r="U125" i="1"/>
  <c r="J359" i="1"/>
  <c r="L360" i="1"/>
  <c r="BA185" i="1"/>
  <c r="AG186" i="1"/>
  <c r="A381" i="7"/>
  <c r="B380" i="7"/>
  <c r="K360" i="1"/>
  <c r="AU360" i="1"/>
  <c r="AA360" i="1"/>
  <c r="S360" i="1"/>
  <c r="G358" i="1"/>
  <c r="H358" i="1" s="1"/>
  <c r="AP360" i="1"/>
  <c r="AK360" i="1"/>
  <c r="AI359" i="1"/>
  <c r="AJ359" i="1" s="1"/>
  <c r="AW360" i="1"/>
  <c r="AC357" i="1"/>
  <c r="Z360" i="1"/>
  <c r="BB359" i="1" s="1"/>
  <c r="A361" i="1"/>
  <c r="AK361" i="1" s="1"/>
  <c r="C360" i="1"/>
  <c r="B361" i="1"/>
  <c r="M358" i="1"/>
  <c r="D359" i="1"/>
  <c r="E359" i="1"/>
  <c r="F359" i="1" s="1"/>
  <c r="BC359" i="1" l="1"/>
  <c r="BD359" i="1" s="1"/>
  <c r="AM187" i="1"/>
  <c r="P187" i="1"/>
  <c r="BE187" i="1" s="1"/>
  <c r="I187" i="1"/>
  <c r="Q187" i="1" s="1"/>
  <c r="AT187" i="1"/>
  <c r="AS187" i="1" s="1"/>
  <c r="BF361" i="1"/>
  <c r="AE357" i="1"/>
  <c r="AL125" i="1"/>
  <c r="AL119" i="1"/>
  <c r="J360" i="1"/>
  <c r="L361" i="1"/>
  <c r="AH186" i="1"/>
  <c r="A382" i="7"/>
  <c r="B381" i="7"/>
  <c r="K361" i="1"/>
  <c r="AU361" i="1"/>
  <c r="AA361" i="1"/>
  <c r="S361" i="1"/>
  <c r="G359" i="1"/>
  <c r="H359" i="1" s="1"/>
  <c r="AI360" i="1"/>
  <c r="AJ360" i="1" s="1"/>
  <c r="AW361" i="1"/>
  <c r="Z361" i="1"/>
  <c r="BB360" i="1" s="1"/>
  <c r="AC358" i="1"/>
  <c r="A362" i="1"/>
  <c r="AK362" i="1" s="1"/>
  <c r="M359" i="1"/>
  <c r="C361" i="1"/>
  <c r="B362" i="1"/>
  <c r="E360" i="1"/>
  <c r="F360" i="1" s="1"/>
  <c r="D360" i="1"/>
  <c r="BC360" i="1" l="1"/>
  <c r="BD360" i="1" s="1"/>
  <c r="Y187" i="1"/>
  <c r="X187" i="1" s="1"/>
  <c r="AF187" i="1" s="1"/>
  <c r="V187" i="1"/>
  <c r="O187" i="1"/>
  <c r="I188" i="1" s="1"/>
  <c r="Q188" i="1" s="1"/>
  <c r="AQ187" i="1"/>
  <c r="AY187" i="1"/>
  <c r="BF362" i="1"/>
  <c r="AE358" i="1"/>
  <c r="AN119" i="1"/>
  <c r="AN125" i="1"/>
  <c r="J361" i="1"/>
  <c r="L362" i="1"/>
  <c r="BA186" i="1"/>
  <c r="A383" i="7"/>
  <c r="B382" i="7"/>
  <c r="K362" i="1"/>
  <c r="AU362" i="1"/>
  <c r="AA362" i="1"/>
  <c r="S362" i="1"/>
  <c r="G360" i="1"/>
  <c r="H360" i="1" s="1"/>
  <c r="AI361" i="1"/>
  <c r="AJ361" i="1" s="1"/>
  <c r="AW362" i="1"/>
  <c r="Z362" i="1"/>
  <c r="BB361" i="1" s="1"/>
  <c r="AC359" i="1"/>
  <c r="A363" i="1"/>
  <c r="AK363" i="1" s="1"/>
  <c r="C362" i="1"/>
  <c r="B363" i="1"/>
  <c r="M360" i="1"/>
  <c r="E361" i="1"/>
  <c r="F361" i="1" s="1"/>
  <c r="D361" i="1"/>
  <c r="BC361" i="1" l="1"/>
  <c r="BD361" i="1" s="1"/>
  <c r="AM188" i="1"/>
  <c r="AT188" i="1"/>
  <c r="AS188" i="1" s="1"/>
  <c r="N188" i="1"/>
  <c r="O188" i="1" s="1"/>
  <c r="P188" i="1"/>
  <c r="BE188" i="1" s="1"/>
  <c r="BF363" i="1"/>
  <c r="AE359" i="1"/>
  <c r="AO125" i="1"/>
  <c r="AO119" i="1"/>
  <c r="J362" i="1"/>
  <c r="L363" i="1"/>
  <c r="AH187" i="1"/>
  <c r="AG187" i="1"/>
  <c r="A384" i="7"/>
  <c r="B383" i="7"/>
  <c r="K363" i="1"/>
  <c r="AU363" i="1"/>
  <c r="AA363" i="1"/>
  <c r="S363" i="1"/>
  <c r="G361" i="1"/>
  <c r="H361" i="1" s="1"/>
  <c r="AI362" i="1"/>
  <c r="AJ362" i="1" s="1"/>
  <c r="AW363" i="1"/>
  <c r="AC360" i="1"/>
  <c r="Z363" i="1"/>
  <c r="BB362" i="1" s="1"/>
  <c r="A364" i="1"/>
  <c r="AK364" i="1" s="1"/>
  <c r="M361" i="1"/>
  <c r="C363" i="1"/>
  <c r="B364" i="1"/>
  <c r="E362" i="1"/>
  <c r="F362" i="1" s="1"/>
  <c r="D362" i="1"/>
  <c r="BC362" i="1" l="1"/>
  <c r="BD362" i="1" s="1"/>
  <c r="AY188" i="1"/>
  <c r="Y188" i="1"/>
  <c r="X188" i="1" s="1"/>
  <c r="AF188" i="1" s="1"/>
  <c r="AQ188" i="1"/>
  <c r="V188" i="1"/>
  <c r="BF364" i="1"/>
  <c r="AE360" i="1"/>
  <c r="P189" i="1"/>
  <c r="BE189" i="1" s="1"/>
  <c r="AP125" i="1"/>
  <c r="AX126" i="1" s="1"/>
  <c r="AP119" i="1"/>
  <c r="AX120" i="1" s="1"/>
  <c r="J363" i="1"/>
  <c r="L364" i="1"/>
  <c r="BA187" i="1"/>
  <c r="I189" i="1"/>
  <c r="Q189" i="1" s="1"/>
  <c r="AM189" i="1"/>
  <c r="N189" i="1"/>
  <c r="AT189" i="1"/>
  <c r="AS189" i="1" s="1"/>
  <c r="A385" i="7"/>
  <c r="B384" i="7"/>
  <c r="K364" i="1"/>
  <c r="AU364" i="1"/>
  <c r="AA364" i="1"/>
  <c r="S364" i="1"/>
  <c r="G362" i="1"/>
  <c r="H362" i="1" s="1"/>
  <c r="AI363" i="1"/>
  <c r="AJ363" i="1" s="1"/>
  <c r="AW364" i="1"/>
  <c r="Z364" i="1"/>
  <c r="BB363" i="1" s="1"/>
  <c r="AC361" i="1"/>
  <c r="A365" i="1"/>
  <c r="AK365" i="1" s="1"/>
  <c r="D363" i="1"/>
  <c r="E363" i="1"/>
  <c r="F363" i="1" s="1"/>
  <c r="M362" i="1"/>
  <c r="C364" i="1"/>
  <c r="B365" i="1"/>
  <c r="BC363" i="1" l="1"/>
  <c r="BD363" i="1" s="1"/>
  <c r="BF365" i="1"/>
  <c r="AE361" i="1"/>
  <c r="V189" i="1"/>
  <c r="Y189" i="1"/>
  <c r="X189" i="1" s="1"/>
  <c r="AF189" i="1" s="1"/>
  <c r="AQ189" i="1"/>
  <c r="AY189" i="1"/>
  <c r="J364" i="1"/>
  <c r="AH188" i="1"/>
  <c r="AG188" i="1"/>
  <c r="L365" i="1"/>
  <c r="O189" i="1"/>
  <c r="A386" i="7"/>
  <c r="B385" i="7"/>
  <c r="K365" i="1"/>
  <c r="AU365" i="1"/>
  <c r="AA365" i="1"/>
  <c r="S365" i="1"/>
  <c r="G363" i="1"/>
  <c r="H363" i="1" s="1"/>
  <c r="AI364" i="1"/>
  <c r="AJ364" i="1" s="1"/>
  <c r="AW365" i="1"/>
  <c r="AC362" i="1"/>
  <c r="Z365" i="1"/>
  <c r="BB364" i="1" s="1"/>
  <c r="A366" i="1"/>
  <c r="AK366" i="1" s="1"/>
  <c r="C365" i="1"/>
  <c r="B366" i="1"/>
  <c r="M363" i="1"/>
  <c r="E364" i="1"/>
  <c r="F364" i="1" s="1"/>
  <c r="D364" i="1"/>
  <c r="BC364" i="1" l="1"/>
  <c r="BD364" i="1" s="1"/>
  <c r="BF366" i="1"/>
  <c r="AE362" i="1"/>
  <c r="AG189" i="1"/>
  <c r="P190" i="1"/>
  <c r="BE190" i="1" s="1"/>
  <c r="U126" i="1"/>
  <c r="U120" i="1"/>
  <c r="J365" i="1"/>
  <c r="L366" i="1"/>
  <c r="BA188" i="1"/>
  <c r="AT190" i="1"/>
  <c r="AS190" i="1" s="1"/>
  <c r="I190" i="1"/>
  <c r="Q190" i="1" s="1"/>
  <c r="AM190" i="1"/>
  <c r="N190" i="1"/>
  <c r="A387" i="7"/>
  <c r="B386" i="7"/>
  <c r="K366" i="1"/>
  <c r="AU366" i="1"/>
  <c r="AA366" i="1"/>
  <c r="S366" i="1"/>
  <c r="G364" i="1"/>
  <c r="H364" i="1" s="1"/>
  <c r="AI365" i="1"/>
  <c r="AJ365" i="1" s="1"/>
  <c r="AW366" i="1"/>
  <c r="Z366" i="1"/>
  <c r="BB365" i="1" s="1"/>
  <c r="AC363" i="1"/>
  <c r="A367" i="1"/>
  <c r="AK367" i="1" s="1"/>
  <c r="E365" i="1"/>
  <c r="F365" i="1" s="1"/>
  <c r="D365" i="1"/>
  <c r="C366" i="1"/>
  <c r="B367" i="1"/>
  <c r="M364" i="1"/>
  <c r="BC365" i="1" l="1"/>
  <c r="BD365" i="1" s="1"/>
  <c r="BF367" i="1"/>
  <c r="AE363" i="1"/>
  <c r="V190" i="1"/>
  <c r="Y190" i="1"/>
  <c r="X190" i="1" s="1"/>
  <c r="AF190" i="1" s="1"/>
  <c r="AH189" i="1"/>
  <c r="AQ190" i="1"/>
  <c r="AY190" i="1"/>
  <c r="AL120" i="1"/>
  <c r="AL126" i="1"/>
  <c r="J366" i="1"/>
  <c r="L367" i="1"/>
  <c r="BA189" i="1"/>
  <c r="O190" i="1"/>
  <c r="A388" i="7"/>
  <c r="B387" i="7"/>
  <c r="K367" i="1"/>
  <c r="AU367" i="1"/>
  <c r="AA367" i="1"/>
  <c r="S367" i="1"/>
  <c r="G365" i="1"/>
  <c r="H365" i="1" s="1"/>
  <c r="AI366" i="1"/>
  <c r="AJ366" i="1" s="1"/>
  <c r="AW367" i="1"/>
  <c r="AC364" i="1"/>
  <c r="Z367" i="1"/>
  <c r="BB366" i="1" s="1"/>
  <c r="A368" i="1"/>
  <c r="AK368" i="1" s="1"/>
  <c r="E366" i="1"/>
  <c r="F366" i="1" s="1"/>
  <c r="D366" i="1"/>
  <c r="C367" i="1"/>
  <c r="B368" i="1"/>
  <c r="M365" i="1"/>
  <c r="BC366" i="1" l="1"/>
  <c r="BD366" i="1" s="1"/>
  <c r="BF368" i="1"/>
  <c r="AE364" i="1"/>
  <c r="AG190" i="1"/>
  <c r="N191" i="1"/>
  <c r="P191" i="1"/>
  <c r="BE191" i="1" s="1"/>
  <c r="AN120" i="1"/>
  <c r="AN126" i="1"/>
  <c r="J367" i="1"/>
  <c r="L368" i="1"/>
  <c r="AM191" i="1"/>
  <c r="I191" i="1"/>
  <c r="Q191" i="1" s="1"/>
  <c r="AT191" i="1"/>
  <c r="AS191" i="1" s="1"/>
  <c r="A389" i="7"/>
  <c r="B388" i="7"/>
  <c r="K368" i="1"/>
  <c r="AU368" i="1"/>
  <c r="AA368" i="1"/>
  <c r="S368" i="1"/>
  <c r="G366" i="1"/>
  <c r="H366" i="1" s="1"/>
  <c r="AI367" i="1"/>
  <c r="AJ367" i="1" s="1"/>
  <c r="AW368" i="1"/>
  <c r="Z368" i="1"/>
  <c r="BB367" i="1" s="1"/>
  <c r="AC365" i="1"/>
  <c r="A369" i="1"/>
  <c r="AK369" i="1" s="1"/>
  <c r="M366" i="1"/>
  <c r="C368" i="1"/>
  <c r="B369" i="1"/>
  <c r="D367" i="1"/>
  <c r="E367" i="1"/>
  <c r="F367" i="1" s="1"/>
  <c r="BC367" i="1" l="1"/>
  <c r="BD367" i="1" s="1"/>
  <c r="BF369" i="1"/>
  <c r="AE365" i="1"/>
  <c r="V191" i="1"/>
  <c r="Y191" i="1"/>
  <c r="X191" i="1" s="1"/>
  <c r="AF191" i="1" s="1"/>
  <c r="AH190" i="1"/>
  <c r="AO120" i="1"/>
  <c r="AO126" i="1"/>
  <c r="AQ191" i="1"/>
  <c r="J368" i="1"/>
  <c r="L369" i="1"/>
  <c r="BA190" i="1"/>
  <c r="AY191" i="1"/>
  <c r="O191" i="1"/>
  <c r="A390" i="7"/>
  <c r="B389" i="7"/>
  <c r="K369" i="1"/>
  <c r="AU369" i="1"/>
  <c r="AA369" i="1"/>
  <c r="S369" i="1"/>
  <c r="G367" i="1"/>
  <c r="H367" i="1" s="1"/>
  <c r="AI368" i="1"/>
  <c r="AJ368" i="1" s="1"/>
  <c r="AW369" i="1"/>
  <c r="AC366" i="1"/>
  <c r="Z369" i="1"/>
  <c r="BB368" i="1" s="1"/>
  <c r="A370" i="1"/>
  <c r="AK370" i="1" s="1"/>
  <c r="C369" i="1"/>
  <c r="B370" i="1"/>
  <c r="E368" i="1"/>
  <c r="F368" i="1" s="1"/>
  <c r="D368" i="1"/>
  <c r="M367" i="1"/>
  <c r="BC368" i="1" l="1"/>
  <c r="BD368" i="1" s="1"/>
  <c r="BF370" i="1"/>
  <c r="AE366" i="1"/>
  <c r="AT192" i="1"/>
  <c r="AS192" i="1" s="1"/>
  <c r="P192" i="1"/>
  <c r="BE192" i="1" s="1"/>
  <c r="AP126" i="1"/>
  <c r="AX127" i="1" s="1"/>
  <c r="J369" i="1"/>
  <c r="L370" i="1"/>
  <c r="AM192" i="1"/>
  <c r="I192" i="1"/>
  <c r="Q192" i="1" s="1"/>
  <c r="N192" i="1"/>
  <c r="A391" i="7"/>
  <c r="B390" i="7"/>
  <c r="K370" i="1"/>
  <c r="AU370" i="1"/>
  <c r="AA370" i="1"/>
  <c r="S370" i="1"/>
  <c r="G368" i="1"/>
  <c r="H368" i="1" s="1"/>
  <c r="AI369" i="1"/>
  <c r="AJ369" i="1" s="1"/>
  <c r="AW370" i="1"/>
  <c r="AC367" i="1"/>
  <c r="Z370" i="1"/>
  <c r="BB369" i="1" s="1"/>
  <c r="A371" i="1"/>
  <c r="AK371" i="1" s="1"/>
  <c r="C370" i="1"/>
  <c r="B371" i="1"/>
  <c r="M368" i="1"/>
  <c r="E369" i="1"/>
  <c r="F369" i="1" s="1"/>
  <c r="D369" i="1"/>
  <c r="BC369" i="1" l="1"/>
  <c r="BD369" i="1" s="1"/>
  <c r="BF371" i="1"/>
  <c r="AE367" i="1"/>
  <c r="V192" i="1"/>
  <c r="Y192" i="1"/>
  <c r="X192" i="1" s="1"/>
  <c r="AF192" i="1" s="1"/>
  <c r="AQ192" i="1"/>
  <c r="J370" i="1"/>
  <c r="L371" i="1"/>
  <c r="AH191" i="1"/>
  <c r="AG191" i="1"/>
  <c r="AY192" i="1"/>
  <c r="O192" i="1"/>
  <c r="A392" i="7"/>
  <c r="B391" i="7"/>
  <c r="K371" i="1"/>
  <c r="AU371" i="1"/>
  <c r="AA371" i="1"/>
  <c r="S371" i="1"/>
  <c r="G369" i="1"/>
  <c r="H369" i="1" s="1"/>
  <c r="AI370" i="1"/>
  <c r="AJ370" i="1" s="1"/>
  <c r="AW371" i="1"/>
  <c r="AC368" i="1"/>
  <c r="Z371" i="1"/>
  <c r="BB370" i="1" s="1"/>
  <c r="A372" i="1"/>
  <c r="M369" i="1"/>
  <c r="C371" i="1"/>
  <c r="B372" i="1"/>
  <c r="E370" i="1"/>
  <c r="F370" i="1" s="1"/>
  <c r="D370" i="1"/>
  <c r="BC370" i="1" l="1"/>
  <c r="BD370" i="1" s="1"/>
  <c r="BF372" i="1"/>
  <c r="AE368" i="1"/>
  <c r="AM193" i="1"/>
  <c r="P193" i="1"/>
  <c r="BE193" i="1" s="1"/>
  <c r="U127" i="1"/>
  <c r="J371" i="1"/>
  <c r="L372" i="1"/>
  <c r="BA191" i="1"/>
  <c r="I193" i="1"/>
  <c r="Q193" i="1" s="1"/>
  <c r="N193" i="1"/>
  <c r="AT193" i="1"/>
  <c r="AS193" i="1" s="1"/>
  <c r="A393" i="7"/>
  <c r="B392" i="7"/>
  <c r="K372" i="1"/>
  <c r="AU372" i="1"/>
  <c r="AA372" i="1"/>
  <c r="S372" i="1"/>
  <c r="G370" i="1"/>
  <c r="H370" i="1" s="1"/>
  <c r="AK372" i="1"/>
  <c r="AP372" i="1"/>
  <c r="AI371" i="1"/>
  <c r="AJ371" i="1" s="1"/>
  <c r="AW372" i="1"/>
  <c r="U133" i="1"/>
  <c r="Z372" i="1"/>
  <c r="BB371" i="1" s="1"/>
  <c r="AC369" i="1"/>
  <c r="A373" i="1"/>
  <c r="AK373" i="1" s="1"/>
  <c r="D371" i="1"/>
  <c r="E371" i="1"/>
  <c r="F371" i="1" s="1"/>
  <c r="M370" i="1"/>
  <c r="C372" i="1"/>
  <c r="B373" i="1"/>
  <c r="BC371" i="1" l="1"/>
  <c r="BD371" i="1" s="1"/>
  <c r="BF373" i="1"/>
  <c r="AE369" i="1"/>
  <c r="V193" i="1"/>
  <c r="Y193" i="1"/>
  <c r="X193" i="1" s="1"/>
  <c r="AF193" i="1" s="1"/>
  <c r="AL133" i="1"/>
  <c r="AL127" i="1"/>
  <c r="AQ193" i="1"/>
  <c r="J372" i="1"/>
  <c r="L373" i="1"/>
  <c r="AH192" i="1"/>
  <c r="AG192" i="1"/>
  <c r="AY193" i="1"/>
  <c r="O193" i="1"/>
  <c r="P194" i="1" s="1"/>
  <c r="BE194" i="1" s="1"/>
  <c r="A394" i="7"/>
  <c r="B393" i="7"/>
  <c r="K373" i="1"/>
  <c r="AU373" i="1"/>
  <c r="AA373" i="1"/>
  <c r="S373" i="1"/>
  <c r="G371" i="1"/>
  <c r="H371" i="1" s="1"/>
  <c r="AI372" i="1"/>
  <c r="AJ372" i="1" s="1"/>
  <c r="AW373" i="1"/>
  <c r="Z373" i="1"/>
  <c r="BB372" i="1" s="1"/>
  <c r="AC370" i="1"/>
  <c r="A374" i="1"/>
  <c r="AK374" i="1" s="1"/>
  <c r="C373" i="1"/>
  <c r="B374" i="1"/>
  <c r="E372" i="1"/>
  <c r="F372" i="1" s="1"/>
  <c r="D372" i="1"/>
  <c r="M371" i="1"/>
  <c r="BC372" i="1" l="1"/>
  <c r="BD372" i="1" s="1"/>
  <c r="BF374" i="1"/>
  <c r="AX193" i="1"/>
  <c r="AE370" i="1"/>
  <c r="V194" i="1"/>
  <c r="Y194" i="1"/>
  <c r="X194" i="1" s="1"/>
  <c r="AF194" i="1" s="1"/>
  <c r="AN127" i="1"/>
  <c r="AN133" i="1"/>
  <c r="J373" i="1"/>
  <c r="L374" i="1"/>
  <c r="BA192" i="1"/>
  <c r="AG193" i="1"/>
  <c r="AM194" i="1"/>
  <c r="I194" i="1"/>
  <c r="Q194" i="1" s="1"/>
  <c r="N194" i="1"/>
  <c r="AT194" i="1"/>
  <c r="AS194" i="1" s="1"/>
  <c r="A395" i="7"/>
  <c r="B394" i="7"/>
  <c r="K374" i="1"/>
  <c r="AU374" i="1"/>
  <c r="AA374" i="1"/>
  <c r="S374" i="1"/>
  <c r="G372" i="1"/>
  <c r="H372" i="1" s="1"/>
  <c r="AI373" i="1"/>
  <c r="AJ373" i="1" s="1"/>
  <c r="AW374" i="1"/>
  <c r="Z374" i="1"/>
  <c r="BB373" i="1" s="1"/>
  <c r="AC371" i="1"/>
  <c r="A375" i="1"/>
  <c r="AK375" i="1" s="1"/>
  <c r="M372" i="1"/>
  <c r="C374" i="1"/>
  <c r="B375" i="1"/>
  <c r="E373" i="1"/>
  <c r="F373" i="1" s="1"/>
  <c r="D373" i="1"/>
  <c r="BC373" i="1" l="1"/>
  <c r="BD373" i="1" s="1"/>
  <c r="BF375" i="1"/>
  <c r="AE371" i="1"/>
  <c r="AO127" i="1"/>
  <c r="AO133" i="1"/>
  <c r="AQ194" i="1"/>
  <c r="J374" i="1"/>
  <c r="L375" i="1"/>
  <c r="AY194" i="1"/>
  <c r="AH193" i="1"/>
  <c r="O194" i="1"/>
  <c r="P195" i="1" s="1"/>
  <c r="BE195" i="1" s="1"/>
  <c r="A396" i="7"/>
  <c r="B395" i="7"/>
  <c r="K375" i="1"/>
  <c r="AU375" i="1"/>
  <c r="AA375" i="1"/>
  <c r="S375" i="1"/>
  <c r="G373" i="1"/>
  <c r="H373" i="1" s="1"/>
  <c r="AI374" i="1"/>
  <c r="AJ374" i="1" s="1"/>
  <c r="AW375" i="1"/>
  <c r="AC372" i="1"/>
  <c r="Z375" i="1"/>
  <c r="BB374" i="1" s="1"/>
  <c r="A376" i="1"/>
  <c r="AK376" i="1" s="1"/>
  <c r="C375" i="1"/>
  <c r="B376" i="1"/>
  <c r="E374" i="1"/>
  <c r="F374" i="1" s="1"/>
  <c r="D374" i="1"/>
  <c r="M373" i="1"/>
  <c r="BC374" i="1" l="1"/>
  <c r="BD374" i="1" s="1"/>
  <c r="BF376" i="1"/>
  <c r="AE372" i="1"/>
  <c r="V195" i="1"/>
  <c r="Y195" i="1"/>
  <c r="AP127" i="1"/>
  <c r="AX128" i="1" s="1"/>
  <c r="AP133" i="1"/>
  <c r="AX134" i="1" s="1"/>
  <c r="J375" i="1"/>
  <c r="L376" i="1"/>
  <c r="BA193" i="1"/>
  <c r="I195" i="1"/>
  <c r="Q195" i="1" s="1"/>
  <c r="AT195" i="1"/>
  <c r="AS195" i="1" s="1"/>
  <c r="N195" i="1"/>
  <c r="AM195" i="1"/>
  <c r="A397" i="7"/>
  <c r="B396" i="7"/>
  <c r="K376" i="1"/>
  <c r="AU376" i="1"/>
  <c r="AA376" i="1"/>
  <c r="S376" i="1"/>
  <c r="G374" i="1"/>
  <c r="H374" i="1" s="1"/>
  <c r="AI375" i="1"/>
  <c r="AJ375" i="1" s="1"/>
  <c r="AW376" i="1"/>
  <c r="AC373" i="1"/>
  <c r="Z376" i="1"/>
  <c r="BB375" i="1" s="1"/>
  <c r="A377" i="1"/>
  <c r="AK377" i="1" s="1"/>
  <c r="M374" i="1"/>
  <c r="C376" i="1"/>
  <c r="B377" i="1"/>
  <c r="D375" i="1"/>
  <c r="E375" i="1"/>
  <c r="F375" i="1" s="1"/>
  <c r="BC375" i="1" l="1"/>
  <c r="BD375" i="1" s="1"/>
  <c r="BF377" i="1"/>
  <c r="AE373" i="1"/>
  <c r="AQ195" i="1"/>
  <c r="X195" i="1"/>
  <c r="AF195" i="1" s="1"/>
  <c r="J376" i="1"/>
  <c r="L377" i="1"/>
  <c r="AH194" i="1"/>
  <c r="AG194" i="1"/>
  <c r="AY195" i="1"/>
  <c r="O195" i="1"/>
  <c r="P196" i="1" s="1"/>
  <c r="BE196" i="1" s="1"/>
  <c r="A398" i="7"/>
  <c r="B397" i="7"/>
  <c r="K377" i="1"/>
  <c r="AU377" i="1"/>
  <c r="AA377" i="1"/>
  <c r="S377" i="1"/>
  <c r="G375" i="1"/>
  <c r="H375" i="1" s="1"/>
  <c r="AI376" i="1"/>
  <c r="AJ376" i="1" s="1"/>
  <c r="AW377" i="1"/>
  <c r="Z377" i="1"/>
  <c r="BB376" i="1" s="1"/>
  <c r="AC374" i="1"/>
  <c r="A378" i="1"/>
  <c r="AK378" i="1" s="1"/>
  <c r="M375" i="1"/>
  <c r="E376" i="1"/>
  <c r="F376" i="1" s="1"/>
  <c r="D376" i="1"/>
  <c r="C377" i="1"/>
  <c r="B378" i="1"/>
  <c r="BC376" i="1" l="1"/>
  <c r="BD376" i="1" s="1"/>
  <c r="BF378" i="1"/>
  <c r="AE374" i="1"/>
  <c r="V196" i="1"/>
  <c r="Y196" i="1"/>
  <c r="U134" i="1"/>
  <c r="U128" i="1"/>
  <c r="J377" i="1"/>
  <c r="L378" i="1"/>
  <c r="BA194" i="1"/>
  <c r="AT196" i="1"/>
  <c r="AS196" i="1" s="1"/>
  <c r="N196" i="1"/>
  <c r="AM196" i="1"/>
  <c r="I196" i="1"/>
  <c r="Q196" i="1" s="1"/>
  <c r="A399" i="7"/>
  <c r="B398" i="7"/>
  <c r="K378" i="1"/>
  <c r="AU378" i="1"/>
  <c r="AA378" i="1"/>
  <c r="S378" i="1"/>
  <c r="G376" i="1"/>
  <c r="H376" i="1" s="1"/>
  <c r="AI377" i="1"/>
  <c r="AJ377" i="1" s="1"/>
  <c r="AW378" i="1"/>
  <c r="AC375" i="1"/>
  <c r="Z378" i="1"/>
  <c r="BB377" i="1" s="1"/>
  <c r="A379" i="1"/>
  <c r="AK379" i="1" s="1"/>
  <c r="M376" i="1"/>
  <c r="C378" i="1"/>
  <c r="B379" i="1"/>
  <c r="E377" i="1"/>
  <c r="F377" i="1" s="1"/>
  <c r="D377" i="1"/>
  <c r="BC377" i="1" l="1"/>
  <c r="BD377" i="1" s="1"/>
  <c r="BF379" i="1"/>
  <c r="AE375" i="1"/>
  <c r="AL128" i="1"/>
  <c r="AL134" i="1"/>
  <c r="AQ196" i="1"/>
  <c r="X196" i="1"/>
  <c r="AF196" i="1" s="1"/>
  <c r="J378" i="1"/>
  <c r="L379" i="1"/>
  <c r="AH195" i="1"/>
  <c r="AG195" i="1"/>
  <c r="AY196" i="1"/>
  <c r="O196" i="1"/>
  <c r="P197" i="1" s="1"/>
  <c r="BE197" i="1" s="1"/>
  <c r="A400" i="7"/>
  <c r="B399" i="7"/>
  <c r="K379" i="1"/>
  <c r="AU379" i="1"/>
  <c r="AA379" i="1"/>
  <c r="S379" i="1"/>
  <c r="G377" i="1"/>
  <c r="H377" i="1" s="1"/>
  <c r="AI378" i="1"/>
  <c r="AJ378" i="1" s="1"/>
  <c r="AW379" i="1"/>
  <c r="Z379" i="1"/>
  <c r="BB378" i="1" s="1"/>
  <c r="AC376" i="1"/>
  <c r="A380" i="1"/>
  <c r="AK380" i="1" s="1"/>
  <c r="M377" i="1"/>
  <c r="C379" i="1"/>
  <c r="B380" i="1"/>
  <c r="E378" i="1"/>
  <c r="F378" i="1" s="1"/>
  <c r="D378" i="1"/>
  <c r="BC378" i="1" l="1"/>
  <c r="BD378" i="1" s="1"/>
  <c r="BF380" i="1"/>
  <c r="AE376" i="1"/>
  <c r="V197" i="1"/>
  <c r="Y197" i="1"/>
  <c r="X197" i="1" s="1"/>
  <c r="AF197" i="1" s="1"/>
  <c r="AN128" i="1"/>
  <c r="AN134" i="1"/>
  <c r="J379" i="1"/>
  <c r="L380" i="1"/>
  <c r="BA195" i="1"/>
  <c r="AG196" i="1"/>
  <c r="N197" i="1"/>
  <c r="AM197" i="1"/>
  <c r="I197" i="1"/>
  <c r="Q197" i="1" s="1"/>
  <c r="AT197" i="1"/>
  <c r="AS197" i="1" s="1"/>
  <c r="A401" i="7"/>
  <c r="B400" i="7"/>
  <c r="K380" i="1"/>
  <c r="AU380" i="1"/>
  <c r="AA380" i="1"/>
  <c r="S380" i="1"/>
  <c r="G378" i="1"/>
  <c r="H378" i="1" s="1"/>
  <c r="AI379" i="1"/>
  <c r="AJ379" i="1" s="1"/>
  <c r="AW380" i="1"/>
  <c r="Z380" i="1"/>
  <c r="BB379" i="1" s="1"/>
  <c r="AC377" i="1"/>
  <c r="A381" i="1"/>
  <c r="AK381" i="1" s="1"/>
  <c r="M378" i="1"/>
  <c r="C380" i="1"/>
  <c r="B381" i="1"/>
  <c r="D379" i="1"/>
  <c r="E379" i="1"/>
  <c r="F379" i="1" s="1"/>
  <c r="BC379" i="1" l="1"/>
  <c r="BD379" i="1" s="1"/>
  <c r="BF381" i="1"/>
  <c r="AG197" i="1"/>
  <c r="AE377" i="1"/>
  <c r="AO128" i="1"/>
  <c r="AO134" i="1"/>
  <c r="AQ197" i="1"/>
  <c r="J380" i="1"/>
  <c r="L381" i="1"/>
  <c r="AH196" i="1"/>
  <c r="AY197" i="1"/>
  <c r="O197" i="1"/>
  <c r="P198" i="1" s="1"/>
  <c r="BE198" i="1" s="1"/>
  <c r="A402" i="7"/>
  <c r="B401" i="7"/>
  <c r="K381" i="1"/>
  <c r="AU381" i="1"/>
  <c r="AA381" i="1"/>
  <c r="S381" i="1"/>
  <c r="G379" i="1"/>
  <c r="H379" i="1" s="1"/>
  <c r="AI380" i="1"/>
  <c r="AJ380" i="1" s="1"/>
  <c r="AW381" i="1"/>
  <c r="AC378" i="1"/>
  <c r="Z381" i="1"/>
  <c r="BB380" i="1" s="1"/>
  <c r="A382" i="1"/>
  <c r="AK382" i="1" s="1"/>
  <c r="M379" i="1"/>
  <c r="E380" i="1"/>
  <c r="F380" i="1" s="1"/>
  <c r="D380" i="1"/>
  <c r="C381" i="1"/>
  <c r="B382" i="1"/>
  <c r="BC380" i="1" l="1"/>
  <c r="BD380" i="1" s="1"/>
  <c r="BF382" i="1"/>
  <c r="AE378" i="1"/>
  <c r="V198" i="1"/>
  <c r="Y198" i="1"/>
  <c r="X198" i="1" s="1"/>
  <c r="AF198" i="1" s="1"/>
  <c r="AP128" i="1"/>
  <c r="AX129" i="1" s="1"/>
  <c r="AP134" i="1"/>
  <c r="AX135" i="1" s="1"/>
  <c r="J381" i="1"/>
  <c r="L382" i="1"/>
  <c r="BA196" i="1"/>
  <c r="AT198" i="1"/>
  <c r="AS198" i="1" s="1"/>
  <c r="I198" i="1"/>
  <c r="Q198" i="1" s="1"/>
  <c r="N198" i="1"/>
  <c r="AM198" i="1"/>
  <c r="A403" i="7"/>
  <c r="B402" i="7"/>
  <c r="K382" i="1"/>
  <c r="AU382" i="1"/>
  <c r="AA382" i="1"/>
  <c r="S382" i="1"/>
  <c r="G380" i="1"/>
  <c r="H380" i="1" s="1"/>
  <c r="AI381" i="1"/>
  <c r="AJ381" i="1" s="1"/>
  <c r="AW382" i="1"/>
  <c r="AC379" i="1"/>
  <c r="Z382" i="1"/>
  <c r="BB381" i="1" s="1"/>
  <c r="A383" i="1"/>
  <c r="AK383" i="1" s="1"/>
  <c r="M380" i="1"/>
  <c r="C382" i="1"/>
  <c r="B383" i="1"/>
  <c r="E381" i="1"/>
  <c r="F381" i="1" s="1"/>
  <c r="D381" i="1"/>
  <c r="BC381" i="1" l="1"/>
  <c r="BD381" i="1" s="1"/>
  <c r="BF383" i="1"/>
  <c r="AE379" i="1"/>
  <c r="AQ198" i="1"/>
  <c r="J382" i="1"/>
  <c r="L383" i="1"/>
  <c r="AH197" i="1"/>
  <c r="AY198" i="1"/>
  <c r="O198" i="1"/>
  <c r="A404" i="7"/>
  <c r="B403" i="7"/>
  <c r="K383" i="1"/>
  <c r="AU383" i="1"/>
  <c r="AA383" i="1"/>
  <c r="S383" i="1"/>
  <c r="G381" i="1"/>
  <c r="H381" i="1" s="1"/>
  <c r="AI382" i="1"/>
  <c r="AJ382" i="1" s="1"/>
  <c r="AW383" i="1"/>
  <c r="Z383" i="1"/>
  <c r="BB382" i="1" s="1"/>
  <c r="AC380" i="1"/>
  <c r="A384" i="1"/>
  <c r="E382" i="1"/>
  <c r="F382" i="1" s="1"/>
  <c r="D382" i="1"/>
  <c r="C383" i="1"/>
  <c r="B384" i="1"/>
  <c r="M381" i="1"/>
  <c r="BC382" i="1" l="1"/>
  <c r="BD382" i="1" s="1"/>
  <c r="BF384" i="1"/>
  <c r="AE380" i="1"/>
  <c r="N199" i="1"/>
  <c r="P199" i="1"/>
  <c r="BE199" i="1" s="1"/>
  <c r="U135" i="1"/>
  <c r="U129" i="1"/>
  <c r="J383" i="1"/>
  <c r="L384" i="1"/>
  <c r="BA197" i="1"/>
  <c r="AM199" i="1"/>
  <c r="I199" i="1"/>
  <c r="Q199" i="1" s="1"/>
  <c r="AT199" i="1"/>
  <c r="AS199" i="1" s="1"/>
  <c r="A405" i="7"/>
  <c r="B404" i="7"/>
  <c r="K384" i="1"/>
  <c r="AU384" i="1"/>
  <c r="AA384" i="1"/>
  <c r="S384" i="1"/>
  <c r="G382" i="1"/>
  <c r="H382" i="1" s="1"/>
  <c r="AP384" i="1"/>
  <c r="AK384" i="1"/>
  <c r="AI383" i="1"/>
  <c r="AJ383" i="1" s="1"/>
  <c r="AW384" i="1"/>
  <c r="Z384" i="1"/>
  <c r="BB383" i="1" s="1"/>
  <c r="AC381" i="1"/>
  <c r="A385" i="1"/>
  <c r="AK385" i="1" s="1"/>
  <c r="D383" i="1"/>
  <c r="E383" i="1"/>
  <c r="F383" i="1" s="1"/>
  <c r="M382" i="1"/>
  <c r="C384" i="1"/>
  <c r="B385" i="1"/>
  <c r="BC383" i="1" l="1"/>
  <c r="BD383" i="1" s="1"/>
  <c r="BF385" i="1"/>
  <c r="AE381" i="1"/>
  <c r="V199" i="1"/>
  <c r="Y199" i="1"/>
  <c r="X199" i="1" s="1"/>
  <c r="AF199" i="1" s="1"/>
  <c r="AL129" i="1"/>
  <c r="AL135" i="1"/>
  <c r="AQ199" i="1"/>
  <c r="J384" i="1"/>
  <c r="AH198" i="1"/>
  <c r="AG198" i="1"/>
  <c r="L385" i="1"/>
  <c r="AY199" i="1"/>
  <c r="O199" i="1"/>
  <c r="A406" i="7"/>
  <c r="B405" i="7"/>
  <c r="K385" i="1"/>
  <c r="AU385" i="1"/>
  <c r="AA385" i="1"/>
  <c r="S385" i="1"/>
  <c r="G383" i="1"/>
  <c r="H383" i="1" s="1"/>
  <c r="AI384" i="1"/>
  <c r="AJ384" i="1" s="1"/>
  <c r="AW385" i="1"/>
  <c r="Z385" i="1"/>
  <c r="BB384" i="1" s="1"/>
  <c r="AC382" i="1"/>
  <c r="A386" i="1"/>
  <c r="AK386" i="1" s="1"/>
  <c r="M383" i="1"/>
  <c r="E384" i="1"/>
  <c r="F384" i="1" s="1"/>
  <c r="D384" i="1"/>
  <c r="C385" i="1"/>
  <c r="B386" i="1"/>
  <c r="BC384" i="1" l="1"/>
  <c r="BD384" i="1" s="1"/>
  <c r="BF386" i="1"/>
  <c r="AE382" i="1"/>
  <c r="AM200" i="1"/>
  <c r="P200" i="1"/>
  <c r="BE200" i="1" s="1"/>
  <c r="AN129" i="1"/>
  <c r="AN135" i="1"/>
  <c r="J385" i="1"/>
  <c r="L386" i="1"/>
  <c r="AG199" i="1"/>
  <c r="BA198" i="1"/>
  <c r="I200" i="1"/>
  <c r="Q200" i="1" s="1"/>
  <c r="N200" i="1"/>
  <c r="AT200" i="1"/>
  <c r="AS200" i="1" s="1"/>
  <c r="A407" i="7"/>
  <c r="B406" i="7"/>
  <c r="K386" i="1"/>
  <c r="AU386" i="1"/>
  <c r="AA386" i="1"/>
  <c r="S386" i="1"/>
  <c r="G384" i="1"/>
  <c r="H384" i="1" s="1"/>
  <c r="AI385" i="1"/>
  <c r="AJ385" i="1" s="1"/>
  <c r="AW386" i="1"/>
  <c r="Z386" i="1"/>
  <c r="BB385" i="1" s="1"/>
  <c r="AC383" i="1"/>
  <c r="A387" i="1"/>
  <c r="AK387" i="1" s="1"/>
  <c r="C386" i="1"/>
  <c r="B387" i="1"/>
  <c r="M384" i="1"/>
  <c r="E385" i="1"/>
  <c r="F385" i="1" s="1"/>
  <c r="D385" i="1"/>
  <c r="BC385" i="1" l="1"/>
  <c r="BD385" i="1" s="1"/>
  <c r="BF387" i="1"/>
  <c r="AE383" i="1"/>
  <c r="V200" i="1"/>
  <c r="Y200" i="1"/>
  <c r="X200" i="1" s="1"/>
  <c r="AF200" i="1" s="1"/>
  <c r="AO129" i="1"/>
  <c r="AO135" i="1"/>
  <c r="AQ200" i="1"/>
  <c r="J386" i="1"/>
  <c r="L387" i="1"/>
  <c r="AY200" i="1"/>
  <c r="AH199" i="1"/>
  <c r="O200" i="1"/>
  <c r="P201" i="1" s="1"/>
  <c r="BE201" i="1" s="1"/>
  <c r="A408" i="7"/>
  <c r="B407" i="7"/>
  <c r="K387" i="1"/>
  <c r="AU387" i="1"/>
  <c r="AA387" i="1"/>
  <c r="S387" i="1"/>
  <c r="G385" i="1"/>
  <c r="H385" i="1" s="1"/>
  <c r="AI386" i="1"/>
  <c r="AJ386" i="1" s="1"/>
  <c r="AW387" i="1"/>
  <c r="AC384" i="1"/>
  <c r="Z387" i="1"/>
  <c r="BB386" i="1" s="1"/>
  <c r="A388" i="1"/>
  <c r="AK388" i="1" s="1"/>
  <c r="C387" i="1"/>
  <c r="B388" i="1"/>
  <c r="M385" i="1"/>
  <c r="E386" i="1"/>
  <c r="F386" i="1" s="1"/>
  <c r="D386" i="1"/>
  <c r="BC386" i="1" l="1"/>
  <c r="BD386" i="1" s="1"/>
  <c r="BF388" i="1"/>
  <c r="AE384" i="1"/>
  <c r="V201" i="1"/>
  <c r="Y201" i="1"/>
  <c r="X201" i="1" s="1"/>
  <c r="AF201" i="1" s="1"/>
  <c r="AP135" i="1"/>
  <c r="AX136" i="1" s="1"/>
  <c r="AP129" i="1"/>
  <c r="AX130" i="1" s="1"/>
  <c r="J387" i="1"/>
  <c r="L388" i="1"/>
  <c r="AG200" i="1"/>
  <c r="BA199" i="1"/>
  <c r="N201" i="1"/>
  <c r="I201" i="1"/>
  <c r="Q201" i="1" s="1"/>
  <c r="AM201" i="1"/>
  <c r="AT201" i="1"/>
  <c r="AS201" i="1" s="1"/>
  <c r="A409" i="7"/>
  <c r="B408" i="7"/>
  <c r="K388" i="1"/>
  <c r="AU388" i="1"/>
  <c r="AA388" i="1"/>
  <c r="S388" i="1"/>
  <c r="G386" i="1"/>
  <c r="H386" i="1" s="1"/>
  <c r="AI387" i="1"/>
  <c r="AJ387" i="1" s="1"/>
  <c r="AW388" i="1"/>
  <c r="AC385" i="1"/>
  <c r="Z388" i="1"/>
  <c r="BB387" i="1" s="1"/>
  <c r="A389" i="1"/>
  <c r="AK389" i="1" s="1"/>
  <c r="M386" i="1"/>
  <c r="C388" i="1"/>
  <c r="B389" i="1"/>
  <c r="D387" i="1"/>
  <c r="E387" i="1"/>
  <c r="F387" i="1" s="1"/>
  <c r="BC387" i="1" l="1"/>
  <c r="BD387" i="1" s="1"/>
  <c r="BF389" i="1"/>
  <c r="AE385" i="1"/>
  <c r="AQ201" i="1"/>
  <c r="J388" i="1"/>
  <c r="L389" i="1"/>
  <c r="AY201" i="1"/>
  <c r="AH200" i="1"/>
  <c r="O201" i="1"/>
  <c r="A410" i="7"/>
  <c r="B409" i="7"/>
  <c r="K389" i="1"/>
  <c r="AU389" i="1"/>
  <c r="AA389" i="1"/>
  <c r="S389" i="1"/>
  <c r="G387" i="1"/>
  <c r="H387" i="1" s="1"/>
  <c r="AI388" i="1"/>
  <c r="AJ388" i="1" s="1"/>
  <c r="AW389" i="1"/>
  <c r="Z389" i="1"/>
  <c r="BB388" i="1" s="1"/>
  <c r="AC386" i="1"/>
  <c r="A390" i="1"/>
  <c r="AK390" i="1" s="1"/>
  <c r="M387" i="1"/>
  <c r="E388" i="1"/>
  <c r="F388" i="1" s="1"/>
  <c r="D388" i="1"/>
  <c r="C389" i="1"/>
  <c r="B390" i="1"/>
  <c r="BC388" i="1" l="1"/>
  <c r="BD388" i="1" s="1"/>
  <c r="BF390" i="1"/>
  <c r="AE386" i="1"/>
  <c r="N202" i="1"/>
  <c r="P202" i="1"/>
  <c r="BE202" i="1" s="1"/>
  <c r="U130" i="1"/>
  <c r="U136" i="1"/>
  <c r="J389" i="1"/>
  <c r="L390" i="1"/>
  <c r="BA200" i="1"/>
  <c r="AG201" i="1"/>
  <c r="I202" i="1"/>
  <c r="Q202" i="1" s="1"/>
  <c r="AT202" i="1"/>
  <c r="AS202" i="1" s="1"/>
  <c r="AM202" i="1"/>
  <c r="A411" i="7"/>
  <c r="B410" i="7"/>
  <c r="K390" i="1"/>
  <c r="AU390" i="1"/>
  <c r="AA390" i="1"/>
  <c r="S390" i="1"/>
  <c r="G388" i="1"/>
  <c r="H388" i="1" s="1"/>
  <c r="AI389" i="1"/>
  <c r="AJ389" i="1" s="1"/>
  <c r="AW390" i="1"/>
  <c r="Z390" i="1"/>
  <c r="BB389" i="1" s="1"/>
  <c r="AC387" i="1"/>
  <c r="A391" i="1"/>
  <c r="AK391" i="1" s="1"/>
  <c r="M388" i="1"/>
  <c r="C390" i="1"/>
  <c r="B391" i="1"/>
  <c r="E389" i="1"/>
  <c r="F389" i="1" s="1"/>
  <c r="D389" i="1"/>
  <c r="BC389" i="1" l="1"/>
  <c r="BD389" i="1" s="1"/>
  <c r="BF391" i="1"/>
  <c r="AE387" i="1"/>
  <c r="V202" i="1"/>
  <c r="Y202" i="1"/>
  <c r="X202" i="1" s="1"/>
  <c r="AF202" i="1" s="1"/>
  <c r="AL136" i="1"/>
  <c r="AL130" i="1"/>
  <c r="AQ202" i="1"/>
  <c r="J390" i="1"/>
  <c r="L391" i="1"/>
  <c r="AH201" i="1"/>
  <c r="AY202" i="1"/>
  <c r="O202" i="1"/>
  <c r="A412" i="7"/>
  <c r="B411" i="7"/>
  <c r="K391" i="1"/>
  <c r="AU391" i="1"/>
  <c r="AA391" i="1"/>
  <c r="S391" i="1"/>
  <c r="G389" i="1"/>
  <c r="H389" i="1" s="1"/>
  <c r="AI390" i="1"/>
  <c r="AJ390" i="1" s="1"/>
  <c r="AW391" i="1"/>
  <c r="AC388" i="1"/>
  <c r="Z391" i="1"/>
  <c r="BB390" i="1" s="1"/>
  <c r="A392" i="1"/>
  <c r="AK392" i="1" s="1"/>
  <c r="E390" i="1"/>
  <c r="F390" i="1" s="1"/>
  <c r="D390" i="1"/>
  <c r="M389" i="1"/>
  <c r="C391" i="1"/>
  <c r="B392" i="1"/>
  <c r="BC390" i="1" l="1"/>
  <c r="BD390" i="1" s="1"/>
  <c r="BF392" i="1"/>
  <c r="AE388" i="1"/>
  <c r="AM203" i="1"/>
  <c r="P203" i="1"/>
  <c r="BE203" i="1" s="1"/>
  <c r="AN136" i="1"/>
  <c r="AN130" i="1"/>
  <c r="J391" i="1"/>
  <c r="L392" i="1"/>
  <c r="AG202" i="1"/>
  <c r="BA201" i="1"/>
  <c r="AT203" i="1"/>
  <c r="AS203" i="1" s="1"/>
  <c r="N203" i="1"/>
  <c r="I203" i="1"/>
  <c r="Q203" i="1" s="1"/>
  <c r="A413" i="7"/>
  <c r="B412" i="7"/>
  <c r="K392" i="1"/>
  <c r="AU392" i="1"/>
  <c r="AA392" i="1"/>
  <c r="S392" i="1"/>
  <c r="G390" i="1"/>
  <c r="H390" i="1" s="1"/>
  <c r="AI391" i="1"/>
  <c r="AJ391" i="1" s="1"/>
  <c r="AW392" i="1"/>
  <c r="Z392" i="1"/>
  <c r="BB391" i="1" s="1"/>
  <c r="AC389" i="1"/>
  <c r="A393" i="1"/>
  <c r="AK393" i="1" s="1"/>
  <c r="C392" i="1"/>
  <c r="B393" i="1"/>
  <c r="M390" i="1"/>
  <c r="D391" i="1"/>
  <c r="E391" i="1"/>
  <c r="F391" i="1" s="1"/>
  <c r="BC391" i="1" l="1"/>
  <c r="BD391" i="1" s="1"/>
  <c r="BF393" i="1"/>
  <c r="AE389" i="1"/>
  <c r="V203" i="1"/>
  <c r="Y203" i="1"/>
  <c r="X203" i="1" s="1"/>
  <c r="AF203" i="1" s="1"/>
  <c r="AO136" i="1"/>
  <c r="AO130" i="1"/>
  <c r="AQ203" i="1"/>
  <c r="J392" i="1"/>
  <c r="L393" i="1"/>
  <c r="AY203" i="1"/>
  <c r="AH202" i="1"/>
  <c r="O203" i="1"/>
  <c r="P204" i="1" s="1"/>
  <c r="BE204" i="1" s="1"/>
  <c r="A414" i="7"/>
  <c r="B413" i="7"/>
  <c r="K393" i="1"/>
  <c r="AU393" i="1"/>
  <c r="AA393" i="1"/>
  <c r="S393" i="1"/>
  <c r="G391" i="1"/>
  <c r="H391" i="1" s="1"/>
  <c r="AI392" i="1"/>
  <c r="AJ392" i="1" s="1"/>
  <c r="AW393" i="1"/>
  <c r="Z393" i="1"/>
  <c r="BB392" i="1" s="1"/>
  <c r="AC390" i="1"/>
  <c r="A394" i="1"/>
  <c r="AK394" i="1" s="1"/>
  <c r="M391" i="1"/>
  <c r="C393" i="1"/>
  <c r="B394" i="1"/>
  <c r="E392" i="1"/>
  <c r="F392" i="1" s="1"/>
  <c r="D392" i="1"/>
  <c r="BC392" i="1" l="1"/>
  <c r="BD392" i="1" s="1"/>
  <c r="BF394" i="1"/>
  <c r="AE390" i="1"/>
  <c r="V204" i="1"/>
  <c r="Y204" i="1"/>
  <c r="AP136" i="1"/>
  <c r="AX137" i="1" s="1"/>
  <c r="AP130" i="1"/>
  <c r="AX131" i="1" s="1"/>
  <c r="J393" i="1"/>
  <c r="L394" i="1"/>
  <c r="BA202" i="1"/>
  <c r="N204" i="1"/>
  <c r="AT204" i="1"/>
  <c r="AS204" i="1" s="1"/>
  <c r="I204" i="1"/>
  <c r="Q204" i="1" s="1"/>
  <c r="AM204" i="1"/>
  <c r="A415" i="7"/>
  <c r="B414" i="7"/>
  <c r="K394" i="1"/>
  <c r="AU394" i="1"/>
  <c r="AA394" i="1"/>
  <c r="S394" i="1"/>
  <c r="G392" i="1"/>
  <c r="H392" i="1" s="1"/>
  <c r="AI393" i="1"/>
  <c r="AJ393" i="1" s="1"/>
  <c r="AW394" i="1"/>
  <c r="Z394" i="1"/>
  <c r="BB393" i="1" s="1"/>
  <c r="AC391" i="1"/>
  <c r="A395" i="1"/>
  <c r="AK395" i="1" s="1"/>
  <c r="C394" i="1"/>
  <c r="B395" i="1"/>
  <c r="M392" i="1"/>
  <c r="E393" i="1"/>
  <c r="F393" i="1" s="1"/>
  <c r="D393" i="1"/>
  <c r="BC393" i="1" l="1"/>
  <c r="BD393" i="1" s="1"/>
  <c r="BF395" i="1"/>
  <c r="AE391" i="1"/>
  <c r="AQ204" i="1"/>
  <c r="X204" i="1"/>
  <c r="AF204" i="1" s="1"/>
  <c r="J394" i="1"/>
  <c r="L395" i="1"/>
  <c r="AH203" i="1"/>
  <c r="AG203" i="1"/>
  <c r="AY204" i="1"/>
  <c r="O204" i="1"/>
  <c r="P205" i="1" s="1"/>
  <c r="BE205" i="1" s="1"/>
  <c r="A416" i="7"/>
  <c r="B415" i="7"/>
  <c r="K395" i="1"/>
  <c r="AU395" i="1"/>
  <c r="AA395" i="1"/>
  <c r="S395" i="1"/>
  <c r="G393" i="1"/>
  <c r="H393" i="1" s="1"/>
  <c r="AI394" i="1"/>
  <c r="AJ394" i="1" s="1"/>
  <c r="AW395" i="1"/>
  <c r="Z395" i="1"/>
  <c r="BB394" i="1" s="1"/>
  <c r="AC392" i="1"/>
  <c r="A396" i="1"/>
  <c r="C395" i="1"/>
  <c r="B396" i="1"/>
  <c r="E394" i="1"/>
  <c r="F394" i="1" s="1"/>
  <c r="D394" i="1"/>
  <c r="M393" i="1"/>
  <c r="BC394" i="1" l="1"/>
  <c r="BD394" i="1" s="1"/>
  <c r="BF396" i="1"/>
  <c r="AE392" i="1"/>
  <c r="V205" i="1"/>
  <c r="Y205" i="1"/>
  <c r="X205" i="1" s="1"/>
  <c r="AF205" i="1" s="1"/>
  <c r="U137" i="1"/>
  <c r="U131" i="1"/>
  <c r="J395" i="1"/>
  <c r="L396" i="1"/>
  <c r="AG204" i="1"/>
  <c r="BA203" i="1"/>
  <c r="I205" i="1"/>
  <c r="Q205" i="1" s="1"/>
  <c r="AM205" i="1"/>
  <c r="N205" i="1"/>
  <c r="AT205" i="1"/>
  <c r="AS205" i="1" s="1"/>
  <c r="A417" i="7"/>
  <c r="B416" i="7"/>
  <c r="K396" i="1"/>
  <c r="AU396" i="1"/>
  <c r="AA396" i="1"/>
  <c r="S396" i="1"/>
  <c r="G394" i="1"/>
  <c r="H394" i="1" s="1"/>
  <c r="AP396" i="1"/>
  <c r="AK396" i="1"/>
  <c r="AI395" i="1"/>
  <c r="AJ395" i="1" s="1"/>
  <c r="AW396" i="1"/>
  <c r="Z396" i="1"/>
  <c r="BB395" i="1" s="1"/>
  <c r="AC393" i="1"/>
  <c r="A397" i="1"/>
  <c r="AK397" i="1" s="1"/>
  <c r="M394" i="1"/>
  <c r="D395" i="1"/>
  <c r="E395" i="1"/>
  <c r="F395" i="1" s="1"/>
  <c r="C396" i="1"/>
  <c r="B397" i="1"/>
  <c r="BC395" i="1" l="1"/>
  <c r="BD395" i="1" s="1"/>
  <c r="BF397" i="1"/>
  <c r="AE393" i="1"/>
  <c r="AL131" i="1"/>
  <c r="AL137" i="1"/>
  <c r="AQ205" i="1"/>
  <c r="J396" i="1"/>
  <c r="L397" i="1"/>
  <c r="AH204" i="1"/>
  <c r="AY205" i="1"/>
  <c r="O205" i="1"/>
  <c r="P206" i="1" s="1"/>
  <c r="BE206" i="1" s="1"/>
  <c r="A418" i="7"/>
  <c r="B417" i="7"/>
  <c r="K397" i="1"/>
  <c r="AU397" i="1"/>
  <c r="AA397" i="1"/>
  <c r="S397" i="1"/>
  <c r="G395" i="1"/>
  <c r="H395" i="1" s="1"/>
  <c r="AI396" i="1"/>
  <c r="AJ396" i="1" s="1"/>
  <c r="AW397" i="1"/>
  <c r="AC394" i="1"/>
  <c r="Z397" i="1"/>
  <c r="BB396" i="1" s="1"/>
  <c r="A398" i="1"/>
  <c r="AK398" i="1" s="1"/>
  <c r="M395" i="1"/>
  <c r="C397" i="1"/>
  <c r="B398" i="1"/>
  <c r="E396" i="1"/>
  <c r="F396" i="1" s="1"/>
  <c r="D396" i="1"/>
  <c r="BC396" i="1" l="1"/>
  <c r="BD396" i="1" s="1"/>
  <c r="BF398" i="1"/>
  <c r="AX205" i="1"/>
  <c r="AE394" i="1"/>
  <c r="V206" i="1"/>
  <c r="Y206" i="1"/>
  <c r="X206" i="1" s="1"/>
  <c r="AF206" i="1" s="1"/>
  <c r="AN131" i="1"/>
  <c r="AN137" i="1"/>
  <c r="J397" i="1"/>
  <c r="L398" i="1"/>
  <c r="BA204" i="1"/>
  <c r="AT206" i="1"/>
  <c r="AS206" i="1" s="1"/>
  <c r="AM206" i="1"/>
  <c r="I206" i="1"/>
  <c r="Q206" i="1" s="1"/>
  <c r="N206" i="1"/>
  <c r="A419" i="7"/>
  <c r="B418" i="7"/>
  <c r="K398" i="1"/>
  <c r="AU398" i="1"/>
  <c r="AA398" i="1"/>
  <c r="S398" i="1"/>
  <c r="G396" i="1"/>
  <c r="H396" i="1" s="1"/>
  <c r="AI397" i="1"/>
  <c r="AJ397" i="1" s="1"/>
  <c r="AW398" i="1"/>
  <c r="AC395" i="1"/>
  <c r="Z398" i="1"/>
  <c r="BB397" i="1" s="1"/>
  <c r="A399" i="1"/>
  <c r="AK399" i="1" s="1"/>
  <c r="E397" i="1"/>
  <c r="F397" i="1" s="1"/>
  <c r="D397" i="1"/>
  <c r="M396" i="1"/>
  <c r="C398" i="1"/>
  <c r="B399" i="1"/>
  <c r="BC397" i="1" l="1"/>
  <c r="BD397" i="1" s="1"/>
  <c r="BF399" i="1"/>
  <c r="AE395" i="1"/>
  <c r="AO131" i="1"/>
  <c r="AO137" i="1"/>
  <c r="AQ206" i="1"/>
  <c r="J398" i="1"/>
  <c r="L399" i="1"/>
  <c r="AH205" i="1"/>
  <c r="AG205" i="1"/>
  <c r="AY206" i="1"/>
  <c r="O206" i="1"/>
  <c r="P207" i="1" s="1"/>
  <c r="BE207" i="1" s="1"/>
  <c r="A420" i="7"/>
  <c r="B419" i="7"/>
  <c r="K399" i="1"/>
  <c r="AU399" i="1"/>
  <c r="AA399" i="1"/>
  <c r="S399" i="1"/>
  <c r="G397" i="1"/>
  <c r="H397" i="1" s="1"/>
  <c r="AI398" i="1"/>
  <c r="AJ398" i="1" s="1"/>
  <c r="AW399" i="1"/>
  <c r="AC396" i="1"/>
  <c r="Z399" i="1"/>
  <c r="BB398" i="1" s="1"/>
  <c r="A400" i="1"/>
  <c r="AK400" i="1" s="1"/>
  <c r="C399" i="1"/>
  <c r="B400" i="1"/>
  <c r="E398" i="1"/>
  <c r="F398" i="1" s="1"/>
  <c r="D398" i="1"/>
  <c r="M397" i="1"/>
  <c r="BC398" i="1" l="1"/>
  <c r="BD398" i="1" s="1"/>
  <c r="BF400" i="1"/>
  <c r="AE396" i="1"/>
  <c r="V207" i="1"/>
  <c r="Y207" i="1"/>
  <c r="X207" i="1" s="1"/>
  <c r="AF207" i="1" s="1"/>
  <c r="AP131" i="1"/>
  <c r="AX132" i="1" s="1"/>
  <c r="AP137" i="1"/>
  <c r="AX138" i="1" s="1"/>
  <c r="J399" i="1"/>
  <c r="L400" i="1"/>
  <c r="BA205" i="1"/>
  <c r="AT207" i="1"/>
  <c r="AS207" i="1" s="1"/>
  <c r="N207" i="1"/>
  <c r="AM207" i="1"/>
  <c r="I207" i="1"/>
  <c r="Q207" i="1" s="1"/>
  <c r="A421" i="7"/>
  <c r="B420" i="7"/>
  <c r="K400" i="1"/>
  <c r="AU400" i="1"/>
  <c r="AA400" i="1"/>
  <c r="S400" i="1"/>
  <c r="G398" i="1"/>
  <c r="H398" i="1" s="1"/>
  <c r="AI399" i="1"/>
  <c r="AJ399" i="1" s="1"/>
  <c r="AW400" i="1"/>
  <c r="Z400" i="1"/>
  <c r="BB399" i="1" s="1"/>
  <c r="AC397" i="1"/>
  <c r="A401" i="1"/>
  <c r="AK401" i="1" s="1"/>
  <c r="M398" i="1"/>
  <c r="C400" i="1"/>
  <c r="B401" i="1"/>
  <c r="D399" i="1"/>
  <c r="E399" i="1"/>
  <c r="F399" i="1" s="1"/>
  <c r="BC399" i="1" l="1"/>
  <c r="BD399" i="1" s="1"/>
  <c r="BF401" i="1"/>
  <c r="AE397" i="1"/>
  <c r="AQ207" i="1"/>
  <c r="J400" i="1"/>
  <c r="L401" i="1"/>
  <c r="AH206" i="1"/>
  <c r="AG206" i="1"/>
  <c r="AY207" i="1"/>
  <c r="O207" i="1"/>
  <c r="P208" i="1" s="1"/>
  <c r="BE208" i="1" s="1"/>
  <c r="A422" i="7"/>
  <c r="B421" i="7"/>
  <c r="K401" i="1"/>
  <c r="AU401" i="1"/>
  <c r="AA401" i="1"/>
  <c r="S401" i="1"/>
  <c r="G399" i="1"/>
  <c r="H399" i="1" s="1"/>
  <c r="AI400" i="1"/>
  <c r="AJ400" i="1" s="1"/>
  <c r="AW401" i="1"/>
  <c r="AC398" i="1"/>
  <c r="Z401" i="1"/>
  <c r="BB400" i="1" s="1"/>
  <c r="A402" i="1"/>
  <c r="AK402" i="1" s="1"/>
  <c r="C401" i="1"/>
  <c r="B402" i="1"/>
  <c r="E400" i="1"/>
  <c r="F400" i="1" s="1"/>
  <c r="D400" i="1"/>
  <c r="M399" i="1"/>
  <c r="BC400" i="1" l="1"/>
  <c r="BD400" i="1" s="1"/>
  <c r="BF402" i="1"/>
  <c r="AE398" i="1"/>
  <c r="V208" i="1"/>
  <c r="Y208" i="1"/>
  <c r="U132" i="1"/>
  <c r="U138" i="1"/>
  <c r="J401" i="1"/>
  <c r="L402" i="1"/>
  <c r="BA206" i="1"/>
  <c r="I208" i="1"/>
  <c r="Q208" i="1" s="1"/>
  <c r="AT208" i="1"/>
  <c r="AS208" i="1" s="1"/>
  <c r="N208" i="1"/>
  <c r="AM208" i="1"/>
  <c r="A423" i="7"/>
  <c r="B422" i="7"/>
  <c r="K402" i="1"/>
  <c r="AU402" i="1"/>
  <c r="AA402" i="1"/>
  <c r="S402" i="1"/>
  <c r="G400" i="1"/>
  <c r="H400" i="1" s="1"/>
  <c r="AI401" i="1"/>
  <c r="AJ401" i="1" s="1"/>
  <c r="AW402" i="1"/>
  <c r="AC399" i="1"/>
  <c r="Z402" i="1"/>
  <c r="BB401" i="1" s="1"/>
  <c r="A403" i="1"/>
  <c r="AK403" i="1" s="1"/>
  <c r="C402" i="1"/>
  <c r="B403" i="1"/>
  <c r="M400" i="1"/>
  <c r="E401" i="1"/>
  <c r="F401" i="1" s="1"/>
  <c r="D401" i="1"/>
  <c r="BC401" i="1" l="1"/>
  <c r="BD401" i="1" s="1"/>
  <c r="BF403" i="1"/>
  <c r="AE399" i="1"/>
  <c r="AL138" i="1"/>
  <c r="AL132" i="1"/>
  <c r="AQ208" i="1"/>
  <c r="X208" i="1"/>
  <c r="AF208" i="1" s="1"/>
  <c r="J402" i="1"/>
  <c r="AH207" i="1"/>
  <c r="AG207" i="1"/>
  <c r="L403" i="1"/>
  <c r="AY208" i="1"/>
  <c r="O208" i="1"/>
  <c r="P209" i="1" s="1"/>
  <c r="BE209" i="1" s="1"/>
  <c r="A424" i="7"/>
  <c r="B423" i="7"/>
  <c r="K403" i="1"/>
  <c r="AU403" i="1"/>
  <c r="AA403" i="1"/>
  <c r="S403" i="1"/>
  <c r="G401" i="1"/>
  <c r="H401" i="1" s="1"/>
  <c r="AI402" i="1"/>
  <c r="AJ402" i="1" s="1"/>
  <c r="AW403" i="1"/>
  <c r="AC400" i="1"/>
  <c r="Z403" i="1"/>
  <c r="BB402" i="1" s="1"/>
  <c r="A404" i="1"/>
  <c r="AK404" i="1" s="1"/>
  <c r="M401" i="1"/>
  <c r="C403" i="1"/>
  <c r="B404" i="1"/>
  <c r="E402" i="1"/>
  <c r="F402" i="1" s="1"/>
  <c r="D402" i="1"/>
  <c r="BC402" i="1" l="1"/>
  <c r="BD402" i="1" s="1"/>
  <c r="BF404" i="1"/>
  <c r="AE400" i="1"/>
  <c r="V209" i="1"/>
  <c r="Y209" i="1"/>
  <c r="X209" i="1" s="1"/>
  <c r="AF209" i="1" s="1"/>
  <c r="AN138" i="1"/>
  <c r="AN132" i="1"/>
  <c r="J403" i="1"/>
  <c r="L404" i="1"/>
  <c r="BA207" i="1"/>
  <c r="AT209" i="1"/>
  <c r="AS209" i="1" s="1"/>
  <c r="AM209" i="1"/>
  <c r="I209" i="1"/>
  <c r="Q209" i="1" s="1"/>
  <c r="N209" i="1"/>
  <c r="A425" i="7"/>
  <c r="B424" i="7"/>
  <c r="K404" i="1"/>
  <c r="AU404" i="1"/>
  <c r="AA404" i="1"/>
  <c r="S404" i="1"/>
  <c r="G402" i="1"/>
  <c r="H402" i="1" s="1"/>
  <c r="AI403" i="1"/>
  <c r="AJ403" i="1" s="1"/>
  <c r="AW404" i="1"/>
  <c r="AC401" i="1"/>
  <c r="Z404" i="1"/>
  <c r="BB403" i="1" s="1"/>
  <c r="A405" i="1"/>
  <c r="AK405" i="1" s="1"/>
  <c r="D403" i="1"/>
  <c r="E403" i="1"/>
  <c r="F403" i="1" s="1"/>
  <c r="M402" i="1"/>
  <c r="C404" i="1"/>
  <c r="B405" i="1"/>
  <c r="BC403" i="1" l="1"/>
  <c r="BD403" i="1" s="1"/>
  <c r="BF405" i="1"/>
  <c r="AE401" i="1"/>
  <c r="AO138" i="1"/>
  <c r="AO132" i="1"/>
  <c r="AQ209" i="1"/>
  <c r="J404" i="1"/>
  <c r="L405" i="1"/>
  <c r="AH208" i="1"/>
  <c r="AG208" i="1"/>
  <c r="AY209" i="1"/>
  <c r="O209" i="1"/>
  <c r="A426" i="7"/>
  <c r="B425" i="7"/>
  <c r="K405" i="1"/>
  <c r="AU405" i="1"/>
  <c r="AA405" i="1"/>
  <c r="S405" i="1"/>
  <c r="G403" i="1"/>
  <c r="H403" i="1" s="1"/>
  <c r="AI404" i="1"/>
  <c r="AJ404" i="1" s="1"/>
  <c r="AW405" i="1"/>
  <c r="AC402" i="1"/>
  <c r="Z405" i="1"/>
  <c r="BB404" i="1" s="1"/>
  <c r="A406" i="1"/>
  <c r="AK406" i="1" s="1"/>
  <c r="M403" i="1"/>
  <c r="E404" i="1"/>
  <c r="F404" i="1" s="1"/>
  <c r="D404" i="1"/>
  <c r="C405" i="1"/>
  <c r="B406" i="1"/>
  <c r="BC404" i="1" l="1"/>
  <c r="BD404" i="1" s="1"/>
  <c r="BF406" i="1"/>
  <c r="AE402" i="1"/>
  <c r="P210" i="1"/>
  <c r="BE210" i="1" s="1"/>
  <c r="AP138" i="1"/>
  <c r="AX139" i="1" s="1"/>
  <c r="J405" i="1"/>
  <c r="L406" i="1"/>
  <c r="BA208" i="1"/>
  <c r="N210" i="1"/>
  <c r="I210" i="1"/>
  <c r="Q210" i="1" s="1"/>
  <c r="AM210" i="1"/>
  <c r="AT210" i="1"/>
  <c r="AS210" i="1" s="1"/>
  <c r="A427" i="7"/>
  <c r="B426" i="7"/>
  <c r="K406" i="1"/>
  <c r="AU406" i="1"/>
  <c r="AA406" i="1"/>
  <c r="S406" i="1"/>
  <c r="G404" i="1"/>
  <c r="H404" i="1" s="1"/>
  <c r="AI405" i="1"/>
  <c r="AJ405" i="1" s="1"/>
  <c r="AW406" i="1"/>
  <c r="AC403" i="1"/>
  <c r="Z406" i="1"/>
  <c r="BB405" i="1" s="1"/>
  <c r="A407" i="1"/>
  <c r="AK407" i="1" s="1"/>
  <c r="M404" i="1"/>
  <c r="E405" i="1"/>
  <c r="F405" i="1" s="1"/>
  <c r="D405" i="1"/>
  <c r="C406" i="1"/>
  <c r="B407" i="1"/>
  <c r="BC405" i="1" l="1"/>
  <c r="BD405" i="1" s="1"/>
  <c r="BF407" i="1"/>
  <c r="AE403" i="1"/>
  <c r="V210" i="1"/>
  <c r="Y210" i="1"/>
  <c r="X210" i="1" s="1"/>
  <c r="AF210" i="1" s="1"/>
  <c r="AQ210" i="1"/>
  <c r="AY210" i="1"/>
  <c r="J406" i="1"/>
  <c r="AH209" i="1"/>
  <c r="AG209" i="1"/>
  <c r="L407" i="1"/>
  <c r="O210" i="1"/>
  <c r="P211" i="1" s="1"/>
  <c r="BE211" i="1" s="1"/>
  <c r="A428" i="7"/>
  <c r="B427" i="7"/>
  <c r="K407" i="1"/>
  <c r="AU407" i="1"/>
  <c r="AA407" i="1"/>
  <c r="S407" i="1"/>
  <c r="G405" i="1"/>
  <c r="H405" i="1" s="1"/>
  <c r="AI406" i="1"/>
  <c r="AJ406" i="1" s="1"/>
  <c r="AW407" i="1"/>
  <c r="Z407" i="1"/>
  <c r="BB406" i="1" s="1"/>
  <c r="AC404" i="1"/>
  <c r="A408" i="1"/>
  <c r="C407" i="1"/>
  <c r="B408" i="1"/>
  <c r="E406" i="1"/>
  <c r="F406" i="1" s="1"/>
  <c r="D406" i="1"/>
  <c r="M405" i="1"/>
  <c r="BC406" i="1" l="1"/>
  <c r="BD406" i="1" s="1"/>
  <c r="BF408" i="1"/>
  <c r="AE404" i="1"/>
  <c r="V211" i="1"/>
  <c r="Y211" i="1"/>
  <c r="X211" i="1" s="1"/>
  <c r="AF211" i="1" s="1"/>
  <c r="U139" i="1"/>
  <c r="J407" i="1"/>
  <c r="L408" i="1"/>
  <c r="BA209" i="1"/>
  <c r="AM211" i="1"/>
  <c r="AT211" i="1"/>
  <c r="AS211" i="1" s="1"/>
  <c r="N211" i="1"/>
  <c r="I211" i="1"/>
  <c r="Q211" i="1" s="1"/>
  <c r="A429" i="7"/>
  <c r="B428" i="7"/>
  <c r="K408" i="1"/>
  <c r="AU408" i="1"/>
  <c r="AA408" i="1"/>
  <c r="S408" i="1"/>
  <c r="G406" i="1"/>
  <c r="H406" i="1" s="1"/>
  <c r="AP408" i="1"/>
  <c r="AK408" i="1"/>
  <c r="AI407" i="1"/>
  <c r="AJ407" i="1" s="1"/>
  <c r="AW408" i="1"/>
  <c r="U145" i="1"/>
  <c r="AC405" i="1"/>
  <c r="Z408" i="1"/>
  <c r="BB407" i="1" s="1"/>
  <c r="A409" i="1"/>
  <c r="AK409" i="1" s="1"/>
  <c r="C408" i="1"/>
  <c r="B409" i="1"/>
  <c r="M406" i="1"/>
  <c r="D407" i="1"/>
  <c r="E407" i="1"/>
  <c r="F407" i="1" s="1"/>
  <c r="BC407" i="1" l="1"/>
  <c r="BD407" i="1" s="1"/>
  <c r="BF409" i="1"/>
  <c r="AE405" i="1"/>
  <c r="AH210" i="1"/>
  <c r="AG210" i="1"/>
  <c r="AL139" i="1"/>
  <c r="AL145" i="1"/>
  <c r="AQ211" i="1"/>
  <c r="J408" i="1"/>
  <c r="L409" i="1"/>
  <c r="AY211" i="1"/>
  <c r="O211" i="1"/>
  <c r="P212" i="1" s="1"/>
  <c r="BE212" i="1" s="1"/>
  <c r="A430" i="7"/>
  <c r="B429" i="7"/>
  <c r="K409" i="1"/>
  <c r="AU409" i="1"/>
  <c r="AA409" i="1"/>
  <c r="S409" i="1"/>
  <c r="G407" i="1"/>
  <c r="H407" i="1" s="1"/>
  <c r="AI408" i="1"/>
  <c r="AJ408" i="1" s="1"/>
  <c r="AW409" i="1"/>
  <c r="AC406" i="1"/>
  <c r="Z409" i="1"/>
  <c r="BB408" i="1" s="1"/>
  <c r="A410" i="1"/>
  <c r="AK410" i="1" s="1"/>
  <c r="M407" i="1"/>
  <c r="C409" i="1"/>
  <c r="B410" i="1"/>
  <c r="E408" i="1"/>
  <c r="F408" i="1" s="1"/>
  <c r="D408" i="1"/>
  <c r="BC408" i="1" l="1"/>
  <c r="BD408" i="1" s="1"/>
  <c r="BF410" i="1"/>
  <c r="AE406" i="1"/>
  <c r="V212" i="1"/>
  <c r="Y212" i="1"/>
  <c r="X212" i="1" s="1"/>
  <c r="AF212" i="1" s="1"/>
  <c r="BA210" i="1"/>
  <c r="AN139" i="1"/>
  <c r="AN145" i="1"/>
  <c r="J409" i="1"/>
  <c r="L410" i="1"/>
  <c r="AG211" i="1"/>
  <c r="I212" i="1"/>
  <c r="Q212" i="1" s="1"/>
  <c r="AT212" i="1"/>
  <c r="AS212" i="1" s="1"/>
  <c r="N212" i="1"/>
  <c r="AM212" i="1"/>
  <c r="A431" i="7"/>
  <c r="B430" i="7"/>
  <c r="K410" i="1"/>
  <c r="AU410" i="1"/>
  <c r="AA410" i="1"/>
  <c r="S410" i="1"/>
  <c r="G408" i="1"/>
  <c r="H408" i="1" s="1"/>
  <c r="AI409" i="1"/>
  <c r="AJ409" i="1" s="1"/>
  <c r="AW410" i="1"/>
  <c r="Z410" i="1"/>
  <c r="BB409" i="1" s="1"/>
  <c r="AC407" i="1"/>
  <c r="A411" i="1"/>
  <c r="AK411" i="1" s="1"/>
  <c r="E409" i="1"/>
  <c r="F409" i="1" s="1"/>
  <c r="D409" i="1"/>
  <c r="C410" i="1"/>
  <c r="B411" i="1"/>
  <c r="M408" i="1"/>
  <c r="BC409" i="1" l="1"/>
  <c r="BD409" i="1" s="1"/>
  <c r="BF411" i="1"/>
  <c r="AE407" i="1"/>
  <c r="AO145" i="1"/>
  <c r="AO139" i="1"/>
  <c r="AQ212" i="1"/>
  <c r="J410" i="1"/>
  <c r="L411" i="1"/>
  <c r="AY212" i="1"/>
  <c r="AH211" i="1"/>
  <c r="O212" i="1"/>
  <c r="P213" i="1" s="1"/>
  <c r="BE213" i="1" s="1"/>
  <c r="A432" i="7"/>
  <c r="B431" i="7"/>
  <c r="K411" i="1"/>
  <c r="AU411" i="1"/>
  <c r="AA411" i="1"/>
  <c r="S411" i="1"/>
  <c r="G409" i="1"/>
  <c r="H409" i="1" s="1"/>
  <c r="AI410" i="1"/>
  <c r="AJ410" i="1" s="1"/>
  <c r="AW411" i="1"/>
  <c r="AC408" i="1"/>
  <c r="Z411" i="1"/>
  <c r="BB410" i="1" s="1"/>
  <c r="A412" i="1"/>
  <c r="AK412" i="1" s="1"/>
  <c r="E410" i="1"/>
  <c r="F410" i="1" s="1"/>
  <c r="D410" i="1"/>
  <c r="C411" i="1"/>
  <c r="B412" i="1"/>
  <c r="M409" i="1"/>
  <c r="BC410" i="1" l="1"/>
  <c r="BD410" i="1" s="1"/>
  <c r="BF412" i="1"/>
  <c r="AE408" i="1"/>
  <c r="V213" i="1"/>
  <c r="Y213" i="1"/>
  <c r="X213" i="1" s="1"/>
  <c r="AF213" i="1" s="1"/>
  <c r="AP145" i="1"/>
  <c r="AX146" i="1" s="1"/>
  <c r="AP139" i="1"/>
  <c r="AX140" i="1" s="1"/>
  <c r="J411" i="1"/>
  <c r="L412" i="1"/>
  <c r="BA211" i="1"/>
  <c r="AG212" i="1"/>
  <c r="I213" i="1"/>
  <c r="Q213" i="1" s="1"/>
  <c r="N213" i="1"/>
  <c r="AM213" i="1"/>
  <c r="AT213" i="1"/>
  <c r="AS213" i="1" s="1"/>
  <c r="A433" i="7"/>
  <c r="B432" i="7"/>
  <c r="K412" i="1"/>
  <c r="AU412" i="1"/>
  <c r="AA412" i="1"/>
  <c r="S412" i="1"/>
  <c r="G410" i="1"/>
  <c r="H410" i="1" s="1"/>
  <c r="AI411" i="1"/>
  <c r="AJ411" i="1" s="1"/>
  <c r="AW412" i="1"/>
  <c r="Z412" i="1"/>
  <c r="BB411" i="1" s="1"/>
  <c r="AC409" i="1"/>
  <c r="A413" i="1"/>
  <c r="AK413" i="1" s="1"/>
  <c r="D411" i="1"/>
  <c r="E411" i="1"/>
  <c r="F411" i="1" s="1"/>
  <c r="M410" i="1"/>
  <c r="C412" i="1"/>
  <c r="B413" i="1"/>
  <c r="BC411" i="1" l="1"/>
  <c r="BD411" i="1" s="1"/>
  <c r="BF413" i="1"/>
  <c r="AE409" i="1"/>
  <c r="AQ213" i="1"/>
  <c r="J412" i="1"/>
  <c r="L413" i="1"/>
  <c r="AY213" i="1"/>
  <c r="AH212" i="1"/>
  <c r="O213" i="1"/>
  <c r="P214" i="1" s="1"/>
  <c r="BE214" i="1" s="1"/>
  <c r="A434" i="7"/>
  <c r="B433" i="7"/>
  <c r="K413" i="1"/>
  <c r="AU413" i="1"/>
  <c r="AA413" i="1"/>
  <c r="S413" i="1"/>
  <c r="G411" i="1"/>
  <c r="H411" i="1" s="1"/>
  <c r="AI412" i="1"/>
  <c r="AJ412" i="1" s="1"/>
  <c r="AW413" i="1"/>
  <c r="AC410" i="1"/>
  <c r="Z413" i="1"/>
  <c r="BB412" i="1" s="1"/>
  <c r="A414" i="1"/>
  <c r="AK414" i="1" s="1"/>
  <c r="C413" i="1"/>
  <c r="B414" i="1"/>
  <c r="M411" i="1"/>
  <c r="E412" i="1"/>
  <c r="F412" i="1" s="1"/>
  <c r="D412" i="1"/>
  <c r="BC412" i="1" l="1"/>
  <c r="BD412" i="1" s="1"/>
  <c r="BF414" i="1"/>
  <c r="AE410" i="1"/>
  <c r="V214" i="1"/>
  <c r="Y214" i="1"/>
  <c r="U146" i="1"/>
  <c r="U140" i="1"/>
  <c r="J413" i="1"/>
  <c r="L414" i="1"/>
  <c r="BA212" i="1"/>
  <c r="N214" i="1"/>
  <c r="AM214" i="1"/>
  <c r="AT214" i="1"/>
  <c r="AS214" i="1" s="1"/>
  <c r="I214" i="1"/>
  <c r="Q214" i="1" s="1"/>
  <c r="A435" i="7"/>
  <c r="B434" i="7"/>
  <c r="K414" i="1"/>
  <c r="AU414" i="1"/>
  <c r="AA414" i="1"/>
  <c r="S414" i="1"/>
  <c r="G412" i="1"/>
  <c r="H412" i="1" s="1"/>
  <c r="AI413" i="1"/>
  <c r="AJ413" i="1" s="1"/>
  <c r="AW414" i="1"/>
  <c r="AC411" i="1"/>
  <c r="Z414" i="1"/>
  <c r="BB413" i="1" s="1"/>
  <c r="A415" i="1"/>
  <c r="AK415" i="1" s="1"/>
  <c r="C414" i="1"/>
  <c r="B415" i="1"/>
  <c r="M412" i="1"/>
  <c r="E413" i="1"/>
  <c r="F413" i="1" s="1"/>
  <c r="D413" i="1"/>
  <c r="BC413" i="1" l="1"/>
  <c r="BD413" i="1" s="1"/>
  <c r="BF415" i="1"/>
  <c r="AE411" i="1"/>
  <c r="AL140" i="1"/>
  <c r="AL146" i="1"/>
  <c r="AQ214" i="1"/>
  <c r="X214" i="1"/>
  <c r="AF214" i="1" s="1"/>
  <c r="J414" i="1"/>
  <c r="L415" i="1"/>
  <c r="AH213" i="1"/>
  <c r="AG213" i="1"/>
  <c r="AY214" i="1"/>
  <c r="O214" i="1"/>
  <c r="P215" i="1" s="1"/>
  <c r="BE215" i="1" s="1"/>
  <c r="A436" i="7"/>
  <c r="B435" i="7"/>
  <c r="K415" i="1"/>
  <c r="AU415" i="1"/>
  <c r="AA415" i="1"/>
  <c r="S415" i="1"/>
  <c r="G413" i="1"/>
  <c r="H413" i="1" s="1"/>
  <c r="AI414" i="1"/>
  <c r="AJ414" i="1" s="1"/>
  <c r="AW415" i="1"/>
  <c r="Z415" i="1"/>
  <c r="BB414" i="1" s="1"/>
  <c r="AC412" i="1"/>
  <c r="A416" i="1"/>
  <c r="AK416" i="1" s="1"/>
  <c r="E414" i="1"/>
  <c r="F414" i="1" s="1"/>
  <c r="D414" i="1"/>
  <c r="C415" i="1"/>
  <c r="B416" i="1"/>
  <c r="M413" i="1"/>
  <c r="BC414" i="1" l="1"/>
  <c r="BD414" i="1" s="1"/>
  <c r="BF416" i="1"/>
  <c r="AE412" i="1"/>
  <c r="V215" i="1"/>
  <c r="Y215" i="1"/>
  <c r="X215" i="1" s="1"/>
  <c r="AF215" i="1" s="1"/>
  <c r="AN140" i="1"/>
  <c r="AN146" i="1"/>
  <c r="J415" i="1"/>
  <c r="L416" i="1"/>
  <c r="BA213" i="1"/>
  <c r="AT215" i="1"/>
  <c r="AS215" i="1" s="1"/>
  <c r="AM215" i="1"/>
  <c r="N215" i="1"/>
  <c r="I215" i="1"/>
  <c r="Q215" i="1" s="1"/>
  <c r="A437" i="7"/>
  <c r="B436" i="7"/>
  <c r="K416" i="1"/>
  <c r="AU416" i="1"/>
  <c r="AA416" i="1"/>
  <c r="S416" i="1"/>
  <c r="G414" i="1"/>
  <c r="H414" i="1" s="1"/>
  <c r="AI415" i="1"/>
  <c r="AJ415" i="1" s="1"/>
  <c r="AW416" i="1"/>
  <c r="AC413" i="1"/>
  <c r="Z416" i="1"/>
  <c r="BB415" i="1" s="1"/>
  <c r="A417" i="1"/>
  <c r="AK417" i="1" s="1"/>
  <c r="D415" i="1"/>
  <c r="E415" i="1"/>
  <c r="F415" i="1" s="1"/>
  <c r="C416" i="1"/>
  <c r="B417" i="1"/>
  <c r="M414" i="1"/>
  <c r="BC415" i="1" l="1"/>
  <c r="BD415" i="1" s="1"/>
  <c r="BF417" i="1"/>
  <c r="AE413" i="1"/>
  <c r="AO140" i="1"/>
  <c r="AO146" i="1"/>
  <c r="AQ215" i="1"/>
  <c r="J416" i="1"/>
  <c r="AH214" i="1"/>
  <c r="AG214" i="1"/>
  <c r="L417" i="1"/>
  <c r="AY215" i="1"/>
  <c r="O215" i="1"/>
  <c r="P216" i="1" s="1"/>
  <c r="BE216" i="1" s="1"/>
  <c r="A438" i="7"/>
  <c r="B437" i="7"/>
  <c r="K417" i="1"/>
  <c r="AU417" i="1"/>
  <c r="AA417" i="1"/>
  <c r="S417" i="1"/>
  <c r="G415" i="1"/>
  <c r="H415" i="1" s="1"/>
  <c r="AI416" i="1"/>
  <c r="AJ416" i="1" s="1"/>
  <c r="AW417" i="1"/>
  <c r="Z417" i="1"/>
  <c r="BB416" i="1" s="1"/>
  <c r="AC414" i="1"/>
  <c r="A418" i="1"/>
  <c r="AK418" i="1" s="1"/>
  <c r="C417" i="1"/>
  <c r="B418" i="1"/>
  <c r="M415" i="1"/>
  <c r="E416" i="1"/>
  <c r="F416" i="1" s="1"/>
  <c r="D416" i="1"/>
  <c r="BC416" i="1" l="1"/>
  <c r="BD416" i="1" s="1"/>
  <c r="BF418" i="1"/>
  <c r="AE414" i="1"/>
  <c r="V216" i="1"/>
  <c r="Y216" i="1"/>
  <c r="AP146" i="1"/>
  <c r="AX147" i="1" s="1"/>
  <c r="AP140" i="1"/>
  <c r="AX141" i="1" s="1"/>
  <c r="J417" i="1"/>
  <c r="L418" i="1"/>
  <c r="AG215" i="1"/>
  <c r="BA214" i="1"/>
  <c r="AT216" i="1"/>
  <c r="AS216" i="1" s="1"/>
  <c r="N216" i="1"/>
  <c r="I216" i="1"/>
  <c r="Q216" i="1" s="1"/>
  <c r="AM216" i="1"/>
  <c r="A439" i="7"/>
  <c r="B438" i="7"/>
  <c r="K418" i="1"/>
  <c r="AU418" i="1"/>
  <c r="AA418" i="1"/>
  <c r="S418" i="1"/>
  <c r="G416" i="1"/>
  <c r="H416" i="1" s="1"/>
  <c r="AI417" i="1"/>
  <c r="AJ417" i="1" s="1"/>
  <c r="AW418" i="1"/>
  <c r="AC415" i="1"/>
  <c r="Z418" i="1"/>
  <c r="BB417" i="1" s="1"/>
  <c r="A419" i="1"/>
  <c r="C418" i="1"/>
  <c r="B419" i="1"/>
  <c r="M416" i="1"/>
  <c r="E417" i="1"/>
  <c r="F417" i="1" s="1"/>
  <c r="D417" i="1"/>
  <c r="BC417" i="1" l="1"/>
  <c r="BD417" i="1" s="1"/>
  <c r="BF419" i="1"/>
  <c r="AE415" i="1"/>
  <c r="AQ216" i="1"/>
  <c r="X216" i="1"/>
  <c r="AF216" i="1" s="1"/>
  <c r="J418" i="1"/>
  <c r="L419" i="1"/>
  <c r="AY216" i="1"/>
  <c r="AH215" i="1"/>
  <c r="O216" i="1"/>
  <c r="P217" i="1" s="1"/>
  <c r="BE217" i="1" s="1"/>
  <c r="A440" i="7"/>
  <c r="B439" i="7"/>
  <c r="S419" i="1"/>
  <c r="K419" i="1"/>
  <c r="AU419" i="1"/>
  <c r="G417" i="1"/>
  <c r="H417" i="1" s="1"/>
  <c r="AI418" i="1"/>
  <c r="AJ418" i="1" s="1"/>
  <c r="A420" i="1"/>
  <c r="AK419" i="1"/>
  <c r="AA419" i="1"/>
  <c r="B420" i="1"/>
  <c r="AW419" i="1"/>
  <c r="AC416" i="1"/>
  <c r="Z419" i="1"/>
  <c r="E418" i="1"/>
  <c r="F418" i="1" s="1"/>
  <c r="D418" i="1"/>
  <c r="M417" i="1"/>
  <c r="C419" i="1"/>
  <c r="BF420" i="1" l="1"/>
  <c r="AE416" i="1"/>
  <c r="Z420" i="1"/>
  <c r="BB419" i="1" s="1"/>
  <c r="BB418" i="1"/>
  <c r="V217" i="1"/>
  <c r="Y217" i="1"/>
  <c r="X217" i="1" s="1"/>
  <c r="AF217" i="1" s="1"/>
  <c r="U141" i="1"/>
  <c r="U147" i="1"/>
  <c r="J419" i="1"/>
  <c r="L420" i="1"/>
  <c r="AG216" i="1"/>
  <c r="BA215" i="1"/>
  <c r="I217" i="1"/>
  <c r="Q217" i="1" s="1"/>
  <c r="AM217" i="1"/>
  <c r="AT217" i="1"/>
  <c r="AS217" i="1" s="1"/>
  <c r="N217" i="1"/>
  <c r="A441" i="7"/>
  <c r="B440" i="7"/>
  <c r="S420" i="1"/>
  <c r="K420" i="1"/>
  <c r="AU420" i="1"/>
  <c r="G418" i="1"/>
  <c r="H418" i="1" s="1"/>
  <c r="AK420" i="1"/>
  <c r="AP420" i="1"/>
  <c r="AI419" i="1"/>
  <c r="AJ419" i="1" s="1"/>
  <c r="A421" i="1"/>
  <c r="AW420" i="1"/>
  <c r="C420" i="1"/>
  <c r="B421" i="1"/>
  <c r="AA420" i="1"/>
  <c r="AC417" i="1"/>
  <c r="D419" i="1"/>
  <c r="E419" i="1"/>
  <c r="F419" i="1" s="1"/>
  <c r="M418" i="1"/>
  <c r="BC418" i="1" l="1"/>
  <c r="BD418" i="1" s="1"/>
  <c r="BC419" i="1"/>
  <c r="BD419" i="1" s="1"/>
  <c r="BF421" i="1"/>
  <c r="Z421" i="1"/>
  <c r="BB420" i="1" s="1"/>
  <c r="BC420" i="1" s="1"/>
  <c r="AE417" i="1"/>
  <c r="AL147" i="1"/>
  <c r="AL141" i="1"/>
  <c r="AQ217" i="1"/>
  <c r="J420" i="1"/>
  <c r="L421" i="1"/>
  <c r="AH216" i="1"/>
  <c r="AY217" i="1"/>
  <c r="O217" i="1"/>
  <c r="P218" i="1" s="1"/>
  <c r="BE218" i="1" s="1"/>
  <c r="A442" i="7"/>
  <c r="B441" i="7"/>
  <c r="K421" i="1"/>
  <c r="AU421" i="1"/>
  <c r="B422" i="1"/>
  <c r="S421" i="1"/>
  <c r="AK421" i="1"/>
  <c r="A422" i="1"/>
  <c r="G419" i="1"/>
  <c r="H419" i="1" s="1"/>
  <c r="AI420" i="1"/>
  <c r="AJ420" i="1" s="1"/>
  <c r="AW421" i="1"/>
  <c r="AI421" i="1" s="1"/>
  <c r="AJ421" i="1" s="1"/>
  <c r="AC420" i="1"/>
  <c r="AA421" i="1"/>
  <c r="C421" i="1"/>
  <c r="E420" i="1"/>
  <c r="F420" i="1" s="1"/>
  <c r="D420" i="1"/>
  <c r="AC418" i="1"/>
  <c r="M419" i="1"/>
  <c r="BF422" i="1" l="1"/>
  <c r="AX217" i="1"/>
  <c r="BD420" i="1"/>
  <c r="Z422" i="1"/>
  <c r="BB421" i="1" s="1"/>
  <c r="AE418" i="1"/>
  <c r="V218" i="1"/>
  <c r="Y218" i="1"/>
  <c r="X218" i="1" s="1"/>
  <c r="AF218" i="1" s="1"/>
  <c r="AN147" i="1"/>
  <c r="AN141" i="1"/>
  <c r="J421" i="1"/>
  <c r="L422" i="1"/>
  <c r="BA216" i="1"/>
  <c r="AM218" i="1"/>
  <c r="AT218" i="1"/>
  <c r="AS218" i="1" s="1"/>
  <c r="N218" i="1"/>
  <c r="I218" i="1"/>
  <c r="Q218" i="1" s="1"/>
  <c r="A443" i="7"/>
  <c r="B442" i="7"/>
  <c r="S422" i="1"/>
  <c r="K422" i="1"/>
  <c r="AU422" i="1"/>
  <c r="B423" i="1"/>
  <c r="AA422" i="1"/>
  <c r="G420" i="1"/>
  <c r="H420" i="1" s="1"/>
  <c r="C422" i="1"/>
  <c r="A423" i="1"/>
  <c r="AK422" i="1"/>
  <c r="AW422" i="1"/>
  <c r="AI422" i="1" s="1"/>
  <c r="AJ422" i="1" s="1"/>
  <c r="D421" i="1"/>
  <c r="E421" i="1"/>
  <c r="F421" i="1" s="1"/>
  <c r="AC421" i="1"/>
  <c r="M420" i="1"/>
  <c r="AC419" i="1"/>
  <c r="BC421" i="1" l="1"/>
  <c r="BD421" i="1" s="1"/>
  <c r="AE421" i="1" s="1"/>
  <c r="BF423" i="1"/>
  <c r="Z423" i="1"/>
  <c r="BB422" i="1" s="1"/>
  <c r="AE420" i="1"/>
  <c r="AE419" i="1"/>
  <c r="AC422" i="1"/>
  <c r="M421" i="1"/>
  <c r="AO147" i="1"/>
  <c r="AO141" i="1"/>
  <c r="AQ218" i="1"/>
  <c r="D422" i="1"/>
  <c r="L423" i="1"/>
  <c r="AH217" i="1"/>
  <c r="AG217" i="1"/>
  <c r="AY218" i="1"/>
  <c r="O218" i="1"/>
  <c r="P219" i="1" s="1"/>
  <c r="BE219" i="1" s="1"/>
  <c r="A444" i="7"/>
  <c r="B443" i="7"/>
  <c r="J422" i="1"/>
  <c r="S423" i="1"/>
  <c r="K423" i="1"/>
  <c r="AU423" i="1"/>
  <c r="B424" i="1"/>
  <c r="AA423" i="1"/>
  <c r="C423" i="1"/>
  <c r="E422" i="1"/>
  <c r="G421" i="1"/>
  <c r="H421" i="1" s="1"/>
  <c r="AW423" i="1"/>
  <c r="AI423" i="1" s="1"/>
  <c r="AJ423" i="1" s="1"/>
  <c r="AK423" i="1"/>
  <c r="A424" i="1"/>
  <c r="BC422" i="1" l="1"/>
  <c r="BD422" i="1" s="1"/>
  <c r="AE422" i="1" s="1"/>
  <c r="BF424" i="1"/>
  <c r="Z424" i="1"/>
  <c r="BB423" i="1" s="1"/>
  <c r="AC423" i="1"/>
  <c r="V219" i="1"/>
  <c r="Y219" i="1"/>
  <c r="X219" i="1" s="1"/>
  <c r="AF219" i="1" s="1"/>
  <c r="AP147" i="1"/>
  <c r="AX148" i="1" s="1"/>
  <c r="AP141" i="1"/>
  <c r="AX142" i="1" s="1"/>
  <c r="F422" i="1"/>
  <c r="G422" i="1" s="1"/>
  <c r="H422" i="1" s="1"/>
  <c r="J423" i="1"/>
  <c r="BA217" i="1"/>
  <c r="I219" i="1"/>
  <c r="Q219" i="1" s="1"/>
  <c r="AM219" i="1"/>
  <c r="N219" i="1"/>
  <c r="AT219" i="1"/>
  <c r="AS219" i="1" s="1"/>
  <c r="AA424" i="1"/>
  <c r="L424" i="1"/>
  <c r="A445" i="7"/>
  <c r="B444" i="7"/>
  <c r="C424" i="1"/>
  <c r="B425" i="1"/>
  <c r="M422" i="1"/>
  <c r="E423" i="1"/>
  <c r="F423" i="1" s="1"/>
  <c r="D423" i="1"/>
  <c r="S424" i="1"/>
  <c r="K424" i="1"/>
  <c r="AU424" i="1"/>
  <c r="AK424" i="1"/>
  <c r="AW424" i="1"/>
  <c r="AI424" i="1" s="1"/>
  <c r="AJ424" i="1" s="1"/>
  <c r="A425" i="1"/>
  <c r="Z425" i="1" l="1"/>
  <c r="Z426" i="1" s="1"/>
  <c r="BC423" i="1"/>
  <c r="BD423" i="1" s="1"/>
  <c r="AE423" i="1" s="1"/>
  <c r="BF425" i="1"/>
  <c r="AC424" i="1"/>
  <c r="AQ219" i="1"/>
  <c r="M423" i="1"/>
  <c r="G423" i="1"/>
  <c r="H423" i="1" s="1"/>
  <c r="D424" i="1"/>
  <c r="AH218" i="1"/>
  <c r="AG218" i="1"/>
  <c r="AY219" i="1"/>
  <c r="O219" i="1"/>
  <c r="P220" i="1" s="1"/>
  <c r="BE220" i="1" s="1"/>
  <c r="K425" i="1"/>
  <c r="L425" i="1"/>
  <c r="S425" i="1"/>
  <c r="A446" i="7"/>
  <c r="B445" i="7"/>
  <c r="C425" i="1"/>
  <c r="J424" i="1"/>
  <c r="M424" i="1" s="1"/>
  <c r="E424" i="1"/>
  <c r="F424" i="1" s="1"/>
  <c r="B426" i="1"/>
  <c r="AU425" i="1"/>
  <c r="AA425" i="1"/>
  <c r="A426" i="1"/>
  <c r="AW425" i="1"/>
  <c r="AI425" i="1" s="1"/>
  <c r="AJ425" i="1" s="1"/>
  <c r="AK425" i="1"/>
  <c r="BB424" i="1" l="1"/>
  <c r="BC424" i="1" s="1"/>
  <c r="BD424" i="1" s="1"/>
  <c r="AE424" i="1" s="1"/>
  <c r="BF426" i="1"/>
  <c r="BB425" i="1"/>
  <c r="AC425" i="1"/>
  <c r="V220" i="1"/>
  <c r="Y220" i="1"/>
  <c r="X220" i="1" s="1"/>
  <c r="AF220" i="1" s="1"/>
  <c r="U142" i="1"/>
  <c r="U148" i="1"/>
  <c r="J425" i="1"/>
  <c r="M425" i="1" s="1"/>
  <c r="G424" i="1"/>
  <c r="H424" i="1" s="1"/>
  <c r="AG219" i="1"/>
  <c r="BA218" i="1"/>
  <c r="N220" i="1"/>
  <c r="AM220" i="1"/>
  <c r="AT220" i="1"/>
  <c r="AS220" i="1" s="1"/>
  <c r="I220" i="1"/>
  <c r="Q220" i="1" s="1"/>
  <c r="Z427" i="1"/>
  <c r="K426" i="1"/>
  <c r="L426" i="1"/>
  <c r="E425" i="1"/>
  <c r="D425" i="1"/>
  <c r="A447" i="7"/>
  <c r="B446" i="7"/>
  <c r="S426" i="1"/>
  <c r="C426" i="1"/>
  <c r="AA426" i="1"/>
  <c r="AU426" i="1"/>
  <c r="B427" i="1"/>
  <c r="A427" i="1"/>
  <c r="AK426" i="1"/>
  <c r="AW426" i="1"/>
  <c r="AI426" i="1" s="1"/>
  <c r="AJ426" i="1" s="1"/>
  <c r="BC425" i="1" l="1"/>
  <c r="BD425" i="1" s="1"/>
  <c r="AE425" i="1" s="1"/>
  <c r="BF427" i="1"/>
  <c r="AC426" i="1"/>
  <c r="BB426" i="1"/>
  <c r="AL148" i="1"/>
  <c r="AL142" i="1"/>
  <c r="AQ220" i="1"/>
  <c r="J426" i="1"/>
  <c r="M426" i="1" s="1"/>
  <c r="F425" i="1"/>
  <c r="G425" i="1" s="1"/>
  <c r="H425" i="1" s="1"/>
  <c r="AH219" i="1"/>
  <c r="AY220" i="1"/>
  <c r="Z428" i="1"/>
  <c r="O220" i="1"/>
  <c r="K427" i="1"/>
  <c r="L427" i="1"/>
  <c r="E426" i="1"/>
  <c r="F426" i="1" s="1"/>
  <c r="B428" i="1"/>
  <c r="AA427" i="1"/>
  <c r="A448" i="7"/>
  <c r="B447" i="7"/>
  <c r="AU427" i="1"/>
  <c r="D426" i="1"/>
  <c r="C427" i="1"/>
  <c r="S427" i="1"/>
  <c r="AK427" i="1"/>
  <c r="AW427" i="1"/>
  <c r="AI427" i="1" s="1"/>
  <c r="AJ427" i="1" s="1"/>
  <c r="A428" i="1"/>
  <c r="BC426" i="1" l="1"/>
  <c r="BD426" i="1" s="1"/>
  <c r="AE426" i="1" s="1"/>
  <c r="BF428" i="1"/>
  <c r="S428" i="1"/>
  <c r="BB427" i="1"/>
  <c r="AC427" i="1"/>
  <c r="N221" i="1"/>
  <c r="P221" i="1"/>
  <c r="BE221" i="1" s="1"/>
  <c r="AN148" i="1"/>
  <c r="AN142" i="1"/>
  <c r="Z429" i="1"/>
  <c r="G426" i="1"/>
  <c r="H426" i="1" s="1"/>
  <c r="J427" i="1"/>
  <c r="M427" i="1" s="1"/>
  <c r="L428" i="1"/>
  <c r="BA219" i="1"/>
  <c r="AM221" i="1"/>
  <c r="I221" i="1"/>
  <c r="Q221" i="1" s="1"/>
  <c r="AT221" i="1"/>
  <c r="AS221" i="1" s="1"/>
  <c r="C428" i="1"/>
  <c r="B429" i="1"/>
  <c r="AA428" i="1"/>
  <c r="AU428" i="1"/>
  <c r="K428" i="1"/>
  <c r="E427" i="1"/>
  <c r="F427" i="1" s="1"/>
  <c r="A449" i="7"/>
  <c r="B448" i="7"/>
  <c r="D427" i="1"/>
  <c r="AW428" i="1"/>
  <c r="AI428" i="1" s="1"/>
  <c r="AJ428" i="1" s="1"/>
  <c r="A429" i="1"/>
  <c r="AK428" i="1"/>
  <c r="BC427" i="1" l="1"/>
  <c r="BD427" i="1" s="1"/>
  <c r="AE427" i="1" s="1"/>
  <c r="BF429" i="1"/>
  <c r="AC428" i="1"/>
  <c r="Z430" i="1"/>
  <c r="BB428" i="1"/>
  <c r="V221" i="1"/>
  <c r="Y221" i="1"/>
  <c r="X221" i="1" s="1"/>
  <c r="AF221" i="1" s="1"/>
  <c r="AO142" i="1"/>
  <c r="AO148" i="1"/>
  <c r="AQ221" i="1"/>
  <c r="G427" i="1"/>
  <c r="H427" i="1" s="1"/>
  <c r="J428" i="1"/>
  <c r="M428" i="1" s="1"/>
  <c r="L429" i="1"/>
  <c r="AH220" i="1"/>
  <c r="AG220" i="1"/>
  <c r="AY221" i="1"/>
  <c r="O221" i="1"/>
  <c r="P222" i="1" s="1"/>
  <c r="BE222" i="1" s="1"/>
  <c r="E428" i="1"/>
  <c r="F428" i="1" s="1"/>
  <c r="D428" i="1"/>
  <c r="C429" i="1"/>
  <c r="S429" i="1"/>
  <c r="AA429" i="1"/>
  <c r="AU429" i="1"/>
  <c r="B430" i="1"/>
  <c r="K429" i="1"/>
  <c r="A450" i="7"/>
  <c r="B449" i="7"/>
  <c r="AK429" i="1"/>
  <c r="A430" i="1"/>
  <c r="AW429" i="1"/>
  <c r="AI429" i="1" s="1"/>
  <c r="AJ429" i="1" s="1"/>
  <c r="BC428" i="1" l="1"/>
  <c r="BD428" i="1" s="1"/>
  <c r="AE428" i="1" s="1"/>
  <c r="BF430" i="1"/>
  <c r="Z431" i="1"/>
  <c r="BB429" i="1"/>
  <c r="AC429" i="1"/>
  <c r="V222" i="1"/>
  <c r="Y222" i="1"/>
  <c r="X222" i="1" s="1"/>
  <c r="AF222" i="1" s="1"/>
  <c r="AP142" i="1"/>
  <c r="AX143" i="1" s="1"/>
  <c r="AP148" i="1"/>
  <c r="AX149" i="1" s="1"/>
  <c r="J429" i="1"/>
  <c r="M429" i="1" s="1"/>
  <c r="G428" i="1"/>
  <c r="H428" i="1" s="1"/>
  <c r="L430" i="1"/>
  <c r="BA220" i="1"/>
  <c r="N222" i="1"/>
  <c r="I222" i="1"/>
  <c r="Q222" i="1" s="1"/>
  <c r="AT222" i="1"/>
  <c r="AS222" i="1" s="1"/>
  <c r="AM222" i="1"/>
  <c r="D429" i="1"/>
  <c r="C430" i="1"/>
  <c r="AA430" i="1"/>
  <c r="K430" i="1"/>
  <c r="AU430" i="1"/>
  <c r="E429" i="1"/>
  <c r="F429" i="1" s="1"/>
  <c r="B431" i="1"/>
  <c r="S430" i="1"/>
  <c r="A451" i="7"/>
  <c r="B450" i="7"/>
  <c r="AK430" i="1"/>
  <c r="AW430" i="1"/>
  <c r="AI430" i="1" s="1"/>
  <c r="AJ430" i="1" s="1"/>
  <c r="A431" i="1"/>
  <c r="BC429" i="1" l="1"/>
  <c r="BD429" i="1" s="1"/>
  <c r="AE429" i="1" s="1"/>
  <c r="BF431" i="1"/>
  <c r="Z432" i="1"/>
  <c r="AC430" i="1"/>
  <c r="BB430" i="1"/>
  <c r="AQ222" i="1"/>
  <c r="G429" i="1"/>
  <c r="H429" i="1" s="1"/>
  <c r="J430" i="1"/>
  <c r="M430" i="1" s="1"/>
  <c r="L431" i="1"/>
  <c r="AH221" i="1"/>
  <c r="AG221" i="1"/>
  <c r="AY222" i="1"/>
  <c r="O222" i="1"/>
  <c r="P223" i="1" s="1"/>
  <c r="BE223" i="1" s="1"/>
  <c r="D430" i="1"/>
  <c r="E430" i="1"/>
  <c r="F430" i="1" s="1"/>
  <c r="K431" i="1"/>
  <c r="AA431" i="1"/>
  <c r="S431" i="1"/>
  <c r="C431" i="1"/>
  <c r="B432" i="1"/>
  <c r="AU431" i="1"/>
  <c r="A452" i="7"/>
  <c r="B451" i="7"/>
  <c r="A432" i="1"/>
  <c r="AW431" i="1"/>
  <c r="AI431" i="1" s="1"/>
  <c r="AJ431" i="1" s="1"/>
  <c r="AK431" i="1"/>
  <c r="BC430" i="1" l="1"/>
  <c r="BD430" i="1" s="1"/>
  <c r="AE430" i="1" s="1"/>
  <c r="BF432" i="1"/>
  <c r="Z433" i="1"/>
  <c r="BB431" i="1"/>
  <c r="AC431" i="1"/>
  <c r="V223" i="1"/>
  <c r="Y223" i="1"/>
  <c r="X223" i="1" s="1"/>
  <c r="AF223" i="1" s="1"/>
  <c r="U143" i="1"/>
  <c r="U149" i="1"/>
  <c r="J431" i="1"/>
  <c r="M431" i="1" s="1"/>
  <c r="G430" i="1"/>
  <c r="H430" i="1" s="1"/>
  <c r="L432" i="1"/>
  <c r="BA221" i="1"/>
  <c r="AM223" i="1"/>
  <c r="N223" i="1"/>
  <c r="AT223" i="1"/>
  <c r="AS223" i="1" s="1"/>
  <c r="I223" i="1"/>
  <c r="Q223" i="1" s="1"/>
  <c r="AA432" i="1"/>
  <c r="C432" i="1"/>
  <c r="E431" i="1"/>
  <c r="D431" i="1"/>
  <c r="AU432" i="1"/>
  <c r="K432" i="1"/>
  <c r="B433" i="1"/>
  <c r="S432" i="1"/>
  <c r="A453" i="7"/>
  <c r="B452" i="7"/>
  <c r="AK432" i="1"/>
  <c r="AW432" i="1"/>
  <c r="AI432" i="1" s="1"/>
  <c r="AJ432" i="1" s="1"/>
  <c r="A433" i="1"/>
  <c r="AP432" i="1"/>
  <c r="BC431" i="1" l="1"/>
  <c r="BD431" i="1" s="1"/>
  <c r="AE431" i="1" s="1"/>
  <c r="BF433" i="1"/>
  <c r="Z434" i="1"/>
  <c r="AC432" i="1"/>
  <c r="BB432" i="1"/>
  <c r="AL149" i="1"/>
  <c r="AL143" i="1"/>
  <c r="AQ223" i="1"/>
  <c r="J432" i="1"/>
  <c r="M432" i="1" s="1"/>
  <c r="F431" i="1"/>
  <c r="G431" i="1" s="1"/>
  <c r="H431" i="1" s="1"/>
  <c r="L433" i="1"/>
  <c r="AH222" i="1"/>
  <c r="AG222" i="1"/>
  <c r="AY223" i="1"/>
  <c r="D432" i="1"/>
  <c r="O223" i="1"/>
  <c r="P224" i="1" s="1"/>
  <c r="BE224" i="1" s="1"/>
  <c r="E432" i="1"/>
  <c r="F432" i="1" s="1"/>
  <c r="K433" i="1"/>
  <c r="B434" i="1"/>
  <c r="AA433" i="1"/>
  <c r="C433" i="1"/>
  <c r="AU433" i="1"/>
  <c r="S433" i="1"/>
  <c r="A454" i="7"/>
  <c r="B453" i="7"/>
  <c r="AW433" i="1"/>
  <c r="AI433" i="1" s="1"/>
  <c r="AJ433" i="1" s="1"/>
  <c r="A434" i="1"/>
  <c r="AK433" i="1"/>
  <c r="BC432" i="1" l="1"/>
  <c r="BD432" i="1" s="1"/>
  <c r="AE432" i="1" s="1"/>
  <c r="BF434" i="1"/>
  <c r="Z435" i="1"/>
  <c r="S434" i="1"/>
  <c r="BB433" i="1"/>
  <c r="AC433" i="1"/>
  <c r="V224" i="1"/>
  <c r="Y224" i="1"/>
  <c r="X224" i="1" s="1"/>
  <c r="AF224" i="1" s="1"/>
  <c r="AN149" i="1"/>
  <c r="AN143" i="1"/>
  <c r="G432" i="1"/>
  <c r="H432" i="1" s="1"/>
  <c r="J433" i="1"/>
  <c r="M433" i="1" s="1"/>
  <c r="L434" i="1"/>
  <c r="BA222" i="1"/>
  <c r="E433" i="1"/>
  <c r="D433" i="1"/>
  <c r="I224" i="1"/>
  <c r="Q224" i="1" s="1"/>
  <c r="AT224" i="1"/>
  <c r="AS224" i="1" s="1"/>
  <c r="AM224" i="1"/>
  <c r="N224" i="1"/>
  <c r="C434" i="1"/>
  <c r="AA434" i="1"/>
  <c r="AU434" i="1"/>
  <c r="B435" i="1"/>
  <c r="K434" i="1"/>
  <c r="A455" i="7"/>
  <c r="B454" i="7"/>
  <c r="AK434" i="1"/>
  <c r="A435" i="1"/>
  <c r="AW434" i="1"/>
  <c r="AI434" i="1" s="1"/>
  <c r="AJ434" i="1" s="1"/>
  <c r="BC433" i="1" l="1"/>
  <c r="BD433" i="1" s="1"/>
  <c r="AE433" i="1" s="1"/>
  <c r="BF435" i="1"/>
  <c r="Z436" i="1"/>
  <c r="BB434" i="1"/>
  <c r="B436" i="1"/>
  <c r="AC434" i="1"/>
  <c r="AO149" i="1"/>
  <c r="AO143" i="1"/>
  <c r="AQ224" i="1"/>
  <c r="J434" i="1"/>
  <c r="M434" i="1" s="1"/>
  <c r="F433" i="1"/>
  <c r="G433" i="1" s="1"/>
  <c r="H433" i="1" s="1"/>
  <c r="L435" i="1"/>
  <c r="C435" i="1"/>
  <c r="D435" i="1" s="1"/>
  <c r="AH223" i="1"/>
  <c r="AG223" i="1"/>
  <c r="AY224" i="1"/>
  <c r="AA435" i="1"/>
  <c r="AC435" i="1" s="1"/>
  <c r="AU435" i="1"/>
  <c r="K435" i="1"/>
  <c r="S435" i="1"/>
  <c r="O224" i="1"/>
  <c r="P225" i="1" s="1"/>
  <c r="BE225" i="1" s="1"/>
  <c r="D434" i="1"/>
  <c r="E434" i="1"/>
  <c r="F434" i="1" s="1"/>
  <c r="A456" i="7"/>
  <c r="B455" i="7"/>
  <c r="AK435" i="1"/>
  <c r="AW435" i="1"/>
  <c r="AI435" i="1" s="1"/>
  <c r="AJ435" i="1" s="1"/>
  <c r="A436" i="1"/>
  <c r="BC434" i="1" l="1"/>
  <c r="BD434" i="1" s="1"/>
  <c r="AE434" i="1" s="1"/>
  <c r="Z437" i="1"/>
  <c r="S436" i="1"/>
  <c r="BF436" i="1"/>
  <c r="C436" i="1"/>
  <c r="J436" i="1" s="1"/>
  <c r="AU436" i="1"/>
  <c r="AA436" i="1"/>
  <c r="AC436" i="1" s="1"/>
  <c r="B437" i="1"/>
  <c r="K436" i="1"/>
  <c r="L436" i="1"/>
  <c r="BB435" i="1"/>
  <c r="BC435" i="1" s="1"/>
  <c r="V225" i="1"/>
  <c r="Y225" i="1"/>
  <c r="X225" i="1" s="1"/>
  <c r="AF225" i="1" s="1"/>
  <c r="AP149" i="1"/>
  <c r="AX150" i="1" s="1"/>
  <c r="AP143" i="1"/>
  <c r="AX144" i="1" s="1"/>
  <c r="E435" i="1"/>
  <c r="F435" i="1" s="1"/>
  <c r="G435" i="1" s="1"/>
  <c r="H435" i="1" s="1"/>
  <c r="J435" i="1"/>
  <c r="M435" i="1" s="1"/>
  <c r="G434" i="1"/>
  <c r="H434" i="1" s="1"/>
  <c r="BA223" i="1"/>
  <c r="AT225" i="1"/>
  <c r="AS225" i="1" s="1"/>
  <c r="I225" i="1"/>
  <c r="Q225" i="1" s="1"/>
  <c r="N225" i="1"/>
  <c r="AM225" i="1"/>
  <c r="A457" i="7"/>
  <c r="B456" i="7"/>
  <c r="AW436" i="1"/>
  <c r="AI436" i="1" s="1"/>
  <c r="AJ436" i="1" s="1"/>
  <c r="A437" i="1"/>
  <c r="AK436" i="1"/>
  <c r="BB436" i="1" l="1"/>
  <c r="Z438" i="1"/>
  <c r="E436" i="1"/>
  <c r="F436" i="1" s="1"/>
  <c r="G436" i="1" s="1"/>
  <c r="H436" i="1" s="1"/>
  <c r="D436" i="1"/>
  <c r="B438" i="1"/>
  <c r="BF437" i="1"/>
  <c r="L437" i="1"/>
  <c r="AU437" i="1"/>
  <c r="K437" i="1"/>
  <c r="C437" i="1"/>
  <c r="E437" i="1" s="1"/>
  <c r="F437" i="1" s="1"/>
  <c r="AA437" i="1"/>
  <c r="AC437" i="1" s="1"/>
  <c r="S437" i="1"/>
  <c r="BD435" i="1"/>
  <c r="AE435" i="1" s="1"/>
  <c r="AQ225" i="1"/>
  <c r="AH224" i="1"/>
  <c r="AG224" i="1"/>
  <c r="AY225" i="1"/>
  <c r="O225" i="1"/>
  <c r="P226" i="1" s="1"/>
  <c r="BE226" i="1" s="1"/>
  <c r="A458" i="7"/>
  <c r="B457" i="7"/>
  <c r="M436" i="1"/>
  <c r="AW437" i="1"/>
  <c r="AI437" i="1" s="1"/>
  <c r="AJ437" i="1" s="1"/>
  <c r="A438" i="1"/>
  <c r="AK437" i="1"/>
  <c r="BC436" i="1" l="1"/>
  <c r="BD436" i="1" s="1"/>
  <c r="AE436" i="1" s="1"/>
  <c r="AU438" i="1"/>
  <c r="L438" i="1"/>
  <c r="BB437" i="1"/>
  <c r="B439" i="1"/>
  <c r="K438" i="1"/>
  <c r="C438" i="1"/>
  <c r="J438" i="1" s="1"/>
  <c r="S438" i="1"/>
  <c r="AA438" i="1"/>
  <c r="AC438" i="1" s="1"/>
  <c r="BF438" i="1"/>
  <c r="D437" i="1"/>
  <c r="Z439" i="1"/>
  <c r="J437" i="1"/>
  <c r="M437" i="1" s="1"/>
  <c r="V226" i="1"/>
  <c r="Y226" i="1"/>
  <c r="X226" i="1" s="1"/>
  <c r="AF226" i="1" s="1"/>
  <c r="U150" i="1"/>
  <c r="U144" i="1"/>
  <c r="BA224" i="1"/>
  <c r="AG225" i="1"/>
  <c r="AM226" i="1"/>
  <c r="I226" i="1"/>
  <c r="Q226" i="1" s="1"/>
  <c r="AT226" i="1"/>
  <c r="AS226" i="1" s="1"/>
  <c r="N226" i="1"/>
  <c r="A459" i="7"/>
  <c r="B458" i="7"/>
  <c r="S439" i="1"/>
  <c r="G437" i="1"/>
  <c r="H437" i="1" s="1"/>
  <c r="A439" i="1"/>
  <c r="AW438" i="1"/>
  <c r="AI438" i="1" s="1"/>
  <c r="AJ438" i="1" s="1"/>
  <c r="AK438" i="1"/>
  <c r="BC437" i="1" l="1"/>
  <c r="BD437" i="1" s="1"/>
  <c r="AE437" i="1" s="1"/>
  <c r="BF439" i="1"/>
  <c r="AA439" i="1"/>
  <c r="AC439" i="1" s="1"/>
  <c r="E438" i="1"/>
  <c r="F438" i="1" s="1"/>
  <c r="G438" i="1" s="1"/>
  <c r="H438" i="1" s="1"/>
  <c r="B440" i="1"/>
  <c r="AU439" i="1"/>
  <c r="L439" i="1"/>
  <c r="C439" i="1"/>
  <c r="D439" i="1" s="1"/>
  <c r="K439" i="1"/>
  <c r="D438" i="1"/>
  <c r="Z440" i="1"/>
  <c r="Z441" i="1" s="1"/>
  <c r="BB438" i="1"/>
  <c r="AL144" i="1"/>
  <c r="AL150" i="1"/>
  <c r="AQ226" i="1"/>
  <c r="AY226" i="1"/>
  <c r="AH225" i="1"/>
  <c r="O226" i="1"/>
  <c r="P227" i="1" s="1"/>
  <c r="BE227" i="1" s="1"/>
  <c r="A460" i="7"/>
  <c r="B459" i="7"/>
  <c r="AK439" i="1"/>
  <c r="A440" i="1"/>
  <c r="AW439" i="1"/>
  <c r="AI439" i="1" s="1"/>
  <c r="AJ439" i="1" s="1"/>
  <c r="M438" i="1"/>
  <c r="BC438" i="1" l="1"/>
  <c r="BD438" i="1" s="1"/>
  <c r="AE438" i="1" s="1"/>
  <c r="AU440" i="1"/>
  <c r="B441" i="1"/>
  <c r="B442" i="1" s="1"/>
  <c r="C440" i="1"/>
  <c r="D440" i="1" s="1"/>
  <c r="K440" i="1"/>
  <c r="S440" i="1"/>
  <c r="BB440" i="1" s="1"/>
  <c r="L440" i="1"/>
  <c r="BF440" i="1"/>
  <c r="AA440" i="1"/>
  <c r="AC440" i="1" s="1"/>
  <c r="E439" i="1"/>
  <c r="F439" i="1" s="1"/>
  <c r="G439" i="1" s="1"/>
  <c r="H439" i="1" s="1"/>
  <c r="J439" i="1"/>
  <c r="M439" i="1" s="1"/>
  <c r="BB439" i="1"/>
  <c r="V227" i="1"/>
  <c r="Y227" i="1"/>
  <c r="X227" i="1" s="1"/>
  <c r="AF227" i="1" s="1"/>
  <c r="AN144" i="1"/>
  <c r="AN150" i="1"/>
  <c r="BA225" i="1"/>
  <c r="I227" i="1"/>
  <c r="Q227" i="1" s="1"/>
  <c r="AT227" i="1"/>
  <c r="AS227" i="1" s="1"/>
  <c r="AM227" i="1"/>
  <c r="N227" i="1"/>
  <c r="A461" i="7"/>
  <c r="B460" i="7"/>
  <c r="A441" i="1"/>
  <c r="AW440" i="1"/>
  <c r="AI440" i="1" s="1"/>
  <c r="AJ440" i="1" s="1"/>
  <c r="AK440" i="1"/>
  <c r="L441" i="1" l="1"/>
  <c r="C441" i="1"/>
  <c r="K441" i="1"/>
  <c r="S441" i="1"/>
  <c r="J440" i="1"/>
  <c r="M440" i="1" s="1"/>
  <c r="E440" i="1"/>
  <c r="F440" i="1" s="1"/>
  <c r="G440" i="1" s="1"/>
  <c r="H440" i="1" s="1"/>
  <c r="AA441" i="1"/>
  <c r="AC441" i="1" s="1"/>
  <c r="BC440" i="1"/>
  <c r="BD440" i="1" s="1"/>
  <c r="AE440" i="1" s="1"/>
  <c r="BC439" i="1"/>
  <c r="BD439" i="1" s="1"/>
  <c r="AE439" i="1" s="1"/>
  <c r="AU441" i="1"/>
  <c r="BF441" i="1"/>
  <c r="Z442" i="1"/>
  <c r="BF442" i="1"/>
  <c r="AO144" i="1"/>
  <c r="AO150" i="1"/>
  <c r="AQ227" i="1"/>
  <c r="J441" i="1"/>
  <c r="L442" i="1"/>
  <c r="AH226" i="1"/>
  <c r="AG226" i="1"/>
  <c r="AY227" i="1"/>
  <c r="O227" i="1"/>
  <c r="P228" i="1" s="1"/>
  <c r="BE228" i="1" s="1"/>
  <c r="A462" i="7"/>
  <c r="B461" i="7"/>
  <c r="S442" i="1"/>
  <c r="K442" i="1"/>
  <c r="AU442" i="1"/>
  <c r="A442" i="1"/>
  <c r="AW441" i="1"/>
  <c r="AI441" i="1" s="1"/>
  <c r="AJ441" i="1" s="1"/>
  <c r="AK441" i="1"/>
  <c r="C442" i="1"/>
  <c r="AA442" i="1"/>
  <c r="B443" i="1"/>
  <c r="E441" i="1"/>
  <c r="F441" i="1" s="1"/>
  <c r="D441" i="1"/>
  <c r="Z443" i="1" l="1"/>
  <c r="Z444" i="1" s="1"/>
  <c r="BB441" i="1"/>
  <c r="BC441" i="1" s="1"/>
  <c r="BD441" i="1" s="1"/>
  <c r="AE441" i="1" s="1"/>
  <c r="BF443" i="1"/>
  <c r="V228" i="1"/>
  <c r="Y228" i="1"/>
  <c r="X228" i="1" s="1"/>
  <c r="AF228" i="1" s="1"/>
  <c r="AP150" i="1"/>
  <c r="AX151" i="1" s="1"/>
  <c r="J442" i="1"/>
  <c r="L443" i="1"/>
  <c r="BA226" i="1"/>
  <c r="N228" i="1"/>
  <c r="AT228" i="1"/>
  <c r="AS228" i="1" s="1"/>
  <c r="I228" i="1"/>
  <c r="Q228" i="1" s="1"/>
  <c r="AM228" i="1"/>
  <c r="A463" i="7"/>
  <c r="B462" i="7"/>
  <c r="S443" i="1"/>
  <c r="K443" i="1"/>
  <c r="AU443" i="1"/>
  <c r="G441" i="1"/>
  <c r="H441" i="1" s="1"/>
  <c r="B444" i="1"/>
  <c r="C443" i="1"/>
  <c r="AA443" i="1"/>
  <c r="M441" i="1"/>
  <c r="A443" i="1"/>
  <c r="AK442" i="1"/>
  <c r="AW442" i="1"/>
  <c r="AI442" i="1" s="1"/>
  <c r="AJ442" i="1" s="1"/>
  <c r="AC442" i="1"/>
  <c r="D442" i="1"/>
  <c r="E442" i="1"/>
  <c r="F442" i="1" s="1"/>
  <c r="BB442" i="1" l="1"/>
  <c r="BC442" i="1" s="1"/>
  <c r="BD442" i="1" s="1"/>
  <c r="AE442" i="1" s="1"/>
  <c r="BF444" i="1"/>
  <c r="BB443" i="1"/>
  <c r="AQ228" i="1"/>
  <c r="J443" i="1"/>
  <c r="L444" i="1"/>
  <c r="AH227" i="1"/>
  <c r="AG227" i="1"/>
  <c r="AY228" i="1"/>
  <c r="O228" i="1"/>
  <c r="Z445" i="1"/>
  <c r="A464" i="7"/>
  <c r="B463" i="7"/>
  <c r="S444" i="1"/>
  <c r="K444" i="1"/>
  <c r="AU444" i="1"/>
  <c r="M442" i="1"/>
  <c r="C444" i="1"/>
  <c r="AA444" i="1"/>
  <c r="B445" i="1"/>
  <c r="G442" i="1"/>
  <c r="H442" i="1" s="1"/>
  <c r="AK443" i="1"/>
  <c r="AW443" i="1"/>
  <c r="AI443" i="1" s="1"/>
  <c r="AJ443" i="1" s="1"/>
  <c r="A444" i="1"/>
  <c r="AC443" i="1"/>
  <c r="E443" i="1"/>
  <c r="F443" i="1" s="1"/>
  <c r="D443" i="1"/>
  <c r="U157" i="1"/>
  <c r="AL157" i="1" s="1"/>
  <c r="AN157" i="1" s="1"/>
  <c r="BC443" i="1" l="1"/>
  <c r="BD443" i="1" s="1"/>
  <c r="AE443" i="1" s="1"/>
  <c r="BF445" i="1"/>
  <c r="BB444" i="1"/>
  <c r="I229" i="1"/>
  <c r="Q229" i="1" s="1"/>
  <c r="P229" i="1"/>
  <c r="BE229" i="1" s="1"/>
  <c r="U151" i="1"/>
  <c r="J444" i="1"/>
  <c r="L445" i="1"/>
  <c r="BA227" i="1"/>
  <c r="AT229" i="1"/>
  <c r="AS229" i="1" s="1"/>
  <c r="AM229" i="1"/>
  <c r="N229" i="1"/>
  <c r="Z446" i="1"/>
  <c r="A465" i="7"/>
  <c r="B464" i="7"/>
  <c r="S445" i="1"/>
  <c r="K445" i="1"/>
  <c r="AU445" i="1"/>
  <c r="M443" i="1"/>
  <c r="D444" i="1"/>
  <c r="E444" i="1"/>
  <c r="F444" i="1" s="1"/>
  <c r="G443" i="1"/>
  <c r="H443" i="1" s="1"/>
  <c r="AA445" i="1"/>
  <c r="C445" i="1"/>
  <c r="B446" i="1"/>
  <c r="AP444" i="1"/>
  <c r="AW444" i="1"/>
  <c r="AI444" i="1" s="1"/>
  <c r="AJ444" i="1" s="1"/>
  <c r="AK444" i="1"/>
  <c r="A445" i="1"/>
  <c r="AC444" i="1"/>
  <c r="AO157" i="1"/>
  <c r="BC444" i="1" l="1"/>
  <c r="BD444" i="1" s="1"/>
  <c r="AE444" i="1" s="1"/>
  <c r="BF446" i="1"/>
  <c r="BB445" i="1"/>
  <c r="V229" i="1"/>
  <c r="Y229" i="1"/>
  <c r="X229" i="1" s="1"/>
  <c r="AF229" i="1" s="1"/>
  <c r="O229" i="1"/>
  <c r="N230" i="1" s="1"/>
  <c r="AL151" i="1"/>
  <c r="AP157" i="1"/>
  <c r="AX158" i="1" s="1"/>
  <c r="AQ229" i="1"/>
  <c r="J445" i="1"/>
  <c r="AH228" i="1"/>
  <c r="AG228" i="1"/>
  <c r="L446" i="1"/>
  <c r="AY229" i="1"/>
  <c r="Z447" i="1"/>
  <c r="A466" i="7"/>
  <c r="B465" i="7"/>
  <c r="S446" i="1"/>
  <c r="K446" i="1"/>
  <c r="AU446" i="1"/>
  <c r="M444" i="1"/>
  <c r="G444" i="1"/>
  <c r="H444" i="1" s="1"/>
  <c r="AW445" i="1"/>
  <c r="AI445" i="1" s="1"/>
  <c r="AJ445" i="1" s="1"/>
  <c r="A446" i="1"/>
  <c r="AK445" i="1"/>
  <c r="D445" i="1"/>
  <c r="E445" i="1"/>
  <c r="F445" i="1" s="1"/>
  <c r="AC445" i="1"/>
  <c r="AA446" i="1"/>
  <c r="B447" i="1"/>
  <c r="C446" i="1"/>
  <c r="BC445" i="1" l="1"/>
  <c r="BD445" i="1" s="1"/>
  <c r="AE445" i="1" s="1"/>
  <c r="BF447" i="1"/>
  <c r="AX229" i="1"/>
  <c r="BB446" i="1"/>
  <c r="AT230" i="1"/>
  <c r="AS230" i="1" s="1"/>
  <c r="AM230" i="1"/>
  <c r="I230" i="1"/>
  <c r="Q230" i="1" s="1"/>
  <c r="P230" i="1"/>
  <c r="BE230" i="1" s="1"/>
  <c r="AN151" i="1"/>
  <c r="J446" i="1"/>
  <c r="L447" i="1"/>
  <c r="BA228" i="1"/>
  <c r="AG229" i="1"/>
  <c r="Z448" i="1"/>
  <c r="A467" i="7"/>
  <c r="B466" i="7"/>
  <c r="S447" i="1"/>
  <c r="K447" i="1"/>
  <c r="AU447" i="1"/>
  <c r="D446" i="1"/>
  <c r="E446" i="1"/>
  <c r="F446" i="1" s="1"/>
  <c r="AC446" i="1"/>
  <c r="G445" i="1"/>
  <c r="H445" i="1" s="1"/>
  <c r="B448" i="1"/>
  <c r="C447" i="1"/>
  <c r="AA447" i="1"/>
  <c r="M445" i="1"/>
  <c r="A447" i="1"/>
  <c r="AW446" i="1"/>
  <c r="AI446" i="1" s="1"/>
  <c r="AJ446" i="1" s="1"/>
  <c r="AK446" i="1"/>
  <c r="U158" i="1"/>
  <c r="BC446" i="1" l="1"/>
  <c r="BD446" i="1" s="1"/>
  <c r="AE446" i="1" s="1"/>
  <c r="BF448" i="1"/>
  <c r="BB447" i="1"/>
  <c r="O230" i="1"/>
  <c r="P231" i="1" s="1"/>
  <c r="BE231" i="1" s="1"/>
  <c r="V230" i="1"/>
  <c r="Y230" i="1"/>
  <c r="X230" i="1" s="1"/>
  <c r="AF230" i="1" s="1"/>
  <c r="AQ230" i="1"/>
  <c r="AY230" i="1"/>
  <c r="AL158" i="1"/>
  <c r="AO151" i="1"/>
  <c r="J447" i="1"/>
  <c r="L448" i="1"/>
  <c r="AH229" i="1"/>
  <c r="Z449" i="1"/>
  <c r="A468" i="7"/>
  <c r="B467" i="7"/>
  <c r="S448" i="1"/>
  <c r="K448" i="1"/>
  <c r="AU448" i="1"/>
  <c r="E447" i="1"/>
  <c r="F447" i="1" s="1"/>
  <c r="D447" i="1"/>
  <c r="M446" i="1"/>
  <c r="AA448" i="1"/>
  <c r="C448" i="1"/>
  <c r="B449" i="1"/>
  <c r="G446" i="1"/>
  <c r="H446" i="1" s="1"/>
  <c r="AW447" i="1"/>
  <c r="AI447" i="1" s="1"/>
  <c r="AJ447" i="1" s="1"/>
  <c r="AK447" i="1"/>
  <c r="A448" i="1"/>
  <c r="AC447" i="1"/>
  <c r="BC447" i="1" l="1"/>
  <c r="BD447" i="1" s="1"/>
  <c r="AE447" i="1" s="1"/>
  <c r="BF449" i="1"/>
  <c r="V231" i="1"/>
  <c r="BB448" i="1"/>
  <c r="AC448" i="1"/>
  <c r="I231" i="1"/>
  <c r="Q231" i="1" s="1"/>
  <c r="AT231" i="1"/>
  <c r="AS231" i="1" s="1"/>
  <c r="AQ231" i="1" s="1"/>
  <c r="Y231" i="1"/>
  <c r="X231" i="1" s="1"/>
  <c r="AF231" i="1" s="1"/>
  <c r="AM231" i="1"/>
  <c r="N231" i="1"/>
  <c r="AG230" i="1"/>
  <c r="AN158" i="1"/>
  <c r="AP151" i="1"/>
  <c r="AX152" i="1" s="1"/>
  <c r="J448" i="1"/>
  <c r="L449" i="1"/>
  <c r="BA229" i="1"/>
  <c r="AY231" i="1"/>
  <c r="Z450" i="1"/>
  <c r="A469" i="7"/>
  <c r="B468" i="7"/>
  <c r="S449" i="1"/>
  <c r="K449" i="1"/>
  <c r="AU449" i="1"/>
  <c r="B450" i="1"/>
  <c r="C449" i="1"/>
  <c r="AA449" i="1"/>
  <c r="AK448" i="1"/>
  <c r="AW448" i="1"/>
  <c r="AI448" i="1" s="1"/>
  <c r="AJ448" i="1" s="1"/>
  <c r="A449" i="1"/>
  <c r="E448" i="1"/>
  <c r="F448" i="1" s="1"/>
  <c r="D448" i="1"/>
  <c r="G447" i="1"/>
  <c r="H447" i="1" s="1"/>
  <c r="M447" i="1"/>
  <c r="BC448" i="1" l="1"/>
  <c r="BD448" i="1" s="1"/>
  <c r="AE448" i="1" s="1"/>
  <c r="BF450" i="1"/>
  <c r="BB449" i="1"/>
  <c r="O231" i="1"/>
  <c r="P232" i="1" s="1"/>
  <c r="BE232" i="1" s="1"/>
  <c r="AH230" i="1"/>
  <c r="AO158" i="1"/>
  <c r="J449" i="1"/>
  <c r="L450" i="1"/>
  <c r="BA230" i="1"/>
  <c r="Z451" i="1"/>
  <c r="A470" i="7"/>
  <c r="B469" i="7"/>
  <c r="S450" i="1"/>
  <c r="K450" i="1"/>
  <c r="AU450" i="1"/>
  <c r="G448" i="1"/>
  <c r="H448" i="1" s="1"/>
  <c r="A450" i="1"/>
  <c r="AW449" i="1"/>
  <c r="AI449" i="1" s="1"/>
  <c r="AJ449" i="1" s="1"/>
  <c r="AK449" i="1"/>
  <c r="AC449" i="1"/>
  <c r="E449" i="1"/>
  <c r="F449" i="1" s="1"/>
  <c r="D449" i="1"/>
  <c r="M448" i="1"/>
  <c r="B451" i="1"/>
  <c r="C450" i="1"/>
  <c r="AA450" i="1"/>
  <c r="BC449" i="1" l="1"/>
  <c r="BD449" i="1" s="1"/>
  <c r="AE449" i="1" s="1"/>
  <c r="BF451" i="1"/>
  <c r="V232" i="1"/>
  <c r="BB450" i="1"/>
  <c r="I232" i="1"/>
  <c r="Q232" i="1" s="1"/>
  <c r="AT232" i="1"/>
  <c r="AS232" i="1" s="1"/>
  <c r="AQ232" i="1" s="1"/>
  <c r="AM232" i="1"/>
  <c r="Y232" i="1"/>
  <c r="X232" i="1" s="1"/>
  <c r="AF232" i="1" s="1"/>
  <c r="N232" i="1"/>
  <c r="AP158" i="1"/>
  <c r="AX159" i="1" s="1"/>
  <c r="U152" i="1"/>
  <c r="J450" i="1"/>
  <c r="L451" i="1"/>
  <c r="AH231" i="1"/>
  <c r="AG231" i="1"/>
  <c r="AY232" i="1"/>
  <c r="Z452" i="1"/>
  <c r="A471" i="7"/>
  <c r="B470" i="7"/>
  <c r="S451" i="1"/>
  <c r="K451" i="1"/>
  <c r="AU451" i="1"/>
  <c r="AW450" i="1"/>
  <c r="AI450" i="1" s="1"/>
  <c r="AJ450" i="1" s="1"/>
  <c r="A451" i="1"/>
  <c r="AK450" i="1"/>
  <c r="M449" i="1"/>
  <c r="AC450" i="1"/>
  <c r="B452" i="1"/>
  <c r="AA451" i="1"/>
  <c r="C451" i="1"/>
  <c r="D450" i="1"/>
  <c r="E450" i="1"/>
  <c r="F450" i="1" s="1"/>
  <c r="G449" i="1"/>
  <c r="H449" i="1" s="1"/>
  <c r="BC450" i="1" l="1"/>
  <c r="BD450" i="1" s="1"/>
  <c r="AE450" i="1" s="1"/>
  <c r="BF452" i="1"/>
  <c r="O232" i="1"/>
  <c r="N233" i="1" s="1"/>
  <c r="AC451" i="1"/>
  <c r="BB451" i="1"/>
  <c r="AL152" i="1"/>
  <c r="J451" i="1"/>
  <c r="L452" i="1"/>
  <c r="BA231" i="1"/>
  <c r="Z453" i="1"/>
  <c r="A472" i="7"/>
  <c r="B471" i="7"/>
  <c r="S452" i="1"/>
  <c r="K452" i="1"/>
  <c r="AU452" i="1"/>
  <c r="D451" i="1"/>
  <c r="E451" i="1"/>
  <c r="F451" i="1" s="1"/>
  <c r="G450" i="1"/>
  <c r="H450" i="1" s="1"/>
  <c r="A452" i="1"/>
  <c r="AW451" i="1"/>
  <c r="AI451" i="1" s="1"/>
  <c r="AJ451" i="1" s="1"/>
  <c r="AK451" i="1"/>
  <c r="AA452" i="1"/>
  <c r="B453" i="1"/>
  <c r="C452" i="1"/>
  <c r="M450" i="1"/>
  <c r="BC451" i="1" l="1"/>
  <c r="BD451" i="1" s="1"/>
  <c r="AE451" i="1" s="1"/>
  <c r="BF453" i="1"/>
  <c r="P233" i="1"/>
  <c r="BE233" i="1" s="1"/>
  <c r="AT233" i="1"/>
  <c r="AS233" i="1" s="1"/>
  <c r="AM233" i="1"/>
  <c r="I233" i="1"/>
  <c r="Q233" i="1" s="1"/>
  <c r="BB452" i="1"/>
  <c r="AN152" i="1"/>
  <c r="U159" i="1"/>
  <c r="J452" i="1"/>
  <c r="AH232" i="1"/>
  <c r="AG232" i="1"/>
  <c r="L453" i="1"/>
  <c r="Z454" i="1"/>
  <c r="A473" i="7"/>
  <c r="B472" i="7"/>
  <c r="S453" i="1"/>
  <c r="K453" i="1"/>
  <c r="AU453" i="1"/>
  <c r="G451" i="1"/>
  <c r="H451" i="1" s="1"/>
  <c r="M451" i="1"/>
  <c r="AC452" i="1"/>
  <c r="B454" i="1"/>
  <c r="C453" i="1"/>
  <c r="AA453" i="1"/>
  <c r="E452" i="1"/>
  <c r="F452" i="1" s="1"/>
  <c r="D452" i="1"/>
  <c r="AW452" i="1"/>
  <c r="AI452" i="1" s="1"/>
  <c r="AJ452" i="1" s="1"/>
  <c r="AK452" i="1"/>
  <c r="A453" i="1"/>
  <c r="BC452" i="1" l="1"/>
  <c r="BD452" i="1" s="1"/>
  <c r="AE452" i="1" s="1"/>
  <c r="BF454" i="1"/>
  <c r="AQ233" i="1"/>
  <c r="Y233" i="1"/>
  <c r="X233" i="1" s="1"/>
  <c r="AF233" i="1" s="1"/>
  <c r="AG233" i="1" s="1"/>
  <c r="AY233" i="1"/>
  <c r="V233" i="1"/>
  <c r="O233" i="1"/>
  <c r="P234" i="1" s="1"/>
  <c r="BE234" i="1" s="1"/>
  <c r="BB453" i="1"/>
  <c r="AO152" i="1"/>
  <c r="AL159" i="1"/>
  <c r="J453" i="1"/>
  <c r="L454" i="1"/>
  <c r="Z455" i="1"/>
  <c r="BA232" i="1"/>
  <c r="A474" i="7"/>
  <c r="B473" i="7"/>
  <c r="S454" i="1"/>
  <c r="K454" i="1"/>
  <c r="AU454" i="1"/>
  <c r="AK453" i="1"/>
  <c r="A454" i="1"/>
  <c r="AW453" i="1"/>
  <c r="AI453" i="1" s="1"/>
  <c r="AJ453" i="1" s="1"/>
  <c r="AC453" i="1"/>
  <c r="M452" i="1"/>
  <c r="C454" i="1"/>
  <c r="AA454" i="1"/>
  <c r="B455" i="1"/>
  <c r="G452" i="1"/>
  <c r="H452" i="1" s="1"/>
  <c r="E453" i="1"/>
  <c r="F453" i="1" s="1"/>
  <c r="D453" i="1"/>
  <c r="BC453" i="1" l="1"/>
  <c r="BD453" i="1" s="1"/>
  <c r="AE453" i="1" s="1"/>
  <c r="BF455" i="1"/>
  <c r="V234" i="1"/>
  <c r="AM234" i="1"/>
  <c r="N234" i="1"/>
  <c r="AT234" i="1"/>
  <c r="AS234" i="1" s="1"/>
  <c r="AQ234" i="1" s="1"/>
  <c r="I234" i="1"/>
  <c r="Q234" i="1" s="1"/>
  <c r="Y234" i="1"/>
  <c r="X234" i="1" s="1"/>
  <c r="AF234" i="1" s="1"/>
  <c r="BB454" i="1"/>
  <c r="AH233" i="1"/>
  <c r="Z456" i="1"/>
  <c r="AP152" i="1"/>
  <c r="AX153" i="1" s="1"/>
  <c r="AN159" i="1"/>
  <c r="J454" i="1"/>
  <c r="L455" i="1"/>
  <c r="BA233" i="1"/>
  <c r="AY234" i="1"/>
  <c r="A475" i="7"/>
  <c r="B474" i="7"/>
  <c r="S455" i="1"/>
  <c r="K455" i="1"/>
  <c r="AU455" i="1"/>
  <c r="E454" i="1"/>
  <c r="F454" i="1" s="1"/>
  <c r="D454" i="1"/>
  <c r="A455" i="1"/>
  <c r="AW454" i="1"/>
  <c r="AI454" i="1" s="1"/>
  <c r="AJ454" i="1" s="1"/>
  <c r="AK454" i="1"/>
  <c r="AA455" i="1"/>
  <c r="C455" i="1"/>
  <c r="B456" i="1"/>
  <c r="G453" i="1"/>
  <c r="H453" i="1" s="1"/>
  <c r="M453" i="1"/>
  <c r="AC454" i="1"/>
  <c r="BC454" i="1" l="1"/>
  <c r="BD454" i="1" s="1"/>
  <c r="AE454" i="1" s="1"/>
  <c r="BF456" i="1"/>
  <c r="O234" i="1"/>
  <c r="P235" i="1" s="1"/>
  <c r="BE235" i="1" s="1"/>
  <c r="Z457" i="1"/>
  <c r="BB455" i="1"/>
  <c r="AO159" i="1"/>
  <c r="J455" i="1"/>
  <c r="L456" i="1"/>
  <c r="AG234" i="1"/>
  <c r="A476" i="7"/>
  <c r="B475" i="7"/>
  <c r="S456" i="1"/>
  <c r="K456" i="1"/>
  <c r="AU456" i="1"/>
  <c r="D455" i="1"/>
  <c r="E455" i="1"/>
  <c r="F455" i="1" s="1"/>
  <c r="AW455" i="1"/>
  <c r="AI455" i="1" s="1"/>
  <c r="AJ455" i="1" s="1"/>
  <c r="AK455" i="1"/>
  <c r="A456" i="1"/>
  <c r="G454" i="1"/>
  <c r="H454" i="1" s="1"/>
  <c r="AC455" i="1"/>
  <c r="B457" i="1"/>
  <c r="C456" i="1"/>
  <c r="AA456" i="1"/>
  <c r="M454" i="1"/>
  <c r="BC455" i="1" l="1"/>
  <c r="BD455" i="1" s="1"/>
  <c r="AE455" i="1" s="1"/>
  <c r="BF457" i="1"/>
  <c r="Y235" i="1"/>
  <c r="X235" i="1" s="1"/>
  <c r="AF235" i="1" s="1"/>
  <c r="I235" i="1"/>
  <c r="Q235" i="1" s="1"/>
  <c r="Z458" i="1"/>
  <c r="AT235" i="1"/>
  <c r="AS235" i="1" s="1"/>
  <c r="AQ235" i="1" s="1"/>
  <c r="N235" i="1"/>
  <c r="AM235" i="1"/>
  <c r="V235" i="1"/>
  <c r="BB456" i="1"/>
  <c r="AP159" i="1"/>
  <c r="AX160" i="1" s="1"/>
  <c r="U153" i="1"/>
  <c r="J456" i="1"/>
  <c r="L457" i="1"/>
  <c r="AY235" i="1"/>
  <c r="AH234" i="1"/>
  <c r="A477" i="7"/>
  <c r="B476" i="7"/>
  <c r="S457" i="1"/>
  <c r="K457" i="1"/>
  <c r="AU457" i="1"/>
  <c r="E456" i="1"/>
  <c r="F456" i="1" s="1"/>
  <c r="D456" i="1"/>
  <c r="G455" i="1"/>
  <c r="H455" i="1" s="1"/>
  <c r="B458" i="1"/>
  <c r="AA457" i="1"/>
  <c r="C457" i="1"/>
  <c r="A457" i="1"/>
  <c r="AP456" i="1"/>
  <c r="AK456" i="1"/>
  <c r="AW456" i="1"/>
  <c r="AI456" i="1" s="1"/>
  <c r="AJ456" i="1" s="1"/>
  <c r="M455" i="1"/>
  <c r="AC456" i="1"/>
  <c r="BC456" i="1" l="1"/>
  <c r="BD456" i="1" s="1"/>
  <c r="AE456" i="1" s="1"/>
  <c r="BF458" i="1"/>
  <c r="Z459" i="1"/>
  <c r="O235" i="1"/>
  <c r="P236" i="1" s="1"/>
  <c r="BE236" i="1" s="1"/>
  <c r="BB457" i="1"/>
  <c r="AL153" i="1"/>
  <c r="J457" i="1"/>
  <c r="L458" i="1"/>
  <c r="BA234" i="1"/>
  <c r="A478" i="7"/>
  <c r="B477" i="7"/>
  <c r="S458" i="1"/>
  <c r="K458" i="1"/>
  <c r="AU458" i="1"/>
  <c r="AC457" i="1"/>
  <c r="D457" i="1"/>
  <c r="E457" i="1"/>
  <c r="F457" i="1" s="1"/>
  <c r="AA458" i="1"/>
  <c r="B459" i="1"/>
  <c r="C458" i="1"/>
  <c r="G456" i="1"/>
  <c r="H456" i="1" s="1"/>
  <c r="A458" i="1"/>
  <c r="AW457" i="1"/>
  <c r="AI457" i="1" s="1"/>
  <c r="AJ457" i="1" s="1"/>
  <c r="AK457" i="1"/>
  <c r="M456" i="1"/>
  <c r="BC457" i="1" l="1"/>
  <c r="BD457" i="1" s="1"/>
  <c r="AE457" i="1" s="1"/>
  <c r="BF459" i="1"/>
  <c r="V236" i="1"/>
  <c r="Z460" i="1"/>
  <c r="AT236" i="1"/>
  <c r="AS236" i="1" s="1"/>
  <c r="AQ236" i="1" s="1"/>
  <c r="Y236" i="1"/>
  <c r="X236" i="1" s="1"/>
  <c r="AF236" i="1" s="1"/>
  <c r="N236" i="1"/>
  <c r="I236" i="1"/>
  <c r="Q236" i="1" s="1"/>
  <c r="AM236" i="1"/>
  <c r="BB458" i="1"/>
  <c r="U160" i="1"/>
  <c r="AN153" i="1"/>
  <c r="J458" i="1"/>
  <c r="L459" i="1"/>
  <c r="AH235" i="1"/>
  <c r="AG235" i="1"/>
  <c r="AY236" i="1"/>
  <c r="A479" i="7"/>
  <c r="B478" i="7"/>
  <c r="S459" i="1"/>
  <c r="K459" i="1"/>
  <c r="AU459" i="1"/>
  <c r="AA459" i="1"/>
  <c r="B460" i="1"/>
  <c r="C459" i="1"/>
  <c r="AC458" i="1"/>
  <c r="E458" i="1"/>
  <c r="F458" i="1" s="1"/>
  <c r="D458" i="1"/>
  <c r="G457" i="1"/>
  <c r="H457" i="1" s="1"/>
  <c r="A459" i="1"/>
  <c r="AK458" i="1"/>
  <c r="AW458" i="1"/>
  <c r="AI458" i="1" s="1"/>
  <c r="AJ458" i="1" s="1"/>
  <c r="M457" i="1"/>
  <c r="BC458" i="1" l="1"/>
  <c r="BD458" i="1" s="1"/>
  <c r="AE458" i="1" s="1"/>
  <c r="BF460" i="1"/>
  <c r="Z461" i="1"/>
  <c r="O236" i="1"/>
  <c r="P237" i="1" s="1"/>
  <c r="BE237" i="1" s="1"/>
  <c r="BB459" i="1"/>
  <c r="AO153" i="1"/>
  <c r="AL160" i="1"/>
  <c r="J459" i="1"/>
  <c r="L460" i="1"/>
  <c r="BA235" i="1"/>
  <c r="A480" i="7"/>
  <c r="B479" i="7"/>
  <c r="S460" i="1"/>
  <c r="K460" i="1"/>
  <c r="AU460" i="1"/>
  <c r="M458" i="1"/>
  <c r="A460" i="1"/>
  <c r="AK459" i="1"/>
  <c r="AW459" i="1"/>
  <c r="AI459" i="1" s="1"/>
  <c r="AJ459" i="1" s="1"/>
  <c r="G458" i="1"/>
  <c r="H458" i="1" s="1"/>
  <c r="E459" i="1"/>
  <c r="F459" i="1" s="1"/>
  <c r="D459" i="1"/>
  <c r="AC459" i="1"/>
  <c r="B461" i="1"/>
  <c r="AA460" i="1"/>
  <c r="C460" i="1"/>
  <c r="BC459" i="1" l="1"/>
  <c r="BD459" i="1" s="1"/>
  <c r="AE459" i="1" s="1"/>
  <c r="BF461" i="1"/>
  <c r="Z462" i="1"/>
  <c r="V237" i="1"/>
  <c r="AT237" i="1"/>
  <c r="AS237" i="1" s="1"/>
  <c r="AQ237" i="1" s="1"/>
  <c r="AM237" i="1"/>
  <c r="I237" i="1"/>
  <c r="Q237" i="1" s="1"/>
  <c r="Y237" i="1"/>
  <c r="X237" i="1" s="1"/>
  <c r="AF237" i="1" s="1"/>
  <c r="N237" i="1"/>
  <c r="BB460" i="1"/>
  <c r="AP153" i="1"/>
  <c r="AX154" i="1" s="1"/>
  <c r="AN160" i="1"/>
  <c r="J460" i="1"/>
  <c r="L461" i="1"/>
  <c r="AH236" i="1"/>
  <c r="AG236" i="1"/>
  <c r="AY237" i="1"/>
  <c r="A481" i="7"/>
  <c r="B480" i="7"/>
  <c r="S461" i="1"/>
  <c r="K461" i="1"/>
  <c r="AU461" i="1"/>
  <c r="E460" i="1"/>
  <c r="F460" i="1" s="1"/>
  <c r="D460" i="1"/>
  <c r="AA461" i="1"/>
  <c r="B462" i="1"/>
  <c r="C461" i="1"/>
  <c r="G459" i="1"/>
  <c r="H459" i="1" s="1"/>
  <c r="A461" i="1"/>
  <c r="AK460" i="1"/>
  <c r="AW460" i="1"/>
  <c r="AI460" i="1" s="1"/>
  <c r="AJ460" i="1" s="1"/>
  <c r="M459" i="1"/>
  <c r="AC460" i="1"/>
  <c r="Z463" i="1" l="1"/>
  <c r="BC460" i="1"/>
  <c r="BD460" i="1" s="1"/>
  <c r="AE460" i="1" s="1"/>
  <c r="BF462" i="1"/>
  <c r="O237" i="1"/>
  <c r="P238" i="1" s="1"/>
  <c r="BE238" i="1" s="1"/>
  <c r="BB461" i="1"/>
  <c r="AO160" i="1"/>
  <c r="J461" i="1"/>
  <c r="L462" i="1"/>
  <c r="BA236" i="1"/>
  <c r="A482" i="7"/>
  <c r="B481" i="7"/>
  <c r="S462" i="1"/>
  <c r="K462" i="1"/>
  <c r="AU462" i="1"/>
  <c r="G460" i="1"/>
  <c r="H460" i="1" s="1"/>
  <c r="E461" i="1"/>
  <c r="F461" i="1" s="1"/>
  <c r="D461" i="1"/>
  <c r="B463" i="1"/>
  <c r="AA462" i="1"/>
  <c r="C462" i="1"/>
  <c r="AC461" i="1"/>
  <c r="M460" i="1"/>
  <c r="AW461" i="1"/>
  <c r="AI461" i="1" s="1"/>
  <c r="AJ461" i="1" s="1"/>
  <c r="A462" i="1"/>
  <c r="AK461" i="1"/>
  <c r="Z464" i="1" l="1"/>
  <c r="BC461" i="1"/>
  <c r="BD461" i="1" s="1"/>
  <c r="AE461" i="1" s="1"/>
  <c r="BF463" i="1"/>
  <c r="V238" i="1"/>
  <c r="AM238" i="1"/>
  <c r="Y238" i="1"/>
  <c r="X238" i="1" s="1"/>
  <c r="AF238" i="1" s="1"/>
  <c r="AT238" i="1"/>
  <c r="AS238" i="1" s="1"/>
  <c r="AQ238" i="1" s="1"/>
  <c r="I238" i="1"/>
  <c r="Q238" i="1" s="1"/>
  <c r="N238" i="1"/>
  <c r="BB462" i="1"/>
  <c r="AC462" i="1"/>
  <c r="AP160" i="1"/>
  <c r="AX161" i="1" s="1"/>
  <c r="U154" i="1"/>
  <c r="J462" i="1"/>
  <c r="L463" i="1"/>
  <c r="AH237" i="1"/>
  <c r="AG237" i="1"/>
  <c r="AY238" i="1"/>
  <c r="A483" i="7"/>
  <c r="B482" i="7"/>
  <c r="S463" i="1"/>
  <c r="Z465" i="1" s="1"/>
  <c r="K463" i="1"/>
  <c r="AU463" i="1"/>
  <c r="A463" i="1"/>
  <c r="AK462" i="1"/>
  <c r="AW462" i="1"/>
  <c r="AI462" i="1" s="1"/>
  <c r="AJ462" i="1" s="1"/>
  <c r="D462" i="1"/>
  <c r="E462" i="1"/>
  <c r="F462" i="1" s="1"/>
  <c r="AA463" i="1"/>
  <c r="C463" i="1"/>
  <c r="B464" i="1"/>
  <c r="M461" i="1"/>
  <c r="G461" i="1"/>
  <c r="H461" i="1" s="1"/>
  <c r="BC462" i="1" l="1"/>
  <c r="BD462" i="1" s="1"/>
  <c r="AE462" i="1" s="1"/>
  <c r="BF464" i="1"/>
  <c r="O238" i="1"/>
  <c r="P239" i="1" s="1"/>
  <c r="BE239" i="1" s="1"/>
  <c r="BB463" i="1"/>
  <c r="AL154" i="1"/>
  <c r="J463" i="1"/>
  <c r="L464" i="1"/>
  <c r="BA237" i="1"/>
  <c r="AG238" i="1"/>
  <c r="A484" i="7"/>
  <c r="B483" i="7"/>
  <c r="S464" i="1"/>
  <c r="Z466" i="1" s="1"/>
  <c r="K464" i="1"/>
  <c r="AU464" i="1"/>
  <c r="E463" i="1"/>
  <c r="F463" i="1" s="1"/>
  <c r="D463" i="1"/>
  <c r="M462" i="1"/>
  <c r="AK463" i="1"/>
  <c r="A464" i="1"/>
  <c r="AW463" i="1"/>
  <c r="AI463" i="1" s="1"/>
  <c r="AJ463" i="1" s="1"/>
  <c r="B465" i="1"/>
  <c r="C464" i="1"/>
  <c r="AA464" i="1"/>
  <c r="AC463" i="1"/>
  <c r="G462" i="1"/>
  <c r="H462" i="1" s="1"/>
  <c r="U169" i="1"/>
  <c r="BC463" i="1" l="1"/>
  <c r="BD463" i="1" s="1"/>
  <c r="AE463" i="1" s="1"/>
  <c r="BF465" i="1"/>
  <c r="V239" i="1"/>
  <c r="AT239" i="1"/>
  <c r="AS239" i="1" s="1"/>
  <c r="AQ239" i="1" s="1"/>
  <c r="I239" i="1"/>
  <c r="Q239" i="1" s="1"/>
  <c r="Y239" i="1"/>
  <c r="X239" i="1" s="1"/>
  <c r="AF239" i="1" s="1"/>
  <c r="AM239" i="1"/>
  <c r="N239" i="1"/>
  <c r="BB464" i="1"/>
  <c r="AN154" i="1"/>
  <c r="AL169" i="1"/>
  <c r="U161" i="1"/>
  <c r="J464" i="1"/>
  <c r="L465" i="1"/>
  <c r="AY239" i="1"/>
  <c r="AH238" i="1"/>
  <c r="A485" i="7"/>
  <c r="B484" i="7"/>
  <c r="S465" i="1"/>
  <c r="Z467" i="1" s="1"/>
  <c r="K465" i="1"/>
  <c r="AU465" i="1"/>
  <c r="G463" i="1"/>
  <c r="H463" i="1" s="1"/>
  <c r="AC464" i="1"/>
  <c r="E464" i="1"/>
  <c r="F464" i="1" s="1"/>
  <c r="D464" i="1"/>
  <c r="M463" i="1"/>
  <c r="C465" i="1"/>
  <c r="B466" i="1"/>
  <c r="AA465" i="1"/>
  <c r="AW464" i="1"/>
  <c r="AI464" i="1" s="1"/>
  <c r="AJ464" i="1" s="1"/>
  <c r="A465" i="1"/>
  <c r="AK464" i="1"/>
  <c r="BC464" i="1" l="1"/>
  <c r="BD464" i="1" s="1"/>
  <c r="AE464" i="1" s="1"/>
  <c r="BF466" i="1"/>
  <c r="O239" i="1"/>
  <c r="N240" i="1" s="1"/>
  <c r="BB465" i="1"/>
  <c r="AL161" i="1"/>
  <c r="AO154" i="1"/>
  <c r="AN169" i="1"/>
  <c r="J465" i="1"/>
  <c r="L466" i="1"/>
  <c r="BA238" i="1"/>
  <c r="AG239" i="1"/>
  <c r="A486" i="7"/>
  <c r="B485" i="7"/>
  <c r="S466" i="1"/>
  <c r="Z468" i="1" s="1"/>
  <c r="K466" i="1"/>
  <c r="AU466" i="1"/>
  <c r="M464" i="1"/>
  <c r="AC465" i="1"/>
  <c r="E465" i="1"/>
  <c r="F465" i="1" s="1"/>
  <c r="D465" i="1"/>
  <c r="G464" i="1"/>
  <c r="H464" i="1" s="1"/>
  <c r="AK465" i="1"/>
  <c r="AW465" i="1"/>
  <c r="AI465" i="1" s="1"/>
  <c r="AJ465" i="1" s="1"/>
  <c r="A466" i="1"/>
  <c r="B467" i="1"/>
  <c r="C466" i="1"/>
  <c r="AA466" i="1"/>
  <c r="BC465" i="1" l="1"/>
  <c r="BD465" i="1" s="1"/>
  <c r="AE465" i="1" s="1"/>
  <c r="BF467" i="1"/>
  <c r="P240" i="1"/>
  <c r="BE240" i="1" s="1"/>
  <c r="I240" i="1"/>
  <c r="Q240" i="1" s="1"/>
  <c r="AM240" i="1"/>
  <c r="AT240" i="1"/>
  <c r="AS240" i="1" s="1"/>
  <c r="BB466" i="1"/>
  <c r="AC466" i="1"/>
  <c r="AP154" i="1"/>
  <c r="AX155" i="1" s="1"/>
  <c r="AN161" i="1"/>
  <c r="AO169" i="1"/>
  <c r="J466" i="1"/>
  <c r="L467" i="1"/>
  <c r="AH239" i="1"/>
  <c r="A487" i="7"/>
  <c r="B486" i="7"/>
  <c r="S467" i="1"/>
  <c r="Z469" i="1" s="1"/>
  <c r="K467" i="1"/>
  <c r="AU467" i="1"/>
  <c r="C467" i="1"/>
  <c r="AA467" i="1"/>
  <c r="B468" i="1"/>
  <c r="M465" i="1"/>
  <c r="A467" i="1"/>
  <c r="AK466" i="1"/>
  <c r="AW466" i="1"/>
  <c r="AI466" i="1" s="1"/>
  <c r="AJ466" i="1" s="1"/>
  <c r="D466" i="1"/>
  <c r="E466" i="1"/>
  <c r="F466" i="1" s="1"/>
  <c r="G465" i="1"/>
  <c r="H465" i="1" s="1"/>
  <c r="BC466" i="1" l="1"/>
  <c r="BD466" i="1" s="1"/>
  <c r="AE466" i="1" s="1"/>
  <c r="BF468" i="1"/>
  <c r="V240" i="1"/>
  <c r="O240" i="1"/>
  <c r="AM241" i="1" s="1"/>
  <c r="AQ240" i="1"/>
  <c r="AY240" i="1"/>
  <c r="Y240" i="1"/>
  <c r="X240" i="1" s="1"/>
  <c r="AF240" i="1" s="1"/>
  <c r="AG240" i="1" s="1"/>
  <c r="BB467" i="1"/>
  <c r="AP169" i="1"/>
  <c r="AX170" i="1" s="1"/>
  <c r="AO161" i="1"/>
  <c r="J467" i="1"/>
  <c r="L468" i="1"/>
  <c r="BA239" i="1"/>
  <c r="A488" i="7"/>
  <c r="B487" i="7"/>
  <c r="S468" i="1"/>
  <c r="Z470" i="1" s="1"/>
  <c r="K468" i="1"/>
  <c r="AU468" i="1"/>
  <c r="AC467" i="1"/>
  <c r="G466" i="1"/>
  <c r="H466" i="1" s="1"/>
  <c r="C468" i="1"/>
  <c r="AA468" i="1"/>
  <c r="B469" i="1"/>
  <c r="AW467" i="1"/>
  <c r="AI467" i="1" s="1"/>
  <c r="AJ467" i="1" s="1"/>
  <c r="A468" i="1"/>
  <c r="AK467" i="1"/>
  <c r="E467" i="1"/>
  <c r="F467" i="1" s="1"/>
  <c r="D467" i="1"/>
  <c r="M466" i="1"/>
  <c r="BC467" i="1" l="1"/>
  <c r="BD467" i="1" s="1"/>
  <c r="AE467" i="1" s="1"/>
  <c r="AT241" i="1"/>
  <c r="AS241" i="1" s="1"/>
  <c r="BF469" i="1"/>
  <c r="N241" i="1"/>
  <c r="I241" i="1"/>
  <c r="Q241" i="1" s="1"/>
  <c r="P241" i="1"/>
  <c r="BE241" i="1" s="1"/>
  <c r="AH240" i="1"/>
  <c r="BB468" i="1"/>
  <c r="U155" i="1"/>
  <c r="AP161" i="1"/>
  <c r="AX162" i="1" s="1"/>
  <c r="J468" i="1"/>
  <c r="L469" i="1"/>
  <c r="BA240" i="1"/>
  <c r="A489" i="7"/>
  <c r="B488" i="7"/>
  <c r="S469" i="1"/>
  <c r="Z471" i="1" s="1"/>
  <c r="K469" i="1"/>
  <c r="AU469" i="1"/>
  <c r="M467" i="1"/>
  <c r="AC468" i="1"/>
  <c r="AP468" i="1"/>
  <c r="AK468" i="1"/>
  <c r="AW468" i="1"/>
  <c r="AI468" i="1" s="1"/>
  <c r="AJ468" i="1" s="1"/>
  <c r="A469" i="1"/>
  <c r="G467" i="1"/>
  <c r="H467" i="1" s="1"/>
  <c r="C469" i="1"/>
  <c r="AA469" i="1"/>
  <c r="B470" i="1"/>
  <c r="D468" i="1"/>
  <c r="E468" i="1"/>
  <c r="F468" i="1" s="1"/>
  <c r="BC468" i="1" l="1"/>
  <c r="BD468" i="1" s="1"/>
  <c r="AE468" i="1" s="1"/>
  <c r="BF470" i="1"/>
  <c r="V241" i="1"/>
  <c r="O241" i="1"/>
  <c r="N242" i="1" s="1"/>
  <c r="AY241" i="1"/>
  <c r="AQ241" i="1"/>
  <c r="Y241" i="1"/>
  <c r="X241" i="1" s="1"/>
  <c r="AF241" i="1" s="1"/>
  <c r="BB469" i="1"/>
  <c r="AL155" i="1"/>
  <c r="U170" i="1"/>
  <c r="J469" i="1"/>
  <c r="L470" i="1"/>
  <c r="A490" i="7"/>
  <c r="B489" i="7"/>
  <c r="S470" i="1"/>
  <c r="Z472" i="1" s="1"/>
  <c r="K470" i="1"/>
  <c r="AU470" i="1"/>
  <c r="M468" i="1"/>
  <c r="AC469" i="1"/>
  <c r="A470" i="1"/>
  <c r="AW469" i="1"/>
  <c r="AI469" i="1" s="1"/>
  <c r="AJ469" i="1" s="1"/>
  <c r="AK469" i="1"/>
  <c r="AA470" i="1"/>
  <c r="C470" i="1"/>
  <c r="B471" i="1"/>
  <c r="D469" i="1"/>
  <c r="E469" i="1"/>
  <c r="F469" i="1" s="1"/>
  <c r="G468" i="1"/>
  <c r="H468" i="1" s="1"/>
  <c r="BC469" i="1" l="1"/>
  <c r="BD469" i="1" s="1"/>
  <c r="AE469" i="1" s="1"/>
  <c r="BF471" i="1"/>
  <c r="AX241" i="1"/>
  <c r="P242" i="1"/>
  <c r="BE242" i="1" s="1"/>
  <c r="I242" i="1"/>
  <c r="Q242" i="1" s="1"/>
  <c r="AT242" i="1"/>
  <c r="AS242" i="1" s="1"/>
  <c r="AM242" i="1"/>
  <c r="BB470" i="1"/>
  <c r="U162" i="1"/>
  <c r="AN155" i="1"/>
  <c r="AL170" i="1"/>
  <c r="AG241" i="1"/>
  <c r="AH241" i="1"/>
  <c r="J470" i="1"/>
  <c r="L471" i="1"/>
  <c r="A491" i="7"/>
  <c r="B490" i="7"/>
  <c r="S471" i="1"/>
  <c r="Z473" i="1" s="1"/>
  <c r="K471" i="1"/>
  <c r="AU471" i="1"/>
  <c r="B472" i="1"/>
  <c r="C471" i="1"/>
  <c r="AA471" i="1"/>
  <c r="M469" i="1"/>
  <c r="AC470" i="1"/>
  <c r="E470" i="1"/>
  <c r="F470" i="1" s="1"/>
  <c r="D470" i="1"/>
  <c r="AW470" i="1"/>
  <c r="AI470" i="1" s="1"/>
  <c r="AJ470" i="1" s="1"/>
  <c r="AK470" i="1"/>
  <c r="A471" i="1"/>
  <c r="G469" i="1"/>
  <c r="H469" i="1" s="1"/>
  <c r="BC470" i="1" l="1"/>
  <c r="BD470" i="1" s="1"/>
  <c r="AE470" i="1" s="1"/>
  <c r="BF472" i="1"/>
  <c r="Y242" i="1"/>
  <c r="X242" i="1" s="1"/>
  <c r="AF242" i="1" s="1"/>
  <c r="V242" i="1"/>
  <c r="AQ242" i="1"/>
  <c r="AY242" i="1"/>
  <c r="O242" i="1"/>
  <c r="P243" i="1" s="1"/>
  <c r="BE243" i="1" s="1"/>
  <c r="BB471" i="1"/>
  <c r="AN170" i="1"/>
  <c r="AO155" i="1"/>
  <c r="AL162" i="1"/>
  <c r="BA241" i="1"/>
  <c r="J471" i="1"/>
  <c r="L472" i="1"/>
  <c r="A492" i="7"/>
  <c r="B491" i="7"/>
  <c r="S472" i="1"/>
  <c r="Z474" i="1" s="1"/>
  <c r="K472" i="1"/>
  <c r="AU472" i="1"/>
  <c r="AW471" i="1"/>
  <c r="AI471" i="1" s="1"/>
  <c r="AJ471" i="1" s="1"/>
  <c r="AK471" i="1"/>
  <c r="A472" i="1"/>
  <c r="AA472" i="1"/>
  <c r="C472" i="1"/>
  <c r="B473" i="1"/>
  <c r="E471" i="1"/>
  <c r="F471" i="1" s="1"/>
  <c r="D471" i="1"/>
  <c r="G470" i="1"/>
  <c r="H470" i="1" s="1"/>
  <c r="AC471" i="1"/>
  <c r="M470" i="1"/>
  <c r="BC471" i="1" l="1"/>
  <c r="BD471" i="1" s="1"/>
  <c r="AE471" i="1" s="1"/>
  <c r="BF473" i="1"/>
  <c r="Y243" i="1"/>
  <c r="X243" i="1" s="1"/>
  <c r="AF243" i="1" s="1"/>
  <c r="AY243" i="1"/>
  <c r="N243" i="1"/>
  <c r="I243" i="1"/>
  <c r="Q243" i="1" s="1"/>
  <c r="AM243" i="1"/>
  <c r="V243" i="1"/>
  <c r="AT243" i="1"/>
  <c r="AS243" i="1" s="1"/>
  <c r="AQ243" i="1" s="1"/>
  <c r="AG242" i="1"/>
  <c r="AH242" i="1"/>
  <c r="BB472" i="1"/>
  <c r="AC472" i="1"/>
  <c r="AN162" i="1"/>
  <c r="AO170" i="1"/>
  <c r="AP155" i="1"/>
  <c r="AX156" i="1" s="1"/>
  <c r="J472" i="1"/>
  <c r="L473" i="1"/>
  <c r="A493" i="7"/>
  <c r="B492" i="7"/>
  <c r="S473" i="1"/>
  <c r="Z475" i="1" s="1"/>
  <c r="K473" i="1"/>
  <c r="AU473" i="1"/>
  <c r="G471" i="1"/>
  <c r="H471" i="1" s="1"/>
  <c r="D472" i="1"/>
  <c r="E472" i="1"/>
  <c r="F472" i="1" s="1"/>
  <c r="M471" i="1"/>
  <c r="AW472" i="1"/>
  <c r="AI472" i="1" s="1"/>
  <c r="AJ472" i="1" s="1"/>
  <c r="AK472" i="1"/>
  <c r="A473" i="1"/>
  <c r="AA473" i="1"/>
  <c r="B474" i="1"/>
  <c r="C473" i="1"/>
  <c r="BC472" i="1" l="1"/>
  <c r="BD472" i="1" s="1"/>
  <c r="AE472" i="1" s="1"/>
  <c r="BF474" i="1"/>
  <c r="O243" i="1"/>
  <c r="P244" i="1" s="1"/>
  <c r="BE244" i="1" s="1"/>
  <c r="BA242" i="1"/>
  <c r="BB473" i="1"/>
  <c r="AG243" i="1"/>
  <c r="AO162" i="1"/>
  <c r="AP170" i="1"/>
  <c r="AX171" i="1" s="1"/>
  <c r="J473" i="1"/>
  <c r="L474" i="1"/>
  <c r="A494" i="7"/>
  <c r="B493" i="7"/>
  <c r="S474" i="1"/>
  <c r="Z476" i="1" s="1"/>
  <c r="K474" i="1"/>
  <c r="AU474" i="1"/>
  <c r="G472" i="1"/>
  <c r="H472" i="1" s="1"/>
  <c r="D473" i="1"/>
  <c r="E473" i="1"/>
  <c r="F473" i="1" s="1"/>
  <c r="AC473" i="1"/>
  <c r="M472" i="1"/>
  <c r="AK473" i="1"/>
  <c r="A474" i="1"/>
  <c r="AW473" i="1"/>
  <c r="AI473" i="1" s="1"/>
  <c r="AJ473" i="1" s="1"/>
  <c r="B475" i="1"/>
  <c r="AA474" i="1"/>
  <c r="C474" i="1"/>
  <c r="BC473" i="1" l="1"/>
  <c r="BD473" i="1" s="1"/>
  <c r="AE473" i="1" s="1"/>
  <c r="BF475" i="1"/>
  <c r="Y244" i="1"/>
  <c r="X244" i="1" s="1"/>
  <c r="AF244" i="1" s="1"/>
  <c r="V244" i="1"/>
  <c r="AH243" i="1"/>
  <c r="AM244" i="1"/>
  <c r="I244" i="1"/>
  <c r="Q244" i="1" s="1"/>
  <c r="N244" i="1"/>
  <c r="AT244" i="1"/>
  <c r="AS244" i="1" s="1"/>
  <c r="AQ244" i="1" s="1"/>
  <c r="AY244" i="1"/>
  <c r="BB474" i="1"/>
  <c r="BA243" i="1"/>
  <c r="AP162" i="1"/>
  <c r="AX163" i="1" s="1"/>
  <c r="U156" i="1"/>
  <c r="J474" i="1"/>
  <c r="L475" i="1"/>
  <c r="A495" i="7"/>
  <c r="B494" i="7"/>
  <c r="S475" i="1"/>
  <c r="Z477" i="1" s="1"/>
  <c r="K475" i="1"/>
  <c r="AU475" i="1"/>
  <c r="E474" i="1"/>
  <c r="F474" i="1" s="1"/>
  <c r="D474" i="1"/>
  <c r="AA475" i="1"/>
  <c r="C475" i="1"/>
  <c r="B476" i="1"/>
  <c r="AK474" i="1"/>
  <c r="A475" i="1"/>
  <c r="AW474" i="1"/>
  <c r="AI474" i="1" s="1"/>
  <c r="AJ474" i="1" s="1"/>
  <c r="G473" i="1"/>
  <c r="H473" i="1" s="1"/>
  <c r="M473" i="1"/>
  <c r="AC474" i="1"/>
  <c r="BC474" i="1" l="1"/>
  <c r="BD474" i="1" s="1"/>
  <c r="AE474" i="1" s="1"/>
  <c r="BF476" i="1"/>
  <c r="AG244" i="1"/>
  <c r="O244" i="1"/>
  <c r="AH244" i="1" s="1"/>
  <c r="BB475" i="1"/>
  <c r="AL156" i="1"/>
  <c r="U171" i="1"/>
  <c r="J475" i="1"/>
  <c r="L476" i="1"/>
  <c r="A496" i="7"/>
  <c r="B495" i="7"/>
  <c r="S476" i="1"/>
  <c r="Z478" i="1" s="1"/>
  <c r="K476" i="1"/>
  <c r="AU476" i="1"/>
  <c r="AW475" i="1"/>
  <c r="AI475" i="1" s="1"/>
  <c r="AJ475" i="1" s="1"/>
  <c r="A476" i="1"/>
  <c r="AK475" i="1"/>
  <c r="AC475" i="1"/>
  <c r="G474" i="1"/>
  <c r="H474" i="1" s="1"/>
  <c r="B477" i="1"/>
  <c r="AA476" i="1"/>
  <c r="C476" i="1"/>
  <c r="M474" i="1"/>
  <c r="D475" i="1"/>
  <c r="E475" i="1"/>
  <c r="F475" i="1" s="1"/>
  <c r="BC475" i="1" l="1"/>
  <c r="BD475" i="1" s="1"/>
  <c r="AE475" i="1" s="1"/>
  <c r="BF477" i="1"/>
  <c r="BA244" i="1"/>
  <c r="AT245" i="1"/>
  <c r="AS245" i="1" s="1"/>
  <c r="AM245" i="1"/>
  <c r="P245" i="1"/>
  <c r="BE245" i="1" s="1"/>
  <c r="I245" i="1"/>
  <c r="Q245" i="1" s="1"/>
  <c r="N245" i="1"/>
  <c r="BB476" i="1"/>
  <c r="AL171" i="1"/>
  <c r="U163" i="1"/>
  <c r="AN156" i="1"/>
  <c r="J476" i="1"/>
  <c r="L477" i="1"/>
  <c r="A497" i="7"/>
  <c r="B496" i="7"/>
  <c r="S477" i="1"/>
  <c r="Z479" i="1" s="1"/>
  <c r="K477" i="1"/>
  <c r="AU477" i="1"/>
  <c r="G475" i="1"/>
  <c r="H475" i="1" s="1"/>
  <c r="AK476" i="1"/>
  <c r="A477" i="1"/>
  <c r="AW476" i="1"/>
  <c r="AI476" i="1" s="1"/>
  <c r="AJ476" i="1" s="1"/>
  <c r="AC476" i="1"/>
  <c r="M475" i="1"/>
  <c r="D476" i="1"/>
  <c r="E476" i="1"/>
  <c r="F476" i="1" s="1"/>
  <c r="B478" i="1"/>
  <c r="AA477" i="1"/>
  <c r="C477" i="1"/>
  <c r="BC476" i="1" l="1"/>
  <c r="BD476" i="1" s="1"/>
  <c r="AE476" i="1" s="1"/>
  <c r="BF478" i="1"/>
  <c r="Y245" i="1"/>
  <c r="X245" i="1" s="1"/>
  <c r="AF245" i="1" s="1"/>
  <c r="AG245" i="1" s="1"/>
  <c r="O245" i="1"/>
  <c r="I246" i="1" s="1"/>
  <c r="Q246" i="1" s="1"/>
  <c r="AQ245" i="1"/>
  <c r="AY245" i="1"/>
  <c r="V245" i="1"/>
  <c r="BB477" i="1"/>
  <c r="AO156" i="1"/>
  <c r="AN171" i="1"/>
  <c r="AL163" i="1"/>
  <c r="J477" i="1"/>
  <c r="L478" i="1"/>
  <c r="A498" i="7"/>
  <c r="B497" i="7"/>
  <c r="S478" i="1"/>
  <c r="Z480" i="1" s="1"/>
  <c r="K478" i="1"/>
  <c r="AU478" i="1"/>
  <c r="D477" i="1"/>
  <c r="E477" i="1"/>
  <c r="F477" i="1" s="1"/>
  <c r="AW477" i="1"/>
  <c r="AI477" i="1" s="1"/>
  <c r="AJ477" i="1" s="1"/>
  <c r="AK477" i="1"/>
  <c r="A478" i="1"/>
  <c r="M476" i="1"/>
  <c r="AC477" i="1"/>
  <c r="AA478" i="1"/>
  <c r="B479" i="1"/>
  <c r="C478" i="1"/>
  <c r="G476" i="1"/>
  <c r="H476" i="1" s="1"/>
  <c r="BC477" i="1" l="1"/>
  <c r="BD477" i="1" s="1"/>
  <c r="AE477" i="1" s="1"/>
  <c r="BF479" i="1"/>
  <c r="P246" i="1"/>
  <c r="AT246" i="1"/>
  <c r="AS246" i="1" s="1"/>
  <c r="N246" i="1"/>
  <c r="O246" i="1" s="1"/>
  <c r="AM246" i="1"/>
  <c r="BB478" i="1"/>
  <c r="BA245" i="1"/>
  <c r="AH245" i="1"/>
  <c r="AN163" i="1"/>
  <c r="AO171" i="1"/>
  <c r="J478" i="1"/>
  <c r="L479" i="1"/>
  <c r="A499" i="7"/>
  <c r="B498" i="7"/>
  <c r="S479" i="1"/>
  <c r="Z481" i="1" s="1"/>
  <c r="K479" i="1"/>
  <c r="AU479" i="1"/>
  <c r="M477" i="1"/>
  <c r="AA479" i="1"/>
  <c r="B480" i="1"/>
  <c r="C479" i="1"/>
  <c r="A479" i="1"/>
  <c r="AK478" i="1"/>
  <c r="AW478" i="1"/>
  <c r="AI478" i="1" s="1"/>
  <c r="AJ478" i="1" s="1"/>
  <c r="E478" i="1"/>
  <c r="F478" i="1" s="1"/>
  <c r="D478" i="1"/>
  <c r="AC478" i="1"/>
  <c r="G477" i="1"/>
  <c r="H477" i="1" s="1"/>
  <c r="BC478" i="1" l="1"/>
  <c r="BD478" i="1" s="1"/>
  <c r="AE478" i="1" s="1"/>
  <c r="AY246" i="1"/>
  <c r="BE246" i="1"/>
  <c r="BF480" i="1"/>
  <c r="Y246" i="1"/>
  <c r="X246" i="1" s="1"/>
  <c r="AF246" i="1" s="1"/>
  <c r="V246" i="1"/>
  <c r="AQ246" i="1"/>
  <c r="BB479" i="1"/>
  <c r="P247" i="1"/>
  <c r="BE247" i="1" s="1"/>
  <c r="N247" i="1"/>
  <c r="I247" i="1"/>
  <c r="Q247" i="1" s="1"/>
  <c r="AT247" i="1"/>
  <c r="AS247" i="1" s="1"/>
  <c r="AM247" i="1"/>
  <c r="AO163" i="1"/>
  <c r="AP171" i="1"/>
  <c r="AX172" i="1" s="1"/>
  <c r="J479" i="1"/>
  <c r="L480" i="1"/>
  <c r="A500" i="7"/>
  <c r="B499" i="7"/>
  <c r="S480" i="1"/>
  <c r="Z482" i="1" s="1"/>
  <c r="K480" i="1"/>
  <c r="AU480" i="1"/>
  <c r="D479" i="1"/>
  <c r="E479" i="1"/>
  <c r="F479" i="1" s="1"/>
  <c r="B481" i="1"/>
  <c r="AA480" i="1"/>
  <c r="C480" i="1"/>
  <c r="AC479" i="1"/>
  <c r="G478" i="1"/>
  <c r="H478" i="1" s="1"/>
  <c r="M478" i="1"/>
  <c r="AW479" i="1"/>
  <c r="AI479" i="1" s="1"/>
  <c r="AJ479" i="1" s="1"/>
  <c r="A480" i="1"/>
  <c r="AK479" i="1"/>
  <c r="BC479" i="1" l="1"/>
  <c r="BD479" i="1" s="1"/>
  <c r="AE479" i="1" s="1"/>
  <c r="BF481" i="1"/>
  <c r="Y247" i="1"/>
  <c r="X247" i="1" s="1"/>
  <c r="BB480" i="1"/>
  <c r="AG246" i="1"/>
  <c r="AC480" i="1"/>
  <c r="AH246" i="1"/>
  <c r="O247" i="1"/>
  <c r="N248" i="1" s="1"/>
  <c r="V247" i="1"/>
  <c r="AQ247" i="1"/>
  <c r="AY247" i="1"/>
  <c r="AP163" i="1"/>
  <c r="AX164" i="1" s="1"/>
  <c r="J480" i="1"/>
  <c r="L481" i="1"/>
  <c r="A501" i="7"/>
  <c r="B500" i="7"/>
  <c r="S481" i="1"/>
  <c r="Z483" i="1" s="1"/>
  <c r="K481" i="1"/>
  <c r="AU481" i="1"/>
  <c r="AW480" i="1"/>
  <c r="AI480" i="1" s="1"/>
  <c r="AJ480" i="1" s="1"/>
  <c r="AP480" i="1"/>
  <c r="A481" i="1"/>
  <c r="AK480" i="1"/>
  <c r="M479" i="1"/>
  <c r="AA481" i="1"/>
  <c r="B482" i="1"/>
  <c r="C481" i="1"/>
  <c r="G479" i="1"/>
  <c r="H479" i="1" s="1"/>
  <c r="D480" i="1"/>
  <c r="E480" i="1"/>
  <c r="F480" i="1" s="1"/>
  <c r="BC480" i="1" l="1"/>
  <c r="BD480" i="1" s="1"/>
  <c r="AE480" i="1" s="1"/>
  <c r="BF482" i="1"/>
  <c r="BA246" i="1"/>
  <c r="AC481" i="1"/>
  <c r="BB481" i="1"/>
  <c r="AF247" i="1"/>
  <c r="AG247" i="1" s="1"/>
  <c r="AT248" i="1"/>
  <c r="AS248" i="1" s="1"/>
  <c r="AM248" i="1"/>
  <c r="I248" i="1"/>
  <c r="Q248" i="1" s="1"/>
  <c r="P248" i="1"/>
  <c r="BE248" i="1" s="1"/>
  <c r="U172" i="1"/>
  <c r="J481" i="1"/>
  <c r="L482" i="1"/>
  <c r="A502" i="7"/>
  <c r="B501" i="7"/>
  <c r="S482" i="1"/>
  <c r="Z484" i="1" s="1"/>
  <c r="K482" i="1"/>
  <c r="AU482" i="1"/>
  <c r="G480" i="1"/>
  <c r="H480" i="1" s="1"/>
  <c r="D481" i="1"/>
  <c r="E481" i="1"/>
  <c r="F481" i="1" s="1"/>
  <c r="M480" i="1"/>
  <c r="AK481" i="1"/>
  <c r="A482" i="1"/>
  <c r="AW481" i="1"/>
  <c r="AI481" i="1" s="1"/>
  <c r="AJ481" i="1" s="1"/>
  <c r="B483" i="1"/>
  <c r="C482" i="1"/>
  <c r="AA482" i="1"/>
  <c r="BC481" i="1" l="1"/>
  <c r="BD481" i="1" s="1"/>
  <c r="AE481" i="1" s="1"/>
  <c r="BF483" i="1"/>
  <c r="AH247" i="1"/>
  <c r="BB482" i="1"/>
  <c r="BA247" i="1"/>
  <c r="Y248" i="1"/>
  <c r="X248" i="1" s="1"/>
  <c r="AF248" i="1" s="1"/>
  <c r="AQ248" i="1"/>
  <c r="AY248" i="1"/>
  <c r="V248" i="1"/>
  <c r="O248" i="1"/>
  <c r="I249" i="1" s="1"/>
  <c r="Q249" i="1" s="1"/>
  <c r="AL172" i="1"/>
  <c r="U164" i="1"/>
  <c r="J482" i="1"/>
  <c r="L483" i="1"/>
  <c r="A503" i="7"/>
  <c r="B502" i="7"/>
  <c r="S483" i="1"/>
  <c r="Z485" i="1" s="1"/>
  <c r="K483" i="1"/>
  <c r="AU483" i="1"/>
  <c r="AC482" i="1"/>
  <c r="AK482" i="1"/>
  <c r="AW482" i="1"/>
  <c r="AI482" i="1" s="1"/>
  <c r="AJ482" i="1" s="1"/>
  <c r="A483" i="1"/>
  <c r="G481" i="1"/>
  <c r="H481" i="1" s="1"/>
  <c r="E482" i="1"/>
  <c r="F482" i="1" s="1"/>
  <c r="D482" i="1"/>
  <c r="M481" i="1"/>
  <c r="AA483" i="1"/>
  <c r="B484" i="1"/>
  <c r="C483" i="1"/>
  <c r="BC482" i="1" l="1"/>
  <c r="BD482" i="1" s="1"/>
  <c r="AE482" i="1" s="1"/>
  <c r="BF484" i="1"/>
  <c r="BB483" i="1"/>
  <c r="AG248" i="1"/>
  <c r="AT249" i="1"/>
  <c r="AS249" i="1" s="1"/>
  <c r="AH248" i="1"/>
  <c r="P249" i="1"/>
  <c r="BE249" i="1" s="1"/>
  <c r="N249" i="1"/>
  <c r="O249" i="1" s="1"/>
  <c r="AM249" i="1"/>
  <c r="AL164" i="1"/>
  <c r="AN172" i="1"/>
  <c r="J483" i="1"/>
  <c r="L484" i="1"/>
  <c r="A504" i="7"/>
  <c r="B503" i="7"/>
  <c r="S484" i="1"/>
  <c r="Z486" i="1" s="1"/>
  <c r="K484" i="1"/>
  <c r="AU484" i="1"/>
  <c r="M482" i="1"/>
  <c r="D483" i="1"/>
  <c r="E483" i="1"/>
  <c r="F483" i="1" s="1"/>
  <c r="AC483" i="1"/>
  <c r="G482" i="1"/>
  <c r="H482" i="1" s="1"/>
  <c r="C484" i="1"/>
  <c r="B485" i="1"/>
  <c r="AA484" i="1"/>
  <c r="A484" i="1"/>
  <c r="AW483" i="1"/>
  <c r="AI483" i="1" s="1"/>
  <c r="AJ483" i="1" s="1"/>
  <c r="AK483" i="1"/>
  <c r="BC483" i="1" l="1"/>
  <c r="BD483" i="1" s="1"/>
  <c r="AE483" i="1" s="1"/>
  <c r="BF485" i="1"/>
  <c r="Y249" i="1"/>
  <c r="X249" i="1" s="1"/>
  <c r="BB484" i="1"/>
  <c r="BA248" i="1"/>
  <c r="P250" i="1"/>
  <c r="BE250" i="1" s="1"/>
  <c r="AM250" i="1"/>
  <c r="N250" i="1"/>
  <c r="AT250" i="1"/>
  <c r="AS250" i="1" s="1"/>
  <c r="I250" i="1"/>
  <c r="Q250" i="1" s="1"/>
  <c r="V249" i="1"/>
  <c r="AY249" i="1"/>
  <c r="AQ249" i="1"/>
  <c r="AO172" i="1"/>
  <c r="AN164" i="1"/>
  <c r="J484" i="1"/>
  <c r="L485" i="1"/>
  <c r="A505" i="7"/>
  <c r="B504" i="7"/>
  <c r="S485" i="1"/>
  <c r="Z487" i="1" s="1"/>
  <c r="K485" i="1"/>
  <c r="AU485" i="1"/>
  <c r="M483" i="1"/>
  <c r="E484" i="1"/>
  <c r="F484" i="1" s="1"/>
  <c r="D484" i="1"/>
  <c r="G483" i="1"/>
  <c r="H483" i="1" s="1"/>
  <c r="C485" i="1"/>
  <c r="B486" i="1"/>
  <c r="AA485" i="1"/>
  <c r="AC484" i="1"/>
  <c r="AW484" i="1"/>
  <c r="AI484" i="1" s="1"/>
  <c r="AJ484" i="1" s="1"/>
  <c r="AK484" i="1"/>
  <c r="A485" i="1"/>
  <c r="BC484" i="1" l="1"/>
  <c r="BD484" i="1" s="1"/>
  <c r="AE484" i="1" s="1"/>
  <c r="BF486" i="1"/>
  <c r="BB485" i="1"/>
  <c r="AF249" i="1"/>
  <c r="AH249" i="1" s="1"/>
  <c r="AY250" i="1"/>
  <c r="Y250" i="1"/>
  <c r="X250" i="1" s="1"/>
  <c r="AF250" i="1" s="1"/>
  <c r="O250" i="1"/>
  <c r="I251" i="1" s="1"/>
  <c r="Q251" i="1" s="1"/>
  <c r="AQ250" i="1"/>
  <c r="V250" i="1"/>
  <c r="AO164" i="1"/>
  <c r="AP172" i="1"/>
  <c r="AX173" i="1" s="1"/>
  <c r="J485" i="1"/>
  <c r="L486" i="1"/>
  <c r="A506" i="7"/>
  <c r="B505" i="7"/>
  <c r="S486" i="1"/>
  <c r="Z488" i="1" s="1"/>
  <c r="K486" i="1"/>
  <c r="AU486" i="1"/>
  <c r="AW485" i="1"/>
  <c r="AI485" i="1" s="1"/>
  <c r="AJ485" i="1" s="1"/>
  <c r="AK485" i="1"/>
  <c r="A486" i="1"/>
  <c r="AC485" i="1"/>
  <c r="D485" i="1"/>
  <c r="E485" i="1"/>
  <c r="F485" i="1" s="1"/>
  <c r="B487" i="1"/>
  <c r="AA486" i="1"/>
  <c r="C486" i="1"/>
  <c r="G484" i="1"/>
  <c r="H484" i="1" s="1"/>
  <c r="M484" i="1"/>
  <c r="BC485" i="1" l="1"/>
  <c r="BD485" i="1" s="1"/>
  <c r="AE485" i="1" s="1"/>
  <c r="BF487" i="1"/>
  <c r="BB486" i="1"/>
  <c r="AG249" i="1"/>
  <c r="AM251" i="1"/>
  <c r="AT251" i="1"/>
  <c r="AS251" i="1" s="1"/>
  <c r="N251" i="1"/>
  <c r="O251" i="1" s="1"/>
  <c r="P252" i="1" s="1"/>
  <c r="BE252" i="1" s="1"/>
  <c r="P251" i="1"/>
  <c r="BE251" i="1" s="1"/>
  <c r="AP164" i="1"/>
  <c r="AX165" i="1" s="1"/>
  <c r="J486" i="1"/>
  <c r="L487" i="1"/>
  <c r="AH250" i="1"/>
  <c r="AG250" i="1"/>
  <c r="A507" i="7"/>
  <c r="B506" i="7"/>
  <c r="S487" i="1"/>
  <c r="Z489" i="1" s="1"/>
  <c r="K487" i="1"/>
  <c r="AU487" i="1"/>
  <c r="AC486" i="1"/>
  <c r="M485" i="1"/>
  <c r="AW486" i="1"/>
  <c r="AI486" i="1" s="1"/>
  <c r="AJ486" i="1" s="1"/>
  <c r="AK486" i="1"/>
  <c r="A487" i="1"/>
  <c r="C487" i="1"/>
  <c r="AA487" i="1"/>
  <c r="B488" i="1"/>
  <c r="D486" i="1"/>
  <c r="E486" i="1"/>
  <c r="F486" i="1" s="1"/>
  <c r="G485" i="1"/>
  <c r="H485" i="1" s="1"/>
  <c r="BC486" i="1" l="1"/>
  <c r="BD486" i="1" s="1"/>
  <c r="AE486" i="1" s="1"/>
  <c r="BF488" i="1"/>
  <c r="BA249" i="1"/>
  <c r="BB487" i="1"/>
  <c r="V251" i="1"/>
  <c r="Y251" i="1"/>
  <c r="X251" i="1" s="1"/>
  <c r="V252" i="1"/>
  <c r="Y252" i="1"/>
  <c r="AY251" i="1"/>
  <c r="AQ251" i="1"/>
  <c r="U173" i="1"/>
  <c r="J487" i="1"/>
  <c r="L488" i="1"/>
  <c r="AT252" i="1"/>
  <c r="AS252" i="1" s="1"/>
  <c r="BA250" i="1"/>
  <c r="N252" i="1"/>
  <c r="I252" i="1"/>
  <c r="Q252" i="1" s="1"/>
  <c r="AM252" i="1"/>
  <c r="A508" i="7"/>
  <c r="B507" i="7"/>
  <c r="S488" i="1"/>
  <c r="Z490" i="1" s="1"/>
  <c r="K488" i="1"/>
  <c r="AU488" i="1"/>
  <c r="G486" i="1"/>
  <c r="H486" i="1" s="1"/>
  <c r="C488" i="1"/>
  <c r="B489" i="1"/>
  <c r="AA488" i="1"/>
  <c r="E487" i="1"/>
  <c r="F487" i="1" s="1"/>
  <c r="D487" i="1"/>
  <c r="AC487" i="1"/>
  <c r="A488" i="1"/>
  <c r="AW487" i="1"/>
  <c r="AI487" i="1" s="1"/>
  <c r="AJ487" i="1" s="1"/>
  <c r="AK487" i="1"/>
  <c r="M486" i="1"/>
  <c r="U181" i="1"/>
  <c r="BC487" i="1" l="1"/>
  <c r="BD487" i="1" s="1"/>
  <c r="AE487" i="1" s="1"/>
  <c r="BF489" i="1"/>
  <c r="BB488" i="1"/>
  <c r="AF251" i="1"/>
  <c r="AL173" i="1"/>
  <c r="AL181" i="1"/>
  <c r="U165" i="1"/>
  <c r="AQ252" i="1"/>
  <c r="X252" i="1"/>
  <c r="AF252" i="1" s="1"/>
  <c r="J488" i="1"/>
  <c r="L489" i="1"/>
  <c r="AY252" i="1"/>
  <c r="O252" i="1"/>
  <c r="P253" i="1" s="1"/>
  <c r="BE253" i="1" s="1"/>
  <c r="A509" i="7"/>
  <c r="B508" i="7"/>
  <c r="S489" i="1"/>
  <c r="Z491" i="1" s="1"/>
  <c r="K489" i="1"/>
  <c r="AU489" i="1"/>
  <c r="M487" i="1"/>
  <c r="G487" i="1"/>
  <c r="H487" i="1" s="1"/>
  <c r="E488" i="1"/>
  <c r="F488" i="1" s="1"/>
  <c r="D488" i="1"/>
  <c r="A489" i="1"/>
  <c r="AW488" i="1"/>
  <c r="AI488" i="1" s="1"/>
  <c r="AJ488" i="1" s="1"/>
  <c r="AK488" i="1"/>
  <c r="AC488" i="1"/>
  <c r="AA489" i="1"/>
  <c r="C489" i="1"/>
  <c r="B490" i="1"/>
  <c r="BC488" i="1" l="1"/>
  <c r="BD488" i="1" s="1"/>
  <c r="AE488" i="1" s="1"/>
  <c r="BF490" i="1"/>
  <c r="BB489" i="1"/>
  <c r="AG251" i="1"/>
  <c r="BA251" i="1" s="1"/>
  <c r="AH251" i="1"/>
  <c r="V253" i="1"/>
  <c r="Y253" i="1"/>
  <c r="X253" i="1" s="1"/>
  <c r="AF253" i="1" s="1"/>
  <c r="AL165" i="1"/>
  <c r="AN173" i="1"/>
  <c r="AN181" i="1"/>
  <c r="J489" i="1"/>
  <c r="L490" i="1"/>
  <c r="AT253" i="1"/>
  <c r="AS253" i="1" s="1"/>
  <c r="AM253" i="1"/>
  <c r="N253" i="1"/>
  <c r="I253" i="1"/>
  <c r="Q253" i="1" s="1"/>
  <c r="A510" i="7"/>
  <c r="B509" i="7"/>
  <c r="S490" i="1"/>
  <c r="Z492" i="1" s="1"/>
  <c r="K490" i="1"/>
  <c r="AU490" i="1"/>
  <c r="M488" i="1"/>
  <c r="G488" i="1"/>
  <c r="H488" i="1" s="1"/>
  <c r="AC489" i="1"/>
  <c r="E489" i="1"/>
  <c r="F489" i="1" s="1"/>
  <c r="D489" i="1"/>
  <c r="B491" i="1"/>
  <c r="C490" i="1"/>
  <c r="AA490" i="1"/>
  <c r="AW489" i="1"/>
  <c r="AI489" i="1" s="1"/>
  <c r="AJ489" i="1" s="1"/>
  <c r="AK489" i="1"/>
  <c r="A490" i="1"/>
  <c r="BC489" i="1" l="1"/>
  <c r="BD489" i="1" s="1"/>
  <c r="AE489" i="1" s="1"/>
  <c r="BF491" i="1"/>
  <c r="BB490" i="1"/>
  <c r="AN165" i="1"/>
  <c r="AO181" i="1"/>
  <c r="AO173" i="1"/>
  <c r="AQ253" i="1"/>
  <c r="J490" i="1"/>
  <c r="AH252" i="1"/>
  <c r="AG252" i="1"/>
  <c r="L491" i="1"/>
  <c r="AY253" i="1"/>
  <c r="O253" i="1"/>
  <c r="A511" i="7"/>
  <c r="B510" i="7"/>
  <c r="S491" i="1"/>
  <c r="Z493" i="1" s="1"/>
  <c r="K491" i="1"/>
  <c r="AU491" i="1"/>
  <c r="M489" i="1"/>
  <c r="A491" i="1"/>
  <c r="AW490" i="1"/>
  <c r="AI490" i="1" s="1"/>
  <c r="AJ490" i="1" s="1"/>
  <c r="AK490" i="1"/>
  <c r="C491" i="1"/>
  <c r="AA491" i="1"/>
  <c r="B492" i="1"/>
  <c r="AC490" i="1"/>
  <c r="E490" i="1"/>
  <c r="F490" i="1" s="1"/>
  <c r="D490" i="1"/>
  <c r="G489" i="1"/>
  <c r="H489" i="1" s="1"/>
  <c r="BC490" i="1" l="1"/>
  <c r="BD490" i="1" s="1"/>
  <c r="AE490" i="1" s="1"/>
  <c r="BF492" i="1"/>
  <c r="AX253" i="1"/>
  <c r="BB491" i="1"/>
  <c r="I254" i="1"/>
  <c r="Q254" i="1" s="1"/>
  <c r="P254" i="1"/>
  <c r="BE254" i="1" s="1"/>
  <c r="AP173" i="1"/>
  <c r="AX174" i="1" s="1"/>
  <c r="AO165" i="1"/>
  <c r="AP181" i="1"/>
  <c r="AX182" i="1" s="1"/>
  <c r="J491" i="1"/>
  <c r="L492" i="1"/>
  <c r="BA252" i="1"/>
  <c r="AT254" i="1"/>
  <c r="AS254" i="1" s="1"/>
  <c r="AM254" i="1"/>
  <c r="N254" i="1"/>
  <c r="A512" i="7"/>
  <c r="B511" i="7"/>
  <c r="S492" i="1"/>
  <c r="Z494" i="1" s="1"/>
  <c r="K492" i="1"/>
  <c r="AU492" i="1"/>
  <c r="AW491" i="1"/>
  <c r="AI491" i="1" s="1"/>
  <c r="AJ491" i="1" s="1"/>
  <c r="AK491" i="1"/>
  <c r="A492" i="1"/>
  <c r="AA492" i="1"/>
  <c r="B493" i="1"/>
  <c r="C492" i="1"/>
  <c r="M490" i="1"/>
  <c r="AC491" i="1"/>
  <c r="G490" i="1"/>
  <c r="H490" i="1" s="1"/>
  <c r="E491" i="1"/>
  <c r="F491" i="1" s="1"/>
  <c r="D491" i="1"/>
  <c r="BC491" i="1" l="1"/>
  <c r="BD491" i="1" s="1"/>
  <c r="AE491" i="1" s="1"/>
  <c r="BF493" i="1"/>
  <c r="BB492" i="1"/>
  <c r="V254" i="1"/>
  <c r="Y254" i="1"/>
  <c r="X254" i="1" s="1"/>
  <c r="AF254" i="1" s="1"/>
  <c r="AP165" i="1"/>
  <c r="AX166" i="1" s="1"/>
  <c r="AQ254" i="1"/>
  <c r="J492" i="1"/>
  <c r="L493" i="1"/>
  <c r="AH253" i="1"/>
  <c r="AG253" i="1"/>
  <c r="AY254" i="1"/>
  <c r="O254" i="1"/>
  <c r="P255" i="1" s="1"/>
  <c r="BE255" i="1" s="1"/>
  <c r="A513" i="7"/>
  <c r="B512" i="7"/>
  <c r="S493" i="1"/>
  <c r="Z495" i="1" s="1"/>
  <c r="K493" i="1"/>
  <c r="AU493" i="1"/>
  <c r="G491" i="1"/>
  <c r="H491" i="1" s="1"/>
  <c r="D492" i="1"/>
  <c r="E492" i="1"/>
  <c r="F492" i="1" s="1"/>
  <c r="AA493" i="1"/>
  <c r="B494" i="1"/>
  <c r="C493" i="1"/>
  <c r="M491" i="1"/>
  <c r="AC492" i="1"/>
  <c r="A493" i="1"/>
  <c r="AP492" i="1"/>
  <c r="AK492" i="1"/>
  <c r="AW492" i="1"/>
  <c r="AI492" i="1" s="1"/>
  <c r="AJ492" i="1" s="1"/>
  <c r="BC492" i="1" l="1"/>
  <c r="BD492" i="1" s="1"/>
  <c r="AE492" i="1" s="1"/>
  <c r="BF494" i="1"/>
  <c r="BB493" i="1"/>
  <c r="V255" i="1"/>
  <c r="Y255" i="1"/>
  <c r="X255" i="1" s="1"/>
  <c r="AF255" i="1" s="1"/>
  <c r="U174" i="1"/>
  <c r="U182" i="1"/>
  <c r="J493" i="1"/>
  <c r="L494" i="1"/>
  <c r="BA253" i="1"/>
  <c r="AG254" i="1"/>
  <c r="AM255" i="1"/>
  <c r="N255" i="1"/>
  <c r="I255" i="1"/>
  <c r="Q255" i="1" s="1"/>
  <c r="AT255" i="1"/>
  <c r="AS255" i="1" s="1"/>
  <c r="A514" i="7"/>
  <c r="B513" i="7"/>
  <c r="S494" i="1"/>
  <c r="Z496" i="1" s="1"/>
  <c r="K494" i="1"/>
  <c r="AU494" i="1"/>
  <c r="E493" i="1"/>
  <c r="F493" i="1" s="1"/>
  <c r="D493" i="1"/>
  <c r="AC493" i="1"/>
  <c r="M492" i="1"/>
  <c r="AW493" i="1"/>
  <c r="AI493" i="1" s="1"/>
  <c r="AJ493" i="1" s="1"/>
  <c r="A494" i="1"/>
  <c r="AK493" i="1"/>
  <c r="C494" i="1"/>
  <c r="AA494" i="1"/>
  <c r="B495" i="1"/>
  <c r="G492" i="1"/>
  <c r="H492" i="1" s="1"/>
  <c r="BC493" i="1" l="1"/>
  <c r="BD493" i="1" s="1"/>
  <c r="AE493" i="1" s="1"/>
  <c r="BF495" i="1"/>
  <c r="BB494" i="1"/>
  <c r="AL182" i="1"/>
  <c r="AL174" i="1"/>
  <c r="U166" i="1"/>
  <c r="AQ255" i="1"/>
  <c r="J494" i="1"/>
  <c r="L495" i="1"/>
  <c r="AH254" i="1"/>
  <c r="AY255" i="1"/>
  <c r="O255" i="1"/>
  <c r="P256" i="1" s="1"/>
  <c r="BE256" i="1" s="1"/>
  <c r="A515" i="7"/>
  <c r="B514" i="7"/>
  <c r="S495" i="1"/>
  <c r="Z497" i="1" s="1"/>
  <c r="K495" i="1"/>
  <c r="AU495" i="1"/>
  <c r="M493" i="1"/>
  <c r="AC494" i="1"/>
  <c r="E494" i="1"/>
  <c r="F494" i="1" s="1"/>
  <c r="D494" i="1"/>
  <c r="G493" i="1"/>
  <c r="H493" i="1" s="1"/>
  <c r="A495" i="1"/>
  <c r="AW494" i="1"/>
  <c r="AI494" i="1" s="1"/>
  <c r="AJ494" i="1" s="1"/>
  <c r="AK494" i="1"/>
  <c r="AA495" i="1"/>
  <c r="C495" i="1"/>
  <c r="B496" i="1"/>
  <c r="BC494" i="1" l="1"/>
  <c r="BD494" i="1" s="1"/>
  <c r="AE494" i="1" s="1"/>
  <c r="BF496" i="1"/>
  <c r="BB495" i="1"/>
  <c r="V256" i="1"/>
  <c r="Y256" i="1"/>
  <c r="AL166" i="1"/>
  <c r="AN182" i="1"/>
  <c r="AN174" i="1"/>
  <c r="J495" i="1"/>
  <c r="L496" i="1"/>
  <c r="AG255" i="1"/>
  <c r="BA254" i="1"/>
  <c r="AM256" i="1"/>
  <c r="N256" i="1"/>
  <c r="AT256" i="1"/>
  <c r="AS256" i="1" s="1"/>
  <c r="I256" i="1"/>
  <c r="Q256" i="1" s="1"/>
  <c r="A516" i="7"/>
  <c r="B515" i="7"/>
  <c r="S496" i="1"/>
  <c r="Z498" i="1" s="1"/>
  <c r="K496" i="1"/>
  <c r="AU496" i="1"/>
  <c r="G494" i="1"/>
  <c r="H494" i="1" s="1"/>
  <c r="D495" i="1"/>
  <c r="E495" i="1"/>
  <c r="F495" i="1" s="1"/>
  <c r="AC495" i="1"/>
  <c r="M494" i="1"/>
  <c r="C496" i="1"/>
  <c r="AA496" i="1"/>
  <c r="B497" i="1"/>
  <c r="A496" i="1"/>
  <c r="AK495" i="1"/>
  <c r="AW495" i="1"/>
  <c r="AI495" i="1" s="1"/>
  <c r="AJ495" i="1" s="1"/>
  <c r="BC495" i="1" l="1"/>
  <c r="BD495" i="1" s="1"/>
  <c r="AE495" i="1" s="1"/>
  <c r="BF497" i="1"/>
  <c r="BB496" i="1"/>
  <c r="AO182" i="1"/>
  <c r="AN166" i="1"/>
  <c r="AO174" i="1"/>
  <c r="AQ256" i="1"/>
  <c r="X256" i="1"/>
  <c r="AF256" i="1" s="1"/>
  <c r="J496" i="1"/>
  <c r="L497" i="1"/>
  <c r="AH255" i="1"/>
  <c r="AY256" i="1"/>
  <c r="O256" i="1"/>
  <c r="P257" i="1" s="1"/>
  <c r="BE257" i="1" s="1"/>
  <c r="A517" i="7"/>
  <c r="B516" i="7"/>
  <c r="S497" i="1"/>
  <c r="Z499" i="1" s="1"/>
  <c r="K497" i="1"/>
  <c r="AU497" i="1"/>
  <c r="AA497" i="1"/>
  <c r="B498" i="1"/>
  <c r="C497" i="1"/>
  <c r="G495" i="1"/>
  <c r="H495" i="1" s="1"/>
  <c r="AC496" i="1"/>
  <c r="E496" i="1"/>
  <c r="F496" i="1" s="1"/>
  <c r="D496" i="1"/>
  <c r="AW496" i="1"/>
  <c r="AI496" i="1" s="1"/>
  <c r="AJ496" i="1" s="1"/>
  <c r="A497" i="1"/>
  <c r="AK496" i="1"/>
  <c r="M495" i="1"/>
  <c r="BC496" i="1" l="1"/>
  <c r="BD496" i="1" s="1"/>
  <c r="AE496" i="1" s="1"/>
  <c r="BF498" i="1"/>
  <c r="BB497" i="1"/>
  <c r="V257" i="1"/>
  <c r="Y257" i="1"/>
  <c r="X257" i="1" s="1"/>
  <c r="AF257" i="1" s="1"/>
  <c r="AP174" i="1"/>
  <c r="AX175" i="1" s="1"/>
  <c r="AO166" i="1"/>
  <c r="AP182" i="1"/>
  <c r="AX183" i="1" s="1"/>
  <c r="J497" i="1"/>
  <c r="L498" i="1"/>
  <c r="BA255" i="1"/>
  <c r="I257" i="1"/>
  <c r="Q257" i="1" s="1"/>
  <c r="AT257" i="1"/>
  <c r="AS257" i="1" s="1"/>
  <c r="AM257" i="1"/>
  <c r="N257" i="1"/>
  <c r="A518" i="7"/>
  <c r="B517" i="7"/>
  <c r="S498" i="1"/>
  <c r="Z500" i="1" s="1"/>
  <c r="K498" i="1"/>
  <c r="AU498" i="1"/>
  <c r="M496" i="1"/>
  <c r="E497" i="1"/>
  <c r="F497" i="1" s="1"/>
  <c r="D497" i="1"/>
  <c r="C498" i="1"/>
  <c r="B499" i="1"/>
  <c r="AA498" i="1"/>
  <c r="AK497" i="1"/>
  <c r="AW497" i="1"/>
  <c r="AI497" i="1" s="1"/>
  <c r="AJ497" i="1" s="1"/>
  <c r="A498" i="1"/>
  <c r="G496" i="1"/>
  <c r="H496" i="1" s="1"/>
  <c r="AC497" i="1"/>
  <c r="BC497" i="1" l="1"/>
  <c r="BD497" i="1" s="1"/>
  <c r="AE497" i="1" s="1"/>
  <c r="BF499" i="1"/>
  <c r="BB498" i="1"/>
  <c r="AP166" i="1"/>
  <c r="AX167" i="1" s="1"/>
  <c r="AQ257" i="1"/>
  <c r="J498" i="1"/>
  <c r="AH256" i="1"/>
  <c r="AG256" i="1"/>
  <c r="L499" i="1"/>
  <c r="AY257" i="1"/>
  <c r="O257" i="1"/>
  <c r="P258" i="1" s="1"/>
  <c r="BE258" i="1" s="1"/>
  <c r="A519" i="7"/>
  <c r="B518" i="7"/>
  <c r="S499" i="1"/>
  <c r="Z501" i="1" s="1"/>
  <c r="K499" i="1"/>
  <c r="AU499" i="1"/>
  <c r="G497" i="1"/>
  <c r="H497" i="1" s="1"/>
  <c r="AW498" i="1"/>
  <c r="AI498" i="1" s="1"/>
  <c r="AJ498" i="1" s="1"/>
  <c r="AK498" i="1"/>
  <c r="A499" i="1"/>
  <c r="D498" i="1"/>
  <c r="E498" i="1"/>
  <c r="F498" i="1" s="1"/>
  <c r="B500" i="1"/>
  <c r="C499" i="1"/>
  <c r="AA499" i="1"/>
  <c r="AC498" i="1"/>
  <c r="M497" i="1"/>
  <c r="BC498" i="1" l="1"/>
  <c r="BD498" i="1" s="1"/>
  <c r="AE498" i="1" s="1"/>
  <c r="BF500" i="1"/>
  <c r="BB499" i="1"/>
  <c r="V258" i="1"/>
  <c r="Y258" i="1"/>
  <c r="X258" i="1" s="1"/>
  <c r="AF258" i="1" s="1"/>
  <c r="U175" i="1"/>
  <c r="U183" i="1"/>
  <c r="J499" i="1"/>
  <c r="L500" i="1"/>
  <c r="BA256" i="1"/>
  <c r="N258" i="1"/>
  <c r="I258" i="1"/>
  <c r="Q258" i="1" s="1"/>
  <c r="AM258" i="1"/>
  <c r="AT258" i="1"/>
  <c r="AS258" i="1" s="1"/>
  <c r="A520" i="7"/>
  <c r="B519" i="7"/>
  <c r="S500" i="1"/>
  <c r="Z502" i="1" s="1"/>
  <c r="K500" i="1"/>
  <c r="AU500" i="1"/>
  <c r="G498" i="1"/>
  <c r="H498" i="1" s="1"/>
  <c r="M498" i="1"/>
  <c r="D499" i="1"/>
  <c r="E499" i="1"/>
  <c r="F499" i="1" s="1"/>
  <c r="A500" i="1"/>
  <c r="AW499" i="1"/>
  <c r="AI499" i="1" s="1"/>
  <c r="AJ499" i="1" s="1"/>
  <c r="AK499" i="1"/>
  <c r="AA500" i="1"/>
  <c r="C500" i="1"/>
  <c r="B501" i="1"/>
  <c r="AC499" i="1"/>
  <c r="BC499" i="1" l="1"/>
  <c r="BD499" i="1" s="1"/>
  <c r="AE499" i="1" s="1"/>
  <c r="BF501" i="1"/>
  <c r="BB500" i="1"/>
  <c r="AL183" i="1"/>
  <c r="U167" i="1"/>
  <c r="AL175" i="1"/>
  <c r="AQ258" i="1"/>
  <c r="J500" i="1"/>
  <c r="AH257" i="1"/>
  <c r="AG257" i="1"/>
  <c r="L501" i="1"/>
  <c r="AY258" i="1"/>
  <c r="O258" i="1"/>
  <c r="P259" i="1" s="1"/>
  <c r="BE259" i="1" s="1"/>
  <c r="A521" i="7"/>
  <c r="B520" i="7"/>
  <c r="S501" i="1"/>
  <c r="Z503" i="1" s="1"/>
  <c r="K501" i="1"/>
  <c r="AU501" i="1"/>
  <c r="E500" i="1"/>
  <c r="F500" i="1" s="1"/>
  <c r="D500" i="1"/>
  <c r="A501" i="1"/>
  <c r="AK500" i="1"/>
  <c r="AW500" i="1"/>
  <c r="AI500" i="1" s="1"/>
  <c r="AJ500" i="1" s="1"/>
  <c r="AC500" i="1"/>
  <c r="G499" i="1"/>
  <c r="H499" i="1" s="1"/>
  <c r="M499" i="1"/>
  <c r="AA501" i="1"/>
  <c r="B502" i="1"/>
  <c r="C501" i="1"/>
  <c r="BC500" i="1" l="1"/>
  <c r="BD500" i="1" s="1"/>
  <c r="AE500" i="1" s="1"/>
  <c r="BF502" i="1"/>
  <c r="BB501" i="1"/>
  <c r="V259" i="1"/>
  <c r="Y259" i="1"/>
  <c r="X259" i="1" s="1"/>
  <c r="AF259" i="1" s="1"/>
  <c r="AN175" i="1"/>
  <c r="AL167" i="1"/>
  <c r="AN183" i="1"/>
  <c r="J501" i="1"/>
  <c r="L502" i="1"/>
  <c r="BA257" i="1"/>
  <c r="AM259" i="1"/>
  <c r="N259" i="1"/>
  <c r="I259" i="1"/>
  <c r="Q259" i="1" s="1"/>
  <c r="AT259" i="1"/>
  <c r="AS259" i="1" s="1"/>
  <c r="A522" i="7"/>
  <c r="B521" i="7"/>
  <c r="S502" i="1"/>
  <c r="Z504" i="1" s="1"/>
  <c r="K502" i="1"/>
  <c r="AU502" i="1"/>
  <c r="C502" i="1"/>
  <c r="AA502" i="1"/>
  <c r="B503" i="1"/>
  <c r="G500" i="1"/>
  <c r="H500" i="1" s="1"/>
  <c r="M500" i="1"/>
  <c r="AK501" i="1"/>
  <c r="A502" i="1"/>
  <c r="AW501" i="1"/>
  <c r="AI501" i="1" s="1"/>
  <c r="AJ501" i="1" s="1"/>
  <c r="E501" i="1"/>
  <c r="F501" i="1" s="1"/>
  <c r="D501" i="1"/>
  <c r="AC501" i="1"/>
  <c r="BC501" i="1" l="1"/>
  <c r="BD501" i="1" s="1"/>
  <c r="AE501" i="1" s="1"/>
  <c r="BF503" i="1"/>
  <c r="AC502" i="1"/>
  <c r="BB502" i="1"/>
  <c r="AO175" i="1"/>
  <c r="AO183" i="1"/>
  <c r="AN167" i="1"/>
  <c r="AQ259" i="1"/>
  <c r="J502" i="1"/>
  <c r="L503" i="1"/>
  <c r="AH258" i="1"/>
  <c r="AG258" i="1"/>
  <c r="AY259" i="1"/>
  <c r="O259" i="1"/>
  <c r="P260" i="1" s="1"/>
  <c r="BE260" i="1" s="1"/>
  <c r="A523" i="7"/>
  <c r="B522" i="7"/>
  <c r="S503" i="1"/>
  <c r="Z505" i="1" s="1"/>
  <c r="K503" i="1"/>
  <c r="AU503" i="1"/>
  <c r="G501" i="1"/>
  <c r="H501" i="1" s="1"/>
  <c r="M501" i="1"/>
  <c r="E502" i="1"/>
  <c r="F502" i="1" s="1"/>
  <c r="D502" i="1"/>
  <c r="AW502" i="1"/>
  <c r="AI502" i="1" s="1"/>
  <c r="AJ502" i="1" s="1"/>
  <c r="AK502" i="1"/>
  <c r="A503" i="1"/>
  <c r="AA503" i="1"/>
  <c r="B504" i="1"/>
  <c r="C503" i="1"/>
  <c r="BC502" i="1" l="1"/>
  <c r="BD502" i="1" s="1"/>
  <c r="AE502" i="1" s="1"/>
  <c r="BF504" i="1"/>
  <c r="BB503" i="1"/>
  <c r="AC503" i="1"/>
  <c r="V260" i="1"/>
  <c r="Y260" i="1"/>
  <c r="X260" i="1" s="1"/>
  <c r="AF260" i="1" s="1"/>
  <c r="AP175" i="1"/>
  <c r="AX176" i="1" s="1"/>
  <c r="AP183" i="1"/>
  <c r="AX184" i="1" s="1"/>
  <c r="AO167" i="1"/>
  <c r="J503" i="1"/>
  <c r="L504" i="1"/>
  <c r="BA258" i="1"/>
  <c r="N260" i="1"/>
  <c r="AM260" i="1"/>
  <c r="AT260" i="1"/>
  <c r="AS260" i="1" s="1"/>
  <c r="I260" i="1"/>
  <c r="Q260" i="1" s="1"/>
  <c r="A524" i="7"/>
  <c r="B523" i="7"/>
  <c r="S504" i="1"/>
  <c r="Z506" i="1" s="1"/>
  <c r="K504" i="1"/>
  <c r="AU504" i="1"/>
  <c r="E503" i="1"/>
  <c r="F503" i="1" s="1"/>
  <c r="D503" i="1"/>
  <c r="B505" i="1"/>
  <c r="AA504" i="1"/>
  <c r="C504" i="1"/>
  <c r="M502" i="1"/>
  <c r="A504" i="1"/>
  <c r="AW503" i="1"/>
  <c r="AI503" i="1" s="1"/>
  <c r="AJ503" i="1" s="1"/>
  <c r="AK503" i="1"/>
  <c r="G502" i="1"/>
  <c r="H502" i="1" s="1"/>
  <c r="BC503" i="1" l="1"/>
  <c r="BD503" i="1" s="1"/>
  <c r="AE503" i="1" s="1"/>
  <c r="BF505" i="1"/>
  <c r="BB504" i="1"/>
  <c r="AP167" i="1"/>
  <c r="AX168" i="1" s="1"/>
  <c r="AQ260" i="1"/>
  <c r="J504" i="1"/>
  <c r="L505" i="1"/>
  <c r="AH259" i="1"/>
  <c r="AG259" i="1"/>
  <c r="AY260" i="1"/>
  <c r="O260" i="1"/>
  <c r="P261" i="1" s="1"/>
  <c r="BE261" i="1" s="1"/>
  <c r="A525" i="7"/>
  <c r="B524" i="7"/>
  <c r="S505" i="1"/>
  <c r="Z507" i="1" s="1"/>
  <c r="K505" i="1"/>
  <c r="AU505" i="1"/>
  <c r="M503" i="1"/>
  <c r="A505" i="1"/>
  <c r="AP504" i="1"/>
  <c r="AW504" i="1"/>
  <c r="AI504" i="1" s="1"/>
  <c r="AJ504" i="1" s="1"/>
  <c r="AK504" i="1"/>
  <c r="E504" i="1"/>
  <c r="F504" i="1" s="1"/>
  <c r="D504" i="1"/>
  <c r="AC504" i="1"/>
  <c r="G503" i="1"/>
  <c r="H503" i="1" s="1"/>
  <c r="B506" i="1"/>
  <c r="C505" i="1"/>
  <c r="AA505" i="1"/>
  <c r="BC504" i="1" l="1"/>
  <c r="BD504" i="1" s="1"/>
  <c r="AE504" i="1" s="1"/>
  <c r="BF506" i="1"/>
  <c r="BB505" i="1"/>
  <c r="V261" i="1"/>
  <c r="Y261" i="1"/>
  <c r="X261" i="1" s="1"/>
  <c r="AF261" i="1" s="1"/>
  <c r="U184" i="1"/>
  <c r="U176" i="1"/>
  <c r="J505" i="1"/>
  <c r="L506" i="1"/>
  <c r="AG260" i="1"/>
  <c r="BA259" i="1"/>
  <c r="N261" i="1"/>
  <c r="AM261" i="1"/>
  <c r="I261" i="1"/>
  <c r="Q261" i="1" s="1"/>
  <c r="AT261" i="1"/>
  <c r="AS261" i="1" s="1"/>
  <c r="A526" i="7"/>
  <c r="B525" i="7"/>
  <c r="S506" i="1"/>
  <c r="Z508" i="1" s="1"/>
  <c r="K506" i="1"/>
  <c r="AU506" i="1"/>
  <c r="G504" i="1"/>
  <c r="H504" i="1" s="1"/>
  <c r="M504" i="1"/>
  <c r="A506" i="1"/>
  <c r="AK505" i="1"/>
  <c r="AW505" i="1"/>
  <c r="AI505" i="1" s="1"/>
  <c r="AJ505" i="1" s="1"/>
  <c r="E505" i="1"/>
  <c r="F505" i="1" s="1"/>
  <c r="D505" i="1"/>
  <c r="AC505" i="1"/>
  <c r="B507" i="1"/>
  <c r="C506" i="1"/>
  <c r="AA506" i="1"/>
  <c r="BC505" i="1" l="1"/>
  <c r="BD505" i="1" s="1"/>
  <c r="AE505" i="1" s="1"/>
  <c r="BF507" i="1"/>
  <c r="BB506" i="1"/>
  <c r="AL184" i="1"/>
  <c r="AL176" i="1"/>
  <c r="U168" i="1"/>
  <c r="AQ261" i="1"/>
  <c r="J506" i="1"/>
  <c r="L507" i="1"/>
  <c r="AH260" i="1"/>
  <c r="AY261" i="1"/>
  <c r="O261" i="1"/>
  <c r="P262" i="1" s="1"/>
  <c r="BE262" i="1" s="1"/>
  <c r="A527" i="7"/>
  <c r="B526" i="7"/>
  <c r="S507" i="1"/>
  <c r="Z509" i="1" s="1"/>
  <c r="K507" i="1"/>
  <c r="AU507" i="1"/>
  <c r="AA507" i="1"/>
  <c r="B508" i="1"/>
  <c r="C507" i="1"/>
  <c r="A507" i="1"/>
  <c r="AK506" i="1"/>
  <c r="AW506" i="1"/>
  <c r="AI506" i="1" s="1"/>
  <c r="AJ506" i="1" s="1"/>
  <c r="AC506" i="1"/>
  <c r="M505" i="1"/>
  <c r="E506" i="1"/>
  <c r="F506" i="1" s="1"/>
  <c r="D506" i="1"/>
  <c r="G505" i="1"/>
  <c r="H505" i="1" s="1"/>
  <c r="BC506" i="1" l="1"/>
  <c r="BD506" i="1" s="1"/>
  <c r="AE506" i="1" s="1"/>
  <c r="BF508" i="1"/>
  <c r="BB507" i="1"/>
  <c r="V262" i="1"/>
  <c r="Y262" i="1"/>
  <c r="X262" i="1" s="1"/>
  <c r="AF262" i="1" s="1"/>
  <c r="AL168" i="1"/>
  <c r="AN184" i="1"/>
  <c r="AN176" i="1"/>
  <c r="J507" i="1"/>
  <c r="L508" i="1"/>
  <c r="BA260" i="1"/>
  <c r="AT262" i="1"/>
  <c r="AS262" i="1" s="1"/>
  <c r="I262" i="1"/>
  <c r="Q262" i="1" s="1"/>
  <c r="N262" i="1"/>
  <c r="AM262" i="1"/>
  <c r="A528" i="7"/>
  <c r="B527" i="7"/>
  <c r="S508" i="1"/>
  <c r="Z510" i="1" s="1"/>
  <c r="K508" i="1"/>
  <c r="AU508" i="1"/>
  <c r="AC507" i="1"/>
  <c r="E507" i="1"/>
  <c r="F507" i="1" s="1"/>
  <c r="D507" i="1"/>
  <c r="M506" i="1"/>
  <c r="G506" i="1"/>
  <c r="H506" i="1" s="1"/>
  <c r="A508" i="1"/>
  <c r="AW507" i="1"/>
  <c r="AI507" i="1" s="1"/>
  <c r="AJ507" i="1" s="1"/>
  <c r="AK507" i="1"/>
  <c r="C508" i="1"/>
  <c r="B509" i="1"/>
  <c r="AA508" i="1"/>
  <c r="BC507" i="1" l="1"/>
  <c r="BD507" i="1" s="1"/>
  <c r="AE507" i="1" s="1"/>
  <c r="BF509" i="1"/>
  <c r="BB508" i="1"/>
  <c r="AO184" i="1"/>
  <c r="AO176" i="1"/>
  <c r="AN168" i="1"/>
  <c r="AQ262" i="1"/>
  <c r="J508" i="1"/>
  <c r="L509" i="1"/>
  <c r="AH261" i="1"/>
  <c r="AG261" i="1"/>
  <c r="AY262" i="1"/>
  <c r="O262" i="1"/>
  <c r="P263" i="1" s="1"/>
  <c r="BE263" i="1" s="1"/>
  <c r="A529" i="7"/>
  <c r="B528" i="7"/>
  <c r="S509" i="1"/>
  <c r="Z511" i="1" s="1"/>
  <c r="K509" i="1"/>
  <c r="AU509" i="1"/>
  <c r="AC508" i="1"/>
  <c r="M507" i="1"/>
  <c r="E508" i="1"/>
  <c r="F508" i="1" s="1"/>
  <c r="D508" i="1"/>
  <c r="AA509" i="1"/>
  <c r="B510" i="1"/>
  <c r="C509" i="1"/>
  <c r="AK508" i="1"/>
  <c r="A509" i="1"/>
  <c r="AW508" i="1"/>
  <c r="AI508" i="1" s="1"/>
  <c r="AJ508" i="1" s="1"/>
  <c r="G507" i="1"/>
  <c r="H507" i="1" s="1"/>
  <c r="BC508" i="1" l="1"/>
  <c r="BD508" i="1" s="1"/>
  <c r="AE508" i="1" s="1"/>
  <c r="BF510" i="1"/>
  <c r="BB509" i="1"/>
  <c r="V263" i="1"/>
  <c r="Y263" i="1"/>
  <c r="X263" i="1" s="1"/>
  <c r="AF263" i="1" s="1"/>
  <c r="AP184" i="1"/>
  <c r="AX185" i="1" s="1"/>
  <c r="AO168" i="1"/>
  <c r="AP176" i="1"/>
  <c r="AX177" i="1" s="1"/>
  <c r="J509" i="1"/>
  <c r="L510" i="1"/>
  <c r="BA261" i="1"/>
  <c r="N263" i="1"/>
  <c r="AM263" i="1"/>
  <c r="I263" i="1"/>
  <c r="Q263" i="1" s="1"/>
  <c r="AT263" i="1"/>
  <c r="AS263" i="1" s="1"/>
  <c r="A530" i="7"/>
  <c r="B529" i="7"/>
  <c r="S510" i="1"/>
  <c r="Z512" i="1" s="1"/>
  <c r="K510" i="1"/>
  <c r="AU510" i="1"/>
  <c r="C510" i="1"/>
  <c r="AA510" i="1"/>
  <c r="B511" i="1"/>
  <c r="AC509" i="1"/>
  <c r="G508" i="1"/>
  <c r="H508" i="1" s="1"/>
  <c r="AK509" i="1"/>
  <c r="A510" i="1"/>
  <c r="AW509" i="1"/>
  <c r="AI509" i="1" s="1"/>
  <c r="AJ509" i="1" s="1"/>
  <c r="E509" i="1"/>
  <c r="F509" i="1" s="1"/>
  <c r="D509" i="1"/>
  <c r="M508" i="1"/>
  <c r="BC509" i="1" l="1"/>
  <c r="BD509" i="1" s="1"/>
  <c r="AE509" i="1" s="1"/>
  <c r="BF511" i="1"/>
  <c r="BB510" i="1"/>
  <c r="AQ263" i="1"/>
  <c r="J510" i="1"/>
  <c r="L511" i="1"/>
  <c r="AH262" i="1"/>
  <c r="AG262" i="1"/>
  <c r="AY263" i="1"/>
  <c r="O263" i="1"/>
  <c r="P264" i="1" s="1"/>
  <c r="BE264" i="1" s="1"/>
  <c r="A531" i="7"/>
  <c r="B530" i="7"/>
  <c r="S511" i="1"/>
  <c r="Z513" i="1" s="1"/>
  <c r="K511" i="1"/>
  <c r="AU511" i="1"/>
  <c r="G509" i="1"/>
  <c r="H509" i="1" s="1"/>
  <c r="C511" i="1"/>
  <c r="AA511" i="1"/>
  <c r="B512" i="1"/>
  <c r="AK510" i="1"/>
  <c r="A511" i="1"/>
  <c r="AW510" i="1"/>
  <c r="AI510" i="1" s="1"/>
  <c r="AJ510" i="1" s="1"/>
  <c r="AC510" i="1"/>
  <c r="M509" i="1"/>
  <c r="D510" i="1"/>
  <c r="E510" i="1"/>
  <c r="F510" i="1" s="1"/>
  <c r="BC510" i="1" l="1"/>
  <c r="BD510" i="1" s="1"/>
  <c r="AE510" i="1" s="1"/>
  <c r="BF512" i="1"/>
  <c r="BB511" i="1"/>
  <c r="V264" i="1"/>
  <c r="Y264" i="1"/>
  <c r="X264" i="1" s="1"/>
  <c r="AF264" i="1" s="1"/>
  <c r="U185" i="1"/>
  <c r="U177" i="1"/>
  <c r="J511" i="1"/>
  <c r="L512" i="1"/>
  <c r="BA262" i="1"/>
  <c r="I264" i="1"/>
  <c r="Q264" i="1" s="1"/>
  <c r="AT264" i="1"/>
  <c r="AS264" i="1" s="1"/>
  <c r="AM264" i="1"/>
  <c r="N264" i="1"/>
  <c r="A532" i="7"/>
  <c r="B531" i="7"/>
  <c r="S512" i="1"/>
  <c r="Z514" i="1" s="1"/>
  <c r="K512" i="1"/>
  <c r="AU512" i="1"/>
  <c r="G510" i="1"/>
  <c r="H510" i="1" s="1"/>
  <c r="B513" i="1"/>
  <c r="AA512" i="1"/>
  <c r="C512" i="1"/>
  <c r="M510" i="1"/>
  <c r="AK511" i="1"/>
  <c r="AW511" i="1"/>
  <c r="AI511" i="1" s="1"/>
  <c r="AJ511" i="1" s="1"/>
  <c r="A512" i="1"/>
  <c r="D511" i="1"/>
  <c r="E511" i="1"/>
  <c r="F511" i="1" s="1"/>
  <c r="AC511" i="1"/>
  <c r="U193" i="1"/>
  <c r="BC511" i="1" l="1"/>
  <c r="BD511" i="1" s="1"/>
  <c r="AE511" i="1" s="1"/>
  <c r="BF513" i="1"/>
  <c r="BB512" i="1"/>
  <c r="AL193" i="1"/>
  <c r="AL177" i="1"/>
  <c r="AL185" i="1"/>
  <c r="AQ264" i="1"/>
  <c r="J512" i="1"/>
  <c r="L513" i="1"/>
  <c r="AH263" i="1"/>
  <c r="AG263" i="1"/>
  <c r="AY264" i="1"/>
  <c r="O264" i="1"/>
  <c r="P265" i="1" s="1"/>
  <c r="BE265" i="1" s="1"/>
  <c r="A533" i="7"/>
  <c r="B532" i="7"/>
  <c r="S513" i="1"/>
  <c r="Z515" i="1" s="1"/>
  <c r="K513" i="1"/>
  <c r="AU513" i="1"/>
  <c r="G511" i="1"/>
  <c r="H511" i="1" s="1"/>
  <c r="E512" i="1"/>
  <c r="F512" i="1" s="1"/>
  <c r="D512" i="1"/>
  <c r="AC512" i="1"/>
  <c r="C513" i="1"/>
  <c r="B514" i="1"/>
  <c r="AA513" i="1"/>
  <c r="AW512" i="1"/>
  <c r="AI512" i="1" s="1"/>
  <c r="AJ512" i="1" s="1"/>
  <c r="AK512" i="1"/>
  <c r="A513" i="1"/>
  <c r="M511" i="1"/>
  <c r="BC512" i="1" l="1"/>
  <c r="BD512" i="1" s="1"/>
  <c r="AE512" i="1" s="1"/>
  <c r="BF514" i="1"/>
  <c r="BB513" i="1"/>
  <c r="V265" i="1"/>
  <c r="Y265" i="1"/>
  <c r="X265" i="1" s="1"/>
  <c r="AF265" i="1" s="1"/>
  <c r="AN177" i="1"/>
  <c r="AN185" i="1"/>
  <c r="AN193" i="1"/>
  <c r="J513" i="1"/>
  <c r="L514" i="1"/>
  <c r="BA263" i="1"/>
  <c r="I265" i="1"/>
  <c r="Q265" i="1" s="1"/>
  <c r="AM265" i="1"/>
  <c r="N265" i="1"/>
  <c r="AT265" i="1"/>
  <c r="AS265" i="1" s="1"/>
  <c r="A534" i="7"/>
  <c r="B533" i="7"/>
  <c r="S514" i="1"/>
  <c r="Z516" i="1" s="1"/>
  <c r="K514" i="1"/>
  <c r="AU514" i="1"/>
  <c r="M512" i="1"/>
  <c r="G512" i="1"/>
  <c r="H512" i="1" s="1"/>
  <c r="A514" i="1"/>
  <c r="AK513" i="1"/>
  <c r="AW513" i="1"/>
  <c r="AI513" i="1" s="1"/>
  <c r="AJ513" i="1" s="1"/>
  <c r="AA514" i="1"/>
  <c r="B515" i="1"/>
  <c r="C514" i="1"/>
  <c r="E513" i="1"/>
  <c r="F513" i="1" s="1"/>
  <c r="D513" i="1"/>
  <c r="AC513" i="1"/>
  <c r="BC513" i="1" l="1"/>
  <c r="BD513" i="1" s="1"/>
  <c r="AE513" i="1" s="1"/>
  <c r="BF515" i="1"/>
  <c r="BB514" i="1"/>
  <c r="AO185" i="1"/>
  <c r="AO177" i="1"/>
  <c r="AO193" i="1"/>
  <c r="AQ265" i="1"/>
  <c r="J514" i="1"/>
  <c r="L515" i="1"/>
  <c r="AH264" i="1"/>
  <c r="AG264" i="1"/>
  <c r="AY265" i="1"/>
  <c r="O265" i="1"/>
  <c r="P266" i="1" s="1"/>
  <c r="BE266" i="1" s="1"/>
  <c r="A535" i="7"/>
  <c r="B534" i="7"/>
  <c r="S515" i="1"/>
  <c r="Z517" i="1" s="1"/>
  <c r="K515" i="1"/>
  <c r="AU515" i="1"/>
  <c r="G513" i="1"/>
  <c r="H513" i="1" s="1"/>
  <c r="AC514" i="1"/>
  <c r="D514" i="1"/>
  <c r="E514" i="1"/>
  <c r="F514" i="1" s="1"/>
  <c r="M513" i="1"/>
  <c r="AA515" i="1"/>
  <c r="C515" i="1"/>
  <c r="B516" i="1"/>
  <c r="A515" i="1"/>
  <c r="AK514" i="1"/>
  <c r="AW514" i="1"/>
  <c r="AI514" i="1" s="1"/>
  <c r="AJ514" i="1" s="1"/>
  <c r="BC514" i="1" l="1"/>
  <c r="BD514" i="1" s="1"/>
  <c r="AE514" i="1" s="1"/>
  <c r="BF516" i="1"/>
  <c r="AX265" i="1"/>
  <c r="AC515" i="1"/>
  <c r="BB515" i="1"/>
  <c r="V266" i="1"/>
  <c r="Y266" i="1"/>
  <c r="X266" i="1" s="1"/>
  <c r="AF266" i="1" s="1"/>
  <c r="AP193" i="1"/>
  <c r="AX194" i="1" s="1"/>
  <c r="AP177" i="1"/>
  <c r="AX178" i="1" s="1"/>
  <c r="AP185" i="1"/>
  <c r="AX186" i="1" s="1"/>
  <c r="J515" i="1"/>
  <c r="L516" i="1"/>
  <c r="BA264" i="1"/>
  <c r="AM266" i="1"/>
  <c r="I266" i="1"/>
  <c r="Q266" i="1" s="1"/>
  <c r="N266" i="1"/>
  <c r="AT266" i="1"/>
  <c r="AS266" i="1" s="1"/>
  <c r="A536" i="7"/>
  <c r="B535" i="7"/>
  <c r="S516" i="1"/>
  <c r="Z518" i="1" s="1"/>
  <c r="K516" i="1"/>
  <c r="AU516" i="1"/>
  <c r="G514" i="1"/>
  <c r="H514" i="1" s="1"/>
  <c r="AK515" i="1"/>
  <c r="A516" i="1"/>
  <c r="AW515" i="1"/>
  <c r="AI515" i="1" s="1"/>
  <c r="AJ515" i="1" s="1"/>
  <c r="E515" i="1"/>
  <c r="F515" i="1" s="1"/>
  <c r="D515" i="1"/>
  <c r="M514" i="1"/>
  <c r="AA516" i="1"/>
  <c r="B517" i="1"/>
  <c r="C516" i="1"/>
  <c r="BC515" i="1" l="1"/>
  <c r="BD515" i="1" s="1"/>
  <c r="AE515" i="1" s="1"/>
  <c r="BF517" i="1"/>
  <c r="BB516" i="1"/>
  <c r="AQ266" i="1"/>
  <c r="J516" i="1"/>
  <c r="L517" i="1"/>
  <c r="AH265" i="1"/>
  <c r="AG265" i="1"/>
  <c r="AY266" i="1"/>
  <c r="O266" i="1"/>
  <c r="P267" i="1" s="1"/>
  <c r="BE267" i="1" s="1"/>
  <c r="A537" i="7"/>
  <c r="B536" i="7"/>
  <c r="S517" i="1"/>
  <c r="Z519" i="1" s="1"/>
  <c r="K517" i="1"/>
  <c r="AU517" i="1"/>
  <c r="G515" i="1"/>
  <c r="H515" i="1" s="1"/>
  <c r="E516" i="1"/>
  <c r="F516" i="1" s="1"/>
  <c r="D516" i="1"/>
  <c r="C517" i="1"/>
  <c r="AA517" i="1"/>
  <c r="B518" i="1"/>
  <c r="AC516" i="1"/>
  <c r="AW516" i="1"/>
  <c r="AI516" i="1" s="1"/>
  <c r="AJ516" i="1" s="1"/>
  <c r="A517" i="1"/>
  <c r="AK516" i="1"/>
  <c r="AP516" i="1"/>
  <c r="M515" i="1"/>
  <c r="BC516" i="1" l="1"/>
  <c r="BD516" i="1" s="1"/>
  <c r="AE516" i="1" s="1"/>
  <c r="BF518" i="1"/>
  <c r="BB517" i="1"/>
  <c r="V267" i="1"/>
  <c r="Y267" i="1"/>
  <c r="X267" i="1" s="1"/>
  <c r="AF267" i="1" s="1"/>
  <c r="U186" i="1"/>
  <c r="U194" i="1"/>
  <c r="U178" i="1"/>
  <c r="J517" i="1"/>
  <c r="L518" i="1"/>
  <c r="BA265" i="1"/>
  <c r="N267" i="1"/>
  <c r="I267" i="1"/>
  <c r="Q267" i="1" s="1"/>
  <c r="AM267" i="1"/>
  <c r="AT267" i="1"/>
  <c r="AS267" i="1" s="1"/>
  <c r="A538" i="7"/>
  <c r="B537" i="7"/>
  <c r="S518" i="1"/>
  <c r="Z520" i="1" s="1"/>
  <c r="K518" i="1"/>
  <c r="AU518" i="1"/>
  <c r="C518" i="1"/>
  <c r="AA518" i="1"/>
  <c r="B519" i="1"/>
  <c r="D517" i="1"/>
  <c r="E517" i="1"/>
  <c r="F517" i="1" s="1"/>
  <c r="AK517" i="1"/>
  <c r="A518" i="1"/>
  <c r="AW517" i="1"/>
  <c r="AI517" i="1" s="1"/>
  <c r="AJ517" i="1" s="1"/>
  <c r="M516" i="1"/>
  <c r="AC517" i="1"/>
  <c r="G516" i="1"/>
  <c r="H516" i="1" s="1"/>
  <c r="BC517" i="1" l="1"/>
  <c r="BD517" i="1" s="1"/>
  <c r="AE517" i="1" s="1"/>
  <c r="BF519" i="1"/>
  <c r="AC518" i="1"/>
  <c r="BB518" i="1"/>
  <c r="AL194" i="1"/>
  <c r="AL178" i="1"/>
  <c r="AL186" i="1"/>
  <c r="AQ267" i="1"/>
  <c r="J518" i="1"/>
  <c r="L519" i="1"/>
  <c r="AH266" i="1"/>
  <c r="AG266" i="1"/>
  <c r="AY267" i="1"/>
  <c r="O267" i="1"/>
  <c r="A539" i="7"/>
  <c r="B538" i="7"/>
  <c r="S519" i="1"/>
  <c r="Z521" i="1" s="1"/>
  <c r="K519" i="1"/>
  <c r="AU519" i="1"/>
  <c r="AK518" i="1"/>
  <c r="A519" i="1"/>
  <c r="AW518" i="1"/>
  <c r="AI518" i="1" s="1"/>
  <c r="AJ518" i="1" s="1"/>
  <c r="M517" i="1"/>
  <c r="B520" i="1"/>
  <c r="C519" i="1"/>
  <c r="AA519" i="1"/>
  <c r="G517" i="1"/>
  <c r="H517" i="1" s="1"/>
  <c r="E518" i="1"/>
  <c r="F518" i="1" s="1"/>
  <c r="D518" i="1"/>
  <c r="BC518" i="1" l="1"/>
  <c r="BD518" i="1" s="1"/>
  <c r="AE518" i="1" s="1"/>
  <c r="BF520" i="1"/>
  <c r="BB519" i="1"/>
  <c r="N268" i="1"/>
  <c r="P268" i="1"/>
  <c r="BE268" i="1" s="1"/>
  <c r="AN186" i="1"/>
  <c r="AN194" i="1"/>
  <c r="AN178" i="1"/>
  <c r="J519" i="1"/>
  <c r="L520" i="1"/>
  <c r="BA266" i="1"/>
  <c r="I268" i="1"/>
  <c r="Q268" i="1" s="1"/>
  <c r="AT268" i="1"/>
  <c r="AS268" i="1" s="1"/>
  <c r="AM268" i="1"/>
  <c r="A540" i="7"/>
  <c r="B539" i="7"/>
  <c r="S520" i="1"/>
  <c r="Z522" i="1" s="1"/>
  <c r="K520" i="1"/>
  <c r="AU520" i="1"/>
  <c r="G518" i="1"/>
  <c r="H518" i="1" s="1"/>
  <c r="AC519" i="1"/>
  <c r="C520" i="1"/>
  <c r="B521" i="1"/>
  <c r="AA520" i="1"/>
  <c r="M518" i="1"/>
  <c r="D519" i="1"/>
  <c r="E519" i="1"/>
  <c r="F519" i="1" s="1"/>
  <c r="AW519" i="1"/>
  <c r="AI519" i="1" s="1"/>
  <c r="AJ519" i="1" s="1"/>
  <c r="AK519" i="1"/>
  <c r="A520" i="1"/>
  <c r="BC519" i="1" l="1"/>
  <c r="BD519" i="1" s="1"/>
  <c r="AE519" i="1" s="1"/>
  <c r="BF521" i="1"/>
  <c r="BB520" i="1"/>
  <c r="V268" i="1"/>
  <c r="Y268" i="1"/>
  <c r="X268" i="1" s="1"/>
  <c r="AF268" i="1" s="1"/>
  <c r="AO194" i="1"/>
  <c r="AO186" i="1"/>
  <c r="AO178" i="1"/>
  <c r="AQ268" i="1"/>
  <c r="J520" i="1"/>
  <c r="L521" i="1"/>
  <c r="AH267" i="1"/>
  <c r="AG267" i="1"/>
  <c r="AY268" i="1"/>
  <c r="O268" i="1"/>
  <c r="P269" i="1" s="1"/>
  <c r="BE269" i="1" s="1"/>
  <c r="A541" i="7"/>
  <c r="B540" i="7"/>
  <c r="S521" i="1"/>
  <c r="Z523" i="1" s="1"/>
  <c r="K521" i="1"/>
  <c r="AU521" i="1"/>
  <c r="E520" i="1"/>
  <c r="F520" i="1" s="1"/>
  <c r="D520" i="1"/>
  <c r="AK520" i="1"/>
  <c r="AW520" i="1"/>
  <c r="AI520" i="1" s="1"/>
  <c r="AJ520" i="1" s="1"/>
  <c r="A521" i="1"/>
  <c r="B522" i="1"/>
  <c r="C521" i="1"/>
  <c r="AA521" i="1"/>
  <c r="G519" i="1"/>
  <c r="H519" i="1" s="1"/>
  <c r="AC520" i="1"/>
  <c r="M519" i="1"/>
  <c r="BC520" i="1" l="1"/>
  <c r="BD520" i="1" s="1"/>
  <c r="AE520" i="1" s="1"/>
  <c r="BF522" i="1"/>
  <c r="BB521" i="1"/>
  <c r="V269" i="1"/>
  <c r="Y269" i="1"/>
  <c r="X269" i="1" s="1"/>
  <c r="AF269" i="1" s="1"/>
  <c r="AP194" i="1"/>
  <c r="AX195" i="1" s="1"/>
  <c r="AP178" i="1"/>
  <c r="AX179" i="1" s="1"/>
  <c r="AP186" i="1"/>
  <c r="AX187" i="1" s="1"/>
  <c r="J521" i="1"/>
  <c r="L522" i="1"/>
  <c r="BA267" i="1"/>
  <c r="AM269" i="1"/>
  <c r="AT269" i="1"/>
  <c r="AS269" i="1" s="1"/>
  <c r="I269" i="1"/>
  <c r="Q269" i="1" s="1"/>
  <c r="N269" i="1"/>
  <c r="A542" i="7"/>
  <c r="B541" i="7"/>
  <c r="S522" i="1"/>
  <c r="Z524" i="1" s="1"/>
  <c r="K522" i="1"/>
  <c r="AU522" i="1"/>
  <c r="G520" i="1"/>
  <c r="H520" i="1" s="1"/>
  <c r="D521" i="1"/>
  <c r="E521" i="1"/>
  <c r="F521" i="1" s="1"/>
  <c r="A522" i="1"/>
  <c r="AW521" i="1"/>
  <c r="AI521" i="1" s="1"/>
  <c r="AJ521" i="1" s="1"/>
  <c r="AK521" i="1"/>
  <c r="M520" i="1"/>
  <c r="AC521" i="1"/>
  <c r="B523" i="1"/>
  <c r="C522" i="1"/>
  <c r="AA522" i="1"/>
  <c r="BC521" i="1" l="1"/>
  <c r="BD521" i="1" s="1"/>
  <c r="AE521" i="1" s="1"/>
  <c r="BF523" i="1"/>
  <c r="BB522" i="1"/>
  <c r="AQ269" i="1"/>
  <c r="J522" i="1"/>
  <c r="L523" i="1"/>
  <c r="AH268" i="1"/>
  <c r="AG268" i="1"/>
  <c r="AY269" i="1"/>
  <c r="O269" i="1"/>
  <c r="P270" i="1" s="1"/>
  <c r="BE270" i="1" s="1"/>
  <c r="A543" i="7"/>
  <c r="B542" i="7"/>
  <c r="S523" i="1"/>
  <c r="Z525" i="1" s="1"/>
  <c r="K523" i="1"/>
  <c r="AU523" i="1"/>
  <c r="G521" i="1"/>
  <c r="H521" i="1" s="1"/>
  <c r="M521" i="1"/>
  <c r="E522" i="1"/>
  <c r="F522" i="1" s="1"/>
  <c r="D522" i="1"/>
  <c r="AC522" i="1"/>
  <c r="C523" i="1"/>
  <c r="B524" i="1"/>
  <c r="AA523" i="1"/>
  <c r="A523" i="1"/>
  <c r="AW522" i="1"/>
  <c r="AI522" i="1" s="1"/>
  <c r="AJ522" i="1" s="1"/>
  <c r="AK522" i="1"/>
  <c r="BC522" i="1" l="1"/>
  <c r="BD522" i="1" s="1"/>
  <c r="AE522" i="1" s="1"/>
  <c r="BF524" i="1"/>
  <c r="BB523" i="1"/>
  <c r="V270" i="1"/>
  <c r="Y270" i="1"/>
  <c r="X270" i="1" s="1"/>
  <c r="AF270" i="1" s="1"/>
  <c r="U195" i="1"/>
  <c r="U179" i="1"/>
  <c r="U187" i="1"/>
  <c r="J523" i="1"/>
  <c r="L524" i="1"/>
  <c r="BA268" i="1"/>
  <c r="N270" i="1"/>
  <c r="AM270" i="1"/>
  <c r="I270" i="1"/>
  <c r="Q270" i="1" s="1"/>
  <c r="AT270" i="1"/>
  <c r="AS270" i="1" s="1"/>
  <c r="A544" i="7"/>
  <c r="B543" i="7"/>
  <c r="S524" i="1"/>
  <c r="Z526" i="1" s="1"/>
  <c r="K524" i="1"/>
  <c r="AU524" i="1"/>
  <c r="M522" i="1"/>
  <c r="G522" i="1"/>
  <c r="H522" i="1" s="1"/>
  <c r="AW523" i="1"/>
  <c r="AI523" i="1" s="1"/>
  <c r="AJ523" i="1" s="1"/>
  <c r="AK523" i="1"/>
  <c r="A524" i="1"/>
  <c r="AC523" i="1"/>
  <c r="AA524" i="1"/>
  <c r="B525" i="1"/>
  <c r="C524" i="1"/>
  <c r="E523" i="1"/>
  <c r="F523" i="1" s="1"/>
  <c r="D523" i="1"/>
  <c r="BC523" i="1" l="1"/>
  <c r="BD523" i="1" s="1"/>
  <c r="AE523" i="1" s="1"/>
  <c r="BF525" i="1"/>
  <c r="BB524" i="1"/>
  <c r="AL179" i="1"/>
  <c r="AL195" i="1"/>
  <c r="AL187" i="1"/>
  <c r="AQ270" i="1"/>
  <c r="J524" i="1"/>
  <c r="L525" i="1"/>
  <c r="AH269" i="1"/>
  <c r="AG269" i="1"/>
  <c r="AY270" i="1"/>
  <c r="O270" i="1"/>
  <c r="P271" i="1" s="1"/>
  <c r="BE271" i="1" s="1"/>
  <c r="A545" i="7"/>
  <c r="B544" i="7"/>
  <c r="S525" i="1"/>
  <c r="Z527" i="1" s="1"/>
  <c r="K525" i="1"/>
  <c r="AU525" i="1"/>
  <c r="E524" i="1"/>
  <c r="F524" i="1" s="1"/>
  <c r="D524" i="1"/>
  <c r="B526" i="1"/>
  <c r="C525" i="1"/>
  <c r="AA525" i="1"/>
  <c r="AW524" i="1"/>
  <c r="AI524" i="1" s="1"/>
  <c r="AJ524" i="1" s="1"/>
  <c r="A525" i="1"/>
  <c r="AK524" i="1"/>
  <c r="AC524" i="1"/>
  <c r="G523" i="1"/>
  <c r="H523" i="1" s="1"/>
  <c r="M523" i="1"/>
  <c r="BC524" i="1" l="1"/>
  <c r="BD524" i="1" s="1"/>
  <c r="AE524" i="1" s="1"/>
  <c r="BF526" i="1"/>
  <c r="BB525" i="1"/>
  <c r="AC525" i="1"/>
  <c r="V271" i="1"/>
  <c r="Y271" i="1"/>
  <c r="X271" i="1" s="1"/>
  <c r="AF271" i="1" s="1"/>
  <c r="AN187" i="1"/>
  <c r="AN179" i="1"/>
  <c r="AN195" i="1"/>
  <c r="J525" i="1"/>
  <c r="L526" i="1"/>
  <c r="BA269" i="1"/>
  <c r="N271" i="1"/>
  <c r="AT271" i="1"/>
  <c r="AS271" i="1" s="1"/>
  <c r="AM271" i="1"/>
  <c r="I271" i="1"/>
  <c r="Q271" i="1" s="1"/>
  <c r="A546" i="7"/>
  <c r="B545" i="7"/>
  <c r="S526" i="1"/>
  <c r="Z528" i="1" s="1"/>
  <c r="K526" i="1"/>
  <c r="AU526" i="1"/>
  <c r="D525" i="1"/>
  <c r="E525" i="1"/>
  <c r="F525" i="1" s="1"/>
  <c r="C526" i="1"/>
  <c r="B527" i="1"/>
  <c r="AA526" i="1"/>
  <c r="G524" i="1"/>
  <c r="H524" i="1" s="1"/>
  <c r="A526" i="1"/>
  <c r="AW525" i="1"/>
  <c r="AI525" i="1" s="1"/>
  <c r="AJ525" i="1" s="1"/>
  <c r="AK525" i="1"/>
  <c r="M524" i="1"/>
  <c r="BC525" i="1" l="1"/>
  <c r="BD525" i="1" s="1"/>
  <c r="AE525" i="1" s="1"/>
  <c r="BF527" i="1"/>
  <c r="BB526" i="1"/>
  <c r="AO195" i="1"/>
  <c r="AO179" i="1"/>
  <c r="AO187" i="1"/>
  <c r="AQ271" i="1"/>
  <c r="J526" i="1"/>
  <c r="AH270" i="1"/>
  <c r="AG270" i="1"/>
  <c r="L527" i="1"/>
  <c r="AY271" i="1"/>
  <c r="O271" i="1"/>
  <c r="P272" i="1" s="1"/>
  <c r="BE272" i="1" s="1"/>
  <c r="A547" i="7"/>
  <c r="B546" i="7"/>
  <c r="S527" i="1"/>
  <c r="Z529" i="1" s="1"/>
  <c r="K527" i="1"/>
  <c r="AU527" i="1"/>
  <c r="G525" i="1"/>
  <c r="H525" i="1" s="1"/>
  <c r="AK526" i="1"/>
  <c r="AW526" i="1"/>
  <c r="AI526" i="1" s="1"/>
  <c r="AJ526" i="1" s="1"/>
  <c r="A527" i="1"/>
  <c r="AA527" i="1"/>
  <c r="B528" i="1"/>
  <c r="C527" i="1"/>
  <c r="AC526" i="1"/>
  <c r="E526" i="1"/>
  <c r="F526" i="1" s="1"/>
  <c r="D526" i="1"/>
  <c r="M525" i="1"/>
  <c r="BC526" i="1" l="1"/>
  <c r="BD526" i="1" s="1"/>
  <c r="AE526" i="1" s="1"/>
  <c r="BF528" i="1"/>
  <c r="BB527" i="1"/>
  <c r="V272" i="1"/>
  <c r="Y272" i="1"/>
  <c r="X272" i="1" s="1"/>
  <c r="AF272" i="1" s="1"/>
  <c r="AP195" i="1"/>
  <c r="AX196" i="1" s="1"/>
  <c r="AP187" i="1"/>
  <c r="AX188" i="1" s="1"/>
  <c r="AP179" i="1"/>
  <c r="AX180" i="1" s="1"/>
  <c r="J527" i="1"/>
  <c r="L528" i="1"/>
  <c r="AG271" i="1"/>
  <c r="BA270" i="1"/>
  <c r="AT272" i="1"/>
  <c r="AS272" i="1" s="1"/>
  <c r="AM272" i="1"/>
  <c r="I272" i="1"/>
  <c r="Q272" i="1" s="1"/>
  <c r="N272" i="1"/>
  <c r="A548" i="7"/>
  <c r="B547" i="7"/>
  <c r="S528" i="1"/>
  <c r="Z530" i="1" s="1"/>
  <c r="K528" i="1"/>
  <c r="AU528" i="1"/>
  <c r="G526" i="1"/>
  <c r="H526" i="1" s="1"/>
  <c r="AC527" i="1"/>
  <c r="E527" i="1"/>
  <c r="F527" i="1" s="1"/>
  <c r="D527" i="1"/>
  <c r="AK527" i="1"/>
  <c r="A528" i="1"/>
  <c r="AW527" i="1"/>
  <c r="AI527" i="1" s="1"/>
  <c r="AJ527" i="1" s="1"/>
  <c r="M526" i="1"/>
  <c r="AA528" i="1"/>
  <c r="B529" i="1"/>
  <c r="C528" i="1"/>
  <c r="BC527" i="1" l="1"/>
  <c r="BD527" i="1" s="1"/>
  <c r="AE527" i="1" s="1"/>
  <c r="BF529" i="1"/>
  <c r="BB528" i="1"/>
  <c r="U180" i="1"/>
  <c r="AQ272" i="1"/>
  <c r="J528" i="1"/>
  <c r="L529" i="1"/>
  <c r="AY272" i="1"/>
  <c r="AH271" i="1"/>
  <c r="O272" i="1"/>
  <c r="P273" i="1" s="1"/>
  <c r="BE273" i="1" s="1"/>
  <c r="A549" i="7"/>
  <c r="B548" i="7"/>
  <c r="S529" i="1"/>
  <c r="Z531" i="1" s="1"/>
  <c r="K529" i="1"/>
  <c r="AU529" i="1"/>
  <c r="G527" i="1"/>
  <c r="H527" i="1" s="1"/>
  <c r="D528" i="1"/>
  <c r="E528" i="1"/>
  <c r="F528" i="1" s="1"/>
  <c r="AK528" i="1"/>
  <c r="A529" i="1"/>
  <c r="AW528" i="1"/>
  <c r="AI528" i="1" s="1"/>
  <c r="AJ528" i="1" s="1"/>
  <c r="AP528" i="1"/>
  <c r="B530" i="1"/>
  <c r="C529" i="1"/>
  <c r="AA529" i="1"/>
  <c r="M527" i="1"/>
  <c r="AC528" i="1"/>
  <c r="BC528" i="1" l="1"/>
  <c r="BD528" i="1" s="1"/>
  <c r="AE528" i="1" s="1"/>
  <c r="BF530" i="1"/>
  <c r="AC529" i="1"/>
  <c r="BB529" i="1"/>
  <c r="V273" i="1"/>
  <c r="Y273" i="1"/>
  <c r="X273" i="1" s="1"/>
  <c r="AF273" i="1" s="1"/>
  <c r="U188" i="1"/>
  <c r="U196" i="1"/>
  <c r="J529" i="1"/>
  <c r="L530" i="1"/>
  <c r="BA271" i="1"/>
  <c r="AT273" i="1"/>
  <c r="AS273" i="1" s="1"/>
  <c r="N273" i="1"/>
  <c r="AM273" i="1"/>
  <c r="I273" i="1"/>
  <c r="Q273" i="1" s="1"/>
  <c r="A550" i="7"/>
  <c r="B549" i="7"/>
  <c r="S530" i="1"/>
  <c r="Z532" i="1" s="1"/>
  <c r="K530" i="1"/>
  <c r="AU530" i="1"/>
  <c r="M528" i="1"/>
  <c r="C530" i="1"/>
  <c r="B531" i="1"/>
  <c r="AA530" i="1"/>
  <c r="G528" i="1"/>
  <c r="H528" i="1" s="1"/>
  <c r="D529" i="1"/>
  <c r="E529" i="1"/>
  <c r="F529" i="1" s="1"/>
  <c r="AK529" i="1"/>
  <c r="A530" i="1"/>
  <c r="AW529" i="1"/>
  <c r="AI529" i="1" s="1"/>
  <c r="AJ529" i="1" s="1"/>
  <c r="BC529" i="1" l="1"/>
  <c r="BD529" i="1" s="1"/>
  <c r="AE529" i="1" s="1"/>
  <c r="BF531" i="1"/>
  <c r="BB530" i="1"/>
  <c r="AL188" i="1"/>
  <c r="AL196" i="1"/>
  <c r="AL180" i="1"/>
  <c r="AQ273" i="1"/>
  <c r="J530" i="1"/>
  <c r="L531" i="1"/>
  <c r="AH272" i="1"/>
  <c r="AG272" i="1"/>
  <c r="AY273" i="1"/>
  <c r="O273" i="1"/>
  <c r="P274" i="1" s="1"/>
  <c r="BE274" i="1" s="1"/>
  <c r="A551" i="7"/>
  <c r="B550" i="7"/>
  <c r="S531" i="1"/>
  <c r="Z533" i="1" s="1"/>
  <c r="K531" i="1"/>
  <c r="AU531" i="1"/>
  <c r="AC530" i="1"/>
  <c r="AA531" i="1"/>
  <c r="B532" i="1"/>
  <c r="C531" i="1"/>
  <c r="G529" i="1"/>
  <c r="H529" i="1" s="1"/>
  <c r="AK530" i="1"/>
  <c r="A531" i="1"/>
  <c r="AW530" i="1"/>
  <c r="AI530" i="1" s="1"/>
  <c r="AJ530" i="1" s="1"/>
  <c r="D530" i="1"/>
  <c r="E530" i="1"/>
  <c r="F530" i="1" s="1"/>
  <c r="M529" i="1"/>
  <c r="BC530" i="1" l="1"/>
  <c r="BD530" i="1" s="1"/>
  <c r="AE530" i="1" s="1"/>
  <c r="BF532" i="1"/>
  <c r="BB531" i="1"/>
  <c r="V274" i="1"/>
  <c r="Y274" i="1"/>
  <c r="X274" i="1" s="1"/>
  <c r="AF274" i="1" s="1"/>
  <c r="AN180" i="1"/>
  <c r="AN188" i="1"/>
  <c r="AN196" i="1"/>
  <c r="J531" i="1"/>
  <c r="L532" i="1"/>
  <c r="AG273" i="1"/>
  <c r="BA272" i="1"/>
  <c r="AT274" i="1"/>
  <c r="AS274" i="1" s="1"/>
  <c r="N274" i="1"/>
  <c r="I274" i="1"/>
  <c r="Q274" i="1" s="1"/>
  <c r="AM274" i="1"/>
  <c r="A552" i="7"/>
  <c r="B551" i="7"/>
  <c r="S532" i="1"/>
  <c r="Z534" i="1" s="1"/>
  <c r="K532" i="1"/>
  <c r="AU532" i="1"/>
  <c r="D531" i="1"/>
  <c r="E531" i="1"/>
  <c r="F531" i="1" s="1"/>
  <c r="M530" i="1"/>
  <c r="G530" i="1"/>
  <c r="H530" i="1" s="1"/>
  <c r="AA532" i="1"/>
  <c r="B533" i="1"/>
  <c r="C532" i="1"/>
  <c r="AK531" i="1"/>
  <c r="A532" i="1"/>
  <c r="AW531" i="1"/>
  <c r="AI531" i="1" s="1"/>
  <c r="AJ531" i="1" s="1"/>
  <c r="AC531" i="1"/>
  <c r="BC531" i="1" l="1"/>
  <c r="BD531" i="1" s="1"/>
  <c r="AE531" i="1" s="1"/>
  <c r="BF533" i="1"/>
  <c r="BB532" i="1"/>
  <c r="AO196" i="1"/>
  <c r="AO188" i="1"/>
  <c r="AO180" i="1"/>
  <c r="AQ274" i="1"/>
  <c r="J532" i="1"/>
  <c r="L533" i="1"/>
  <c r="AY274" i="1"/>
  <c r="AH273" i="1"/>
  <c r="O274" i="1"/>
  <c r="A553" i="7"/>
  <c r="B552" i="7"/>
  <c r="S533" i="1"/>
  <c r="Z535" i="1" s="1"/>
  <c r="K533" i="1"/>
  <c r="AU533" i="1"/>
  <c r="M531" i="1"/>
  <c r="G531" i="1"/>
  <c r="H531" i="1" s="1"/>
  <c r="E532" i="1"/>
  <c r="F532" i="1" s="1"/>
  <c r="D532" i="1"/>
  <c r="A533" i="1"/>
  <c r="AK532" i="1"/>
  <c r="AW532" i="1"/>
  <c r="AI532" i="1" s="1"/>
  <c r="AJ532" i="1" s="1"/>
  <c r="AA533" i="1"/>
  <c r="C533" i="1"/>
  <c r="B534" i="1"/>
  <c r="AC532" i="1"/>
  <c r="BC532" i="1" l="1"/>
  <c r="BD532" i="1" s="1"/>
  <c r="AE532" i="1" s="1"/>
  <c r="BF534" i="1"/>
  <c r="BB533" i="1"/>
  <c r="I275" i="1"/>
  <c r="Q275" i="1" s="1"/>
  <c r="P275" i="1"/>
  <c r="BE275" i="1" s="1"/>
  <c r="AP188" i="1"/>
  <c r="AX189" i="1" s="1"/>
  <c r="AP196" i="1"/>
  <c r="AX197" i="1" s="1"/>
  <c r="J533" i="1"/>
  <c r="L534" i="1"/>
  <c r="BA273" i="1"/>
  <c r="N275" i="1"/>
  <c r="AM275" i="1"/>
  <c r="AT275" i="1"/>
  <c r="AS275" i="1" s="1"/>
  <c r="A554" i="7"/>
  <c r="B553" i="7"/>
  <c r="S534" i="1"/>
  <c r="Z536" i="1" s="1"/>
  <c r="K534" i="1"/>
  <c r="AU534" i="1"/>
  <c r="AC533" i="1"/>
  <c r="D533" i="1"/>
  <c r="E533" i="1"/>
  <c r="F533" i="1" s="1"/>
  <c r="A534" i="1"/>
  <c r="AW533" i="1"/>
  <c r="AI533" i="1" s="1"/>
  <c r="AJ533" i="1" s="1"/>
  <c r="AK533" i="1"/>
  <c r="AA534" i="1"/>
  <c r="C534" i="1"/>
  <c r="B535" i="1"/>
  <c r="M532" i="1"/>
  <c r="G532" i="1"/>
  <c r="H532" i="1" s="1"/>
  <c r="BC533" i="1" l="1"/>
  <c r="BD533" i="1" s="1"/>
  <c r="AE533" i="1" s="1"/>
  <c r="BF535" i="1"/>
  <c r="AC534" i="1"/>
  <c r="BB534" i="1"/>
  <c r="V275" i="1"/>
  <c r="Y275" i="1"/>
  <c r="X275" i="1" s="1"/>
  <c r="AF275" i="1" s="1"/>
  <c r="AQ275" i="1"/>
  <c r="J534" i="1"/>
  <c r="AH274" i="1"/>
  <c r="AG274" i="1"/>
  <c r="L535" i="1"/>
  <c r="AY275" i="1"/>
  <c r="O275" i="1"/>
  <c r="A555" i="7"/>
  <c r="B554" i="7"/>
  <c r="S535" i="1"/>
  <c r="Z537" i="1" s="1"/>
  <c r="K535" i="1"/>
  <c r="AU535" i="1"/>
  <c r="D534" i="1"/>
  <c r="E534" i="1"/>
  <c r="F534" i="1" s="1"/>
  <c r="G533" i="1"/>
  <c r="H533" i="1" s="1"/>
  <c r="A535" i="1"/>
  <c r="AW534" i="1"/>
  <c r="AI534" i="1" s="1"/>
  <c r="AJ534" i="1" s="1"/>
  <c r="AK534" i="1"/>
  <c r="B536" i="1"/>
  <c r="AA535" i="1"/>
  <c r="C535" i="1"/>
  <c r="M533" i="1"/>
  <c r="BC534" i="1" l="1"/>
  <c r="BD534" i="1" s="1"/>
  <c r="AE534" i="1" s="1"/>
  <c r="BF536" i="1"/>
  <c r="BB535" i="1"/>
  <c r="AC535" i="1"/>
  <c r="AM276" i="1"/>
  <c r="P276" i="1"/>
  <c r="BE276" i="1" s="1"/>
  <c r="U189" i="1"/>
  <c r="U197" i="1"/>
  <c r="J535" i="1"/>
  <c r="L536" i="1"/>
  <c r="BA274" i="1"/>
  <c r="AT276" i="1"/>
  <c r="AS276" i="1" s="1"/>
  <c r="I276" i="1"/>
  <c r="Q276" i="1" s="1"/>
  <c r="N276" i="1"/>
  <c r="A556" i="7"/>
  <c r="B555" i="7"/>
  <c r="S536" i="1"/>
  <c r="Z538" i="1" s="1"/>
  <c r="K536" i="1"/>
  <c r="AU536" i="1"/>
  <c r="M534" i="1"/>
  <c r="E535" i="1"/>
  <c r="F535" i="1" s="1"/>
  <c r="D535" i="1"/>
  <c r="A536" i="1"/>
  <c r="AK535" i="1"/>
  <c r="AW535" i="1"/>
  <c r="AI535" i="1" s="1"/>
  <c r="AJ535" i="1" s="1"/>
  <c r="G534" i="1"/>
  <c r="H534" i="1" s="1"/>
  <c r="AA536" i="1"/>
  <c r="C536" i="1"/>
  <c r="B537" i="1"/>
  <c r="U205" i="1"/>
  <c r="BC535" i="1" l="1"/>
  <c r="BD535" i="1" s="1"/>
  <c r="AE535" i="1" s="1"/>
  <c r="BF537" i="1"/>
  <c r="BB536" i="1"/>
  <c r="V276" i="1"/>
  <c r="Y276" i="1"/>
  <c r="X276" i="1" s="1"/>
  <c r="AF276" i="1" s="1"/>
  <c r="AL197" i="1"/>
  <c r="AL205" i="1"/>
  <c r="AL189" i="1"/>
  <c r="AQ276" i="1"/>
  <c r="J536" i="1"/>
  <c r="L537" i="1"/>
  <c r="AH275" i="1"/>
  <c r="AG275" i="1"/>
  <c r="AY276" i="1"/>
  <c r="O276" i="1"/>
  <c r="P277" i="1" s="1"/>
  <c r="BE277" i="1" s="1"/>
  <c r="A557" i="7"/>
  <c r="B556" i="7"/>
  <c r="S537" i="1"/>
  <c r="Z539" i="1" s="1"/>
  <c r="K537" i="1"/>
  <c r="AU537" i="1"/>
  <c r="G535" i="1"/>
  <c r="H535" i="1" s="1"/>
  <c r="E536" i="1"/>
  <c r="F536" i="1" s="1"/>
  <c r="D536" i="1"/>
  <c r="C537" i="1"/>
  <c r="AA537" i="1"/>
  <c r="B538" i="1"/>
  <c r="AC536" i="1"/>
  <c r="M535" i="1"/>
  <c r="AK536" i="1"/>
  <c r="AW536" i="1"/>
  <c r="AI536" i="1" s="1"/>
  <c r="AJ536" i="1" s="1"/>
  <c r="A537" i="1"/>
  <c r="BC536" i="1" l="1"/>
  <c r="BD536" i="1" s="1"/>
  <c r="AE536" i="1" s="1"/>
  <c r="BF538" i="1"/>
  <c r="BB537" i="1"/>
  <c r="V277" i="1"/>
  <c r="Y277" i="1"/>
  <c r="X277" i="1" s="1"/>
  <c r="AF277" i="1" s="1"/>
  <c r="AN189" i="1"/>
  <c r="AN197" i="1"/>
  <c r="AN205" i="1"/>
  <c r="J537" i="1"/>
  <c r="L538" i="1"/>
  <c r="BA275" i="1"/>
  <c r="I277" i="1"/>
  <c r="Q277" i="1" s="1"/>
  <c r="N277" i="1"/>
  <c r="AM277" i="1"/>
  <c r="AT277" i="1"/>
  <c r="AS277" i="1" s="1"/>
  <c r="A558" i="7"/>
  <c r="B557" i="7"/>
  <c r="S538" i="1"/>
  <c r="Z540" i="1" s="1"/>
  <c r="K538" i="1"/>
  <c r="AU538" i="1"/>
  <c r="E537" i="1"/>
  <c r="F537" i="1" s="1"/>
  <c r="D537" i="1"/>
  <c r="M536" i="1"/>
  <c r="C538" i="1"/>
  <c r="B539" i="1"/>
  <c r="AA538" i="1"/>
  <c r="AW537" i="1"/>
  <c r="AI537" i="1" s="1"/>
  <c r="AJ537" i="1" s="1"/>
  <c r="A538" i="1"/>
  <c r="AK537" i="1"/>
  <c r="AC537" i="1"/>
  <c r="G536" i="1"/>
  <c r="H536" i="1" s="1"/>
  <c r="BC537" i="1" l="1"/>
  <c r="BD537" i="1" s="1"/>
  <c r="AE537" i="1" s="1"/>
  <c r="BF539" i="1"/>
  <c r="BB538" i="1"/>
  <c r="AO189" i="1"/>
  <c r="AO197" i="1"/>
  <c r="AO205" i="1"/>
  <c r="AQ277" i="1"/>
  <c r="J538" i="1"/>
  <c r="AH276" i="1"/>
  <c r="AG276" i="1"/>
  <c r="L539" i="1"/>
  <c r="AY277" i="1"/>
  <c r="O277" i="1"/>
  <c r="A559" i="7"/>
  <c r="B558" i="7"/>
  <c r="S539" i="1"/>
  <c r="Z541" i="1" s="1"/>
  <c r="K539" i="1"/>
  <c r="AU539" i="1"/>
  <c r="M537" i="1"/>
  <c r="D538" i="1"/>
  <c r="E538" i="1"/>
  <c r="F538" i="1" s="1"/>
  <c r="AC538" i="1"/>
  <c r="G537" i="1"/>
  <c r="H537" i="1" s="1"/>
  <c r="B540" i="1"/>
  <c r="C539" i="1"/>
  <c r="AA539" i="1"/>
  <c r="AK538" i="1"/>
  <c r="AW538" i="1"/>
  <c r="AI538" i="1" s="1"/>
  <c r="AJ538" i="1" s="1"/>
  <c r="A539" i="1"/>
  <c r="BC538" i="1" l="1"/>
  <c r="BD538" i="1" s="1"/>
  <c r="AE538" i="1" s="1"/>
  <c r="BF540" i="1"/>
  <c r="AX277" i="1"/>
  <c r="BB539" i="1"/>
  <c r="P278" i="1"/>
  <c r="BE278" i="1" s="1"/>
  <c r="AP205" i="1"/>
  <c r="AX206" i="1" s="1"/>
  <c r="AP189" i="1"/>
  <c r="AX190" i="1" s="1"/>
  <c r="AP197" i="1"/>
  <c r="AX198" i="1" s="1"/>
  <c r="J539" i="1"/>
  <c r="L540" i="1"/>
  <c r="BA276" i="1"/>
  <c r="AT278" i="1"/>
  <c r="AS278" i="1" s="1"/>
  <c r="I278" i="1"/>
  <c r="Q278" i="1" s="1"/>
  <c r="N278" i="1"/>
  <c r="AM278" i="1"/>
  <c r="A560" i="7"/>
  <c r="B559" i="7"/>
  <c r="S540" i="1"/>
  <c r="Z542" i="1" s="1"/>
  <c r="K540" i="1"/>
  <c r="AU540" i="1"/>
  <c r="M538" i="1"/>
  <c r="D539" i="1"/>
  <c r="E539" i="1"/>
  <c r="F539" i="1" s="1"/>
  <c r="G538" i="1"/>
  <c r="H538" i="1" s="1"/>
  <c r="AC539" i="1"/>
  <c r="B541" i="1"/>
  <c r="AA540" i="1"/>
  <c r="C540" i="1"/>
  <c r="A540" i="1"/>
  <c r="AK539" i="1"/>
  <c r="AW539" i="1"/>
  <c r="AI539" i="1" s="1"/>
  <c r="AJ539" i="1" s="1"/>
  <c r="BC539" i="1" l="1"/>
  <c r="BD539" i="1" s="1"/>
  <c r="AE539" i="1" s="1"/>
  <c r="BF541" i="1"/>
  <c r="BB540" i="1"/>
  <c r="V278" i="1"/>
  <c r="Y278" i="1"/>
  <c r="X278" i="1" s="1"/>
  <c r="AF278" i="1" s="1"/>
  <c r="AQ278" i="1"/>
  <c r="AY278" i="1"/>
  <c r="J540" i="1"/>
  <c r="AH277" i="1"/>
  <c r="AG277" i="1"/>
  <c r="L541" i="1"/>
  <c r="O278" i="1"/>
  <c r="A561" i="7"/>
  <c r="B560" i="7"/>
  <c r="S541" i="1"/>
  <c r="Z543" i="1" s="1"/>
  <c r="K541" i="1"/>
  <c r="AU541" i="1"/>
  <c r="AW540" i="1"/>
  <c r="AI540" i="1" s="1"/>
  <c r="AJ540" i="1" s="1"/>
  <c r="A541" i="1"/>
  <c r="AP540" i="1"/>
  <c r="AK540" i="1"/>
  <c r="D540" i="1"/>
  <c r="E540" i="1"/>
  <c r="F540" i="1" s="1"/>
  <c r="AC540" i="1"/>
  <c r="M539" i="1"/>
  <c r="G539" i="1"/>
  <c r="H539" i="1" s="1"/>
  <c r="AA541" i="1"/>
  <c r="C541" i="1"/>
  <c r="B542" i="1"/>
  <c r="BC540" i="1" l="1"/>
  <c r="BD540" i="1" s="1"/>
  <c r="AE540" i="1" s="1"/>
  <c r="BF542" i="1"/>
  <c r="BB541" i="1"/>
  <c r="P279" i="1"/>
  <c r="BE279" i="1" s="1"/>
  <c r="U206" i="1"/>
  <c r="U198" i="1"/>
  <c r="U190" i="1"/>
  <c r="J541" i="1"/>
  <c r="L542" i="1"/>
  <c r="BA277" i="1"/>
  <c r="AT279" i="1"/>
  <c r="AS279" i="1" s="1"/>
  <c r="AM279" i="1"/>
  <c r="I279" i="1"/>
  <c r="Q279" i="1" s="1"/>
  <c r="N279" i="1"/>
  <c r="A562" i="7"/>
  <c r="B561" i="7"/>
  <c r="S542" i="1"/>
  <c r="Z544" i="1" s="1"/>
  <c r="K542" i="1"/>
  <c r="AU542" i="1"/>
  <c r="AA542" i="1"/>
  <c r="B543" i="1"/>
  <c r="C542" i="1"/>
  <c r="E541" i="1"/>
  <c r="F541" i="1" s="1"/>
  <c r="D541" i="1"/>
  <c r="AC541" i="1"/>
  <c r="AW541" i="1"/>
  <c r="AI541" i="1" s="1"/>
  <c r="AJ541" i="1" s="1"/>
  <c r="AK541" i="1"/>
  <c r="A542" i="1"/>
  <c r="M540" i="1"/>
  <c r="G540" i="1"/>
  <c r="H540" i="1" s="1"/>
  <c r="BC541" i="1" l="1"/>
  <c r="BD541" i="1" s="1"/>
  <c r="AE541" i="1" s="1"/>
  <c r="BF543" i="1"/>
  <c r="BB542" i="1"/>
  <c r="V279" i="1"/>
  <c r="Y279" i="1"/>
  <c r="X279" i="1" s="1"/>
  <c r="AF279" i="1" s="1"/>
  <c r="AQ279" i="1"/>
  <c r="AG278" i="1"/>
  <c r="AH278" i="1"/>
  <c r="AY279" i="1"/>
  <c r="AL198" i="1"/>
  <c r="AL190" i="1"/>
  <c r="AL206" i="1"/>
  <c r="J542" i="1"/>
  <c r="L543" i="1"/>
  <c r="O279" i="1"/>
  <c r="A563" i="7"/>
  <c r="B562" i="7"/>
  <c r="S543" i="1"/>
  <c r="Z545" i="1" s="1"/>
  <c r="K543" i="1"/>
  <c r="AU543" i="1"/>
  <c r="D542" i="1"/>
  <c r="E542" i="1"/>
  <c r="F542" i="1" s="1"/>
  <c r="B544" i="1"/>
  <c r="AA543" i="1"/>
  <c r="C543" i="1"/>
  <c r="M541" i="1"/>
  <c r="G541" i="1"/>
  <c r="H541" i="1" s="1"/>
  <c r="AC542" i="1"/>
  <c r="A543" i="1"/>
  <c r="AW542" i="1"/>
  <c r="AI542" i="1" s="1"/>
  <c r="AJ542" i="1" s="1"/>
  <c r="AK542" i="1"/>
  <c r="BC542" i="1" l="1"/>
  <c r="BD542" i="1" s="1"/>
  <c r="AE542" i="1" s="1"/>
  <c r="BF544" i="1"/>
  <c r="BB543" i="1"/>
  <c r="BA278" i="1"/>
  <c r="N280" i="1"/>
  <c r="P280" i="1"/>
  <c r="BE280" i="1" s="1"/>
  <c r="AN206" i="1"/>
  <c r="AN198" i="1"/>
  <c r="AN190" i="1"/>
  <c r="J543" i="1"/>
  <c r="L544" i="1"/>
  <c r="AM280" i="1"/>
  <c r="AT280" i="1"/>
  <c r="AS280" i="1" s="1"/>
  <c r="I280" i="1"/>
  <c r="Q280" i="1" s="1"/>
  <c r="A564" i="7"/>
  <c r="B563" i="7"/>
  <c r="S544" i="1"/>
  <c r="Z546" i="1" s="1"/>
  <c r="K544" i="1"/>
  <c r="AU544" i="1"/>
  <c r="AA544" i="1"/>
  <c r="C544" i="1"/>
  <c r="B545" i="1"/>
  <c r="AK543" i="1"/>
  <c r="AW543" i="1"/>
  <c r="AI543" i="1" s="1"/>
  <c r="AJ543" i="1" s="1"/>
  <c r="A544" i="1"/>
  <c r="M542" i="1"/>
  <c r="G542" i="1"/>
  <c r="H542" i="1" s="1"/>
  <c r="E543" i="1"/>
  <c r="F543" i="1" s="1"/>
  <c r="D543" i="1"/>
  <c r="AC543" i="1"/>
  <c r="BC543" i="1" l="1"/>
  <c r="BD543" i="1" s="1"/>
  <c r="AE543" i="1" s="1"/>
  <c r="BF545" i="1"/>
  <c r="BB544" i="1"/>
  <c r="V280" i="1"/>
  <c r="Y280" i="1"/>
  <c r="X280" i="1" s="1"/>
  <c r="AF280" i="1" s="1"/>
  <c r="AH279" i="1"/>
  <c r="AG279" i="1"/>
  <c r="AO198" i="1"/>
  <c r="AO206" i="1"/>
  <c r="AO190" i="1"/>
  <c r="AQ280" i="1"/>
  <c r="J544" i="1"/>
  <c r="L545" i="1"/>
  <c r="AY280" i="1"/>
  <c r="O280" i="1"/>
  <c r="A565" i="7"/>
  <c r="B564" i="7"/>
  <c r="S545" i="1"/>
  <c r="Z547" i="1" s="1"/>
  <c r="K545" i="1"/>
  <c r="AU545" i="1"/>
  <c r="AK544" i="1"/>
  <c r="A545" i="1"/>
  <c r="AW544" i="1"/>
  <c r="AI544" i="1" s="1"/>
  <c r="AJ544" i="1" s="1"/>
  <c r="G543" i="1"/>
  <c r="H543" i="1" s="1"/>
  <c r="D544" i="1"/>
  <c r="E544" i="1"/>
  <c r="F544" i="1" s="1"/>
  <c r="AA545" i="1"/>
  <c r="C545" i="1"/>
  <c r="B546" i="1"/>
  <c r="M543" i="1"/>
  <c r="AC544" i="1"/>
  <c r="BC544" i="1" l="1"/>
  <c r="BD544" i="1" s="1"/>
  <c r="AE544" i="1" s="1"/>
  <c r="BF546" i="1"/>
  <c r="BB545" i="1"/>
  <c r="BA279" i="1"/>
  <c r="AM281" i="1"/>
  <c r="P281" i="1"/>
  <c r="BE281" i="1" s="1"/>
  <c r="AP190" i="1"/>
  <c r="AX191" i="1" s="1"/>
  <c r="AP198" i="1"/>
  <c r="AX199" i="1" s="1"/>
  <c r="AP206" i="1"/>
  <c r="AX207" i="1" s="1"/>
  <c r="J545" i="1"/>
  <c r="L546" i="1"/>
  <c r="I281" i="1"/>
  <c r="Q281" i="1" s="1"/>
  <c r="N281" i="1"/>
  <c r="AT281" i="1"/>
  <c r="AS281" i="1" s="1"/>
  <c r="A566" i="7"/>
  <c r="B565" i="7"/>
  <c r="S546" i="1"/>
  <c r="Z548" i="1" s="1"/>
  <c r="K546" i="1"/>
  <c r="AU546" i="1"/>
  <c r="M544" i="1"/>
  <c r="B547" i="1"/>
  <c r="C546" i="1"/>
  <c r="AA546" i="1"/>
  <c r="E545" i="1"/>
  <c r="F545" i="1" s="1"/>
  <c r="D545" i="1"/>
  <c r="AC545" i="1"/>
  <c r="G544" i="1"/>
  <c r="H544" i="1" s="1"/>
  <c r="AK545" i="1"/>
  <c r="A546" i="1"/>
  <c r="AW545" i="1"/>
  <c r="AI545" i="1" s="1"/>
  <c r="AJ545" i="1" s="1"/>
  <c r="BC545" i="1" l="1"/>
  <c r="BD545" i="1" s="1"/>
  <c r="AE545" i="1" s="1"/>
  <c r="BF547" i="1"/>
  <c r="BB546" i="1"/>
  <c r="V281" i="1"/>
  <c r="Y281" i="1"/>
  <c r="X281" i="1" s="1"/>
  <c r="AF281" i="1" s="1"/>
  <c r="AQ281" i="1"/>
  <c r="J546" i="1"/>
  <c r="AH280" i="1"/>
  <c r="AG280" i="1"/>
  <c r="L547" i="1"/>
  <c r="AY281" i="1"/>
  <c r="O281" i="1"/>
  <c r="A567" i="7"/>
  <c r="B566" i="7"/>
  <c r="S547" i="1"/>
  <c r="Z549" i="1" s="1"/>
  <c r="K547" i="1"/>
  <c r="AU547" i="1"/>
  <c r="AA547" i="1"/>
  <c r="C547" i="1"/>
  <c r="B548" i="1"/>
  <c r="AK546" i="1"/>
  <c r="A547" i="1"/>
  <c r="AW546" i="1"/>
  <c r="AI546" i="1" s="1"/>
  <c r="AJ546" i="1" s="1"/>
  <c r="E546" i="1"/>
  <c r="F546" i="1" s="1"/>
  <c r="D546" i="1"/>
  <c r="AC546" i="1"/>
  <c r="G545" i="1"/>
  <c r="H545" i="1" s="1"/>
  <c r="M545" i="1"/>
  <c r="BC546" i="1" l="1"/>
  <c r="BD546" i="1" s="1"/>
  <c r="AE546" i="1" s="1"/>
  <c r="BF548" i="1"/>
  <c r="BB547" i="1"/>
  <c r="AT282" i="1"/>
  <c r="AS282" i="1" s="1"/>
  <c r="P282" i="1"/>
  <c r="BE282" i="1" s="1"/>
  <c r="U207" i="1"/>
  <c r="U191" i="1"/>
  <c r="U199" i="1"/>
  <c r="J547" i="1"/>
  <c r="L548" i="1"/>
  <c r="BA280" i="1"/>
  <c r="I282" i="1"/>
  <c r="Q282" i="1" s="1"/>
  <c r="AM282" i="1"/>
  <c r="N282" i="1"/>
  <c r="A568" i="7"/>
  <c r="B567" i="7"/>
  <c r="S548" i="1"/>
  <c r="Z550" i="1" s="1"/>
  <c r="K548" i="1"/>
  <c r="AU548" i="1"/>
  <c r="G546" i="1"/>
  <c r="H546" i="1" s="1"/>
  <c r="C548" i="1"/>
  <c r="AA548" i="1"/>
  <c r="B549" i="1"/>
  <c r="A548" i="1"/>
  <c r="AK547" i="1"/>
  <c r="AW547" i="1"/>
  <c r="AI547" i="1" s="1"/>
  <c r="AJ547" i="1" s="1"/>
  <c r="D547" i="1"/>
  <c r="E547" i="1"/>
  <c r="F547" i="1" s="1"/>
  <c r="M546" i="1"/>
  <c r="AC547" i="1"/>
  <c r="BC547" i="1" l="1"/>
  <c r="BD547" i="1" s="1"/>
  <c r="AE547" i="1" s="1"/>
  <c r="BF549" i="1"/>
  <c r="AC548" i="1"/>
  <c r="BB548" i="1"/>
  <c r="V282" i="1"/>
  <c r="Y282" i="1"/>
  <c r="X282" i="1" s="1"/>
  <c r="AF282" i="1" s="1"/>
  <c r="AL191" i="1"/>
  <c r="AL199" i="1"/>
  <c r="AL207" i="1"/>
  <c r="AQ282" i="1"/>
  <c r="J548" i="1"/>
  <c r="L549" i="1"/>
  <c r="AH281" i="1"/>
  <c r="AG281" i="1"/>
  <c r="O282" i="1"/>
  <c r="AY282" i="1"/>
  <c r="A569" i="7"/>
  <c r="B568" i="7"/>
  <c r="S549" i="1"/>
  <c r="Z551" i="1" s="1"/>
  <c r="K549" i="1"/>
  <c r="AU549" i="1"/>
  <c r="G547" i="1"/>
  <c r="H547" i="1" s="1"/>
  <c r="B550" i="1"/>
  <c r="AA549" i="1"/>
  <c r="C549" i="1"/>
  <c r="E548" i="1"/>
  <c r="F548" i="1" s="1"/>
  <c r="D548" i="1"/>
  <c r="M547" i="1"/>
  <c r="AW548" i="1"/>
  <c r="AI548" i="1" s="1"/>
  <c r="AJ548" i="1" s="1"/>
  <c r="A549" i="1"/>
  <c r="AK548" i="1"/>
  <c r="BC548" i="1" l="1"/>
  <c r="BD548" i="1" s="1"/>
  <c r="AE548" i="1" s="1"/>
  <c r="BF550" i="1"/>
  <c r="BB549" i="1"/>
  <c r="I283" i="1"/>
  <c r="Q283" i="1" s="1"/>
  <c r="P283" i="1"/>
  <c r="BE283" i="1" s="1"/>
  <c r="AN207" i="1"/>
  <c r="AN191" i="1"/>
  <c r="AN199" i="1"/>
  <c r="J549" i="1"/>
  <c r="L550" i="1"/>
  <c r="AM283" i="1"/>
  <c r="AT283" i="1"/>
  <c r="AS283" i="1" s="1"/>
  <c r="N283" i="1"/>
  <c r="AG282" i="1"/>
  <c r="BA281" i="1"/>
  <c r="A570" i="7"/>
  <c r="B569" i="7"/>
  <c r="S550" i="1"/>
  <c r="Z552" i="1" s="1"/>
  <c r="K550" i="1"/>
  <c r="AU550" i="1"/>
  <c r="D549" i="1"/>
  <c r="E549" i="1"/>
  <c r="F549" i="1" s="1"/>
  <c r="A550" i="1"/>
  <c r="AW549" i="1"/>
  <c r="AI549" i="1" s="1"/>
  <c r="AJ549" i="1" s="1"/>
  <c r="AK549" i="1"/>
  <c r="G548" i="1"/>
  <c r="H548" i="1" s="1"/>
  <c r="AC549" i="1"/>
  <c r="M548" i="1"/>
  <c r="C550" i="1"/>
  <c r="B551" i="1"/>
  <c r="AA550" i="1"/>
  <c r="BC549" i="1" l="1"/>
  <c r="BD549" i="1" s="1"/>
  <c r="AE549" i="1" s="1"/>
  <c r="BF551" i="1"/>
  <c r="BB550" i="1"/>
  <c r="O283" i="1"/>
  <c r="P284" i="1" s="1"/>
  <c r="BE284" i="1" s="1"/>
  <c r="V283" i="1"/>
  <c r="Y283" i="1"/>
  <c r="X283" i="1" s="1"/>
  <c r="AF283" i="1" s="1"/>
  <c r="AO199" i="1"/>
  <c r="AO191" i="1"/>
  <c r="AO207" i="1"/>
  <c r="J550" i="1"/>
  <c r="AQ283" i="1"/>
  <c r="L551" i="1"/>
  <c r="AY283" i="1"/>
  <c r="AH282" i="1"/>
  <c r="A571" i="7"/>
  <c r="B570" i="7"/>
  <c r="S551" i="1"/>
  <c r="Z553" i="1" s="1"/>
  <c r="K551" i="1"/>
  <c r="AU551" i="1"/>
  <c r="G549" i="1"/>
  <c r="H549" i="1" s="1"/>
  <c r="AC550" i="1"/>
  <c r="E550" i="1"/>
  <c r="F550" i="1" s="1"/>
  <c r="D550" i="1"/>
  <c r="AW550" i="1"/>
  <c r="AI550" i="1" s="1"/>
  <c r="AJ550" i="1" s="1"/>
  <c r="A551" i="1"/>
  <c r="AK550" i="1"/>
  <c r="M549" i="1"/>
  <c r="C551" i="1"/>
  <c r="B552" i="1"/>
  <c r="AA551" i="1"/>
  <c r="BC550" i="1" l="1"/>
  <c r="BD550" i="1" s="1"/>
  <c r="AE550" i="1" s="1"/>
  <c r="BF552" i="1"/>
  <c r="V284" i="1"/>
  <c r="BB551" i="1"/>
  <c r="N284" i="1"/>
  <c r="AM284" i="1"/>
  <c r="I284" i="1"/>
  <c r="Q284" i="1" s="1"/>
  <c r="AT284" i="1"/>
  <c r="AS284" i="1" s="1"/>
  <c r="AQ284" i="1" s="1"/>
  <c r="Y284" i="1"/>
  <c r="X284" i="1" s="1"/>
  <c r="AF284" i="1" s="1"/>
  <c r="AP207" i="1"/>
  <c r="AX208" i="1" s="1"/>
  <c r="AP199" i="1"/>
  <c r="AX200" i="1" s="1"/>
  <c r="AP191" i="1"/>
  <c r="AX192" i="1" s="1"/>
  <c r="J551" i="1"/>
  <c r="L552" i="1"/>
  <c r="BA282" i="1"/>
  <c r="AY284" i="1"/>
  <c r="A572" i="7"/>
  <c r="B571" i="7"/>
  <c r="S552" i="1"/>
  <c r="Z554" i="1" s="1"/>
  <c r="K552" i="1"/>
  <c r="AU552" i="1"/>
  <c r="E551" i="1"/>
  <c r="F551" i="1" s="1"/>
  <c r="D551" i="1"/>
  <c r="M550" i="1"/>
  <c r="AC551" i="1"/>
  <c r="AW551" i="1"/>
  <c r="AI551" i="1" s="1"/>
  <c r="AJ551" i="1" s="1"/>
  <c r="A552" i="1"/>
  <c r="AK551" i="1"/>
  <c r="B553" i="1"/>
  <c r="C552" i="1"/>
  <c r="AA552" i="1"/>
  <c r="G550" i="1"/>
  <c r="H550" i="1" s="1"/>
  <c r="BC551" i="1" l="1"/>
  <c r="BD551" i="1" s="1"/>
  <c r="AE551" i="1" s="1"/>
  <c r="BF553" i="1"/>
  <c r="BB552" i="1"/>
  <c r="O284" i="1"/>
  <c r="P285" i="1" s="1"/>
  <c r="BE285" i="1" s="1"/>
  <c r="J552" i="1"/>
  <c r="L553" i="1"/>
  <c r="A573" i="7"/>
  <c r="B572" i="7"/>
  <c r="S553" i="1"/>
  <c r="Z555" i="1" s="1"/>
  <c r="K553" i="1"/>
  <c r="AU553" i="1"/>
  <c r="AC552" i="1"/>
  <c r="AA553" i="1"/>
  <c r="C553" i="1"/>
  <c r="B554" i="1"/>
  <c r="A553" i="1"/>
  <c r="AK552" i="1"/>
  <c r="AP552" i="1"/>
  <c r="AW552" i="1"/>
  <c r="AI552" i="1" s="1"/>
  <c r="AJ552" i="1" s="1"/>
  <c r="G551" i="1"/>
  <c r="H551" i="1" s="1"/>
  <c r="E552" i="1"/>
  <c r="F552" i="1" s="1"/>
  <c r="D552" i="1"/>
  <c r="M551" i="1"/>
  <c r="BC552" i="1" l="1"/>
  <c r="BD552" i="1" s="1"/>
  <c r="AE552" i="1" s="1"/>
  <c r="BF554" i="1"/>
  <c r="V285" i="1"/>
  <c r="AT285" i="1"/>
  <c r="AS285" i="1" s="1"/>
  <c r="AQ285" i="1" s="1"/>
  <c r="BB553" i="1"/>
  <c r="I285" i="1"/>
  <c r="Q285" i="1" s="1"/>
  <c r="N285" i="1"/>
  <c r="AM285" i="1"/>
  <c r="Y285" i="1"/>
  <c r="X285" i="1" s="1"/>
  <c r="AF285" i="1" s="1"/>
  <c r="U192" i="1"/>
  <c r="U208" i="1"/>
  <c r="U200" i="1"/>
  <c r="AG283" i="1"/>
  <c r="AH283" i="1"/>
  <c r="J553" i="1"/>
  <c r="L554" i="1"/>
  <c r="AH284" i="1"/>
  <c r="AG284" i="1"/>
  <c r="AY285" i="1"/>
  <c r="A574" i="7"/>
  <c r="B573" i="7"/>
  <c r="S554" i="1"/>
  <c r="Z556" i="1" s="1"/>
  <c r="K554" i="1"/>
  <c r="AU554" i="1"/>
  <c r="AW553" i="1"/>
  <c r="AI553" i="1" s="1"/>
  <c r="AJ553" i="1" s="1"/>
  <c r="AK553" i="1"/>
  <c r="A554" i="1"/>
  <c r="AA554" i="1"/>
  <c r="B555" i="1"/>
  <c r="C554" i="1"/>
  <c r="AC553" i="1"/>
  <c r="D553" i="1"/>
  <c r="E553" i="1"/>
  <c r="F553" i="1" s="1"/>
  <c r="M552" i="1"/>
  <c r="G552" i="1"/>
  <c r="H552" i="1" s="1"/>
  <c r="BC553" i="1" l="1"/>
  <c r="BD553" i="1" s="1"/>
  <c r="AE553" i="1" s="1"/>
  <c r="BF555" i="1"/>
  <c r="BB554" i="1"/>
  <c r="O285" i="1"/>
  <c r="P286" i="1" s="1"/>
  <c r="BE286" i="1" s="1"/>
  <c r="AL208" i="1"/>
  <c r="AL200" i="1"/>
  <c r="AL192" i="1"/>
  <c r="BA283" i="1"/>
  <c r="J554" i="1"/>
  <c r="L555" i="1"/>
  <c r="BA284" i="1"/>
  <c r="A575" i="7"/>
  <c r="B574" i="7"/>
  <c r="S555" i="1"/>
  <c r="Z557" i="1" s="1"/>
  <c r="K555" i="1"/>
  <c r="AU555" i="1"/>
  <c r="AC554" i="1"/>
  <c r="A555" i="1"/>
  <c r="AW554" i="1"/>
  <c r="AI554" i="1" s="1"/>
  <c r="AJ554" i="1" s="1"/>
  <c r="AK554" i="1"/>
  <c r="E554" i="1"/>
  <c r="F554" i="1" s="1"/>
  <c r="D554" i="1"/>
  <c r="M553" i="1"/>
  <c r="G553" i="1"/>
  <c r="H553" i="1" s="1"/>
  <c r="B556" i="1"/>
  <c r="C555" i="1"/>
  <c r="AA555" i="1"/>
  <c r="BC554" i="1" l="1"/>
  <c r="BD554" i="1" s="1"/>
  <c r="AE554" i="1" s="1"/>
  <c r="BF556" i="1"/>
  <c r="V286" i="1"/>
  <c r="BB555" i="1"/>
  <c r="AM286" i="1"/>
  <c r="AT286" i="1"/>
  <c r="AS286" i="1" s="1"/>
  <c r="AQ286" i="1" s="1"/>
  <c r="N286" i="1"/>
  <c r="I286" i="1"/>
  <c r="Q286" i="1" s="1"/>
  <c r="Y286" i="1"/>
  <c r="X286" i="1" s="1"/>
  <c r="AF286" i="1" s="1"/>
  <c r="AN192" i="1"/>
  <c r="AN208" i="1"/>
  <c r="AN200" i="1"/>
  <c r="J555" i="1"/>
  <c r="L556" i="1"/>
  <c r="AH285" i="1"/>
  <c r="AG285" i="1"/>
  <c r="AY286" i="1"/>
  <c r="A576" i="7"/>
  <c r="B575" i="7"/>
  <c r="S556" i="1"/>
  <c r="Z558" i="1" s="1"/>
  <c r="K556" i="1"/>
  <c r="AU556" i="1"/>
  <c r="G554" i="1"/>
  <c r="H554" i="1" s="1"/>
  <c r="A556" i="1"/>
  <c r="AW555" i="1"/>
  <c r="AI555" i="1" s="1"/>
  <c r="AJ555" i="1" s="1"/>
  <c r="AK555" i="1"/>
  <c r="AC555" i="1"/>
  <c r="D555" i="1"/>
  <c r="E555" i="1"/>
  <c r="F555" i="1" s="1"/>
  <c r="M554" i="1"/>
  <c r="B557" i="1"/>
  <c r="AA556" i="1"/>
  <c r="C556" i="1"/>
  <c r="BC555" i="1" l="1"/>
  <c r="BD555" i="1" s="1"/>
  <c r="AE555" i="1" s="1"/>
  <c r="BF557" i="1"/>
  <c r="BB556" i="1"/>
  <c r="O286" i="1"/>
  <c r="P287" i="1" s="1"/>
  <c r="BE287" i="1" s="1"/>
  <c r="AO208" i="1"/>
  <c r="AO192" i="1"/>
  <c r="AO200" i="1"/>
  <c r="J556" i="1"/>
  <c r="L557" i="1"/>
  <c r="BA285" i="1"/>
  <c r="A577" i="7"/>
  <c r="B576" i="7"/>
  <c r="S557" i="1"/>
  <c r="Z559" i="1" s="1"/>
  <c r="K557" i="1"/>
  <c r="AU557" i="1"/>
  <c r="AC556" i="1"/>
  <c r="AA557" i="1"/>
  <c r="C557" i="1"/>
  <c r="B558" i="1"/>
  <c r="D556" i="1"/>
  <c r="E556" i="1"/>
  <c r="F556" i="1" s="1"/>
  <c r="M555" i="1"/>
  <c r="G555" i="1"/>
  <c r="H555" i="1" s="1"/>
  <c r="A557" i="1"/>
  <c r="AW556" i="1"/>
  <c r="AI556" i="1" s="1"/>
  <c r="AJ556" i="1" s="1"/>
  <c r="AK556" i="1"/>
  <c r="BC556" i="1" l="1"/>
  <c r="BD556" i="1" s="1"/>
  <c r="AE556" i="1" s="1"/>
  <c r="BF558" i="1"/>
  <c r="V287" i="1"/>
  <c r="BB557" i="1"/>
  <c r="AM287" i="1"/>
  <c r="AT287" i="1"/>
  <c r="AS287" i="1" s="1"/>
  <c r="AQ287" i="1" s="1"/>
  <c r="N287" i="1"/>
  <c r="I287" i="1"/>
  <c r="Q287" i="1" s="1"/>
  <c r="Y287" i="1"/>
  <c r="X287" i="1" s="1"/>
  <c r="AF287" i="1" s="1"/>
  <c r="AP208" i="1"/>
  <c r="AX209" i="1" s="1"/>
  <c r="AP200" i="1"/>
  <c r="AX201" i="1" s="1"/>
  <c r="J557" i="1"/>
  <c r="L558" i="1"/>
  <c r="AH286" i="1"/>
  <c r="AG286" i="1"/>
  <c r="AY287" i="1"/>
  <c r="A578" i="7"/>
  <c r="B577" i="7"/>
  <c r="S558" i="1"/>
  <c r="Z560" i="1" s="1"/>
  <c r="K558" i="1"/>
  <c r="AU558" i="1"/>
  <c r="M556" i="1"/>
  <c r="AK557" i="1"/>
  <c r="A558" i="1"/>
  <c r="AW557" i="1"/>
  <c r="AI557" i="1" s="1"/>
  <c r="AJ557" i="1" s="1"/>
  <c r="G556" i="1"/>
  <c r="H556" i="1" s="1"/>
  <c r="C558" i="1"/>
  <c r="AA558" i="1"/>
  <c r="B559" i="1"/>
  <c r="AC557" i="1"/>
  <c r="E557" i="1"/>
  <c r="F557" i="1" s="1"/>
  <c r="D557" i="1"/>
  <c r="BC557" i="1" l="1"/>
  <c r="BD557" i="1" s="1"/>
  <c r="AE557" i="1" s="1"/>
  <c r="BF559" i="1"/>
  <c r="AC558" i="1"/>
  <c r="BB558" i="1"/>
  <c r="O287" i="1"/>
  <c r="P288" i="1" s="1"/>
  <c r="BE288" i="1" s="1"/>
  <c r="J558" i="1"/>
  <c r="L559" i="1"/>
  <c r="BA286" i="1"/>
  <c r="A579" i="7"/>
  <c r="B578" i="7"/>
  <c r="S559" i="1"/>
  <c r="Z561" i="1" s="1"/>
  <c r="K559" i="1"/>
  <c r="AU559" i="1"/>
  <c r="C559" i="1"/>
  <c r="B560" i="1"/>
  <c r="AA559" i="1"/>
  <c r="AK558" i="1"/>
  <c r="A559" i="1"/>
  <c r="AW558" i="1"/>
  <c r="AI558" i="1" s="1"/>
  <c r="AJ558" i="1" s="1"/>
  <c r="M557" i="1"/>
  <c r="D558" i="1"/>
  <c r="E558" i="1"/>
  <c r="F558" i="1" s="1"/>
  <c r="G557" i="1"/>
  <c r="H557" i="1" s="1"/>
  <c r="BC558" i="1" l="1"/>
  <c r="BD558" i="1" s="1"/>
  <c r="AE558" i="1" s="1"/>
  <c r="BF560" i="1"/>
  <c r="V288" i="1"/>
  <c r="BB559" i="1"/>
  <c r="AM288" i="1"/>
  <c r="AT288" i="1"/>
  <c r="AS288" i="1" s="1"/>
  <c r="AQ288" i="1" s="1"/>
  <c r="N288" i="1"/>
  <c r="I288" i="1"/>
  <c r="Q288" i="1" s="1"/>
  <c r="Y288" i="1"/>
  <c r="X288" i="1" s="1"/>
  <c r="AF288" i="1" s="1"/>
  <c r="U209" i="1"/>
  <c r="U201" i="1"/>
  <c r="J559" i="1"/>
  <c r="L560" i="1"/>
  <c r="AH287" i="1"/>
  <c r="AG287" i="1"/>
  <c r="AY288" i="1"/>
  <c r="A580" i="7"/>
  <c r="B579" i="7"/>
  <c r="S560" i="1"/>
  <c r="Z562" i="1" s="1"/>
  <c r="K560" i="1"/>
  <c r="AU560" i="1"/>
  <c r="B561" i="1"/>
  <c r="AA560" i="1"/>
  <c r="C560" i="1"/>
  <c r="AW559" i="1"/>
  <c r="AI559" i="1" s="1"/>
  <c r="AJ559" i="1" s="1"/>
  <c r="AK559" i="1"/>
  <c r="A560" i="1"/>
  <c r="AC559" i="1"/>
  <c r="M558" i="1"/>
  <c r="D559" i="1"/>
  <c r="E559" i="1"/>
  <c r="F559" i="1" s="1"/>
  <c r="G558" i="1"/>
  <c r="H558" i="1" s="1"/>
  <c r="U217" i="1"/>
  <c r="BC559" i="1" l="1"/>
  <c r="BD559" i="1" s="1"/>
  <c r="AE559" i="1" s="1"/>
  <c r="BF561" i="1"/>
  <c r="BB560" i="1"/>
  <c r="AC560" i="1"/>
  <c r="O288" i="1"/>
  <c r="AT289" i="1" s="1"/>
  <c r="AS289" i="1" s="1"/>
  <c r="AL217" i="1"/>
  <c r="AL201" i="1"/>
  <c r="AL209" i="1"/>
  <c r="J560" i="1"/>
  <c r="L561" i="1"/>
  <c r="BA287" i="1"/>
  <c r="A581" i="7"/>
  <c r="B580" i="7"/>
  <c r="S561" i="1"/>
  <c r="Z563" i="1" s="1"/>
  <c r="K561" i="1"/>
  <c r="AU561" i="1"/>
  <c r="A561" i="1"/>
  <c r="AW560" i="1"/>
  <c r="AI560" i="1" s="1"/>
  <c r="AJ560" i="1" s="1"/>
  <c r="AK560" i="1"/>
  <c r="D560" i="1"/>
  <c r="E560" i="1"/>
  <c r="F560" i="1" s="1"/>
  <c r="M559" i="1"/>
  <c r="G559" i="1"/>
  <c r="H559" i="1" s="1"/>
  <c r="AA561" i="1"/>
  <c r="B562" i="1"/>
  <c r="C561" i="1"/>
  <c r="BC560" i="1" l="1"/>
  <c r="BD560" i="1" s="1"/>
  <c r="AE560" i="1" s="1"/>
  <c r="BF562" i="1"/>
  <c r="BB561" i="1"/>
  <c r="N289" i="1"/>
  <c r="AM289" i="1"/>
  <c r="I289" i="1"/>
  <c r="Q289" i="1" s="1"/>
  <c r="P289" i="1"/>
  <c r="BE289" i="1" s="1"/>
  <c r="AN201" i="1"/>
  <c r="AN209" i="1"/>
  <c r="AN217" i="1"/>
  <c r="J561" i="1"/>
  <c r="AH288" i="1"/>
  <c r="AG288" i="1"/>
  <c r="L562" i="1"/>
  <c r="A582" i="7"/>
  <c r="B581" i="7"/>
  <c r="S562" i="1"/>
  <c r="Z564" i="1" s="1"/>
  <c r="K562" i="1"/>
  <c r="AU562" i="1"/>
  <c r="D561" i="1"/>
  <c r="E561" i="1"/>
  <c r="F561" i="1" s="1"/>
  <c r="G560" i="1"/>
  <c r="H560" i="1" s="1"/>
  <c r="AA562" i="1"/>
  <c r="B563" i="1"/>
  <c r="C562" i="1"/>
  <c r="M560" i="1"/>
  <c r="AC561" i="1"/>
  <c r="AK561" i="1"/>
  <c r="A562" i="1"/>
  <c r="AW561" i="1"/>
  <c r="AI561" i="1" s="1"/>
  <c r="AJ561" i="1" s="1"/>
  <c r="BC561" i="1" l="1"/>
  <c r="BD561" i="1" s="1"/>
  <c r="AE561" i="1" s="1"/>
  <c r="BF563" i="1"/>
  <c r="V289" i="1"/>
  <c r="BB562" i="1"/>
  <c r="O289" i="1"/>
  <c r="P290" i="1" s="1"/>
  <c r="BE290" i="1" s="1"/>
  <c r="AY289" i="1"/>
  <c r="AQ289" i="1"/>
  <c r="Y289" i="1"/>
  <c r="X289" i="1" s="1"/>
  <c r="AO201" i="1"/>
  <c r="AO209" i="1"/>
  <c r="AO217" i="1"/>
  <c r="J562" i="1"/>
  <c r="L563" i="1"/>
  <c r="BA288" i="1"/>
  <c r="A583" i="7"/>
  <c r="B582" i="7"/>
  <c r="S563" i="1"/>
  <c r="Z565" i="1" s="1"/>
  <c r="K563" i="1"/>
  <c r="AU563" i="1"/>
  <c r="C563" i="1"/>
  <c r="AA563" i="1"/>
  <c r="B564" i="1"/>
  <c r="M561" i="1"/>
  <c r="AC562" i="1"/>
  <c r="D562" i="1"/>
  <c r="E562" i="1"/>
  <c r="F562" i="1" s="1"/>
  <c r="AK562" i="1"/>
  <c r="A563" i="1"/>
  <c r="AW562" i="1"/>
  <c r="AI562" i="1" s="1"/>
  <c r="AJ562" i="1" s="1"/>
  <c r="G561" i="1"/>
  <c r="H561" i="1" s="1"/>
  <c r="BC562" i="1" l="1"/>
  <c r="BD562" i="1" s="1"/>
  <c r="AE562" i="1" s="1"/>
  <c r="BF564" i="1"/>
  <c r="AX289" i="1"/>
  <c r="V290" i="1"/>
  <c r="BB563" i="1"/>
  <c r="AF289" i="1"/>
  <c r="AG289" i="1" s="1"/>
  <c r="AT290" i="1"/>
  <c r="AS290" i="1" s="1"/>
  <c r="AQ290" i="1" s="1"/>
  <c r="N290" i="1"/>
  <c r="AM290" i="1"/>
  <c r="Y290" i="1"/>
  <c r="X290" i="1" s="1"/>
  <c r="AF290" i="1" s="1"/>
  <c r="I290" i="1"/>
  <c r="Q290" i="1" s="1"/>
  <c r="AP217" i="1"/>
  <c r="AX218" i="1" s="1"/>
  <c r="AP201" i="1"/>
  <c r="AX202" i="1" s="1"/>
  <c r="AP209" i="1"/>
  <c r="AX210" i="1" s="1"/>
  <c r="J563" i="1"/>
  <c r="L564" i="1"/>
  <c r="AY290" i="1"/>
  <c r="A584" i="7"/>
  <c r="B583" i="7"/>
  <c r="S564" i="1"/>
  <c r="Z566" i="1" s="1"/>
  <c r="K564" i="1"/>
  <c r="AU564" i="1"/>
  <c r="G562" i="1"/>
  <c r="H562" i="1" s="1"/>
  <c r="AC563" i="1"/>
  <c r="E563" i="1"/>
  <c r="F563" i="1" s="1"/>
  <c r="D563" i="1"/>
  <c r="M562" i="1"/>
  <c r="B565" i="1"/>
  <c r="C564" i="1"/>
  <c r="AA564" i="1"/>
  <c r="AW563" i="1"/>
  <c r="AI563" i="1" s="1"/>
  <c r="AJ563" i="1" s="1"/>
  <c r="AK563" i="1"/>
  <c r="A564" i="1"/>
  <c r="BC563" i="1" l="1"/>
  <c r="BD563" i="1" s="1"/>
  <c r="AE563" i="1" s="1"/>
  <c r="BF565" i="1"/>
  <c r="AH289" i="1"/>
  <c r="BB564" i="1"/>
  <c r="O290" i="1"/>
  <c r="AM291" i="1" s="1"/>
  <c r="J564" i="1"/>
  <c r="L565" i="1"/>
  <c r="AG290" i="1"/>
  <c r="BA289" i="1"/>
  <c r="A585" i="7"/>
  <c r="B584" i="7"/>
  <c r="S565" i="1"/>
  <c r="Z567" i="1" s="1"/>
  <c r="K565" i="1"/>
  <c r="AU565" i="1"/>
  <c r="M563" i="1"/>
  <c r="E564" i="1"/>
  <c r="F564" i="1" s="1"/>
  <c r="D564" i="1"/>
  <c r="AP564" i="1"/>
  <c r="AW564" i="1"/>
  <c r="AI564" i="1" s="1"/>
  <c r="AJ564" i="1" s="1"/>
  <c r="A565" i="1"/>
  <c r="AK564" i="1"/>
  <c r="AC564" i="1"/>
  <c r="B566" i="1"/>
  <c r="C565" i="1"/>
  <c r="AA565" i="1"/>
  <c r="G563" i="1"/>
  <c r="H563" i="1" s="1"/>
  <c r="BC564" i="1" l="1"/>
  <c r="BD564" i="1" s="1"/>
  <c r="AE564" i="1" s="1"/>
  <c r="BF566" i="1"/>
  <c r="BB565" i="1"/>
  <c r="AT291" i="1"/>
  <c r="AS291" i="1" s="1"/>
  <c r="N291" i="1"/>
  <c r="I291" i="1"/>
  <c r="Q291" i="1" s="1"/>
  <c r="P291" i="1"/>
  <c r="BE291" i="1" s="1"/>
  <c r="U218" i="1"/>
  <c r="U210" i="1"/>
  <c r="U202" i="1"/>
  <c r="J565" i="1"/>
  <c r="L566" i="1"/>
  <c r="AH290" i="1"/>
  <c r="A586" i="7"/>
  <c r="B585" i="7"/>
  <c r="S566" i="1"/>
  <c r="Z568" i="1" s="1"/>
  <c r="K566" i="1"/>
  <c r="AU566" i="1"/>
  <c r="AW565" i="1"/>
  <c r="AI565" i="1" s="1"/>
  <c r="AJ565" i="1" s="1"/>
  <c r="A566" i="1"/>
  <c r="AK565" i="1"/>
  <c r="G564" i="1"/>
  <c r="H564" i="1" s="1"/>
  <c r="AC565" i="1"/>
  <c r="AA566" i="1"/>
  <c r="B567" i="1"/>
  <c r="C566" i="1"/>
  <c r="D565" i="1"/>
  <c r="E565" i="1"/>
  <c r="F565" i="1" s="1"/>
  <c r="M564" i="1"/>
  <c r="BC565" i="1" l="1"/>
  <c r="BD565" i="1" s="1"/>
  <c r="AE565" i="1" s="1"/>
  <c r="BF567" i="1"/>
  <c r="Y291" i="1"/>
  <c r="X291" i="1" s="1"/>
  <c r="AF291" i="1" s="1"/>
  <c r="AG291" i="1" s="1"/>
  <c r="BB566" i="1"/>
  <c r="O291" i="1"/>
  <c r="V291" i="1"/>
  <c r="AQ291" i="1"/>
  <c r="AY291" i="1"/>
  <c r="AL210" i="1"/>
  <c r="AL218" i="1"/>
  <c r="AL202" i="1"/>
  <c r="J566" i="1"/>
  <c r="L567" i="1"/>
  <c r="BA290" i="1"/>
  <c r="A587" i="7"/>
  <c r="B586" i="7"/>
  <c r="S567" i="1"/>
  <c r="Z569" i="1" s="1"/>
  <c r="K567" i="1"/>
  <c r="AU567" i="1"/>
  <c r="AA567" i="1"/>
  <c r="B568" i="1"/>
  <c r="C567" i="1"/>
  <c r="G565" i="1"/>
  <c r="H565" i="1" s="1"/>
  <c r="D566" i="1"/>
  <c r="E566" i="1"/>
  <c r="F566" i="1" s="1"/>
  <c r="AC566" i="1"/>
  <c r="M565" i="1"/>
  <c r="AK566" i="1"/>
  <c r="A567" i="1"/>
  <c r="AW566" i="1"/>
  <c r="AI566" i="1" s="1"/>
  <c r="AJ566" i="1" s="1"/>
  <c r="BC566" i="1" l="1"/>
  <c r="BD566" i="1" s="1"/>
  <c r="AE566" i="1" s="1"/>
  <c r="BF568" i="1"/>
  <c r="AH291" i="1"/>
  <c r="BB567" i="1"/>
  <c r="N292" i="1"/>
  <c r="AM292" i="1"/>
  <c r="I292" i="1"/>
  <c r="Q292" i="1" s="1"/>
  <c r="AT292" i="1"/>
  <c r="AS292" i="1" s="1"/>
  <c r="P292" i="1"/>
  <c r="BE292" i="1" s="1"/>
  <c r="AN202" i="1"/>
  <c r="AN210" i="1"/>
  <c r="AN218" i="1"/>
  <c r="J567" i="1"/>
  <c r="L568" i="1"/>
  <c r="BA291" i="1"/>
  <c r="A588" i="7"/>
  <c r="B587" i="7"/>
  <c r="S568" i="1"/>
  <c r="Z570" i="1" s="1"/>
  <c r="K568" i="1"/>
  <c r="AU568" i="1"/>
  <c r="D567" i="1"/>
  <c r="E567" i="1"/>
  <c r="F567" i="1" s="1"/>
  <c r="AC567" i="1"/>
  <c r="AK567" i="1"/>
  <c r="A568" i="1"/>
  <c r="AW567" i="1"/>
  <c r="AI567" i="1" s="1"/>
  <c r="AJ567" i="1" s="1"/>
  <c r="G566" i="1"/>
  <c r="H566" i="1" s="1"/>
  <c r="B569" i="1"/>
  <c r="C568" i="1"/>
  <c r="AA568" i="1"/>
  <c r="M566" i="1"/>
  <c r="BC567" i="1" l="1"/>
  <c r="BD567" i="1" s="1"/>
  <c r="AE567" i="1" s="1"/>
  <c r="BF569" i="1"/>
  <c r="V292" i="1"/>
  <c r="BB568" i="1"/>
  <c r="AC568" i="1"/>
  <c r="O292" i="1"/>
  <c r="I293" i="1" s="1"/>
  <c r="Q293" i="1" s="1"/>
  <c r="AQ292" i="1"/>
  <c r="Y292" i="1"/>
  <c r="X292" i="1" s="1"/>
  <c r="AF292" i="1" s="1"/>
  <c r="AY292" i="1"/>
  <c r="AO202" i="1"/>
  <c r="AO210" i="1"/>
  <c r="AO218" i="1"/>
  <c r="J568" i="1"/>
  <c r="L569" i="1"/>
  <c r="A589" i="7"/>
  <c r="B588" i="7"/>
  <c r="S569" i="1"/>
  <c r="Z571" i="1" s="1"/>
  <c r="K569" i="1"/>
  <c r="AU569" i="1"/>
  <c r="G567" i="1"/>
  <c r="H567" i="1" s="1"/>
  <c r="A569" i="1"/>
  <c r="AW568" i="1"/>
  <c r="AI568" i="1" s="1"/>
  <c r="AJ568" i="1" s="1"/>
  <c r="AK568" i="1"/>
  <c r="E568" i="1"/>
  <c r="F568" i="1" s="1"/>
  <c r="D568" i="1"/>
  <c r="M567" i="1"/>
  <c r="AA569" i="1"/>
  <c r="C569" i="1"/>
  <c r="B570" i="1"/>
  <c r="BC568" i="1" l="1"/>
  <c r="BD568" i="1" s="1"/>
  <c r="AE568" i="1" s="1"/>
  <c r="BF570" i="1"/>
  <c r="BB569" i="1"/>
  <c r="AM293" i="1"/>
  <c r="N293" i="1"/>
  <c r="O293" i="1" s="1"/>
  <c r="P294" i="1" s="1"/>
  <c r="BE294" i="1" s="1"/>
  <c r="P293" i="1"/>
  <c r="BE293" i="1" s="1"/>
  <c r="AT293" i="1"/>
  <c r="AS293" i="1" s="1"/>
  <c r="AP218" i="1"/>
  <c r="AX219" i="1" s="1"/>
  <c r="AP202" i="1"/>
  <c r="AX203" i="1" s="1"/>
  <c r="AP210" i="1"/>
  <c r="AX211" i="1" s="1"/>
  <c r="AG292" i="1"/>
  <c r="AH292" i="1"/>
  <c r="J569" i="1"/>
  <c r="L570" i="1"/>
  <c r="A590" i="7"/>
  <c r="B589" i="7"/>
  <c r="S570" i="1"/>
  <c r="Z572" i="1" s="1"/>
  <c r="K570" i="1"/>
  <c r="AU570" i="1"/>
  <c r="E569" i="1"/>
  <c r="F569" i="1" s="1"/>
  <c r="D569" i="1"/>
  <c r="AC569" i="1"/>
  <c r="G568" i="1"/>
  <c r="H568" i="1" s="1"/>
  <c r="M568" i="1"/>
  <c r="AK569" i="1"/>
  <c r="A570" i="1"/>
  <c r="AW569" i="1"/>
  <c r="AI569" i="1" s="1"/>
  <c r="AJ569" i="1" s="1"/>
  <c r="C570" i="1"/>
  <c r="AA570" i="1"/>
  <c r="B571" i="1"/>
  <c r="BC569" i="1" l="1"/>
  <c r="BD569" i="1" s="1"/>
  <c r="AE569" i="1" s="1"/>
  <c r="BF571" i="1"/>
  <c r="AY293" i="1"/>
  <c r="BB570" i="1"/>
  <c r="Y293" i="1"/>
  <c r="X293" i="1" s="1"/>
  <c r="AF293" i="1" s="1"/>
  <c r="AQ293" i="1"/>
  <c r="V293" i="1"/>
  <c r="V294" i="1"/>
  <c r="Y294" i="1"/>
  <c r="I294" i="1"/>
  <c r="Q294" i="1" s="1"/>
  <c r="N294" i="1"/>
  <c r="AT294" i="1"/>
  <c r="AS294" i="1" s="1"/>
  <c r="AQ294" i="1" s="1"/>
  <c r="AM294" i="1"/>
  <c r="BA292" i="1"/>
  <c r="J570" i="1"/>
  <c r="L571" i="1"/>
  <c r="AY294" i="1"/>
  <c r="A591" i="7"/>
  <c r="B590" i="7"/>
  <c r="S571" i="1"/>
  <c r="Z573" i="1" s="1"/>
  <c r="K571" i="1"/>
  <c r="AU571" i="1"/>
  <c r="AW570" i="1"/>
  <c r="AI570" i="1" s="1"/>
  <c r="AJ570" i="1" s="1"/>
  <c r="AK570" i="1"/>
  <c r="A571" i="1"/>
  <c r="M569" i="1"/>
  <c r="D570" i="1"/>
  <c r="E570" i="1"/>
  <c r="F570" i="1" s="1"/>
  <c r="G569" i="1"/>
  <c r="H569" i="1" s="1"/>
  <c r="AA571" i="1"/>
  <c r="B572" i="1"/>
  <c r="C571" i="1"/>
  <c r="AC570" i="1"/>
  <c r="BC570" i="1" l="1"/>
  <c r="BD570" i="1" s="1"/>
  <c r="AE570" i="1" s="1"/>
  <c r="BF572" i="1"/>
  <c r="BB571" i="1"/>
  <c r="X294" i="1"/>
  <c r="AF294" i="1" s="1"/>
  <c r="O294" i="1"/>
  <c r="I295" i="1" s="1"/>
  <c r="Q295" i="1" s="1"/>
  <c r="U219" i="1"/>
  <c r="U211" i="1"/>
  <c r="U203" i="1"/>
  <c r="J571" i="1"/>
  <c r="L572" i="1"/>
  <c r="A592" i="7"/>
  <c r="B591" i="7"/>
  <c r="S572" i="1"/>
  <c r="Z574" i="1" s="1"/>
  <c r="K572" i="1"/>
  <c r="AU572" i="1"/>
  <c r="M570" i="1"/>
  <c r="AA572" i="1"/>
  <c r="B573" i="1"/>
  <c r="C572" i="1"/>
  <c r="E571" i="1"/>
  <c r="F571" i="1" s="1"/>
  <c r="D571" i="1"/>
  <c r="G570" i="1"/>
  <c r="H570" i="1" s="1"/>
  <c r="AC571" i="1"/>
  <c r="AK571" i="1"/>
  <c r="A572" i="1"/>
  <c r="AW571" i="1"/>
  <c r="AI571" i="1" s="1"/>
  <c r="AJ571" i="1" s="1"/>
  <c r="BC571" i="1" l="1"/>
  <c r="BD571" i="1" s="1"/>
  <c r="AE571" i="1" s="1"/>
  <c r="BF573" i="1"/>
  <c r="BB572" i="1"/>
  <c r="AT295" i="1"/>
  <c r="AS295" i="1" s="1"/>
  <c r="N295" i="1"/>
  <c r="O295" i="1" s="1"/>
  <c r="P296" i="1" s="1"/>
  <c r="BE296" i="1" s="1"/>
  <c r="AM295" i="1"/>
  <c r="P295" i="1"/>
  <c r="BE295" i="1" s="1"/>
  <c r="AL211" i="1"/>
  <c r="AL203" i="1"/>
  <c r="AL219" i="1"/>
  <c r="AH293" i="1"/>
  <c r="AG293" i="1"/>
  <c r="J572" i="1"/>
  <c r="L573" i="1"/>
  <c r="AH294" i="1"/>
  <c r="AG294" i="1"/>
  <c r="A593" i="7"/>
  <c r="B592" i="7"/>
  <c r="S573" i="1"/>
  <c r="Z575" i="1" s="1"/>
  <c r="K573" i="1"/>
  <c r="AU573" i="1"/>
  <c r="M571" i="1"/>
  <c r="G571" i="1"/>
  <c r="H571" i="1" s="1"/>
  <c r="AK572" i="1"/>
  <c r="AW572" i="1"/>
  <c r="AI572" i="1" s="1"/>
  <c r="AJ572" i="1" s="1"/>
  <c r="A573" i="1"/>
  <c r="B574" i="1"/>
  <c r="AA573" i="1"/>
  <c r="C573" i="1"/>
  <c r="D572" i="1"/>
  <c r="E572" i="1"/>
  <c r="F572" i="1" s="1"/>
  <c r="AC572" i="1"/>
  <c r="BC572" i="1" l="1"/>
  <c r="BD572" i="1" s="1"/>
  <c r="AE572" i="1" s="1"/>
  <c r="BF574" i="1"/>
  <c r="BB573" i="1"/>
  <c r="AC573" i="1"/>
  <c r="V295" i="1"/>
  <c r="Y295" i="1"/>
  <c r="X295" i="1" s="1"/>
  <c r="AF295" i="1" s="1"/>
  <c r="V296" i="1"/>
  <c r="Y296" i="1"/>
  <c r="AY295" i="1"/>
  <c r="AQ295" i="1"/>
  <c r="AN219" i="1"/>
  <c r="AN211" i="1"/>
  <c r="AN203" i="1"/>
  <c r="BA293" i="1"/>
  <c r="J573" i="1"/>
  <c r="L574" i="1"/>
  <c r="BA294" i="1"/>
  <c r="AT296" i="1"/>
  <c r="AS296" i="1" s="1"/>
  <c r="I296" i="1"/>
  <c r="Q296" i="1" s="1"/>
  <c r="N296" i="1"/>
  <c r="AM296" i="1"/>
  <c r="A594" i="7"/>
  <c r="B593" i="7"/>
  <c r="S574" i="1"/>
  <c r="Z576" i="1" s="1"/>
  <c r="K574" i="1"/>
  <c r="AU574" i="1"/>
  <c r="G572" i="1"/>
  <c r="H572" i="1" s="1"/>
  <c r="E573" i="1"/>
  <c r="F573" i="1" s="1"/>
  <c r="D573" i="1"/>
  <c r="M572" i="1"/>
  <c r="AW573" i="1"/>
  <c r="AI573" i="1" s="1"/>
  <c r="AJ573" i="1" s="1"/>
  <c r="AK573" i="1"/>
  <c r="A574" i="1"/>
  <c r="C574" i="1"/>
  <c r="B575" i="1"/>
  <c r="AA574" i="1"/>
  <c r="BC573" i="1" l="1"/>
  <c r="BD573" i="1" s="1"/>
  <c r="AE573" i="1" s="1"/>
  <c r="BF575" i="1"/>
  <c r="BB574" i="1"/>
  <c r="AO203" i="1"/>
  <c r="AO211" i="1"/>
  <c r="AO219" i="1"/>
  <c r="AQ296" i="1"/>
  <c r="X296" i="1"/>
  <c r="AF296" i="1" s="1"/>
  <c r="J574" i="1"/>
  <c r="L575" i="1"/>
  <c r="AH295" i="1"/>
  <c r="AG295" i="1"/>
  <c r="AY296" i="1"/>
  <c r="O296" i="1"/>
  <c r="A595" i="7"/>
  <c r="B594" i="7"/>
  <c r="S575" i="1"/>
  <c r="Z577" i="1" s="1"/>
  <c r="K575" i="1"/>
  <c r="AU575" i="1"/>
  <c r="A575" i="1"/>
  <c r="AW574" i="1"/>
  <c r="AI574" i="1" s="1"/>
  <c r="AJ574" i="1" s="1"/>
  <c r="AK574" i="1"/>
  <c r="M573" i="1"/>
  <c r="C575" i="1"/>
  <c r="AA575" i="1"/>
  <c r="B576" i="1"/>
  <c r="D574" i="1"/>
  <c r="E574" i="1"/>
  <c r="F574" i="1" s="1"/>
  <c r="AC574" i="1"/>
  <c r="G573" i="1"/>
  <c r="H573" i="1" s="1"/>
  <c r="BC574" i="1" l="1"/>
  <c r="BD574" i="1" s="1"/>
  <c r="AE574" i="1" s="1"/>
  <c r="BF576" i="1"/>
  <c r="BB575" i="1"/>
  <c r="AT297" i="1"/>
  <c r="AS297" i="1" s="1"/>
  <c r="P297" i="1"/>
  <c r="BE297" i="1" s="1"/>
  <c r="AP219" i="1"/>
  <c r="AX220" i="1" s="1"/>
  <c r="AP203" i="1"/>
  <c r="AX204" i="1" s="1"/>
  <c r="AP211" i="1"/>
  <c r="AX212" i="1" s="1"/>
  <c r="J575" i="1"/>
  <c r="L576" i="1"/>
  <c r="BA295" i="1"/>
  <c r="AM297" i="1"/>
  <c r="I297" i="1"/>
  <c r="Q297" i="1" s="1"/>
  <c r="N297" i="1"/>
  <c r="A596" i="7"/>
  <c r="B595" i="7"/>
  <c r="S576" i="1"/>
  <c r="Z578" i="1" s="1"/>
  <c r="K576" i="1"/>
  <c r="AU576" i="1"/>
  <c r="AA576" i="1"/>
  <c r="B577" i="1"/>
  <c r="C576" i="1"/>
  <c r="AK575" i="1"/>
  <c r="A576" i="1"/>
  <c r="AW575" i="1"/>
  <c r="AI575" i="1" s="1"/>
  <c r="AJ575" i="1" s="1"/>
  <c r="M574" i="1"/>
  <c r="E575" i="1"/>
  <c r="F575" i="1" s="1"/>
  <c r="D575" i="1"/>
  <c r="G574" i="1"/>
  <c r="H574" i="1" s="1"/>
  <c r="AC575" i="1"/>
  <c r="BC575" i="1" l="1"/>
  <c r="BD575" i="1" s="1"/>
  <c r="AE575" i="1" s="1"/>
  <c r="BF577" i="1"/>
  <c r="BB576" i="1"/>
  <c r="V297" i="1"/>
  <c r="Y297" i="1"/>
  <c r="X297" i="1" s="1"/>
  <c r="AF297" i="1" s="1"/>
  <c r="AQ297" i="1"/>
  <c r="J576" i="1"/>
  <c r="AH296" i="1"/>
  <c r="AG296" i="1"/>
  <c r="L577" i="1"/>
  <c r="AY297" i="1"/>
  <c r="O297" i="1"/>
  <c r="A597" i="7"/>
  <c r="B596" i="7"/>
  <c r="S577" i="1"/>
  <c r="Z579" i="1" s="1"/>
  <c r="K577" i="1"/>
  <c r="AU577" i="1"/>
  <c r="AC576" i="1"/>
  <c r="D576" i="1"/>
  <c r="E576" i="1"/>
  <c r="F576" i="1" s="1"/>
  <c r="G575" i="1"/>
  <c r="H575" i="1" s="1"/>
  <c r="AA577" i="1"/>
  <c r="C577" i="1"/>
  <c r="B578" i="1"/>
  <c r="A577" i="1"/>
  <c r="AP576" i="1"/>
  <c r="AW576" i="1"/>
  <c r="AI576" i="1" s="1"/>
  <c r="AJ576" i="1" s="1"/>
  <c r="AK576" i="1"/>
  <c r="M575" i="1"/>
  <c r="BC576" i="1" l="1"/>
  <c r="BD576" i="1" s="1"/>
  <c r="AE576" i="1" s="1"/>
  <c r="BF578" i="1"/>
  <c r="BB577" i="1"/>
  <c r="N298" i="1"/>
  <c r="P298" i="1"/>
  <c r="BE298" i="1" s="1"/>
  <c r="U212" i="1"/>
  <c r="U204" i="1"/>
  <c r="U220" i="1"/>
  <c r="J577" i="1"/>
  <c r="L578" i="1"/>
  <c r="BA296" i="1"/>
  <c r="AT298" i="1"/>
  <c r="AS298" i="1" s="1"/>
  <c r="I298" i="1"/>
  <c r="Q298" i="1" s="1"/>
  <c r="AM298" i="1"/>
  <c r="A598" i="7"/>
  <c r="B597" i="7"/>
  <c r="S578" i="1"/>
  <c r="Z580" i="1" s="1"/>
  <c r="K578" i="1"/>
  <c r="AU578" i="1"/>
  <c r="AK577" i="1"/>
  <c r="AW577" i="1"/>
  <c r="AI577" i="1" s="1"/>
  <c r="AJ577" i="1" s="1"/>
  <c r="A578" i="1"/>
  <c r="E577" i="1"/>
  <c r="F577" i="1" s="1"/>
  <c r="D577" i="1"/>
  <c r="M576" i="1"/>
  <c r="AC577" i="1"/>
  <c r="G576" i="1"/>
  <c r="H576" i="1" s="1"/>
  <c r="AA578" i="1"/>
  <c r="B579" i="1"/>
  <c r="C578" i="1"/>
  <c r="BC577" i="1" l="1"/>
  <c r="BD577" i="1" s="1"/>
  <c r="AE577" i="1" s="1"/>
  <c r="BF579" i="1"/>
  <c r="BB578" i="1"/>
  <c r="V298" i="1"/>
  <c r="Y298" i="1"/>
  <c r="X298" i="1" s="1"/>
  <c r="AF298" i="1" s="1"/>
  <c r="AL204" i="1"/>
  <c r="AL220" i="1"/>
  <c r="AL212" i="1"/>
  <c r="AQ298" i="1"/>
  <c r="J578" i="1"/>
  <c r="AH297" i="1"/>
  <c r="AG297" i="1"/>
  <c r="L579" i="1"/>
  <c r="AY298" i="1"/>
  <c r="O298" i="1"/>
  <c r="A599" i="7"/>
  <c r="B598" i="7"/>
  <c r="S579" i="1"/>
  <c r="Z581" i="1" s="1"/>
  <c r="K579" i="1"/>
  <c r="AU579" i="1"/>
  <c r="AC578" i="1"/>
  <c r="M577" i="1"/>
  <c r="AK578" i="1"/>
  <c r="A579" i="1"/>
  <c r="AW578" i="1"/>
  <c r="AI578" i="1" s="1"/>
  <c r="AJ578" i="1" s="1"/>
  <c r="AA579" i="1"/>
  <c r="C579" i="1"/>
  <c r="B580" i="1"/>
  <c r="D578" i="1"/>
  <c r="E578" i="1"/>
  <c r="F578" i="1" s="1"/>
  <c r="G577" i="1"/>
  <c r="H577" i="1" s="1"/>
  <c r="BC578" i="1" l="1"/>
  <c r="BD578" i="1" s="1"/>
  <c r="AE578" i="1" s="1"/>
  <c r="BF580" i="1"/>
  <c r="BB579" i="1"/>
  <c r="AT299" i="1"/>
  <c r="AS299" i="1" s="1"/>
  <c r="P299" i="1"/>
  <c r="BE299" i="1" s="1"/>
  <c r="AN212" i="1"/>
  <c r="AN204" i="1"/>
  <c r="AN220" i="1"/>
  <c r="J579" i="1"/>
  <c r="L580" i="1"/>
  <c r="BA297" i="1"/>
  <c r="AG298" i="1"/>
  <c r="AM299" i="1"/>
  <c r="I299" i="1"/>
  <c r="Q299" i="1" s="1"/>
  <c r="N299" i="1"/>
  <c r="A600" i="7"/>
  <c r="B599" i="7"/>
  <c r="S580" i="1"/>
  <c r="Z582" i="1" s="1"/>
  <c r="K580" i="1"/>
  <c r="AU580" i="1"/>
  <c r="D579" i="1"/>
  <c r="E579" i="1"/>
  <c r="F579" i="1" s="1"/>
  <c r="M578" i="1"/>
  <c r="C580" i="1"/>
  <c r="B581" i="1"/>
  <c r="AA580" i="1"/>
  <c r="AC579" i="1"/>
  <c r="AW579" i="1"/>
  <c r="AI579" i="1" s="1"/>
  <c r="AJ579" i="1" s="1"/>
  <c r="AK579" i="1"/>
  <c r="A580" i="1"/>
  <c r="G578" i="1"/>
  <c r="H578" i="1" s="1"/>
  <c r="BC579" i="1" l="1"/>
  <c r="BD579" i="1" s="1"/>
  <c r="AE579" i="1" s="1"/>
  <c r="BF581" i="1"/>
  <c r="BB580" i="1"/>
  <c r="V299" i="1"/>
  <c r="Y299" i="1"/>
  <c r="X299" i="1" s="1"/>
  <c r="AF299" i="1" s="1"/>
  <c r="AO220" i="1"/>
  <c r="AO212" i="1"/>
  <c r="AO204" i="1"/>
  <c r="AQ299" i="1"/>
  <c r="J580" i="1"/>
  <c r="L581" i="1"/>
  <c r="AH298" i="1"/>
  <c r="AY299" i="1"/>
  <c r="O299" i="1"/>
  <c r="A601" i="7"/>
  <c r="B600" i="7"/>
  <c r="S581" i="1"/>
  <c r="Z583" i="1" s="1"/>
  <c r="K581" i="1"/>
  <c r="AU581" i="1"/>
  <c r="M579" i="1"/>
  <c r="G579" i="1"/>
  <c r="H579" i="1" s="1"/>
  <c r="B582" i="1"/>
  <c r="C581" i="1"/>
  <c r="AA581" i="1"/>
  <c r="AC580" i="1"/>
  <c r="AW580" i="1"/>
  <c r="AI580" i="1" s="1"/>
  <c r="AJ580" i="1" s="1"/>
  <c r="AK580" i="1"/>
  <c r="A581" i="1"/>
  <c r="E580" i="1"/>
  <c r="F580" i="1" s="1"/>
  <c r="D580" i="1"/>
  <c r="BC580" i="1" l="1"/>
  <c r="BD580" i="1" s="1"/>
  <c r="AE580" i="1" s="1"/>
  <c r="BF582" i="1"/>
  <c r="BB581" i="1"/>
  <c r="I300" i="1"/>
  <c r="Q300" i="1" s="1"/>
  <c r="P300" i="1"/>
  <c r="BE300" i="1" s="1"/>
  <c r="AP220" i="1"/>
  <c r="AX221" i="1" s="1"/>
  <c r="AP212" i="1"/>
  <c r="AX213" i="1" s="1"/>
  <c r="J581" i="1"/>
  <c r="L582" i="1"/>
  <c r="BA298" i="1"/>
  <c r="AT300" i="1"/>
  <c r="AS300" i="1" s="1"/>
  <c r="AM300" i="1"/>
  <c r="N300" i="1"/>
  <c r="A602" i="7"/>
  <c r="B601" i="7"/>
  <c r="S582" i="1"/>
  <c r="Z584" i="1" s="1"/>
  <c r="K582" i="1"/>
  <c r="AU582" i="1"/>
  <c r="G580" i="1"/>
  <c r="H580" i="1" s="1"/>
  <c r="M580" i="1"/>
  <c r="AW581" i="1"/>
  <c r="AI581" i="1" s="1"/>
  <c r="AJ581" i="1" s="1"/>
  <c r="AK581" i="1"/>
  <c r="A582" i="1"/>
  <c r="D581" i="1"/>
  <c r="E581" i="1"/>
  <c r="F581" i="1" s="1"/>
  <c r="AC581" i="1"/>
  <c r="AA582" i="1"/>
  <c r="B583" i="1"/>
  <c r="C582" i="1"/>
  <c r="BC581" i="1" l="1"/>
  <c r="BD581" i="1" s="1"/>
  <c r="AE581" i="1" s="1"/>
  <c r="BF583" i="1"/>
  <c r="BB582" i="1"/>
  <c r="V300" i="1"/>
  <c r="Y300" i="1"/>
  <c r="X300" i="1" s="1"/>
  <c r="AF300" i="1" s="1"/>
  <c r="AQ300" i="1"/>
  <c r="J582" i="1"/>
  <c r="AH299" i="1"/>
  <c r="AG299" i="1"/>
  <c r="L583" i="1"/>
  <c r="AY300" i="1"/>
  <c r="O300" i="1"/>
  <c r="A603" i="7"/>
  <c r="B602" i="7"/>
  <c r="S583" i="1"/>
  <c r="Z585" i="1" s="1"/>
  <c r="K583" i="1"/>
  <c r="AU583" i="1"/>
  <c r="AK582" i="1"/>
  <c r="AW582" i="1"/>
  <c r="AI582" i="1" s="1"/>
  <c r="AJ582" i="1" s="1"/>
  <c r="A583" i="1"/>
  <c r="AA583" i="1"/>
  <c r="B584" i="1"/>
  <c r="C583" i="1"/>
  <c r="G581" i="1"/>
  <c r="H581" i="1" s="1"/>
  <c r="D582" i="1"/>
  <c r="E582" i="1"/>
  <c r="F582" i="1" s="1"/>
  <c r="M581" i="1"/>
  <c r="AC582" i="1"/>
  <c r="BC582" i="1" l="1"/>
  <c r="BD582" i="1" s="1"/>
  <c r="AE582" i="1" s="1"/>
  <c r="BF584" i="1"/>
  <c r="BB583" i="1"/>
  <c r="N301" i="1"/>
  <c r="P301" i="1"/>
  <c r="BE301" i="1" s="1"/>
  <c r="U213" i="1"/>
  <c r="U221" i="1"/>
  <c r="J583" i="1"/>
  <c r="L584" i="1"/>
  <c r="BA299" i="1"/>
  <c r="AT301" i="1"/>
  <c r="AS301" i="1" s="1"/>
  <c r="I301" i="1"/>
  <c r="Q301" i="1" s="1"/>
  <c r="AM301" i="1"/>
  <c r="A604" i="7"/>
  <c r="B603" i="7"/>
  <c r="S584" i="1"/>
  <c r="Z586" i="1" s="1"/>
  <c r="K584" i="1"/>
  <c r="AU584" i="1"/>
  <c r="M582" i="1"/>
  <c r="AC583" i="1"/>
  <c r="A584" i="1"/>
  <c r="AK583" i="1"/>
  <c r="AW583" i="1"/>
  <c r="AI583" i="1" s="1"/>
  <c r="AJ583" i="1" s="1"/>
  <c r="E583" i="1"/>
  <c r="F583" i="1" s="1"/>
  <c r="D583" i="1"/>
  <c r="G582" i="1"/>
  <c r="H582" i="1" s="1"/>
  <c r="B585" i="1"/>
  <c r="C584" i="1"/>
  <c r="AA584" i="1"/>
  <c r="U229" i="1"/>
  <c r="BC583" i="1" l="1"/>
  <c r="BD583" i="1" s="1"/>
  <c r="AE583" i="1" s="1"/>
  <c r="BF585" i="1"/>
  <c r="BB584" i="1"/>
  <c r="V301" i="1"/>
  <c r="Y301" i="1"/>
  <c r="X301" i="1" s="1"/>
  <c r="AF301" i="1" s="1"/>
  <c r="AL221" i="1"/>
  <c r="AL229" i="1"/>
  <c r="AL213" i="1"/>
  <c r="AQ301" i="1"/>
  <c r="J584" i="1"/>
  <c r="AH300" i="1"/>
  <c r="AG300" i="1"/>
  <c r="L585" i="1"/>
  <c r="AY301" i="1"/>
  <c r="O301" i="1"/>
  <c r="P302" i="1" s="1"/>
  <c r="BE302" i="1" s="1"/>
  <c r="A605" i="7"/>
  <c r="B604" i="7"/>
  <c r="S585" i="1"/>
  <c r="Z587" i="1" s="1"/>
  <c r="K585" i="1"/>
  <c r="AU585" i="1"/>
  <c r="AC584" i="1"/>
  <c r="M583" i="1"/>
  <c r="A585" i="1"/>
  <c r="AW584" i="1"/>
  <c r="AI584" i="1" s="1"/>
  <c r="AJ584" i="1" s="1"/>
  <c r="AK584" i="1"/>
  <c r="E584" i="1"/>
  <c r="F584" i="1" s="1"/>
  <c r="D584" i="1"/>
  <c r="B586" i="1"/>
  <c r="AA585" i="1"/>
  <c r="C585" i="1"/>
  <c r="G583" i="1"/>
  <c r="H583" i="1" s="1"/>
  <c r="BC584" i="1" l="1"/>
  <c r="BD584" i="1" s="1"/>
  <c r="AE584" i="1" s="1"/>
  <c r="BF586" i="1"/>
  <c r="AX301" i="1"/>
  <c r="BB585" i="1"/>
  <c r="V302" i="1"/>
  <c r="Y302" i="1"/>
  <c r="AN213" i="1"/>
  <c r="AN221" i="1"/>
  <c r="AN229" i="1"/>
  <c r="J585" i="1"/>
  <c r="L586" i="1"/>
  <c r="BA300" i="1"/>
  <c r="AT302" i="1"/>
  <c r="AS302" i="1" s="1"/>
  <c r="I302" i="1"/>
  <c r="Q302" i="1" s="1"/>
  <c r="AM302" i="1"/>
  <c r="N302" i="1"/>
  <c r="A606" i="7"/>
  <c r="B605" i="7"/>
  <c r="S586" i="1"/>
  <c r="Z588" i="1" s="1"/>
  <c r="K586" i="1"/>
  <c r="AU586" i="1"/>
  <c r="D585" i="1"/>
  <c r="E585" i="1"/>
  <c r="F585" i="1" s="1"/>
  <c r="AA586" i="1"/>
  <c r="B587" i="1"/>
  <c r="C586" i="1"/>
  <c r="G584" i="1"/>
  <c r="H584" i="1" s="1"/>
  <c r="AK585" i="1"/>
  <c r="A586" i="1"/>
  <c r="AW585" i="1"/>
  <c r="AI585" i="1" s="1"/>
  <c r="AJ585" i="1" s="1"/>
  <c r="AC585" i="1"/>
  <c r="M584" i="1"/>
  <c r="BC585" i="1" l="1"/>
  <c r="BD585" i="1" s="1"/>
  <c r="AE585" i="1" s="1"/>
  <c r="BF587" i="1"/>
  <c r="BB586" i="1"/>
  <c r="AO213" i="1"/>
  <c r="AO221" i="1"/>
  <c r="AO229" i="1"/>
  <c r="AQ302" i="1"/>
  <c r="X302" i="1"/>
  <c r="AF302" i="1" s="1"/>
  <c r="J586" i="1"/>
  <c r="AH301" i="1"/>
  <c r="AG301" i="1"/>
  <c r="L587" i="1"/>
  <c r="AY302" i="1"/>
  <c r="O302" i="1"/>
  <c r="P303" i="1" s="1"/>
  <c r="BE303" i="1" s="1"/>
  <c r="A607" i="7"/>
  <c r="B606" i="7"/>
  <c r="S587" i="1"/>
  <c r="Z589" i="1" s="1"/>
  <c r="K587" i="1"/>
  <c r="AU587" i="1"/>
  <c r="AW586" i="1"/>
  <c r="AI586" i="1" s="1"/>
  <c r="AJ586" i="1" s="1"/>
  <c r="AK586" i="1"/>
  <c r="A587" i="1"/>
  <c r="M585" i="1"/>
  <c r="AA587" i="1"/>
  <c r="C587" i="1"/>
  <c r="B588" i="1"/>
  <c r="AC586" i="1"/>
  <c r="D586" i="1"/>
  <c r="E586" i="1"/>
  <c r="F586" i="1" s="1"/>
  <c r="G585" i="1"/>
  <c r="H585" i="1" s="1"/>
  <c r="BC586" i="1" l="1"/>
  <c r="BD586" i="1" s="1"/>
  <c r="AE586" i="1" s="1"/>
  <c r="BF588" i="1"/>
  <c r="BB587" i="1"/>
  <c r="V303" i="1"/>
  <c r="Y303" i="1"/>
  <c r="X303" i="1" s="1"/>
  <c r="AF303" i="1" s="1"/>
  <c r="AP213" i="1"/>
  <c r="AX214" i="1" s="1"/>
  <c r="AP229" i="1"/>
  <c r="AX230" i="1" s="1"/>
  <c r="AP221" i="1"/>
  <c r="AX222" i="1" s="1"/>
  <c r="J587" i="1"/>
  <c r="L588" i="1"/>
  <c r="AG302" i="1"/>
  <c r="BA301" i="1"/>
  <c r="AT303" i="1"/>
  <c r="AS303" i="1" s="1"/>
  <c r="AM303" i="1"/>
  <c r="I303" i="1"/>
  <c r="Q303" i="1" s="1"/>
  <c r="N303" i="1"/>
  <c r="A608" i="7"/>
  <c r="B607" i="7"/>
  <c r="S588" i="1"/>
  <c r="Z590" i="1" s="1"/>
  <c r="K588" i="1"/>
  <c r="AU588" i="1"/>
  <c r="D587" i="1"/>
  <c r="E587" i="1"/>
  <c r="F587" i="1" s="1"/>
  <c r="AK587" i="1"/>
  <c r="A588" i="1"/>
  <c r="AW587" i="1"/>
  <c r="AI587" i="1" s="1"/>
  <c r="AJ587" i="1" s="1"/>
  <c r="G586" i="1"/>
  <c r="H586" i="1" s="1"/>
  <c r="AC587" i="1"/>
  <c r="B589" i="1"/>
  <c r="C588" i="1"/>
  <c r="AA588" i="1"/>
  <c r="M586" i="1"/>
  <c r="BC587" i="1" l="1"/>
  <c r="BD587" i="1" s="1"/>
  <c r="AE587" i="1" s="1"/>
  <c r="BF589" i="1"/>
  <c r="BB588" i="1"/>
  <c r="AQ303" i="1"/>
  <c r="J588" i="1"/>
  <c r="L589" i="1"/>
  <c r="AY303" i="1"/>
  <c r="AH302" i="1"/>
  <c r="O303" i="1"/>
  <c r="P304" i="1" s="1"/>
  <c r="BE304" i="1" s="1"/>
  <c r="A609" i="7"/>
  <c r="B608" i="7"/>
  <c r="S589" i="1"/>
  <c r="Z591" i="1" s="1"/>
  <c r="K589" i="1"/>
  <c r="AU589" i="1"/>
  <c r="G587" i="1"/>
  <c r="H587" i="1" s="1"/>
  <c r="M587" i="1"/>
  <c r="E588" i="1"/>
  <c r="F588" i="1" s="1"/>
  <c r="D588" i="1"/>
  <c r="AA589" i="1"/>
  <c r="B590" i="1"/>
  <c r="C589" i="1"/>
  <c r="AW588" i="1"/>
  <c r="AI588" i="1" s="1"/>
  <c r="AJ588" i="1" s="1"/>
  <c r="AK588" i="1"/>
  <c r="AP588" i="1"/>
  <c r="A589" i="1"/>
  <c r="AC588" i="1"/>
  <c r="BC588" i="1" l="1"/>
  <c r="BD588" i="1" s="1"/>
  <c r="AE588" i="1" s="1"/>
  <c r="BF590" i="1"/>
  <c r="BB589" i="1"/>
  <c r="V304" i="1"/>
  <c r="Y304" i="1"/>
  <c r="X304" i="1" s="1"/>
  <c r="AF304" i="1" s="1"/>
  <c r="U222" i="1"/>
  <c r="U230" i="1"/>
  <c r="U214" i="1"/>
  <c r="J589" i="1"/>
  <c r="L590" i="1"/>
  <c r="BA302" i="1"/>
  <c r="N304" i="1"/>
  <c r="AM304" i="1"/>
  <c r="I304" i="1"/>
  <c r="Q304" i="1" s="1"/>
  <c r="AT304" i="1"/>
  <c r="AS304" i="1" s="1"/>
  <c r="A610" i="7"/>
  <c r="B609" i="7"/>
  <c r="S590" i="1"/>
  <c r="Z592" i="1" s="1"/>
  <c r="K590" i="1"/>
  <c r="AU590" i="1"/>
  <c r="M588" i="1"/>
  <c r="AW589" i="1"/>
  <c r="AI589" i="1" s="1"/>
  <c r="AJ589" i="1" s="1"/>
  <c r="A590" i="1"/>
  <c r="AK589" i="1"/>
  <c r="AC589" i="1"/>
  <c r="C590" i="1"/>
  <c r="AA590" i="1"/>
  <c r="B591" i="1"/>
  <c r="G588" i="1"/>
  <c r="H588" i="1" s="1"/>
  <c r="E589" i="1"/>
  <c r="F589" i="1" s="1"/>
  <c r="D589" i="1"/>
  <c r="BC589" i="1" l="1"/>
  <c r="BD589" i="1" s="1"/>
  <c r="AE589" i="1" s="1"/>
  <c r="BF591" i="1"/>
  <c r="BB590" i="1"/>
  <c r="AL230" i="1"/>
  <c r="AL214" i="1"/>
  <c r="AL222" i="1"/>
  <c r="AQ304" i="1"/>
  <c r="J590" i="1"/>
  <c r="AH303" i="1"/>
  <c r="AG303" i="1"/>
  <c r="L591" i="1"/>
  <c r="AY304" i="1"/>
  <c r="O304" i="1"/>
  <c r="P305" i="1" s="1"/>
  <c r="BE305" i="1" s="1"/>
  <c r="A611" i="7"/>
  <c r="B610" i="7"/>
  <c r="S591" i="1"/>
  <c r="Z593" i="1" s="1"/>
  <c r="K591" i="1"/>
  <c r="AU591" i="1"/>
  <c r="AC590" i="1"/>
  <c r="C591" i="1"/>
  <c r="AA591" i="1"/>
  <c r="B592" i="1"/>
  <c r="D590" i="1"/>
  <c r="E590" i="1"/>
  <c r="F590" i="1" s="1"/>
  <c r="G589" i="1"/>
  <c r="H589" i="1" s="1"/>
  <c r="M589" i="1"/>
  <c r="A591" i="1"/>
  <c r="AW590" i="1"/>
  <c r="AI590" i="1" s="1"/>
  <c r="AJ590" i="1" s="1"/>
  <c r="AK590" i="1"/>
  <c r="BC590" i="1" l="1"/>
  <c r="BD590" i="1" s="1"/>
  <c r="AE590" i="1" s="1"/>
  <c r="BF592" i="1"/>
  <c r="BB591" i="1"/>
  <c r="V305" i="1"/>
  <c r="Y305" i="1"/>
  <c r="X305" i="1" s="1"/>
  <c r="AF305" i="1" s="1"/>
  <c r="AN222" i="1"/>
  <c r="AN230" i="1"/>
  <c r="AN214" i="1"/>
  <c r="J591" i="1"/>
  <c r="L592" i="1"/>
  <c r="BA303" i="1"/>
  <c r="AG304" i="1"/>
  <c r="AT305" i="1"/>
  <c r="AS305" i="1" s="1"/>
  <c r="I305" i="1"/>
  <c r="Q305" i="1" s="1"/>
  <c r="N305" i="1"/>
  <c r="AM305" i="1"/>
  <c r="A612" i="7"/>
  <c r="B611" i="7"/>
  <c r="S592" i="1"/>
  <c r="Z594" i="1" s="1"/>
  <c r="K592" i="1"/>
  <c r="AU592" i="1"/>
  <c r="G590" i="1"/>
  <c r="H590" i="1" s="1"/>
  <c r="E591" i="1"/>
  <c r="F591" i="1" s="1"/>
  <c r="D591" i="1"/>
  <c r="AC591" i="1"/>
  <c r="M590" i="1"/>
  <c r="AK591" i="1"/>
  <c r="A592" i="1"/>
  <c r="AW591" i="1"/>
  <c r="AI591" i="1" s="1"/>
  <c r="AJ591" i="1" s="1"/>
  <c r="AA592" i="1"/>
  <c r="C592" i="1"/>
  <c r="B593" i="1"/>
  <c r="BC591" i="1" l="1"/>
  <c r="BD591" i="1" s="1"/>
  <c r="AE591" i="1" s="1"/>
  <c r="BF593" i="1"/>
  <c r="BB592" i="1"/>
  <c r="AO230" i="1"/>
  <c r="AO222" i="1"/>
  <c r="AO214" i="1"/>
  <c r="AQ305" i="1"/>
  <c r="J592" i="1"/>
  <c r="L593" i="1"/>
  <c r="AH304" i="1"/>
  <c r="AY305" i="1"/>
  <c r="O305" i="1"/>
  <c r="P306" i="1" s="1"/>
  <c r="BE306" i="1" s="1"/>
  <c r="A613" i="7"/>
  <c r="B612" i="7"/>
  <c r="S593" i="1"/>
  <c r="Z595" i="1" s="1"/>
  <c r="K593" i="1"/>
  <c r="AU593" i="1"/>
  <c r="E592" i="1"/>
  <c r="F592" i="1" s="1"/>
  <c r="D592" i="1"/>
  <c r="AC592" i="1"/>
  <c r="AW592" i="1"/>
  <c r="AI592" i="1" s="1"/>
  <c r="AJ592" i="1" s="1"/>
  <c r="AK592" i="1"/>
  <c r="A593" i="1"/>
  <c r="M591" i="1"/>
  <c r="G591" i="1"/>
  <c r="H591" i="1" s="1"/>
  <c r="B594" i="1"/>
  <c r="C593" i="1"/>
  <c r="AA593" i="1"/>
  <c r="BC592" i="1" l="1"/>
  <c r="BD592" i="1" s="1"/>
  <c r="AE592" i="1" s="1"/>
  <c r="BF594" i="1"/>
  <c r="BB593" i="1"/>
  <c r="V306" i="1"/>
  <c r="Y306" i="1"/>
  <c r="X306" i="1" s="1"/>
  <c r="AF306" i="1" s="1"/>
  <c r="AP230" i="1"/>
  <c r="AX231" i="1" s="1"/>
  <c r="AP222" i="1"/>
  <c r="AX223" i="1" s="1"/>
  <c r="AP214" i="1"/>
  <c r="AX215" i="1" s="1"/>
  <c r="J593" i="1"/>
  <c r="L594" i="1"/>
  <c r="AG305" i="1"/>
  <c r="BA304" i="1"/>
  <c r="AM306" i="1"/>
  <c r="AT306" i="1"/>
  <c r="AS306" i="1" s="1"/>
  <c r="I306" i="1"/>
  <c r="Q306" i="1" s="1"/>
  <c r="N306" i="1"/>
  <c r="A614" i="7"/>
  <c r="B613" i="7"/>
  <c r="S594" i="1"/>
  <c r="Z596" i="1" s="1"/>
  <c r="K594" i="1"/>
  <c r="AU594" i="1"/>
  <c r="AC593" i="1"/>
  <c r="C594" i="1"/>
  <c r="AA594" i="1"/>
  <c r="B595" i="1"/>
  <c r="M592" i="1"/>
  <c r="AK593" i="1"/>
  <c r="A594" i="1"/>
  <c r="AW593" i="1"/>
  <c r="AI593" i="1" s="1"/>
  <c r="AJ593" i="1" s="1"/>
  <c r="G592" i="1"/>
  <c r="H592" i="1" s="1"/>
  <c r="D593" i="1"/>
  <c r="E593" i="1"/>
  <c r="F593" i="1" s="1"/>
  <c r="BC593" i="1" l="1"/>
  <c r="BD593" i="1" s="1"/>
  <c r="AE593" i="1" s="1"/>
  <c r="BF595" i="1"/>
  <c r="BB594" i="1"/>
  <c r="AQ306" i="1"/>
  <c r="J594" i="1"/>
  <c r="L595" i="1"/>
  <c r="AY306" i="1"/>
  <c r="AH305" i="1"/>
  <c r="O306" i="1"/>
  <c r="P307" i="1" s="1"/>
  <c r="BE307" i="1" s="1"/>
  <c r="A615" i="7"/>
  <c r="B614" i="7"/>
  <c r="S595" i="1"/>
  <c r="Z597" i="1" s="1"/>
  <c r="K595" i="1"/>
  <c r="AU595" i="1"/>
  <c r="AC594" i="1"/>
  <c r="M593" i="1"/>
  <c r="G593" i="1"/>
  <c r="H593" i="1" s="1"/>
  <c r="AA595" i="1"/>
  <c r="B596" i="1"/>
  <c r="C595" i="1"/>
  <c r="D594" i="1"/>
  <c r="E594" i="1"/>
  <c r="F594" i="1" s="1"/>
  <c r="A595" i="1"/>
  <c r="AW594" i="1"/>
  <c r="AI594" i="1" s="1"/>
  <c r="AJ594" i="1" s="1"/>
  <c r="AK594" i="1"/>
  <c r="BC594" i="1" l="1"/>
  <c r="BD594" i="1" s="1"/>
  <c r="AE594" i="1" s="1"/>
  <c r="BF596" i="1"/>
  <c r="BB595" i="1"/>
  <c r="V307" i="1"/>
  <c r="Y307" i="1"/>
  <c r="U223" i="1"/>
  <c r="U215" i="1"/>
  <c r="U231" i="1"/>
  <c r="J595" i="1"/>
  <c r="L596" i="1"/>
  <c r="AG306" i="1"/>
  <c r="BA305" i="1"/>
  <c r="I307" i="1"/>
  <c r="Q307" i="1" s="1"/>
  <c r="AT307" i="1"/>
  <c r="AS307" i="1" s="1"/>
  <c r="X307" i="1"/>
  <c r="AF307" i="1" s="1"/>
  <c r="N307" i="1"/>
  <c r="AM307" i="1"/>
  <c r="A616" i="7"/>
  <c r="B615" i="7"/>
  <c r="S596" i="1"/>
  <c r="Z598" i="1" s="1"/>
  <c r="K596" i="1"/>
  <c r="AU596" i="1"/>
  <c r="E595" i="1"/>
  <c r="F595" i="1" s="1"/>
  <c r="D595" i="1"/>
  <c r="M594" i="1"/>
  <c r="C596" i="1"/>
  <c r="AA596" i="1"/>
  <c r="B597" i="1"/>
  <c r="AK595" i="1"/>
  <c r="A596" i="1"/>
  <c r="AW595" i="1"/>
  <c r="AI595" i="1" s="1"/>
  <c r="AJ595" i="1" s="1"/>
  <c r="G594" i="1"/>
  <c r="H594" i="1" s="1"/>
  <c r="AC595" i="1"/>
  <c r="BC595" i="1" l="1"/>
  <c r="BD595" i="1" s="1"/>
  <c r="AE595" i="1" s="1"/>
  <c r="BF597" i="1"/>
  <c r="BB596" i="1"/>
  <c r="AL215" i="1"/>
  <c r="AL231" i="1"/>
  <c r="AL223" i="1"/>
  <c r="AQ307" i="1"/>
  <c r="J596" i="1"/>
  <c r="L597" i="1"/>
  <c r="AY307" i="1"/>
  <c r="AH306" i="1"/>
  <c r="O307" i="1"/>
  <c r="A617" i="7"/>
  <c r="B616" i="7"/>
  <c r="S597" i="1"/>
  <c r="Z599" i="1" s="1"/>
  <c r="K597" i="1"/>
  <c r="AU597" i="1"/>
  <c r="D596" i="1"/>
  <c r="E596" i="1"/>
  <c r="F596" i="1" s="1"/>
  <c r="G595" i="1"/>
  <c r="H595" i="1" s="1"/>
  <c r="AC596" i="1"/>
  <c r="AK596" i="1"/>
  <c r="A597" i="1"/>
  <c r="AW596" i="1"/>
  <c r="AI596" i="1" s="1"/>
  <c r="AJ596" i="1" s="1"/>
  <c r="AA597" i="1"/>
  <c r="C597" i="1"/>
  <c r="B598" i="1"/>
  <c r="M595" i="1"/>
  <c r="BC596" i="1" l="1"/>
  <c r="BD596" i="1" s="1"/>
  <c r="AE596" i="1" s="1"/>
  <c r="BF598" i="1"/>
  <c r="BB597" i="1"/>
  <c r="I308" i="1"/>
  <c r="Q308" i="1" s="1"/>
  <c r="P308" i="1"/>
  <c r="BE308" i="1" s="1"/>
  <c r="AN223" i="1"/>
  <c r="AN215" i="1"/>
  <c r="AN231" i="1"/>
  <c r="J597" i="1"/>
  <c r="L598" i="1"/>
  <c r="BA306" i="1"/>
  <c r="AT308" i="1"/>
  <c r="AS308" i="1" s="1"/>
  <c r="N308" i="1"/>
  <c r="AM308" i="1"/>
  <c r="A618" i="7"/>
  <c r="B617" i="7"/>
  <c r="S598" i="1"/>
  <c r="Z600" i="1" s="1"/>
  <c r="K598" i="1"/>
  <c r="AU598" i="1"/>
  <c r="M596" i="1"/>
  <c r="AK597" i="1"/>
  <c r="A598" i="1"/>
  <c r="AW597" i="1"/>
  <c r="AI597" i="1" s="1"/>
  <c r="AJ597" i="1" s="1"/>
  <c r="AA598" i="1"/>
  <c r="B599" i="1"/>
  <c r="C598" i="1"/>
  <c r="AC597" i="1"/>
  <c r="G596" i="1"/>
  <c r="H596" i="1" s="1"/>
  <c r="E597" i="1"/>
  <c r="F597" i="1" s="1"/>
  <c r="D597" i="1"/>
  <c r="BC597" i="1" l="1"/>
  <c r="BD597" i="1" s="1"/>
  <c r="AE597" i="1" s="1"/>
  <c r="BF599" i="1"/>
  <c r="AC598" i="1"/>
  <c r="BB598" i="1"/>
  <c r="V308" i="1"/>
  <c r="Y308" i="1"/>
  <c r="X308" i="1" s="1"/>
  <c r="AF308" i="1" s="1"/>
  <c r="AO231" i="1"/>
  <c r="AO215" i="1"/>
  <c r="AO223" i="1"/>
  <c r="AQ308" i="1"/>
  <c r="J598" i="1"/>
  <c r="L599" i="1"/>
  <c r="AH307" i="1"/>
  <c r="AG307" i="1"/>
  <c r="AY308" i="1"/>
  <c r="O308" i="1"/>
  <c r="P309" i="1" s="1"/>
  <c r="BE309" i="1" s="1"/>
  <c r="A619" i="7"/>
  <c r="B618" i="7"/>
  <c r="S599" i="1"/>
  <c r="Z601" i="1" s="1"/>
  <c r="K599" i="1"/>
  <c r="AU599" i="1"/>
  <c r="D598" i="1"/>
  <c r="E598" i="1"/>
  <c r="F598" i="1" s="1"/>
  <c r="G597" i="1"/>
  <c r="H597" i="1" s="1"/>
  <c r="C599" i="1"/>
  <c r="AA599" i="1"/>
  <c r="B600" i="1"/>
  <c r="AK598" i="1"/>
  <c r="A599" i="1"/>
  <c r="AW598" i="1"/>
  <c r="AI598" i="1" s="1"/>
  <c r="AJ598" i="1" s="1"/>
  <c r="M597" i="1"/>
  <c r="BC598" i="1" l="1"/>
  <c r="BD598" i="1" s="1"/>
  <c r="AE598" i="1" s="1"/>
  <c r="BF600" i="1"/>
  <c r="BB599" i="1"/>
  <c r="V309" i="1"/>
  <c r="Y309" i="1"/>
  <c r="X309" i="1" s="1"/>
  <c r="AF309" i="1" s="1"/>
  <c r="AP223" i="1"/>
  <c r="AX224" i="1" s="1"/>
  <c r="AP231" i="1"/>
  <c r="AX232" i="1" s="1"/>
  <c r="AP215" i="1"/>
  <c r="AX216" i="1" s="1"/>
  <c r="J599" i="1"/>
  <c r="L600" i="1"/>
  <c r="BA307" i="1"/>
  <c r="N309" i="1"/>
  <c r="AT309" i="1"/>
  <c r="AS309" i="1" s="1"/>
  <c r="AM309" i="1"/>
  <c r="I309" i="1"/>
  <c r="Q309" i="1" s="1"/>
  <c r="A620" i="7"/>
  <c r="B619" i="7"/>
  <c r="S600" i="1"/>
  <c r="Z602" i="1" s="1"/>
  <c r="K600" i="1"/>
  <c r="AU600" i="1"/>
  <c r="G598" i="1"/>
  <c r="H598" i="1" s="1"/>
  <c r="AK599" i="1"/>
  <c r="A600" i="1"/>
  <c r="AW599" i="1"/>
  <c r="AI599" i="1" s="1"/>
  <c r="AJ599" i="1" s="1"/>
  <c r="B601" i="1"/>
  <c r="AA600" i="1"/>
  <c r="C600" i="1"/>
  <c r="D599" i="1"/>
  <c r="E599" i="1"/>
  <c r="F599" i="1" s="1"/>
  <c r="AC599" i="1"/>
  <c r="M598" i="1"/>
  <c r="BC599" i="1" l="1"/>
  <c r="BD599" i="1" s="1"/>
  <c r="AE599" i="1" s="1"/>
  <c r="BF601" i="1"/>
  <c r="BB600" i="1"/>
  <c r="AQ309" i="1"/>
  <c r="J600" i="1"/>
  <c r="L601" i="1"/>
  <c r="AH308" i="1"/>
  <c r="AG308" i="1"/>
  <c r="AY309" i="1"/>
  <c r="O309" i="1"/>
  <c r="P310" i="1" s="1"/>
  <c r="BE310" i="1" s="1"/>
  <c r="A621" i="7"/>
  <c r="B620" i="7"/>
  <c r="S601" i="1"/>
  <c r="Z603" i="1" s="1"/>
  <c r="K601" i="1"/>
  <c r="AU601" i="1"/>
  <c r="AK600" i="1"/>
  <c r="AP600" i="1"/>
  <c r="A601" i="1"/>
  <c r="AW600" i="1"/>
  <c r="AI600" i="1" s="1"/>
  <c r="AJ600" i="1" s="1"/>
  <c r="M599" i="1"/>
  <c r="B602" i="1"/>
  <c r="AA601" i="1"/>
  <c r="C601" i="1"/>
  <c r="D600" i="1"/>
  <c r="E600" i="1"/>
  <c r="F600" i="1" s="1"/>
  <c r="G599" i="1"/>
  <c r="H599" i="1" s="1"/>
  <c r="AC600" i="1"/>
  <c r="BC600" i="1" l="1"/>
  <c r="BD600" i="1" s="1"/>
  <c r="AE600" i="1" s="1"/>
  <c r="BF602" i="1"/>
  <c r="BB601" i="1"/>
  <c r="V310" i="1"/>
  <c r="Y310" i="1"/>
  <c r="X310" i="1" s="1"/>
  <c r="AF310" i="1" s="1"/>
  <c r="U232" i="1"/>
  <c r="U216" i="1"/>
  <c r="U224" i="1"/>
  <c r="J601" i="1"/>
  <c r="L602" i="1"/>
  <c r="AG309" i="1"/>
  <c r="BA308" i="1"/>
  <c r="N310" i="1"/>
  <c r="AT310" i="1"/>
  <c r="AS310" i="1" s="1"/>
  <c r="I310" i="1"/>
  <c r="Q310" i="1" s="1"/>
  <c r="AM310" i="1"/>
  <c r="A622" i="7"/>
  <c r="B621" i="7"/>
  <c r="S602" i="1"/>
  <c r="Z604" i="1" s="1"/>
  <c r="K602" i="1"/>
  <c r="AU602" i="1"/>
  <c r="G600" i="1"/>
  <c r="H600" i="1" s="1"/>
  <c r="E601" i="1"/>
  <c r="F601" i="1" s="1"/>
  <c r="D601" i="1"/>
  <c r="B603" i="1"/>
  <c r="C602" i="1"/>
  <c r="AA602" i="1"/>
  <c r="AC601" i="1"/>
  <c r="M600" i="1"/>
  <c r="AW601" i="1"/>
  <c r="AI601" i="1" s="1"/>
  <c r="AJ601" i="1" s="1"/>
  <c r="AK601" i="1"/>
  <c r="A602" i="1"/>
  <c r="BC601" i="1" l="1"/>
  <c r="BD601" i="1" s="1"/>
  <c r="AE601" i="1" s="1"/>
  <c r="BF603" i="1"/>
  <c r="BB602" i="1"/>
  <c r="AL216" i="1"/>
  <c r="AL224" i="1"/>
  <c r="AL232" i="1"/>
  <c r="AQ310" i="1"/>
  <c r="J602" i="1"/>
  <c r="L603" i="1"/>
  <c r="AY310" i="1"/>
  <c r="AH309" i="1"/>
  <c r="O310" i="1"/>
  <c r="A623" i="7"/>
  <c r="B622" i="7"/>
  <c r="S603" i="1"/>
  <c r="Z605" i="1" s="1"/>
  <c r="K603" i="1"/>
  <c r="AU603" i="1"/>
  <c r="AK602" i="1"/>
  <c r="A603" i="1"/>
  <c r="AW602" i="1"/>
  <c r="AI602" i="1" s="1"/>
  <c r="AJ602" i="1" s="1"/>
  <c r="AC602" i="1"/>
  <c r="M601" i="1"/>
  <c r="E602" i="1"/>
  <c r="F602" i="1" s="1"/>
  <c r="D602" i="1"/>
  <c r="AA603" i="1"/>
  <c r="B604" i="1"/>
  <c r="C603" i="1"/>
  <c r="G601" i="1"/>
  <c r="H601" i="1" s="1"/>
  <c r="BC602" i="1" l="1"/>
  <c r="BD602" i="1" s="1"/>
  <c r="AE602" i="1" s="1"/>
  <c r="BF604" i="1"/>
  <c r="AC603" i="1"/>
  <c r="BB603" i="1"/>
  <c r="AM311" i="1"/>
  <c r="P311" i="1"/>
  <c r="BE311" i="1" s="1"/>
  <c r="AN232" i="1"/>
  <c r="AN216" i="1"/>
  <c r="AN224" i="1"/>
  <c r="J603" i="1"/>
  <c r="L604" i="1"/>
  <c r="AG310" i="1"/>
  <c r="BA309" i="1"/>
  <c r="I311" i="1"/>
  <c r="Q311" i="1" s="1"/>
  <c r="AT311" i="1"/>
  <c r="AS311" i="1" s="1"/>
  <c r="N311" i="1"/>
  <c r="A624" i="7"/>
  <c r="B623" i="7"/>
  <c r="S604" i="1"/>
  <c r="Z606" i="1" s="1"/>
  <c r="K604" i="1"/>
  <c r="AU604" i="1"/>
  <c r="D603" i="1"/>
  <c r="E603" i="1"/>
  <c r="F603" i="1" s="1"/>
  <c r="B605" i="1"/>
  <c r="C604" i="1"/>
  <c r="AA604" i="1"/>
  <c r="M602" i="1"/>
  <c r="G602" i="1"/>
  <c r="H602" i="1" s="1"/>
  <c r="AK603" i="1"/>
  <c r="A604" i="1"/>
  <c r="AW603" i="1"/>
  <c r="AI603" i="1" s="1"/>
  <c r="AJ603" i="1" s="1"/>
  <c r="BC603" i="1" l="1"/>
  <c r="BD603" i="1" s="1"/>
  <c r="AE603" i="1" s="1"/>
  <c r="BF605" i="1"/>
  <c r="BB604" i="1"/>
  <c r="V311" i="1"/>
  <c r="Y311" i="1"/>
  <c r="X311" i="1" s="1"/>
  <c r="AF311" i="1" s="1"/>
  <c r="AO224" i="1"/>
  <c r="AO216" i="1"/>
  <c r="AO232" i="1"/>
  <c r="AQ311" i="1"/>
  <c r="J604" i="1"/>
  <c r="L605" i="1"/>
  <c r="AY311" i="1"/>
  <c r="AH310" i="1"/>
  <c r="O311" i="1"/>
  <c r="A625" i="7"/>
  <c r="B624" i="7"/>
  <c r="S605" i="1"/>
  <c r="Z607" i="1" s="1"/>
  <c r="K605" i="1"/>
  <c r="AU605" i="1"/>
  <c r="M603" i="1"/>
  <c r="B606" i="1"/>
  <c r="AA605" i="1"/>
  <c r="C605" i="1"/>
  <c r="E604" i="1"/>
  <c r="F604" i="1" s="1"/>
  <c r="D604" i="1"/>
  <c r="G603" i="1"/>
  <c r="H603" i="1" s="1"/>
  <c r="A605" i="1"/>
  <c r="AW604" i="1"/>
  <c r="AI604" i="1" s="1"/>
  <c r="AJ604" i="1" s="1"/>
  <c r="AK604" i="1"/>
  <c r="AC604" i="1"/>
  <c r="BC604" i="1" l="1"/>
  <c r="BD604" i="1" s="1"/>
  <c r="AE604" i="1" s="1"/>
  <c r="BF606" i="1"/>
  <c r="BB605" i="1"/>
  <c r="AT312" i="1"/>
  <c r="AS312" i="1" s="1"/>
  <c r="P312" i="1"/>
  <c r="BE312" i="1" s="1"/>
  <c r="AP224" i="1"/>
  <c r="AX225" i="1" s="1"/>
  <c r="AP232" i="1"/>
  <c r="AX233" i="1" s="1"/>
  <c r="J605" i="1"/>
  <c r="L606" i="1"/>
  <c r="BA310" i="1"/>
  <c r="AG311" i="1"/>
  <c r="N312" i="1"/>
  <c r="AM312" i="1"/>
  <c r="I312" i="1"/>
  <c r="Q312" i="1" s="1"/>
  <c r="A626" i="7"/>
  <c r="B625" i="7"/>
  <c r="S606" i="1"/>
  <c r="Z608" i="1" s="1"/>
  <c r="K606" i="1"/>
  <c r="AU606" i="1"/>
  <c r="AC605" i="1"/>
  <c r="E605" i="1"/>
  <c r="F605" i="1" s="1"/>
  <c r="D605" i="1"/>
  <c r="AA606" i="1"/>
  <c r="C606" i="1"/>
  <c r="B607" i="1"/>
  <c r="AW605" i="1"/>
  <c r="AI605" i="1" s="1"/>
  <c r="AJ605" i="1" s="1"/>
  <c r="AK605" i="1"/>
  <c r="A606" i="1"/>
  <c r="G604" i="1"/>
  <c r="H604" i="1" s="1"/>
  <c r="M604" i="1"/>
  <c r="BC605" i="1" l="1"/>
  <c r="BD605" i="1" s="1"/>
  <c r="AE605" i="1" s="1"/>
  <c r="BF607" i="1"/>
  <c r="BB606" i="1"/>
  <c r="V312" i="1"/>
  <c r="Y312" i="1"/>
  <c r="X312" i="1" s="1"/>
  <c r="AF312" i="1" s="1"/>
  <c r="AQ312" i="1"/>
  <c r="J606" i="1"/>
  <c r="L607" i="1"/>
  <c r="AY312" i="1"/>
  <c r="AH311" i="1"/>
  <c r="O312" i="1"/>
  <c r="A627" i="7"/>
  <c r="B626" i="7"/>
  <c r="S607" i="1"/>
  <c r="Z609" i="1" s="1"/>
  <c r="K607" i="1"/>
  <c r="AU607" i="1"/>
  <c r="AK606" i="1"/>
  <c r="AW606" i="1"/>
  <c r="AI606" i="1" s="1"/>
  <c r="AJ606" i="1" s="1"/>
  <c r="A607" i="1"/>
  <c r="M605" i="1"/>
  <c r="AC606" i="1"/>
  <c r="G605" i="1"/>
  <c r="H605" i="1" s="1"/>
  <c r="E606" i="1"/>
  <c r="F606" i="1" s="1"/>
  <c r="D606" i="1"/>
  <c r="AA607" i="1"/>
  <c r="B608" i="1"/>
  <c r="C607" i="1"/>
  <c r="BC606" i="1" l="1"/>
  <c r="BD606" i="1" s="1"/>
  <c r="AE606" i="1" s="1"/>
  <c r="BF608" i="1"/>
  <c r="BB607" i="1"/>
  <c r="AT313" i="1"/>
  <c r="AS313" i="1" s="1"/>
  <c r="P313" i="1"/>
  <c r="BE313" i="1" s="1"/>
  <c r="U225" i="1"/>
  <c r="U233" i="1"/>
  <c r="J607" i="1"/>
  <c r="L608" i="1"/>
  <c r="BA311" i="1"/>
  <c r="AM313" i="1"/>
  <c r="N313" i="1"/>
  <c r="I313" i="1"/>
  <c r="Q313" i="1" s="1"/>
  <c r="A628" i="7"/>
  <c r="B627" i="7"/>
  <c r="S608" i="1"/>
  <c r="Z610" i="1" s="1"/>
  <c r="K608" i="1"/>
  <c r="AU608" i="1"/>
  <c r="D607" i="1"/>
  <c r="E607" i="1"/>
  <c r="F607" i="1" s="1"/>
  <c r="G606" i="1"/>
  <c r="H606" i="1" s="1"/>
  <c r="C608" i="1"/>
  <c r="AA608" i="1"/>
  <c r="B609" i="1"/>
  <c r="M606" i="1"/>
  <c r="AC607" i="1"/>
  <c r="AW607" i="1"/>
  <c r="AI607" i="1" s="1"/>
  <c r="AJ607" i="1" s="1"/>
  <c r="AK607" i="1"/>
  <c r="A608" i="1"/>
  <c r="U241" i="1"/>
  <c r="BC607" i="1" l="1"/>
  <c r="BD607" i="1" s="1"/>
  <c r="AE607" i="1" s="1"/>
  <c r="BF609" i="1"/>
  <c r="BB608" i="1"/>
  <c r="V313" i="1"/>
  <c r="Y313" i="1"/>
  <c r="X313" i="1" s="1"/>
  <c r="AF313" i="1" s="1"/>
  <c r="AL233" i="1"/>
  <c r="AL225" i="1"/>
  <c r="AL241" i="1"/>
  <c r="AQ313" i="1"/>
  <c r="J608" i="1"/>
  <c r="AH312" i="1"/>
  <c r="AG312" i="1"/>
  <c r="L609" i="1"/>
  <c r="AY313" i="1"/>
  <c r="O313" i="1"/>
  <c r="A629" i="7"/>
  <c r="B628" i="7"/>
  <c r="S609" i="1"/>
  <c r="Z611" i="1" s="1"/>
  <c r="K609" i="1"/>
  <c r="AU609" i="1"/>
  <c r="M607" i="1"/>
  <c r="AC608" i="1"/>
  <c r="C609" i="1"/>
  <c r="AA609" i="1"/>
  <c r="B610" i="1"/>
  <c r="AK608" i="1"/>
  <c r="A609" i="1"/>
  <c r="AW608" i="1"/>
  <c r="AI608" i="1" s="1"/>
  <c r="AJ608" i="1" s="1"/>
  <c r="E608" i="1"/>
  <c r="F608" i="1" s="1"/>
  <c r="D608" i="1"/>
  <c r="G607" i="1"/>
  <c r="H607" i="1" s="1"/>
  <c r="BC608" i="1" l="1"/>
  <c r="BD608" i="1" s="1"/>
  <c r="AE608" i="1" s="1"/>
  <c r="BF610" i="1"/>
  <c r="AX313" i="1"/>
  <c r="BB609" i="1"/>
  <c r="AM314" i="1"/>
  <c r="P314" i="1"/>
  <c r="BE314" i="1" s="1"/>
  <c r="AN241" i="1"/>
  <c r="AN233" i="1"/>
  <c r="AN225" i="1"/>
  <c r="J609" i="1"/>
  <c r="L610" i="1"/>
  <c r="BA312" i="1"/>
  <c r="N314" i="1"/>
  <c r="AT314" i="1"/>
  <c r="AS314" i="1" s="1"/>
  <c r="I314" i="1"/>
  <c r="Q314" i="1" s="1"/>
  <c r="A630" i="7"/>
  <c r="B629" i="7"/>
  <c r="S610" i="1"/>
  <c r="Z612" i="1" s="1"/>
  <c r="K610" i="1"/>
  <c r="AU610" i="1"/>
  <c r="AA610" i="1"/>
  <c r="B611" i="1"/>
  <c r="C610" i="1"/>
  <c r="AK609" i="1"/>
  <c r="A610" i="1"/>
  <c r="AW609" i="1"/>
  <c r="AI609" i="1" s="1"/>
  <c r="AJ609" i="1" s="1"/>
  <c r="AC609" i="1"/>
  <c r="M608" i="1"/>
  <c r="G608" i="1"/>
  <c r="H608" i="1" s="1"/>
  <c r="E609" i="1"/>
  <c r="F609" i="1" s="1"/>
  <c r="D609" i="1"/>
  <c r="BC609" i="1" l="1"/>
  <c r="BD609" i="1" s="1"/>
  <c r="AE609" i="1" s="1"/>
  <c r="BF611" i="1"/>
  <c r="BB610" i="1"/>
  <c r="V314" i="1"/>
  <c r="Y314" i="1"/>
  <c r="X314" i="1" s="1"/>
  <c r="AF314" i="1" s="1"/>
  <c r="AO233" i="1"/>
  <c r="AO241" i="1"/>
  <c r="AO225" i="1"/>
  <c r="AQ314" i="1"/>
  <c r="J610" i="1"/>
  <c r="L611" i="1"/>
  <c r="AH313" i="1"/>
  <c r="AG313" i="1"/>
  <c r="AY314" i="1"/>
  <c r="O314" i="1"/>
  <c r="A631" i="7"/>
  <c r="B630" i="7"/>
  <c r="S611" i="1"/>
  <c r="Z613" i="1" s="1"/>
  <c r="K611" i="1"/>
  <c r="AU611" i="1"/>
  <c r="G609" i="1"/>
  <c r="H609" i="1" s="1"/>
  <c r="C611" i="1"/>
  <c r="AA611" i="1"/>
  <c r="B612" i="1"/>
  <c r="AC610" i="1"/>
  <c r="M609" i="1"/>
  <c r="AW610" i="1"/>
  <c r="AI610" i="1" s="1"/>
  <c r="AJ610" i="1" s="1"/>
  <c r="AK610" i="1"/>
  <c r="A611" i="1"/>
  <c r="D610" i="1"/>
  <c r="E610" i="1"/>
  <c r="F610" i="1" s="1"/>
  <c r="BC610" i="1" l="1"/>
  <c r="BD610" i="1" s="1"/>
  <c r="AE610" i="1" s="1"/>
  <c r="BF612" i="1"/>
  <c r="BB611" i="1"/>
  <c r="N315" i="1"/>
  <c r="P315" i="1"/>
  <c r="BE315" i="1" s="1"/>
  <c r="AP225" i="1"/>
  <c r="AX226" i="1" s="1"/>
  <c r="AP233" i="1"/>
  <c r="AX234" i="1" s="1"/>
  <c r="AP241" i="1"/>
  <c r="AX242" i="1" s="1"/>
  <c r="J611" i="1"/>
  <c r="L612" i="1"/>
  <c r="BA313" i="1"/>
  <c r="AM315" i="1"/>
  <c r="AT315" i="1"/>
  <c r="AS315" i="1" s="1"/>
  <c r="I315" i="1"/>
  <c r="Q315" i="1" s="1"/>
  <c r="A632" i="7"/>
  <c r="B631" i="7"/>
  <c r="S612" i="1"/>
  <c r="Z614" i="1" s="1"/>
  <c r="K612" i="1"/>
  <c r="AU612" i="1"/>
  <c r="C612" i="1"/>
  <c r="AA612" i="1"/>
  <c r="B613" i="1"/>
  <c r="D611" i="1"/>
  <c r="E611" i="1"/>
  <c r="F611" i="1" s="1"/>
  <c r="AC611" i="1"/>
  <c r="M610" i="1"/>
  <c r="AK611" i="1"/>
  <c r="A612" i="1"/>
  <c r="AW611" i="1"/>
  <c r="AI611" i="1" s="1"/>
  <c r="AJ611" i="1" s="1"/>
  <c r="G610" i="1"/>
  <c r="H610" i="1" s="1"/>
  <c r="BC611" i="1" l="1"/>
  <c r="BD611" i="1" s="1"/>
  <c r="AE611" i="1" s="1"/>
  <c r="BF613" i="1"/>
  <c r="BB612" i="1"/>
  <c r="V315" i="1"/>
  <c r="Y315" i="1"/>
  <c r="X315" i="1" s="1"/>
  <c r="AF315" i="1" s="1"/>
  <c r="AQ315" i="1"/>
  <c r="J612" i="1"/>
  <c r="L613" i="1"/>
  <c r="AH314" i="1"/>
  <c r="AG314" i="1"/>
  <c r="AY315" i="1"/>
  <c r="O315" i="1"/>
  <c r="A633" i="7"/>
  <c r="B632" i="7"/>
  <c r="S613" i="1"/>
  <c r="Z615" i="1" s="1"/>
  <c r="K613" i="1"/>
  <c r="AU613" i="1"/>
  <c r="D612" i="1"/>
  <c r="E612" i="1"/>
  <c r="F612" i="1" s="1"/>
  <c r="AK612" i="1"/>
  <c r="A613" i="1"/>
  <c r="AW612" i="1"/>
  <c r="AI612" i="1" s="1"/>
  <c r="AJ612" i="1" s="1"/>
  <c r="AP612" i="1"/>
  <c r="G611" i="1"/>
  <c r="H611" i="1" s="1"/>
  <c r="C613" i="1"/>
  <c r="B614" i="1"/>
  <c r="AA613" i="1"/>
  <c r="M611" i="1"/>
  <c r="AC612" i="1"/>
  <c r="BC612" i="1" l="1"/>
  <c r="BD612" i="1" s="1"/>
  <c r="AE612" i="1" s="1"/>
  <c r="BF614" i="1"/>
  <c r="BB613" i="1"/>
  <c r="P316" i="1"/>
  <c r="BE316" i="1" s="1"/>
  <c r="U242" i="1"/>
  <c r="U226" i="1"/>
  <c r="U234" i="1"/>
  <c r="J613" i="1"/>
  <c r="L614" i="1"/>
  <c r="AM316" i="1"/>
  <c r="N316" i="1"/>
  <c r="AT316" i="1"/>
  <c r="AS316" i="1" s="1"/>
  <c r="BA314" i="1"/>
  <c r="AG315" i="1"/>
  <c r="I316" i="1"/>
  <c r="Q316" i="1" s="1"/>
  <c r="A634" i="7"/>
  <c r="B633" i="7"/>
  <c r="S614" i="1"/>
  <c r="Z616" i="1" s="1"/>
  <c r="K614" i="1"/>
  <c r="AU614" i="1"/>
  <c r="A614" i="1"/>
  <c r="AW613" i="1"/>
  <c r="AI613" i="1" s="1"/>
  <c r="AJ613" i="1" s="1"/>
  <c r="AK613" i="1"/>
  <c r="M612" i="1"/>
  <c r="AA614" i="1"/>
  <c r="B615" i="1"/>
  <c r="C614" i="1"/>
  <c r="AC613" i="1"/>
  <c r="D613" i="1"/>
  <c r="E613" i="1"/>
  <c r="F613" i="1" s="1"/>
  <c r="G612" i="1"/>
  <c r="H612" i="1" s="1"/>
  <c r="BC613" i="1" l="1"/>
  <c r="BD613" i="1" s="1"/>
  <c r="AE613" i="1" s="1"/>
  <c r="BF615" i="1"/>
  <c r="BB614" i="1"/>
  <c r="V316" i="1"/>
  <c r="Y316" i="1"/>
  <c r="X316" i="1" s="1"/>
  <c r="AF316" i="1" s="1"/>
  <c r="AQ316" i="1"/>
  <c r="AY316" i="1"/>
  <c r="AL226" i="1"/>
  <c r="AL234" i="1"/>
  <c r="AL242" i="1"/>
  <c r="J614" i="1"/>
  <c r="L615" i="1"/>
  <c r="AH315" i="1"/>
  <c r="O316" i="1"/>
  <c r="A635" i="7"/>
  <c r="B634" i="7"/>
  <c r="S615" i="1"/>
  <c r="Z617" i="1" s="1"/>
  <c r="K615" i="1"/>
  <c r="AU615" i="1"/>
  <c r="AA615" i="1"/>
  <c r="B616" i="1"/>
  <c r="C615" i="1"/>
  <c r="D614" i="1"/>
  <c r="E614" i="1"/>
  <c r="F614" i="1" s="1"/>
  <c r="A615" i="1"/>
  <c r="AW614" i="1"/>
  <c r="AI614" i="1" s="1"/>
  <c r="AJ614" i="1" s="1"/>
  <c r="AK614" i="1"/>
  <c r="AC614" i="1"/>
  <c r="G613" i="1"/>
  <c r="H613" i="1" s="1"/>
  <c r="M613" i="1"/>
  <c r="BC614" i="1" l="1"/>
  <c r="BD614" i="1" s="1"/>
  <c r="AE614" i="1" s="1"/>
  <c r="BF616" i="1"/>
  <c r="BB615" i="1"/>
  <c r="AG316" i="1"/>
  <c r="AM317" i="1"/>
  <c r="P317" i="1"/>
  <c r="BE317" i="1" s="1"/>
  <c r="AN242" i="1"/>
  <c r="AN226" i="1"/>
  <c r="AN234" i="1"/>
  <c r="J615" i="1"/>
  <c r="L616" i="1"/>
  <c r="AT317" i="1"/>
  <c r="AS317" i="1" s="1"/>
  <c r="I317" i="1"/>
  <c r="Q317" i="1" s="1"/>
  <c r="N317" i="1"/>
  <c r="BA315" i="1"/>
  <c r="A636" i="7"/>
  <c r="B635" i="7"/>
  <c r="S616" i="1"/>
  <c r="Z618" i="1" s="1"/>
  <c r="K616" i="1"/>
  <c r="AU616" i="1"/>
  <c r="C616" i="1"/>
  <c r="AA616" i="1"/>
  <c r="B617" i="1"/>
  <c r="M614" i="1"/>
  <c r="G614" i="1"/>
  <c r="H614" i="1" s="1"/>
  <c r="D615" i="1"/>
  <c r="E615" i="1"/>
  <c r="F615" i="1" s="1"/>
  <c r="AC615" i="1"/>
  <c r="AW615" i="1"/>
  <c r="AI615" i="1" s="1"/>
  <c r="AJ615" i="1" s="1"/>
  <c r="AK615" i="1"/>
  <c r="A616" i="1"/>
  <c r="BC615" i="1" l="1"/>
  <c r="BD615" i="1" s="1"/>
  <c r="AE615" i="1" s="1"/>
  <c r="BF617" i="1"/>
  <c r="BB616" i="1"/>
  <c r="V317" i="1"/>
  <c r="Y317" i="1"/>
  <c r="X317" i="1" s="1"/>
  <c r="AF317" i="1" s="1"/>
  <c r="AH316" i="1"/>
  <c r="AO226" i="1"/>
  <c r="AO242" i="1"/>
  <c r="AO234" i="1"/>
  <c r="J616" i="1"/>
  <c r="AY317" i="1"/>
  <c r="AQ317" i="1"/>
  <c r="L617" i="1"/>
  <c r="O317" i="1"/>
  <c r="BA316" i="1"/>
  <c r="A637" i="7"/>
  <c r="B636" i="7"/>
  <c r="S617" i="1"/>
  <c r="Z619" i="1" s="1"/>
  <c r="K617" i="1"/>
  <c r="AU617" i="1"/>
  <c r="B618" i="1"/>
  <c r="AA617" i="1"/>
  <c r="C617" i="1"/>
  <c r="M615" i="1"/>
  <c r="AC616" i="1"/>
  <c r="D616" i="1"/>
  <c r="E616" i="1"/>
  <c r="F616" i="1" s="1"/>
  <c r="AK616" i="1"/>
  <c r="A617" i="1"/>
  <c r="AW616" i="1"/>
  <c r="AI616" i="1" s="1"/>
  <c r="AJ616" i="1" s="1"/>
  <c r="G615" i="1"/>
  <c r="H615" i="1" s="1"/>
  <c r="BC616" i="1" l="1"/>
  <c r="BD616" i="1" s="1"/>
  <c r="AE616" i="1" s="1"/>
  <c r="BF618" i="1"/>
  <c r="BB617" i="1"/>
  <c r="AM318" i="1"/>
  <c r="P318" i="1"/>
  <c r="BE318" i="1" s="1"/>
  <c r="AP226" i="1"/>
  <c r="AX227" i="1" s="1"/>
  <c r="AP234" i="1"/>
  <c r="AX235" i="1" s="1"/>
  <c r="AP242" i="1"/>
  <c r="AX243" i="1" s="1"/>
  <c r="J617" i="1"/>
  <c r="L618" i="1"/>
  <c r="AT318" i="1"/>
  <c r="AS318" i="1" s="1"/>
  <c r="I318" i="1"/>
  <c r="Q318" i="1" s="1"/>
  <c r="N318" i="1"/>
  <c r="A638" i="7"/>
  <c r="B637" i="7"/>
  <c r="S618" i="1"/>
  <c r="Z620" i="1" s="1"/>
  <c r="K618" i="1"/>
  <c r="AU618" i="1"/>
  <c r="A618" i="1"/>
  <c r="AK617" i="1"/>
  <c r="AW617" i="1"/>
  <c r="AI617" i="1" s="1"/>
  <c r="AJ617" i="1" s="1"/>
  <c r="M616" i="1"/>
  <c r="AC617" i="1"/>
  <c r="G616" i="1"/>
  <c r="H616" i="1" s="1"/>
  <c r="C618" i="1"/>
  <c r="B619" i="1"/>
  <c r="AA618" i="1"/>
  <c r="E617" i="1"/>
  <c r="F617" i="1" s="1"/>
  <c r="D617" i="1"/>
  <c r="BC617" i="1" l="1"/>
  <c r="BD617" i="1" s="1"/>
  <c r="AE617" i="1" s="1"/>
  <c r="BF619" i="1"/>
  <c r="BB618" i="1"/>
  <c r="V318" i="1"/>
  <c r="Y318" i="1"/>
  <c r="X318" i="1" s="1"/>
  <c r="AF318" i="1" s="1"/>
  <c r="AG317" i="1"/>
  <c r="AH317" i="1"/>
  <c r="J618" i="1"/>
  <c r="AQ318" i="1"/>
  <c r="L619" i="1"/>
  <c r="AY318" i="1"/>
  <c r="O318" i="1"/>
  <c r="A639" i="7"/>
  <c r="B638" i="7"/>
  <c r="S619" i="1"/>
  <c r="Z621" i="1" s="1"/>
  <c r="K619" i="1"/>
  <c r="AU619" i="1"/>
  <c r="AC618" i="1"/>
  <c r="G617" i="1"/>
  <c r="H617" i="1" s="1"/>
  <c r="M617" i="1"/>
  <c r="C619" i="1"/>
  <c r="AA619" i="1"/>
  <c r="B620" i="1"/>
  <c r="AK618" i="1"/>
  <c r="A619" i="1"/>
  <c r="AW618" i="1"/>
  <c r="AI618" i="1" s="1"/>
  <c r="AJ618" i="1" s="1"/>
  <c r="D618" i="1"/>
  <c r="E618" i="1"/>
  <c r="F618" i="1" s="1"/>
  <c r="BC618" i="1" l="1"/>
  <c r="BD618" i="1" s="1"/>
  <c r="AE618" i="1" s="1"/>
  <c r="BF620" i="1"/>
  <c r="BB619" i="1"/>
  <c r="P319" i="1"/>
  <c r="BE319" i="1" s="1"/>
  <c r="U235" i="1"/>
  <c r="U243" i="1"/>
  <c r="U227" i="1"/>
  <c r="BA317" i="1"/>
  <c r="J619" i="1"/>
  <c r="L620" i="1"/>
  <c r="I319" i="1"/>
  <c r="Q319" i="1" s="1"/>
  <c r="AM319" i="1"/>
  <c r="N319" i="1"/>
  <c r="AT319" i="1"/>
  <c r="AS319" i="1" s="1"/>
  <c r="A640" i="7"/>
  <c r="B639" i="7"/>
  <c r="S620" i="1"/>
  <c r="Z622" i="1" s="1"/>
  <c r="K620" i="1"/>
  <c r="AU620" i="1"/>
  <c r="AW619" i="1"/>
  <c r="AI619" i="1" s="1"/>
  <c r="AJ619" i="1" s="1"/>
  <c r="A620" i="1"/>
  <c r="AK619" i="1"/>
  <c r="E619" i="1"/>
  <c r="F619" i="1" s="1"/>
  <c r="D619" i="1"/>
  <c r="AA620" i="1"/>
  <c r="B621" i="1"/>
  <c r="C620" i="1"/>
  <c r="G618" i="1"/>
  <c r="H618" i="1" s="1"/>
  <c r="M618" i="1"/>
  <c r="AC619" i="1"/>
  <c r="BC619" i="1" l="1"/>
  <c r="BD619" i="1" s="1"/>
  <c r="AE619" i="1" s="1"/>
  <c r="BF621" i="1"/>
  <c r="BB620" i="1"/>
  <c r="V319" i="1"/>
  <c r="Y319" i="1"/>
  <c r="X319" i="1" s="1"/>
  <c r="AQ319" i="1"/>
  <c r="AY319" i="1"/>
  <c r="AL243" i="1"/>
  <c r="AL235" i="1"/>
  <c r="AL227" i="1"/>
  <c r="J620" i="1"/>
  <c r="L621" i="1"/>
  <c r="O319" i="1"/>
  <c r="A641" i="7"/>
  <c r="B640" i="7"/>
  <c r="S621" i="1"/>
  <c r="Z623" i="1" s="1"/>
  <c r="K621" i="1"/>
  <c r="AU621" i="1"/>
  <c r="D620" i="1"/>
  <c r="E620" i="1"/>
  <c r="F620" i="1" s="1"/>
  <c r="M619" i="1"/>
  <c r="A621" i="1"/>
  <c r="AW620" i="1"/>
  <c r="AI620" i="1" s="1"/>
  <c r="AJ620" i="1" s="1"/>
  <c r="AK620" i="1"/>
  <c r="G619" i="1"/>
  <c r="H619" i="1" s="1"/>
  <c r="AC620" i="1"/>
  <c r="C621" i="1"/>
  <c r="AA621" i="1"/>
  <c r="B622" i="1"/>
  <c r="BC620" i="1" l="1"/>
  <c r="BD620" i="1" s="1"/>
  <c r="AE620" i="1" s="1"/>
  <c r="BF622" i="1"/>
  <c r="BB621" i="1"/>
  <c r="AF319" i="1"/>
  <c r="AG319" i="1" s="1"/>
  <c r="I320" i="1"/>
  <c r="Q320" i="1" s="1"/>
  <c r="P320" i="1"/>
  <c r="BE320" i="1" s="1"/>
  <c r="AN227" i="1"/>
  <c r="AN243" i="1"/>
  <c r="AN235" i="1"/>
  <c r="AG318" i="1"/>
  <c r="AH318" i="1"/>
  <c r="J621" i="1"/>
  <c r="L622" i="1"/>
  <c r="N320" i="1"/>
  <c r="AT320" i="1"/>
  <c r="AS320" i="1" s="1"/>
  <c r="AM320" i="1"/>
  <c r="A642" i="7"/>
  <c r="B641" i="7"/>
  <c r="S622" i="1"/>
  <c r="Z624" i="1" s="1"/>
  <c r="K622" i="1"/>
  <c r="AU622" i="1"/>
  <c r="G620" i="1"/>
  <c r="H620" i="1" s="1"/>
  <c r="D621" i="1"/>
  <c r="E621" i="1"/>
  <c r="F621" i="1" s="1"/>
  <c r="AA622" i="1"/>
  <c r="B623" i="1"/>
  <c r="C622" i="1"/>
  <c r="AC621" i="1"/>
  <c r="M620" i="1"/>
  <c r="A622" i="1"/>
  <c r="AW621" i="1"/>
  <c r="AI621" i="1" s="1"/>
  <c r="AJ621" i="1" s="1"/>
  <c r="AK621" i="1"/>
  <c r="BC621" i="1" l="1"/>
  <c r="BD621" i="1" s="1"/>
  <c r="AE621" i="1" s="1"/>
  <c r="BF623" i="1"/>
  <c r="BB622" i="1"/>
  <c r="BA319" i="1"/>
  <c r="AH319" i="1"/>
  <c r="V320" i="1"/>
  <c r="Y320" i="1"/>
  <c r="X320" i="1" s="1"/>
  <c r="AF320" i="1" s="1"/>
  <c r="O320" i="1"/>
  <c r="I321" i="1" s="1"/>
  <c r="Q321" i="1" s="1"/>
  <c r="AO227" i="1"/>
  <c r="AO235" i="1"/>
  <c r="AO243" i="1"/>
  <c r="BA318" i="1"/>
  <c r="J622" i="1"/>
  <c r="AY320" i="1"/>
  <c r="AQ320" i="1"/>
  <c r="L623" i="1"/>
  <c r="A643" i="7"/>
  <c r="B642" i="7"/>
  <c r="S623" i="1"/>
  <c r="Z625" i="1" s="1"/>
  <c r="K623" i="1"/>
  <c r="AU623" i="1"/>
  <c r="G621" i="1"/>
  <c r="H621" i="1" s="1"/>
  <c r="D622" i="1"/>
  <c r="E622" i="1"/>
  <c r="F622" i="1" s="1"/>
  <c r="M621" i="1"/>
  <c r="AK622" i="1"/>
  <c r="A623" i="1"/>
  <c r="AW622" i="1"/>
  <c r="AI622" i="1" s="1"/>
  <c r="AJ622" i="1" s="1"/>
  <c r="AA623" i="1"/>
  <c r="B624" i="1"/>
  <c r="C623" i="1"/>
  <c r="AC622" i="1"/>
  <c r="BC622" i="1" l="1"/>
  <c r="BD622" i="1" s="1"/>
  <c r="AE622" i="1" s="1"/>
  <c r="BF624" i="1"/>
  <c r="BB623" i="1"/>
  <c r="AT321" i="1"/>
  <c r="AS321" i="1" s="1"/>
  <c r="N321" i="1"/>
  <c r="O321" i="1" s="1"/>
  <c r="AM321" i="1"/>
  <c r="P321" i="1"/>
  <c r="BE321" i="1" s="1"/>
  <c r="AP243" i="1"/>
  <c r="AX244" i="1" s="1"/>
  <c r="AP227" i="1"/>
  <c r="AX228" i="1" s="1"/>
  <c r="AP235" i="1"/>
  <c r="AX236" i="1" s="1"/>
  <c r="J623" i="1"/>
  <c r="L624" i="1"/>
  <c r="A644" i="7"/>
  <c r="B643" i="7"/>
  <c r="S624" i="1"/>
  <c r="Z626" i="1" s="1"/>
  <c r="K624" i="1"/>
  <c r="AU624" i="1"/>
  <c r="E623" i="1"/>
  <c r="F623" i="1" s="1"/>
  <c r="D623" i="1"/>
  <c r="AC623" i="1"/>
  <c r="AK623" i="1"/>
  <c r="AW623" i="1"/>
  <c r="AI623" i="1" s="1"/>
  <c r="AJ623" i="1" s="1"/>
  <c r="A624" i="1"/>
  <c r="B625" i="1"/>
  <c r="C624" i="1"/>
  <c r="AA624" i="1"/>
  <c r="G622" i="1"/>
  <c r="H622" i="1" s="1"/>
  <c r="M622" i="1"/>
  <c r="BC623" i="1" l="1"/>
  <c r="BD623" i="1" s="1"/>
  <c r="AE623" i="1" s="1"/>
  <c r="BF625" i="1"/>
  <c r="BB624" i="1"/>
  <c r="AY321" i="1"/>
  <c r="Y321" i="1"/>
  <c r="X321" i="1" s="1"/>
  <c r="AF321" i="1" s="1"/>
  <c r="P322" i="1"/>
  <c r="BE322" i="1" s="1"/>
  <c r="AT322" i="1"/>
  <c r="AS322" i="1" s="1"/>
  <c r="AQ321" i="1"/>
  <c r="I322" i="1"/>
  <c r="Q322" i="1" s="1"/>
  <c r="AM322" i="1"/>
  <c r="N322" i="1"/>
  <c r="V321" i="1"/>
  <c r="J624" i="1"/>
  <c r="L625" i="1"/>
  <c r="A645" i="7"/>
  <c r="B644" i="7"/>
  <c r="S625" i="1"/>
  <c r="Z627" i="1" s="1"/>
  <c r="K625" i="1"/>
  <c r="AU625" i="1"/>
  <c r="E624" i="1"/>
  <c r="F624" i="1" s="1"/>
  <c r="D624" i="1"/>
  <c r="G623" i="1"/>
  <c r="H623" i="1" s="1"/>
  <c r="A625" i="1"/>
  <c r="AK624" i="1"/>
  <c r="AW624" i="1"/>
  <c r="AI624" i="1" s="1"/>
  <c r="AJ624" i="1" s="1"/>
  <c r="AP624" i="1"/>
  <c r="B626" i="1"/>
  <c r="C625" i="1"/>
  <c r="AA625" i="1"/>
  <c r="AC624" i="1"/>
  <c r="M623" i="1"/>
  <c r="BC624" i="1" l="1"/>
  <c r="BD624" i="1" s="1"/>
  <c r="AE624" i="1" s="1"/>
  <c r="BF626" i="1"/>
  <c r="BB625" i="1"/>
  <c r="AC625" i="1"/>
  <c r="V322" i="1"/>
  <c r="Y322" i="1"/>
  <c r="X322" i="1" s="1"/>
  <c r="AF322" i="1" s="1"/>
  <c r="AY322" i="1"/>
  <c r="AQ322" i="1"/>
  <c r="O322" i="1"/>
  <c r="P323" i="1" s="1"/>
  <c r="BE323" i="1" s="1"/>
  <c r="U236" i="1"/>
  <c r="U244" i="1"/>
  <c r="U228" i="1"/>
  <c r="AG320" i="1"/>
  <c r="AH320" i="1"/>
  <c r="J625" i="1"/>
  <c r="L626" i="1"/>
  <c r="A646" i="7"/>
  <c r="B645" i="7"/>
  <c r="S626" i="1"/>
  <c r="Z628" i="1" s="1"/>
  <c r="K626" i="1"/>
  <c r="AU626" i="1"/>
  <c r="D625" i="1"/>
  <c r="E625" i="1"/>
  <c r="F625" i="1" s="1"/>
  <c r="A626" i="1"/>
  <c r="AW625" i="1"/>
  <c r="AI625" i="1" s="1"/>
  <c r="AJ625" i="1" s="1"/>
  <c r="AK625" i="1"/>
  <c r="G624" i="1"/>
  <c r="H624" i="1" s="1"/>
  <c r="M624" i="1"/>
  <c r="AA626" i="1"/>
  <c r="B627" i="1"/>
  <c r="C626" i="1"/>
  <c r="BC625" i="1" l="1"/>
  <c r="BD625" i="1" s="1"/>
  <c r="AE625" i="1" s="1"/>
  <c r="BF627" i="1"/>
  <c r="BB626" i="1"/>
  <c r="V323" i="1"/>
  <c r="Y323" i="1"/>
  <c r="X323" i="1" s="1"/>
  <c r="AF323" i="1" s="1"/>
  <c r="N323" i="1"/>
  <c r="I323" i="1"/>
  <c r="Q323" i="1" s="1"/>
  <c r="AM323" i="1"/>
  <c r="AT323" i="1"/>
  <c r="AS323" i="1" s="1"/>
  <c r="AQ323" i="1" s="1"/>
  <c r="AL244" i="1"/>
  <c r="AL236" i="1"/>
  <c r="AL228" i="1"/>
  <c r="AH321" i="1"/>
  <c r="AG321" i="1"/>
  <c r="BA320" i="1"/>
  <c r="J626" i="1"/>
  <c r="AH322" i="1"/>
  <c r="AG322" i="1"/>
  <c r="L627" i="1"/>
  <c r="AY323" i="1"/>
  <c r="A647" i="7"/>
  <c r="B646" i="7"/>
  <c r="S627" i="1"/>
  <c r="Z629" i="1" s="1"/>
  <c r="K627" i="1"/>
  <c r="AU627" i="1"/>
  <c r="M625" i="1"/>
  <c r="A627" i="1"/>
  <c r="AW626" i="1"/>
  <c r="AI626" i="1" s="1"/>
  <c r="AJ626" i="1" s="1"/>
  <c r="AK626" i="1"/>
  <c r="D626" i="1"/>
  <c r="E626" i="1"/>
  <c r="F626" i="1" s="1"/>
  <c r="G625" i="1"/>
  <c r="H625" i="1" s="1"/>
  <c r="AC626" i="1"/>
  <c r="C627" i="1"/>
  <c r="AA627" i="1"/>
  <c r="B628" i="1"/>
  <c r="BC626" i="1" l="1"/>
  <c r="BD626" i="1" s="1"/>
  <c r="AE626" i="1" s="1"/>
  <c r="BF628" i="1"/>
  <c r="AC627" i="1"/>
  <c r="BB627" i="1"/>
  <c r="O323" i="1"/>
  <c r="P324" i="1" s="1"/>
  <c r="BE324" i="1" s="1"/>
  <c r="AN228" i="1"/>
  <c r="AN244" i="1"/>
  <c r="AN236" i="1"/>
  <c r="BA321" i="1"/>
  <c r="J627" i="1"/>
  <c r="L628" i="1"/>
  <c r="BA322" i="1"/>
  <c r="A648" i="7"/>
  <c r="B647" i="7"/>
  <c r="S628" i="1"/>
  <c r="Z630" i="1" s="1"/>
  <c r="K628" i="1"/>
  <c r="AU628" i="1"/>
  <c r="A628" i="1"/>
  <c r="AW627" i="1"/>
  <c r="AI627" i="1" s="1"/>
  <c r="AJ627" i="1" s="1"/>
  <c r="AK627" i="1"/>
  <c r="M626" i="1"/>
  <c r="B629" i="1"/>
  <c r="C628" i="1"/>
  <c r="AA628" i="1"/>
  <c r="D627" i="1"/>
  <c r="E627" i="1"/>
  <c r="F627" i="1" s="1"/>
  <c r="G626" i="1"/>
  <c r="H626" i="1" s="1"/>
  <c r="BC627" i="1" l="1"/>
  <c r="BD627" i="1" s="1"/>
  <c r="AE627" i="1" s="1"/>
  <c r="BF629" i="1"/>
  <c r="BB628" i="1"/>
  <c r="AT324" i="1"/>
  <c r="AS324" i="1" s="1"/>
  <c r="AQ324" i="1" s="1"/>
  <c r="V324" i="1"/>
  <c r="Y324" i="1"/>
  <c r="X324" i="1" s="1"/>
  <c r="AF324" i="1" s="1"/>
  <c r="N324" i="1"/>
  <c r="I324" i="1"/>
  <c r="Q324" i="1" s="1"/>
  <c r="AM324" i="1"/>
  <c r="AO228" i="1"/>
  <c r="AO236" i="1"/>
  <c r="AO244" i="1"/>
  <c r="J628" i="1"/>
  <c r="L629" i="1"/>
  <c r="AH323" i="1"/>
  <c r="AG323" i="1"/>
  <c r="AY324" i="1"/>
  <c r="A649" i="7"/>
  <c r="B648" i="7"/>
  <c r="S629" i="1"/>
  <c r="Z631" i="1" s="1"/>
  <c r="K629" i="1"/>
  <c r="AU629" i="1"/>
  <c r="AC628" i="1"/>
  <c r="G627" i="1"/>
  <c r="H627" i="1" s="1"/>
  <c r="M627" i="1"/>
  <c r="E628" i="1"/>
  <c r="F628" i="1" s="1"/>
  <c r="D628" i="1"/>
  <c r="B630" i="1"/>
  <c r="C629" i="1"/>
  <c r="AA629" i="1"/>
  <c r="A629" i="1"/>
  <c r="AK628" i="1"/>
  <c r="AW628" i="1"/>
  <c r="AI628" i="1" s="1"/>
  <c r="AJ628" i="1" s="1"/>
  <c r="BC628" i="1" l="1"/>
  <c r="BD628" i="1" s="1"/>
  <c r="AE628" i="1" s="1"/>
  <c r="BF630" i="1"/>
  <c r="AC629" i="1"/>
  <c r="BB629" i="1"/>
  <c r="O324" i="1"/>
  <c r="P325" i="1" s="1"/>
  <c r="BE325" i="1" s="1"/>
  <c r="AP244" i="1"/>
  <c r="AX245" i="1" s="1"/>
  <c r="AP236" i="1"/>
  <c r="AX237" i="1" s="1"/>
  <c r="J629" i="1"/>
  <c r="L630" i="1"/>
  <c r="BA323" i="1"/>
  <c r="A650" i="7"/>
  <c r="B649" i="7"/>
  <c r="S630" i="1"/>
  <c r="Z632" i="1" s="1"/>
  <c r="K630" i="1"/>
  <c r="AU630" i="1"/>
  <c r="G628" i="1"/>
  <c r="H628" i="1" s="1"/>
  <c r="A630" i="1"/>
  <c r="AK629" i="1"/>
  <c r="AW629" i="1"/>
  <c r="AI629" i="1" s="1"/>
  <c r="AJ629" i="1" s="1"/>
  <c r="D629" i="1"/>
  <c r="E629" i="1"/>
  <c r="F629" i="1" s="1"/>
  <c r="AA630" i="1"/>
  <c r="B631" i="1"/>
  <c r="C630" i="1"/>
  <c r="M628" i="1"/>
  <c r="BC629" i="1" l="1"/>
  <c r="BD629" i="1" s="1"/>
  <c r="AE629" i="1" s="1"/>
  <c r="BF631" i="1"/>
  <c r="BB630" i="1"/>
  <c r="V325" i="1"/>
  <c r="Y325" i="1"/>
  <c r="X325" i="1" s="1"/>
  <c r="AF325" i="1" s="1"/>
  <c r="N325" i="1"/>
  <c r="AT325" i="1"/>
  <c r="AS325" i="1" s="1"/>
  <c r="AQ325" i="1" s="1"/>
  <c r="I325" i="1"/>
  <c r="Q325" i="1" s="1"/>
  <c r="AM325" i="1"/>
  <c r="J630" i="1"/>
  <c r="L631" i="1"/>
  <c r="AH324" i="1"/>
  <c r="AG324" i="1"/>
  <c r="AY325" i="1"/>
  <c r="A651" i="7"/>
  <c r="B650" i="7"/>
  <c r="S631" i="1"/>
  <c r="Z633" i="1" s="1"/>
  <c r="K631" i="1"/>
  <c r="AU631" i="1"/>
  <c r="G629" i="1"/>
  <c r="H629" i="1" s="1"/>
  <c r="AA631" i="1"/>
  <c r="C631" i="1"/>
  <c r="B632" i="1"/>
  <c r="M629" i="1"/>
  <c r="AC630" i="1"/>
  <c r="AW630" i="1"/>
  <c r="AI630" i="1" s="1"/>
  <c r="AJ630" i="1" s="1"/>
  <c r="A631" i="1"/>
  <c r="AK630" i="1"/>
  <c r="D630" i="1"/>
  <c r="E630" i="1"/>
  <c r="F630" i="1" s="1"/>
  <c r="BC630" i="1" l="1"/>
  <c r="BD630" i="1" s="1"/>
  <c r="AE630" i="1" s="1"/>
  <c r="BF632" i="1"/>
  <c r="AX325" i="1"/>
  <c r="BB631" i="1"/>
  <c r="O325" i="1"/>
  <c r="P326" i="1" s="1"/>
  <c r="BE326" i="1" s="1"/>
  <c r="U237" i="1"/>
  <c r="U245" i="1"/>
  <c r="J631" i="1"/>
  <c r="L632" i="1"/>
  <c r="BA324" i="1"/>
  <c r="A652" i="7"/>
  <c r="B651" i="7"/>
  <c r="S632" i="1"/>
  <c r="Z634" i="1" s="1"/>
  <c r="K632" i="1"/>
  <c r="AU632" i="1"/>
  <c r="G630" i="1"/>
  <c r="H630" i="1" s="1"/>
  <c r="AW631" i="1"/>
  <c r="AI631" i="1" s="1"/>
  <c r="AJ631" i="1" s="1"/>
  <c r="A632" i="1"/>
  <c r="AK631" i="1"/>
  <c r="AC631" i="1"/>
  <c r="AA632" i="1"/>
  <c r="B633" i="1"/>
  <c r="C632" i="1"/>
  <c r="M630" i="1"/>
  <c r="D631" i="1"/>
  <c r="E631" i="1"/>
  <c r="F631" i="1" s="1"/>
  <c r="U253" i="1"/>
  <c r="BC631" i="1" l="1"/>
  <c r="BD631" i="1" s="1"/>
  <c r="AE631" i="1" s="1"/>
  <c r="BF633" i="1"/>
  <c r="BB632" i="1"/>
  <c r="AC632" i="1"/>
  <c r="V326" i="1"/>
  <c r="Y326" i="1"/>
  <c r="X326" i="1" s="1"/>
  <c r="AF326" i="1" s="1"/>
  <c r="N326" i="1"/>
  <c r="AM326" i="1"/>
  <c r="AT326" i="1"/>
  <c r="AS326" i="1" s="1"/>
  <c r="AQ326" i="1" s="1"/>
  <c r="I326" i="1"/>
  <c r="Q326" i="1" s="1"/>
  <c r="AL245" i="1"/>
  <c r="AL253" i="1"/>
  <c r="AL237" i="1"/>
  <c r="J632" i="1"/>
  <c r="AH325" i="1"/>
  <c r="AG325" i="1"/>
  <c r="L633" i="1"/>
  <c r="AY326" i="1"/>
  <c r="A653" i="7"/>
  <c r="B652" i="7"/>
  <c r="S633" i="1"/>
  <c r="Z635" i="1" s="1"/>
  <c r="K633" i="1"/>
  <c r="AU633" i="1"/>
  <c r="G631" i="1"/>
  <c r="H631" i="1" s="1"/>
  <c r="A633" i="1"/>
  <c r="AK632" i="1"/>
  <c r="AW632" i="1"/>
  <c r="AI632" i="1" s="1"/>
  <c r="AJ632" i="1" s="1"/>
  <c r="B634" i="1"/>
  <c r="C633" i="1"/>
  <c r="AA633" i="1"/>
  <c r="E632" i="1"/>
  <c r="F632" i="1" s="1"/>
  <c r="D632" i="1"/>
  <c r="M631" i="1"/>
  <c r="BC632" i="1" l="1"/>
  <c r="BD632" i="1" s="1"/>
  <c r="AE632" i="1" s="1"/>
  <c r="BF634" i="1"/>
  <c r="AC633" i="1"/>
  <c r="BB633" i="1"/>
  <c r="O326" i="1"/>
  <c r="P327" i="1" s="1"/>
  <c r="BE327" i="1" s="1"/>
  <c r="AN237" i="1"/>
  <c r="AN245" i="1"/>
  <c r="AN253" i="1"/>
  <c r="J633" i="1"/>
  <c r="L634" i="1"/>
  <c r="BA325" i="1"/>
  <c r="A654" i="7"/>
  <c r="B653" i="7"/>
  <c r="S634" i="1"/>
  <c r="Z636" i="1" s="1"/>
  <c r="K634" i="1"/>
  <c r="AU634" i="1"/>
  <c r="G632" i="1"/>
  <c r="H632" i="1" s="1"/>
  <c r="M632" i="1"/>
  <c r="C634" i="1"/>
  <c r="B635" i="1"/>
  <c r="AA634" i="1"/>
  <c r="D633" i="1"/>
  <c r="E633" i="1"/>
  <c r="F633" i="1" s="1"/>
  <c r="AK633" i="1"/>
  <c r="AW633" i="1"/>
  <c r="AI633" i="1" s="1"/>
  <c r="AJ633" i="1" s="1"/>
  <c r="A634" i="1"/>
  <c r="BC633" i="1" l="1"/>
  <c r="BD633" i="1" s="1"/>
  <c r="AE633" i="1" s="1"/>
  <c r="BF635" i="1"/>
  <c r="Y327" i="1"/>
  <c r="X327" i="1" s="1"/>
  <c r="AF327" i="1" s="1"/>
  <c r="BB634" i="1"/>
  <c r="AM327" i="1"/>
  <c r="N327" i="1"/>
  <c r="I327" i="1"/>
  <c r="Q327" i="1" s="1"/>
  <c r="AT327" i="1"/>
  <c r="AS327" i="1" s="1"/>
  <c r="AQ327" i="1" s="1"/>
  <c r="V327" i="1"/>
  <c r="AO237" i="1"/>
  <c r="AO245" i="1"/>
  <c r="AO253" i="1"/>
  <c r="J634" i="1"/>
  <c r="L635" i="1"/>
  <c r="AH326" i="1"/>
  <c r="AG326" i="1"/>
  <c r="AY327" i="1"/>
  <c r="A655" i="7"/>
  <c r="B654" i="7"/>
  <c r="S635" i="1"/>
  <c r="Z637" i="1" s="1"/>
  <c r="K635" i="1"/>
  <c r="AU635" i="1"/>
  <c r="M633" i="1"/>
  <c r="D634" i="1"/>
  <c r="E634" i="1"/>
  <c r="F634" i="1" s="1"/>
  <c r="AC634" i="1"/>
  <c r="AK634" i="1"/>
  <c r="A635" i="1"/>
  <c r="AW634" i="1"/>
  <c r="AI634" i="1" s="1"/>
  <c r="AJ634" i="1" s="1"/>
  <c r="G633" i="1"/>
  <c r="H633" i="1" s="1"/>
  <c r="C635" i="1"/>
  <c r="B636" i="1"/>
  <c r="AA635" i="1"/>
  <c r="BC634" i="1" l="1"/>
  <c r="BD634" i="1" s="1"/>
  <c r="AE634" i="1" s="1"/>
  <c r="BF636" i="1"/>
  <c r="BB635" i="1"/>
  <c r="O327" i="1"/>
  <c r="P328" i="1" s="1"/>
  <c r="BE328" i="1" s="1"/>
  <c r="AP253" i="1"/>
  <c r="AX254" i="1" s="1"/>
  <c r="AP237" i="1"/>
  <c r="AX238" i="1" s="1"/>
  <c r="AP245" i="1"/>
  <c r="AX246" i="1" s="1"/>
  <c r="J635" i="1"/>
  <c r="L636" i="1"/>
  <c r="AG327" i="1"/>
  <c r="BA326" i="1"/>
  <c r="A656" i="7"/>
  <c r="B655" i="7"/>
  <c r="S636" i="1"/>
  <c r="Z638" i="1" s="1"/>
  <c r="K636" i="1"/>
  <c r="AU636" i="1"/>
  <c r="AC635" i="1"/>
  <c r="D635" i="1"/>
  <c r="E635" i="1"/>
  <c r="F635" i="1" s="1"/>
  <c r="A636" i="1"/>
  <c r="AK635" i="1"/>
  <c r="AW635" i="1"/>
  <c r="AI635" i="1" s="1"/>
  <c r="AJ635" i="1" s="1"/>
  <c r="M634" i="1"/>
  <c r="C636" i="1"/>
  <c r="AA636" i="1"/>
  <c r="B637" i="1"/>
  <c r="G634" i="1"/>
  <c r="H634" i="1" s="1"/>
  <c r="BC635" i="1" l="1"/>
  <c r="BD635" i="1" s="1"/>
  <c r="AE635" i="1" s="1"/>
  <c r="BF637" i="1"/>
  <c r="BB636" i="1"/>
  <c r="V328" i="1"/>
  <c r="Y328" i="1"/>
  <c r="X328" i="1" s="1"/>
  <c r="AF328" i="1" s="1"/>
  <c r="N328" i="1"/>
  <c r="AT328" i="1"/>
  <c r="AS328" i="1" s="1"/>
  <c r="AQ328" i="1" s="1"/>
  <c r="I328" i="1"/>
  <c r="Q328" i="1" s="1"/>
  <c r="AM328" i="1"/>
  <c r="J636" i="1"/>
  <c r="L637" i="1"/>
  <c r="AY328" i="1"/>
  <c r="AH327" i="1"/>
  <c r="A657" i="7"/>
  <c r="B656" i="7"/>
  <c r="S637" i="1"/>
  <c r="Z639" i="1" s="1"/>
  <c r="K637" i="1"/>
  <c r="AU637" i="1"/>
  <c r="G635" i="1"/>
  <c r="H635" i="1" s="1"/>
  <c r="C637" i="1"/>
  <c r="B638" i="1"/>
  <c r="AA637" i="1"/>
  <c r="AC636" i="1"/>
  <c r="AK636" i="1"/>
  <c r="AP636" i="1"/>
  <c r="AW636" i="1"/>
  <c r="AI636" i="1" s="1"/>
  <c r="AJ636" i="1" s="1"/>
  <c r="A637" i="1"/>
  <c r="M635" i="1"/>
  <c r="D636" i="1"/>
  <c r="E636" i="1"/>
  <c r="F636" i="1" s="1"/>
  <c r="BC636" i="1" l="1"/>
  <c r="BD636" i="1" s="1"/>
  <c r="AE636" i="1" s="1"/>
  <c r="BF638" i="1"/>
  <c r="BB637" i="1"/>
  <c r="O328" i="1"/>
  <c r="AM329" i="1" s="1"/>
  <c r="U246" i="1"/>
  <c r="U254" i="1"/>
  <c r="U238" i="1"/>
  <c r="J637" i="1"/>
  <c r="L638" i="1"/>
  <c r="BA327" i="1"/>
  <c r="A658" i="7"/>
  <c r="B657" i="7"/>
  <c r="S638" i="1"/>
  <c r="Z640" i="1" s="1"/>
  <c r="K638" i="1"/>
  <c r="AU638" i="1"/>
  <c r="AW637" i="1"/>
  <c r="AI637" i="1" s="1"/>
  <c r="AJ637" i="1" s="1"/>
  <c r="A638" i="1"/>
  <c r="AK637" i="1"/>
  <c r="AC637" i="1"/>
  <c r="M636" i="1"/>
  <c r="C638" i="1"/>
  <c r="AA638" i="1"/>
  <c r="B639" i="1"/>
  <c r="E637" i="1"/>
  <c r="F637" i="1" s="1"/>
  <c r="D637" i="1"/>
  <c r="G636" i="1"/>
  <c r="H636" i="1" s="1"/>
  <c r="BC637" i="1" l="1"/>
  <c r="BD637" i="1" s="1"/>
  <c r="AE637" i="1" s="1"/>
  <c r="BF639" i="1"/>
  <c r="BB638" i="1"/>
  <c r="AT329" i="1"/>
  <c r="AS329" i="1" s="1"/>
  <c r="I329" i="1"/>
  <c r="Q329" i="1" s="1"/>
  <c r="P329" i="1"/>
  <c r="BE329" i="1" s="1"/>
  <c r="N329" i="1"/>
  <c r="AL254" i="1"/>
  <c r="AL238" i="1"/>
  <c r="AL246" i="1"/>
  <c r="J638" i="1"/>
  <c r="L639" i="1"/>
  <c r="AH328" i="1"/>
  <c r="AG328" i="1"/>
  <c r="A659" i="7"/>
  <c r="B658" i="7"/>
  <c r="S639" i="1"/>
  <c r="Z641" i="1" s="1"/>
  <c r="K639" i="1"/>
  <c r="AU639" i="1"/>
  <c r="G637" i="1"/>
  <c r="H637" i="1" s="1"/>
  <c r="AA639" i="1"/>
  <c r="B640" i="1"/>
  <c r="C639" i="1"/>
  <c r="D638" i="1"/>
  <c r="E638" i="1"/>
  <c r="F638" i="1" s="1"/>
  <c r="AC638" i="1"/>
  <c r="M637" i="1"/>
  <c r="AW638" i="1"/>
  <c r="AI638" i="1" s="1"/>
  <c r="AJ638" i="1" s="1"/>
  <c r="A639" i="1"/>
  <c r="AK638" i="1"/>
  <c r="BC638" i="1" l="1"/>
  <c r="BD638" i="1" s="1"/>
  <c r="AE638" i="1" s="1"/>
  <c r="BF640" i="1"/>
  <c r="BB639" i="1"/>
  <c r="V329" i="1"/>
  <c r="Y329" i="1"/>
  <c r="X329" i="1" s="1"/>
  <c r="O329" i="1"/>
  <c r="AT330" i="1" s="1"/>
  <c r="AS330" i="1" s="1"/>
  <c r="AY329" i="1"/>
  <c r="AQ329" i="1"/>
  <c r="AN246" i="1"/>
  <c r="AN254" i="1"/>
  <c r="AN238" i="1"/>
  <c r="J639" i="1"/>
  <c r="L640" i="1"/>
  <c r="BA328" i="1"/>
  <c r="A660" i="7"/>
  <c r="B659" i="7"/>
  <c r="S640" i="1"/>
  <c r="Z642" i="1" s="1"/>
  <c r="K640" i="1"/>
  <c r="AU640" i="1"/>
  <c r="AK639" i="1"/>
  <c r="A640" i="1"/>
  <c r="AW639" i="1"/>
  <c r="AI639" i="1" s="1"/>
  <c r="AJ639" i="1" s="1"/>
  <c r="AC639" i="1"/>
  <c r="G638" i="1"/>
  <c r="H638" i="1" s="1"/>
  <c r="D639" i="1"/>
  <c r="E639" i="1"/>
  <c r="F639" i="1" s="1"/>
  <c r="C640" i="1"/>
  <c r="AA640" i="1"/>
  <c r="B641" i="1"/>
  <c r="M638" i="1"/>
  <c r="BC639" i="1" l="1"/>
  <c r="BD639" i="1" s="1"/>
  <c r="AE639" i="1" s="1"/>
  <c r="BF641" i="1"/>
  <c r="BB640" i="1"/>
  <c r="AF329" i="1"/>
  <c r="AG329" i="1" s="1"/>
  <c r="AM330" i="1"/>
  <c r="N330" i="1"/>
  <c r="P330" i="1"/>
  <c r="BE330" i="1" s="1"/>
  <c r="I330" i="1"/>
  <c r="Q330" i="1" s="1"/>
  <c r="AO238" i="1"/>
  <c r="AO246" i="1"/>
  <c r="AO254" i="1"/>
  <c r="J640" i="1"/>
  <c r="L641" i="1"/>
  <c r="A661" i="7"/>
  <c r="B660" i="7"/>
  <c r="S641" i="1"/>
  <c r="Z643" i="1" s="1"/>
  <c r="K641" i="1"/>
  <c r="AU641" i="1"/>
  <c r="M639" i="1"/>
  <c r="G639" i="1"/>
  <c r="H639" i="1" s="1"/>
  <c r="AA641" i="1"/>
  <c r="B642" i="1"/>
  <c r="C641" i="1"/>
  <c r="A641" i="1"/>
  <c r="AK640" i="1"/>
  <c r="AW640" i="1"/>
  <c r="AI640" i="1" s="1"/>
  <c r="AJ640" i="1" s="1"/>
  <c r="D640" i="1"/>
  <c r="E640" i="1"/>
  <c r="F640" i="1" s="1"/>
  <c r="AC640" i="1"/>
  <c r="BC640" i="1" l="1"/>
  <c r="BD640" i="1" s="1"/>
  <c r="AE640" i="1" s="1"/>
  <c r="BF642" i="1"/>
  <c r="AY330" i="1"/>
  <c r="BB641" i="1"/>
  <c r="AH329" i="1"/>
  <c r="V330" i="1"/>
  <c r="Y330" i="1"/>
  <c r="X330" i="1" s="1"/>
  <c r="AQ330" i="1"/>
  <c r="O330" i="1"/>
  <c r="P331" i="1" s="1"/>
  <c r="BE331" i="1" s="1"/>
  <c r="AP238" i="1"/>
  <c r="AX239" i="1" s="1"/>
  <c r="AP254" i="1"/>
  <c r="AX255" i="1" s="1"/>
  <c r="AP246" i="1"/>
  <c r="AX247" i="1" s="1"/>
  <c r="J641" i="1"/>
  <c r="L642" i="1"/>
  <c r="BA329" i="1"/>
  <c r="A662" i="7"/>
  <c r="B661" i="7"/>
  <c r="S642" i="1"/>
  <c r="Z644" i="1" s="1"/>
  <c r="K642" i="1"/>
  <c r="AU642" i="1"/>
  <c r="M640" i="1"/>
  <c r="AW641" i="1"/>
  <c r="AI641" i="1" s="1"/>
  <c r="AJ641" i="1" s="1"/>
  <c r="AK641" i="1"/>
  <c r="A642" i="1"/>
  <c r="B643" i="1"/>
  <c r="C642" i="1"/>
  <c r="AA642" i="1"/>
  <c r="AC641" i="1"/>
  <c r="G640" i="1"/>
  <c r="H640" i="1" s="1"/>
  <c r="D641" i="1"/>
  <c r="E641" i="1"/>
  <c r="F641" i="1" s="1"/>
  <c r="BC641" i="1" l="1"/>
  <c r="BD641" i="1" s="1"/>
  <c r="AE641" i="1" s="1"/>
  <c r="BF643" i="1"/>
  <c r="BB642" i="1"/>
  <c r="AF330" i="1"/>
  <c r="AG330" i="1" s="1"/>
  <c r="V331" i="1"/>
  <c r="Y331" i="1"/>
  <c r="X331" i="1" s="1"/>
  <c r="AF331" i="1" s="1"/>
  <c r="N331" i="1"/>
  <c r="AY331" i="1"/>
  <c r="AM331" i="1"/>
  <c r="I331" i="1"/>
  <c r="Q331" i="1" s="1"/>
  <c r="AT331" i="1"/>
  <c r="AS331" i="1" s="1"/>
  <c r="AQ331" i="1" s="1"/>
  <c r="J642" i="1"/>
  <c r="L643" i="1"/>
  <c r="A663" i="7"/>
  <c r="B662" i="7"/>
  <c r="S643" i="1"/>
  <c r="Z645" i="1" s="1"/>
  <c r="K643" i="1"/>
  <c r="AU643" i="1"/>
  <c r="AC642" i="1"/>
  <c r="E642" i="1"/>
  <c r="F642" i="1" s="1"/>
  <c r="D642" i="1"/>
  <c r="AA643" i="1"/>
  <c r="B644" i="1"/>
  <c r="C643" i="1"/>
  <c r="M641" i="1"/>
  <c r="G641" i="1"/>
  <c r="H641" i="1" s="1"/>
  <c r="A643" i="1"/>
  <c r="AK642" i="1"/>
  <c r="AW642" i="1"/>
  <c r="AI642" i="1" s="1"/>
  <c r="AJ642" i="1" s="1"/>
  <c r="BC642" i="1" l="1"/>
  <c r="BD642" i="1" s="1"/>
  <c r="AE642" i="1" s="1"/>
  <c r="BF644" i="1"/>
  <c r="AH330" i="1"/>
  <c r="BB643" i="1"/>
  <c r="AG331" i="1"/>
  <c r="O331" i="1"/>
  <c r="N332" i="1" s="1"/>
  <c r="U239" i="1"/>
  <c r="U255" i="1"/>
  <c r="U247" i="1"/>
  <c r="J643" i="1"/>
  <c r="L644" i="1"/>
  <c r="BA330" i="1"/>
  <c r="A664" i="7"/>
  <c r="B663" i="7"/>
  <c r="S644" i="1"/>
  <c r="Z646" i="1" s="1"/>
  <c r="K644" i="1"/>
  <c r="AU644" i="1"/>
  <c r="A644" i="1"/>
  <c r="AW643" i="1"/>
  <c r="AI643" i="1" s="1"/>
  <c r="AJ643" i="1" s="1"/>
  <c r="AK643" i="1"/>
  <c r="AC643" i="1"/>
  <c r="G642" i="1"/>
  <c r="H642" i="1" s="1"/>
  <c r="B645" i="1"/>
  <c r="C644" i="1"/>
  <c r="AA644" i="1"/>
  <c r="E643" i="1"/>
  <c r="F643" i="1" s="1"/>
  <c r="D643" i="1"/>
  <c r="M642" i="1"/>
  <c r="BC643" i="1" l="1"/>
  <c r="BD643" i="1" s="1"/>
  <c r="AE643" i="1" s="1"/>
  <c r="BF645" i="1"/>
  <c r="BB644" i="1"/>
  <c r="AH331" i="1"/>
  <c r="P332" i="1"/>
  <c r="BE332" i="1" s="1"/>
  <c r="AT332" i="1"/>
  <c r="AS332" i="1" s="1"/>
  <c r="I332" i="1"/>
  <c r="Q332" i="1" s="1"/>
  <c r="AM332" i="1"/>
  <c r="AL255" i="1"/>
  <c r="AL247" i="1"/>
  <c r="AL239" i="1"/>
  <c r="J644" i="1"/>
  <c r="L645" i="1"/>
  <c r="BA331" i="1"/>
  <c r="A665" i="7"/>
  <c r="B664" i="7"/>
  <c r="S645" i="1"/>
  <c r="Z647" i="1" s="1"/>
  <c r="K645" i="1"/>
  <c r="AU645" i="1"/>
  <c r="D644" i="1"/>
  <c r="E644" i="1"/>
  <c r="F644" i="1" s="1"/>
  <c r="AC644" i="1"/>
  <c r="M643" i="1"/>
  <c r="C645" i="1"/>
  <c r="B646" i="1"/>
  <c r="AA645" i="1"/>
  <c r="G643" i="1"/>
  <c r="H643" i="1" s="1"/>
  <c r="AK644" i="1"/>
  <c r="A645" i="1"/>
  <c r="AW644" i="1"/>
  <c r="AI644" i="1" s="1"/>
  <c r="AJ644" i="1" s="1"/>
  <c r="BC644" i="1" l="1"/>
  <c r="BD644" i="1" s="1"/>
  <c r="AE644" i="1" s="1"/>
  <c r="BF646" i="1"/>
  <c r="BB645" i="1"/>
  <c r="V332" i="1"/>
  <c r="Y332" i="1"/>
  <c r="X332" i="1" s="1"/>
  <c r="AY332" i="1"/>
  <c r="AQ332" i="1"/>
  <c r="O332" i="1"/>
  <c r="AN239" i="1"/>
  <c r="AN255" i="1"/>
  <c r="AN247" i="1"/>
  <c r="J645" i="1"/>
  <c r="L646" i="1"/>
  <c r="A666" i="7"/>
  <c r="B665" i="7"/>
  <c r="S646" i="1"/>
  <c r="Z648" i="1" s="1"/>
  <c r="K646" i="1"/>
  <c r="AU646" i="1"/>
  <c r="AA646" i="1"/>
  <c r="B647" i="1"/>
  <c r="C646" i="1"/>
  <c r="M644" i="1"/>
  <c r="A646" i="1"/>
  <c r="AW645" i="1"/>
  <c r="AI645" i="1" s="1"/>
  <c r="AJ645" i="1" s="1"/>
  <c r="AK645" i="1"/>
  <c r="G644" i="1"/>
  <c r="H644" i="1" s="1"/>
  <c r="AC645" i="1"/>
  <c r="D645" i="1"/>
  <c r="E645" i="1"/>
  <c r="F645" i="1" s="1"/>
  <c r="BC645" i="1" l="1"/>
  <c r="BD645" i="1" s="1"/>
  <c r="AE645" i="1" s="1"/>
  <c r="BF647" i="1"/>
  <c r="AC646" i="1"/>
  <c r="BB646" i="1"/>
  <c r="AF332" i="1"/>
  <c r="AG332" i="1" s="1"/>
  <c r="I333" i="1"/>
  <c r="Q333" i="1" s="1"/>
  <c r="AM333" i="1"/>
  <c r="N333" i="1"/>
  <c r="AT333" i="1"/>
  <c r="AS333" i="1" s="1"/>
  <c r="P333" i="1"/>
  <c r="BE333" i="1" s="1"/>
  <c r="AO255" i="1"/>
  <c r="AO239" i="1"/>
  <c r="AO247" i="1"/>
  <c r="J646" i="1"/>
  <c r="L647" i="1"/>
  <c r="A667" i="7"/>
  <c r="B666" i="7"/>
  <c r="S647" i="1"/>
  <c r="Z649" i="1" s="1"/>
  <c r="K647" i="1"/>
  <c r="AU647" i="1"/>
  <c r="AW646" i="1"/>
  <c r="AI646" i="1" s="1"/>
  <c r="AJ646" i="1" s="1"/>
  <c r="A647" i="1"/>
  <c r="AK646" i="1"/>
  <c r="D646" i="1"/>
  <c r="E646" i="1"/>
  <c r="F646" i="1" s="1"/>
  <c r="G645" i="1"/>
  <c r="H645" i="1" s="1"/>
  <c r="C647" i="1"/>
  <c r="AA647" i="1"/>
  <c r="B648" i="1"/>
  <c r="M645" i="1"/>
  <c r="BC646" i="1" l="1"/>
  <c r="BD646" i="1" s="1"/>
  <c r="AE646" i="1" s="1"/>
  <c r="BF648" i="1"/>
  <c r="Y333" i="1"/>
  <c r="X333" i="1" s="1"/>
  <c r="AF333" i="1" s="1"/>
  <c r="AH332" i="1"/>
  <c r="BB647" i="1"/>
  <c r="AC647" i="1"/>
  <c r="BA332" i="1"/>
  <c r="V333" i="1"/>
  <c r="AY333" i="1"/>
  <c r="AQ333" i="1"/>
  <c r="O333" i="1"/>
  <c r="AP255" i="1"/>
  <c r="AX256" i="1" s="1"/>
  <c r="AP247" i="1"/>
  <c r="AX248" i="1" s="1"/>
  <c r="AP239" i="1"/>
  <c r="AX240" i="1" s="1"/>
  <c r="J647" i="1"/>
  <c r="L648" i="1"/>
  <c r="A668" i="7"/>
  <c r="B667" i="7"/>
  <c r="S648" i="1"/>
  <c r="Z650" i="1" s="1"/>
  <c r="K648" i="1"/>
  <c r="AU648" i="1"/>
  <c r="M646" i="1"/>
  <c r="G646" i="1"/>
  <c r="H646" i="1" s="1"/>
  <c r="B649" i="1"/>
  <c r="C648" i="1"/>
  <c r="AA648" i="1"/>
  <c r="E647" i="1"/>
  <c r="F647" i="1" s="1"/>
  <c r="D647" i="1"/>
  <c r="A648" i="1"/>
  <c r="AW647" i="1"/>
  <c r="AI647" i="1" s="1"/>
  <c r="AJ647" i="1" s="1"/>
  <c r="AK647" i="1"/>
  <c r="BC647" i="1" l="1"/>
  <c r="BD647" i="1" s="1"/>
  <c r="AE647" i="1" s="1"/>
  <c r="BF649" i="1"/>
  <c r="BB648" i="1"/>
  <c r="AH333" i="1"/>
  <c r="AT334" i="1"/>
  <c r="AS334" i="1" s="1"/>
  <c r="P334" i="1"/>
  <c r="BE334" i="1" s="1"/>
  <c r="AM334" i="1"/>
  <c r="I334" i="1"/>
  <c r="Q334" i="1" s="1"/>
  <c r="N334" i="1"/>
  <c r="AG333" i="1"/>
  <c r="BA333" i="1" s="1"/>
  <c r="J648" i="1"/>
  <c r="L649" i="1"/>
  <c r="A669" i="7"/>
  <c r="B668" i="7"/>
  <c r="S649" i="1"/>
  <c r="Z651" i="1" s="1"/>
  <c r="K649" i="1"/>
  <c r="AU649" i="1"/>
  <c r="AC648" i="1"/>
  <c r="AP648" i="1"/>
  <c r="AW648" i="1"/>
  <c r="AI648" i="1" s="1"/>
  <c r="AJ648" i="1" s="1"/>
  <c r="AK648" i="1"/>
  <c r="A649" i="1"/>
  <c r="D648" i="1"/>
  <c r="E648" i="1"/>
  <c r="F648" i="1" s="1"/>
  <c r="M647" i="1"/>
  <c r="G647" i="1"/>
  <c r="H647" i="1" s="1"/>
  <c r="AA649" i="1"/>
  <c r="B650" i="1"/>
  <c r="C649" i="1"/>
  <c r="BC648" i="1" l="1"/>
  <c r="BD648" i="1" s="1"/>
  <c r="AE648" i="1" s="1"/>
  <c r="BF650" i="1"/>
  <c r="Y334" i="1"/>
  <c r="X334" i="1" s="1"/>
  <c r="BB649" i="1"/>
  <c r="AC649" i="1"/>
  <c r="O334" i="1"/>
  <c r="V334" i="1"/>
  <c r="AY334" i="1"/>
  <c r="AQ334" i="1"/>
  <c r="U240" i="1"/>
  <c r="U248" i="1"/>
  <c r="U256" i="1"/>
  <c r="J649" i="1"/>
  <c r="L650" i="1"/>
  <c r="A670" i="7"/>
  <c r="B669" i="7"/>
  <c r="S650" i="1"/>
  <c r="Z652" i="1" s="1"/>
  <c r="K650" i="1"/>
  <c r="AU650" i="1"/>
  <c r="M648" i="1"/>
  <c r="A650" i="1"/>
  <c r="AK649" i="1"/>
  <c r="AW649" i="1"/>
  <c r="AI649" i="1" s="1"/>
  <c r="AJ649" i="1" s="1"/>
  <c r="E649" i="1"/>
  <c r="F649" i="1" s="1"/>
  <c r="D649" i="1"/>
  <c r="G648" i="1"/>
  <c r="H648" i="1" s="1"/>
  <c r="AA650" i="1"/>
  <c r="B651" i="1"/>
  <c r="C650" i="1"/>
  <c r="BC649" i="1" l="1"/>
  <c r="BD649" i="1" s="1"/>
  <c r="AE649" i="1" s="1"/>
  <c r="BF651" i="1"/>
  <c r="BB650" i="1"/>
  <c r="AF334" i="1"/>
  <c r="AG334" i="1" s="1"/>
  <c r="AM335" i="1"/>
  <c r="I335" i="1"/>
  <c r="Q335" i="1" s="1"/>
  <c r="N335" i="1"/>
  <c r="P335" i="1"/>
  <c r="BE335" i="1" s="1"/>
  <c r="AT335" i="1"/>
  <c r="AS335" i="1" s="1"/>
  <c r="AL248" i="1"/>
  <c r="AL256" i="1"/>
  <c r="AL240" i="1"/>
  <c r="J650" i="1"/>
  <c r="L651" i="1"/>
  <c r="A671" i="7"/>
  <c r="B670" i="7"/>
  <c r="S651" i="1"/>
  <c r="Z653" i="1" s="1"/>
  <c r="K651" i="1"/>
  <c r="AU651" i="1"/>
  <c r="E650" i="1"/>
  <c r="F650" i="1" s="1"/>
  <c r="D650" i="1"/>
  <c r="AW650" i="1"/>
  <c r="AI650" i="1" s="1"/>
  <c r="AJ650" i="1" s="1"/>
  <c r="AK650" i="1"/>
  <c r="A651" i="1"/>
  <c r="AC650" i="1"/>
  <c r="M649" i="1"/>
  <c r="C651" i="1"/>
  <c r="AA651" i="1"/>
  <c r="B652" i="1"/>
  <c r="G649" i="1"/>
  <c r="H649" i="1" s="1"/>
  <c r="BC650" i="1" l="1"/>
  <c r="BD650" i="1" s="1"/>
  <c r="AE650" i="1" s="1"/>
  <c r="BF652" i="1"/>
  <c r="Y335" i="1"/>
  <c r="X335" i="1" s="1"/>
  <c r="AF335" i="1" s="1"/>
  <c r="AH334" i="1"/>
  <c r="BB651" i="1"/>
  <c r="BA334" i="1"/>
  <c r="V335" i="1"/>
  <c r="AY335" i="1"/>
  <c r="AQ335" i="1"/>
  <c r="O335" i="1"/>
  <c r="AN240" i="1"/>
  <c r="AN248" i="1"/>
  <c r="AN256" i="1"/>
  <c r="J651" i="1"/>
  <c r="L652" i="1"/>
  <c r="A672" i="7"/>
  <c r="B671" i="7"/>
  <c r="S652" i="1"/>
  <c r="Z654" i="1" s="1"/>
  <c r="K652" i="1"/>
  <c r="AU652" i="1"/>
  <c r="M650" i="1"/>
  <c r="C652" i="1"/>
  <c r="AA652" i="1"/>
  <c r="B653" i="1"/>
  <c r="AC651" i="1"/>
  <c r="D651" i="1"/>
  <c r="E651" i="1"/>
  <c r="F651" i="1" s="1"/>
  <c r="AK651" i="1"/>
  <c r="A652" i="1"/>
  <c r="AW651" i="1"/>
  <c r="AI651" i="1" s="1"/>
  <c r="AJ651" i="1" s="1"/>
  <c r="G650" i="1"/>
  <c r="H650" i="1" s="1"/>
  <c r="BC651" i="1" l="1"/>
  <c r="BD651" i="1" s="1"/>
  <c r="AE651" i="1" s="1"/>
  <c r="BF653" i="1"/>
  <c r="BB652" i="1"/>
  <c r="AH335" i="1"/>
  <c r="AG335" i="1"/>
  <c r="BA335" i="1" s="1"/>
  <c r="P336" i="1"/>
  <c r="BE336" i="1" s="1"/>
  <c r="AT336" i="1"/>
  <c r="AS336" i="1" s="1"/>
  <c r="N336" i="1"/>
  <c r="I336" i="1"/>
  <c r="Q336" i="1" s="1"/>
  <c r="AM336" i="1"/>
  <c r="AO240" i="1"/>
  <c r="AO256" i="1"/>
  <c r="AO248" i="1"/>
  <c r="J652" i="1"/>
  <c r="L653" i="1"/>
  <c r="A673" i="7"/>
  <c r="B672" i="7"/>
  <c r="S653" i="1"/>
  <c r="Z655" i="1" s="1"/>
  <c r="K653" i="1"/>
  <c r="AU653" i="1"/>
  <c r="B654" i="1"/>
  <c r="AA653" i="1"/>
  <c r="C653" i="1"/>
  <c r="D652" i="1"/>
  <c r="E652" i="1"/>
  <c r="F652" i="1" s="1"/>
  <c r="AC652" i="1"/>
  <c r="A653" i="1"/>
  <c r="AK652" i="1"/>
  <c r="AW652" i="1"/>
  <c r="AI652" i="1" s="1"/>
  <c r="AJ652" i="1" s="1"/>
  <c r="G651" i="1"/>
  <c r="H651" i="1" s="1"/>
  <c r="M651" i="1"/>
  <c r="BC652" i="1" l="1"/>
  <c r="BD652" i="1" s="1"/>
  <c r="AE652" i="1" s="1"/>
  <c r="BF654" i="1"/>
  <c r="Y336" i="1"/>
  <c r="X336" i="1" s="1"/>
  <c r="BB653" i="1"/>
  <c r="O336" i="1"/>
  <c r="V336" i="1"/>
  <c r="AY336" i="1"/>
  <c r="AQ336" i="1"/>
  <c r="AP248" i="1"/>
  <c r="AX249" i="1" s="1"/>
  <c r="AP256" i="1"/>
  <c r="AX257" i="1" s="1"/>
  <c r="J653" i="1"/>
  <c r="L654" i="1"/>
  <c r="A674" i="7"/>
  <c r="B673" i="7"/>
  <c r="S654" i="1"/>
  <c r="Z656" i="1" s="1"/>
  <c r="K654" i="1"/>
  <c r="AU654" i="1"/>
  <c r="A654" i="1"/>
  <c r="AW653" i="1"/>
  <c r="AI653" i="1" s="1"/>
  <c r="AJ653" i="1" s="1"/>
  <c r="AK653" i="1"/>
  <c r="G652" i="1"/>
  <c r="H652" i="1" s="1"/>
  <c r="C654" i="1"/>
  <c r="AA654" i="1"/>
  <c r="B655" i="1"/>
  <c r="D653" i="1"/>
  <c r="E653" i="1"/>
  <c r="F653" i="1" s="1"/>
  <c r="AC653" i="1"/>
  <c r="M652" i="1"/>
  <c r="BC653" i="1" l="1"/>
  <c r="BD653" i="1" s="1"/>
  <c r="AE653" i="1" s="1"/>
  <c r="BF655" i="1"/>
  <c r="BB654" i="1"/>
  <c r="AF336" i="1"/>
  <c r="AG336" i="1" s="1"/>
  <c r="AT337" i="1"/>
  <c r="AS337" i="1" s="1"/>
  <c r="AM337" i="1"/>
  <c r="P337" i="1"/>
  <c r="BE337" i="1" s="1"/>
  <c r="I337" i="1"/>
  <c r="Q337" i="1" s="1"/>
  <c r="N337" i="1"/>
  <c r="J654" i="1"/>
  <c r="L655" i="1"/>
  <c r="A675" i="7"/>
  <c r="B674" i="7"/>
  <c r="S655" i="1"/>
  <c r="Z657" i="1" s="1"/>
  <c r="K655" i="1"/>
  <c r="AU655" i="1"/>
  <c r="G653" i="1"/>
  <c r="H653" i="1" s="1"/>
  <c r="AK654" i="1"/>
  <c r="A655" i="1"/>
  <c r="AW654" i="1"/>
  <c r="AI654" i="1" s="1"/>
  <c r="AJ654" i="1" s="1"/>
  <c r="C655" i="1"/>
  <c r="AA655" i="1"/>
  <c r="B656" i="1"/>
  <c r="E654" i="1"/>
  <c r="F654" i="1" s="1"/>
  <c r="D654" i="1"/>
  <c r="AC654" i="1"/>
  <c r="M653" i="1"/>
  <c r="BC654" i="1" l="1"/>
  <c r="BD654" i="1" s="1"/>
  <c r="AE654" i="1" s="1"/>
  <c r="BF656" i="1"/>
  <c r="Y337" i="1"/>
  <c r="X337" i="1" s="1"/>
  <c r="AH336" i="1"/>
  <c r="BB655" i="1"/>
  <c r="BA336" i="1"/>
  <c r="V337" i="1"/>
  <c r="AQ337" i="1"/>
  <c r="AY337" i="1"/>
  <c r="O337" i="1"/>
  <c r="U257" i="1"/>
  <c r="U249" i="1"/>
  <c r="J655" i="1"/>
  <c r="L656" i="1"/>
  <c r="A676" i="7"/>
  <c r="B675" i="7"/>
  <c r="S656" i="1"/>
  <c r="Z658" i="1" s="1"/>
  <c r="K656" i="1"/>
  <c r="AU656" i="1"/>
  <c r="G654" i="1"/>
  <c r="H654" i="1" s="1"/>
  <c r="AA656" i="1"/>
  <c r="B657" i="1"/>
  <c r="C656" i="1"/>
  <c r="E655" i="1"/>
  <c r="F655" i="1" s="1"/>
  <c r="D655" i="1"/>
  <c r="M654" i="1"/>
  <c r="AK655" i="1"/>
  <c r="A656" i="1"/>
  <c r="AW655" i="1"/>
  <c r="AI655" i="1" s="1"/>
  <c r="AJ655" i="1" s="1"/>
  <c r="AC655" i="1"/>
  <c r="U265" i="1"/>
  <c r="BC655" i="1" l="1"/>
  <c r="BD655" i="1" s="1"/>
  <c r="AE655" i="1" s="1"/>
  <c r="BF657" i="1"/>
  <c r="AX337" i="1"/>
  <c r="BB656" i="1"/>
  <c r="AF337" i="1"/>
  <c r="AG337" i="1" s="1"/>
  <c r="AT338" i="1"/>
  <c r="AS338" i="1" s="1"/>
  <c r="N338" i="1"/>
  <c r="I338" i="1"/>
  <c r="Q338" i="1" s="1"/>
  <c r="P338" i="1"/>
  <c r="BE338" i="1" s="1"/>
  <c r="AM338" i="1"/>
  <c r="AL249" i="1"/>
  <c r="AL265" i="1"/>
  <c r="AL257" i="1"/>
  <c r="J656" i="1"/>
  <c r="L657" i="1"/>
  <c r="A677" i="7"/>
  <c r="B676" i="7"/>
  <c r="S657" i="1"/>
  <c r="Z659" i="1" s="1"/>
  <c r="K657" i="1"/>
  <c r="AU657" i="1"/>
  <c r="M655" i="1"/>
  <c r="E656" i="1"/>
  <c r="F656" i="1" s="1"/>
  <c r="D656" i="1"/>
  <c r="AC656" i="1"/>
  <c r="G655" i="1"/>
  <c r="H655" i="1" s="1"/>
  <c r="A657" i="1"/>
  <c r="AW656" i="1"/>
  <c r="AI656" i="1" s="1"/>
  <c r="AJ656" i="1" s="1"/>
  <c r="AK656" i="1"/>
  <c r="AA657" i="1"/>
  <c r="B658" i="1"/>
  <c r="C657" i="1"/>
  <c r="BC656" i="1" l="1"/>
  <c r="BD656" i="1" s="1"/>
  <c r="AE656" i="1" s="1"/>
  <c r="BF658" i="1"/>
  <c r="Y338" i="1"/>
  <c r="X338" i="1" s="1"/>
  <c r="AC657" i="1"/>
  <c r="BB657" i="1"/>
  <c r="BA337" i="1"/>
  <c r="AH337" i="1"/>
  <c r="V338" i="1"/>
  <c r="AY338" i="1"/>
  <c r="AQ338" i="1"/>
  <c r="O338" i="1"/>
  <c r="AN257" i="1"/>
  <c r="AN249" i="1"/>
  <c r="AN265" i="1"/>
  <c r="J657" i="1"/>
  <c r="L658" i="1"/>
  <c r="A678" i="7"/>
  <c r="B677" i="7"/>
  <c r="S658" i="1"/>
  <c r="Z660" i="1" s="1"/>
  <c r="K658" i="1"/>
  <c r="AU658" i="1"/>
  <c r="G656" i="1"/>
  <c r="H656" i="1" s="1"/>
  <c r="D657" i="1"/>
  <c r="E657" i="1"/>
  <c r="F657" i="1" s="1"/>
  <c r="AW657" i="1"/>
  <c r="AI657" i="1" s="1"/>
  <c r="AJ657" i="1" s="1"/>
  <c r="A658" i="1"/>
  <c r="AK657" i="1"/>
  <c r="M656" i="1"/>
  <c r="C658" i="1"/>
  <c r="AA658" i="1"/>
  <c r="B659" i="1"/>
  <c r="BC657" i="1" l="1"/>
  <c r="BD657" i="1" s="1"/>
  <c r="AE657" i="1" s="1"/>
  <c r="BF659" i="1"/>
  <c r="BB658" i="1"/>
  <c r="AF338" i="1"/>
  <c r="AG338" i="1" s="1"/>
  <c r="P339" i="1"/>
  <c r="BE339" i="1" s="1"/>
  <c r="N339" i="1"/>
  <c r="AM339" i="1"/>
  <c r="AT339" i="1"/>
  <c r="AS339" i="1" s="1"/>
  <c r="I339" i="1"/>
  <c r="Q339" i="1" s="1"/>
  <c r="AO257" i="1"/>
  <c r="AO265" i="1"/>
  <c r="AO249" i="1"/>
  <c r="J658" i="1"/>
  <c r="L659" i="1"/>
  <c r="A679" i="7"/>
  <c r="B678" i="7"/>
  <c r="S659" i="1"/>
  <c r="Z661" i="1" s="1"/>
  <c r="K659" i="1"/>
  <c r="AU659" i="1"/>
  <c r="D658" i="1"/>
  <c r="E658" i="1"/>
  <c r="F658" i="1" s="1"/>
  <c r="AC658" i="1"/>
  <c r="G657" i="1"/>
  <c r="H657" i="1" s="1"/>
  <c r="M657" i="1"/>
  <c r="AK658" i="1"/>
  <c r="A659" i="1"/>
  <c r="AW658" i="1"/>
  <c r="AI658" i="1" s="1"/>
  <c r="AJ658" i="1" s="1"/>
  <c r="C659" i="1"/>
  <c r="AA659" i="1"/>
  <c r="B660" i="1"/>
  <c r="BC658" i="1" l="1"/>
  <c r="BD658" i="1" s="1"/>
  <c r="AE658" i="1" s="1"/>
  <c r="BF660" i="1"/>
  <c r="Y339" i="1"/>
  <c r="X339" i="1" s="1"/>
  <c r="AC659" i="1"/>
  <c r="BB659" i="1"/>
  <c r="BA338" i="1"/>
  <c r="AH338" i="1"/>
  <c r="O339" i="1"/>
  <c r="V339" i="1"/>
  <c r="AY339" i="1"/>
  <c r="AQ339" i="1"/>
  <c r="AP265" i="1"/>
  <c r="AX266" i="1" s="1"/>
  <c r="AP257" i="1"/>
  <c r="AX258" i="1" s="1"/>
  <c r="AP249" i="1"/>
  <c r="AX250" i="1" s="1"/>
  <c r="J659" i="1"/>
  <c r="L660" i="1"/>
  <c r="A680" i="7"/>
  <c r="B679" i="7"/>
  <c r="S660" i="1"/>
  <c r="Z662" i="1" s="1"/>
  <c r="K660" i="1"/>
  <c r="AU660" i="1"/>
  <c r="G658" i="1"/>
  <c r="H658" i="1" s="1"/>
  <c r="M658" i="1"/>
  <c r="AA660" i="1"/>
  <c r="B661" i="1"/>
  <c r="C660" i="1"/>
  <c r="D659" i="1"/>
  <c r="E659" i="1"/>
  <c r="F659" i="1" s="1"/>
  <c r="AK659" i="1"/>
  <c r="A660" i="1"/>
  <c r="AW659" i="1"/>
  <c r="AI659" i="1" s="1"/>
  <c r="AJ659" i="1" s="1"/>
  <c r="BC659" i="1" l="1"/>
  <c r="BD659" i="1" s="1"/>
  <c r="AE659" i="1" s="1"/>
  <c r="BF661" i="1"/>
  <c r="BB660" i="1"/>
  <c r="AF339" i="1"/>
  <c r="AM340" i="1"/>
  <c r="AT340" i="1"/>
  <c r="AS340" i="1" s="1"/>
  <c r="I340" i="1"/>
  <c r="Q340" i="1" s="1"/>
  <c r="P340" i="1"/>
  <c r="BE340" i="1" s="1"/>
  <c r="N340" i="1"/>
  <c r="J660" i="1"/>
  <c r="L661" i="1"/>
  <c r="A681" i="7"/>
  <c r="B680" i="7"/>
  <c r="S661" i="1"/>
  <c r="Z663" i="1" s="1"/>
  <c r="K661" i="1"/>
  <c r="AU661" i="1"/>
  <c r="M659" i="1"/>
  <c r="AA661" i="1"/>
  <c r="B662" i="1"/>
  <c r="C661" i="1"/>
  <c r="G659" i="1"/>
  <c r="H659" i="1" s="1"/>
  <c r="D660" i="1"/>
  <c r="E660" i="1"/>
  <c r="F660" i="1" s="1"/>
  <c r="A661" i="1"/>
  <c r="AW660" i="1"/>
  <c r="AI660" i="1" s="1"/>
  <c r="AJ660" i="1" s="1"/>
  <c r="AP660" i="1"/>
  <c r="AK660" i="1"/>
  <c r="AC660" i="1"/>
  <c r="BC660" i="1" l="1"/>
  <c r="BD660" i="1" s="1"/>
  <c r="AE660" i="1" s="1"/>
  <c r="BF662" i="1"/>
  <c r="Y340" i="1"/>
  <c r="X340" i="1" s="1"/>
  <c r="AH339" i="1"/>
  <c r="BB661" i="1"/>
  <c r="AC661" i="1"/>
  <c r="AG339" i="1"/>
  <c r="BA339" i="1" s="1"/>
  <c r="V340" i="1"/>
  <c r="AY340" i="1"/>
  <c r="AQ340" i="1"/>
  <c r="O340" i="1"/>
  <c r="U266" i="1"/>
  <c r="U250" i="1"/>
  <c r="U258" i="1"/>
  <c r="J661" i="1"/>
  <c r="L662" i="1"/>
  <c r="A682" i="7"/>
  <c r="B681" i="7"/>
  <c r="S662" i="1"/>
  <c r="Z664" i="1" s="1"/>
  <c r="K662" i="1"/>
  <c r="AU662" i="1"/>
  <c r="AK661" i="1"/>
  <c r="A662" i="1"/>
  <c r="AW661" i="1"/>
  <c r="AI661" i="1" s="1"/>
  <c r="AJ661" i="1" s="1"/>
  <c r="E661" i="1"/>
  <c r="F661" i="1" s="1"/>
  <c r="D661" i="1"/>
  <c r="C662" i="1"/>
  <c r="B663" i="1"/>
  <c r="AA662" i="1"/>
  <c r="M660" i="1"/>
  <c r="G660" i="1"/>
  <c r="H660" i="1" s="1"/>
  <c r="BC661" i="1" l="1"/>
  <c r="BD661" i="1" s="1"/>
  <c r="AE661" i="1" s="1"/>
  <c r="BF663" i="1"/>
  <c r="BB662" i="1"/>
  <c r="AF340" i="1"/>
  <c r="N341" i="1"/>
  <c r="I341" i="1"/>
  <c r="Q341" i="1" s="1"/>
  <c r="P341" i="1"/>
  <c r="BE341" i="1" s="1"/>
  <c r="AM341" i="1"/>
  <c r="AT341" i="1"/>
  <c r="AS341" i="1" s="1"/>
  <c r="AL250" i="1"/>
  <c r="AL266" i="1"/>
  <c r="AL258" i="1"/>
  <c r="J662" i="1"/>
  <c r="L663" i="1"/>
  <c r="A683" i="7"/>
  <c r="B682" i="7"/>
  <c r="S663" i="1"/>
  <c r="Z665" i="1" s="1"/>
  <c r="K663" i="1"/>
  <c r="AU663" i="1"/>
  <c r="E662" i="1"/>
  <c r="F662" i="1" s="1"/>
  <c r="D662" i="1"/>
  <c r="A663" i="1"/>
  <c r="AW662" i="1"/>
  <c r="AI662" i="1" s="1"/>
  <c r="AJ662" i="1" s="1"/>
  <c r="AK662" i="1"/>
  <c r="M661" i="1"/>
  <c r="G661" i="1"/>
  <c r="H661" i="1" s="1"/>
  <c r="AC662" i="1"/>
  <c r="B664" i="1"/>
  <c r="AA663" i="1"/>
  <c r="C663" i="1"/>
  <c r="BC662" i="1" l="1"/>
  <c r="BD662" i="1" s="1"/>
  <c r="AE662" i="1" s="1"/>
  <c r="BF664" i="1"/>
  <c r="Y341" i="1"/>
  <c r="X341" i="1" s="1"/>
  <c r="AH340" i="1"/>
  <c r="BB663" i="1"/>
  <c r="AG340" i="1"/>
  <c r="V341" i="1"/>
  <c r="AY341" i="1"/>
  <c r="AQ341" i="1"/>
  <c r="O341" i="1"/>
  <c r="AN258" i="1"/>
  <c r="AN250" i="1"/>
  <c r="AN266" i="1"/>
  <c r="J663" i="1"/>
  <c r="L664" i="1"/>
  <c r="A684" i="7"/>
  <c r="B683" i="7"/>
  <c r="S664" i="1"/>
  <c r="Z666" i="1" s="1"/>
  <c r="K664" i="1"/>
  <c r="AU664" i="1"/>
  <c r="G662" i="1"/>
  <c r="H662" i="1" s="1"/>
  <c r="AK663" i="1"/>
  <c r="A664" i="1"/>
  <c r="AW663" i="1"/>
  <c r="AI663" i="1" s="1"/>
  <c r="AJ663" i="1" s="1"/>
  <c r="E663" i="1"/>
  <c r="F663" i="1" s="1"/>
  <c r="D663" i="1"/>
  <c r="AC663" i="1"/>
  <c r="B665" i="1"/>
  <c r="C664" i="1"/>
  <c r="AA664" i="1"/>
  <c r="M662" i="1"/>
  <c r="BC663" i="1" l="1"/>
  <c r="BD663" i="1" s="1"/>
  <c r="AE663" i="1" s="1"/>
  <c r="BF665" i="1"/>
  <c r="BA340" i="1"/>
  <c r="BB664" i="1"/>
  <c r="AF341" i="1"/>
  <c r="AG341" i="1" s="1"/>
  <c r="P342" i="1"/>
  <c r="BE342" i="1" s="1"/>
  <c r="AT342" i="1"/>
  <c r="AS342" i="1" s="1"/>
  <c r="AM342" i="1"/>
  <c r="I342" i="1"/>
  <c r="Q342" i="1" s="1"/>
  <c r="N342" i="1"/>
  <c r="AO258" i="1"/>
  <c r="AO266" i="1"/>
  <c r="AO250" i="1"/>
  <c r="J664" i="1"/>
  <c r="L665" i="1"/>
  <c r="A685" i="7"/>
  <c r="B684" i="7"/>
  <c r="S665" i="1"/>
  <c r="Z667" i="1" s="1"/>
  <c r="K665" i="1"/>
  <c r="AU665" i="1"/>
  <c r="AW664" i="1"/>
  <c r="AI664" i="1" s="1"/>
  <c r="AJ664" i="1" s="1"/>
  <c r="A665" i="1"/>
  <c r="AK664" i="1"/>
  <c r="C665" i="1"/>
  <c r="AA665" i="1"/>
  <c r="B666" i="1"/>
  <c r="M663" i="1"/>
  <c r="D664" i="1"/>
  <c r="E664" i="1"/>
  <c r="F664" i="1" s="1"/>
  <c r="AC664" i="1"/>
  <c r="G663" i="1"/>
  <c r="H663" i="1" s="1"/>
  <c r="BC664" i="1" l="1"/>
  <c r="BD664" i="1" s="1"/>
  <c r="AE664" i="1" s="1"/>
  <c r="BF666" i="1"/>
  <c r="Y342" i="1"/>
  <c r="X342" i="1" s="1"/>
  <c r="BB665" i="1"/>
  <c r="BA341" i="1"/>
  <c r="AH341" i="1"/>
  <c r="O342" i="1"/>
  <c r="V342" i="1"/>
  <c r="AY342" i="1"/>
  <c r="AQ342" i="1"/>
  <c r="AP250" i="1"/>
  <c r="AX251" i="1" s="1"/>
  <c r="AP258" i="1"/>
  <c r="AX259" i="1" s="1"/>
  <c r="AP266" i="1"/>
  <c r="AX267" i="1" s="1"/>
  <c r="J665" i="1"/>
  <c r="L666" i="1"/>
  <c r="A686" i="7"/>
  <c r="B685" i="7"/>
  <c r="S666" i="1"/>
  <c r="Z668" i="1" s="1"/>
  <c r="K666" i="1"/>
  <c r="AU666" i="1"/>
  <c r="AK665" i="1"/>
  <c r="A666" i="1"/>
  <c r="AW665" i="1"/>
  <c r="AI665" i="1" s="1"/>
  <c r="AJ665" i="1" s="1"/>
  <c r="B667" i="1"/>
  <c r="C666" i="1"/>
  <c r="AA666" i="1"/>
  <c r="D665" i="1"/>
  <c r="E665" i="1"/>
  <c r="F665" i="1" s="1"/>
  <c r="G664" i="1"/>
  <c r="H664" i="1" s="1"/>
  <c r="AC665" i="1"/>
  <c r="M664" i="1"/>
  <c r="BC665" i="1" l="1"/>
  <c r="BD665" i="1" s="1"/>
  <c r="AE665" i="1" s="1"/>
  <c r="BF667" i="1"/>
  <c r="BB666" i="1"/>
  <c r="AF342" i="1"/>
  <c r="P343" i="1"/>
  <c r="BE343" i="1" s="1"/>
  <c r="AT343" i="1"/>
  <c r="AS343" i="1" s="1"/>
  <c r="I343" i="1"/>
  <c r="Q343" i="1" s="1"/>
  <c r="AM343" i="1"/>
  <c r="N343" i="1"/>
  <c r="J666" i="1"/>
  <c r="L667" i="1"/>
  <c r="A687" i="7"/>
  <c r="B686" i="7"/>
  <c r="S667" i="1"/>
  <c r="Z669" i="1" s="1"/>
  <c r="K667" i="1"/>
  <c r="AU667" i="1"/>
  <c r="G665" i="1"/>
  <c r="H665" i="1" s="1"/>
  <c r="M665" i="1"/>
  <c r="B668" i="1"/>
  <c r="C667" i="1"/>
  <c r="AA667" i="1"/>
  <c r="AC666" i="1"/>
  <c r="D666" i="1"/>
  <c r="E666" i="1"/>
  <c r="F666" i="1" s="1"/>
  <c r="AK666" i="1"/>
  <c r="A667" i="1"/>
  <c r="AW666" i="1"/>
  <c r="AI666" i="1" s="1"/>
  <c r="AJ666" i="1" s="1"/>
  <c r="BC666" i="1" l="1"/>
  <c r="BD666" i="1" s="1"/>
  <c r="AE666" i="1" s="1"/>
  <c r="BF668" i="1"/>
  <c r="Y343" i="1"/>
  <c r="X343" i="1" s="1"/>
  <c r="AG342" i="1"/>
  <c r="BB667" i="1"/>
  <c r="AC667" i="1"/>
  <c r="AH342" i="1"/>
  <c r="V343" i="1"/>
  <c r="AQ343" i="1"/>
  <c r="AY343" i="1"/>
  <c r="O343" i="1"/>
  <c r="U259" i="1"/>
  <c r="U267" i="1"/>
  <c r="U251" i="1"/>
  <c r="J667" i="1"/>
  <c r="L668" i="1"/>
  <c r="A688" i="7"/>
  <c r="B687" i="7"/>
  <c r="S668" i="1"/>
  <c r="Z670" i="1" s="1"/>
  <c r="K668" i="1"/>
  <c r="AU668" i="1"/>
  <c r="M666" i="1"/>
  <c r="G666" i="1"/>
  <c r="H666" i="1" s="1"/>
  <c r="AK667" i="1"/>
  <c r="A668" i="1"/>
  <c r="AW667" i="1"/>
  <c r="AI667" i="1" s="1"/>
  <c r="AJ667" i="1" s="1"/>
  <c r="C668" i="1"/>
  <c r="B669" i="1"/>
  <c r="AA668" i="1"/>
  <c r="E667" i="1"/>
  <c r="F667" i="1" s="1"/>
  <c r="D667" i="1"/>
  <c r="BC667" i="1" l="1"/>
  <c r="BD667" i="1" s="1"/>
  <c r="AE667" i="1" s="1"/>
  <c r="BF669" i="1"/>
  <c r="BA342" i="1"/>
  <c r="BB668" i="1"/>
  <c r="AF343" i="1"/>
  <c r="AG343" i="1" s="1"/>
  <c r="N344" i="1"/>
  <c r="I344" i="1"/>
  <c r="Q344" i="1" s="1"/>
  <c r="AT344" i="1"/>
  <c r="AS344" i="1" s="1"/>
  <c r="P344" i="1"/>
  <c r="BE344" i="1" s="1"/>
  <c r="AM344" i="1"/>
  <c r="AL267" i="1"/>
  <c r="AL251" i="1"/>
  <c r="AL259" i="1"/>
  <c r="J668" i="1"/>
  <c r="L669" i="1"/>
  <c r="A689" i="7"/>
  <c r="B688" i="7"/>
  <c r="S669" i="1"/>
  <c r="Z671" i="1" s="1"/>
  <c r="K669" i="1"/>
  <c r="AU669" i="1"/>
  <c r="AC668" i="1"/>
  <c r="AA669" i="1"/>
  <c r="B670" i="1"/>
  <c r="C669" i="1"/>
  <c r="D668" i="1"/>
  <c r="E668" i="1"/>
  <c r="F668" i="1" s="1"/>
  <c r="AW668" i="1"/>
  <c r="AI668" i="1" s="1"/>
  <c r="AJ668" i="1" s="1"/>
  <c r="AK668" i="1"/>
  <c r="A669" i="1"/>
  <c r="G667" i="1"/>
  <c r="H667" i="1" s="1"/>
  <c r="M667" i="1"/>
  <c r="BC668" i="1" l="1"/>
  <c r="BD668" i="1" s="1"/>
  <c r="AE668" i="1" s="1"/>
  <c r="BF670" i="1"/>
  <c r="Y344" i="1"/>
  <c r="X344" i="1" s="1"/>
  <c r="AF344" i="1" s="1"/>
  <c r="BB669" i="1"/>
  <c r="BA343" i="1"/>
  <c r="AH343" i="1"/>
  <c r="V344" i="1"/>
  <c r="AY344" i="1"/>
  <c r="AQ344" i="1"/>
  <c r="O344" i="1"/>
  <c r="AN259" i="1"/>
  <c r="AN267" i="1"/>
  <c r="AN251" i="1"/>
  <c r="J669" i="1"/>
  <c r="L670" i="1"/>
  <c r="A690" i="7"/>
  <c r="B689" i="7"/>
  <c r="S670" i="1"/>
  <c r="Z672" i="1" s="1"/>
  <c r="K670" i="1"/>
  <c r="AU670" i="1"/>
  <c r="AC669" i="1"/>
  <c r="A670" i="1"/>
  <c r="AK669" i="1"/>
  <c r="AW669" i="1"/>
  <c r="AI669" i="1" s="1"/>
  <c r="AJ669" i="1" s="1"/>
  <c r="G668" i="1"/>
  <c r="H668" i="1" s="1"/>
  <c r="M668" i="1"/>
  <c r="D669" i="1"/>
  <c r="E669" i="1"/>
  <c r="F669" i="1" s="1"/>
  <c r="AA670" i="1"/>
  <c r="B671" i="1"/>
  <c r="C670" i="1"/>
  <c r="BC669" i="1" l="1"/>
  <c r="BD669" i="1" s="1"/>
  <c r="AE669" i="1" s="1"/>
  <c r="BF671" i="1"/>
  <c r="BB670" i="1"/>
  <c r="AC670" i="1"/>
  <c r="AH344" i="1"/>
  <c r="AG344" i="1"/>
  <c r="P345" i="1"/>
  <c r="BE345" i="1" s="1"/>
  <c r="I345" i="1"/>
  <c r="Q345" i="1" s="1"/>
  <c r="AT345" i="1"/>
  <c r="AS345" i="1" s="1"/>
  <c r="N345" i="1"/>
  <c r="AM345" i="1"/>
  <c r="AO251" i="1"/>
  <c r="AO259" i="1"/>
  <c r="AO267" i="1"/>
  <c r="J670" i="1"/>
  <c r="L671" i="1"/>
  <c r="A691" i="7"/>
  <c r="B690" i="7"/>
  <c r="S671" i="1"/>
  <c r="Z673" i="1" s="1"/>
  <c r="K671" i="1"/>
  <c r="AU671" i="1"/>
  <c r="D670" i="1"/>
  <c r="E670" i="1"/>
  <c r="F670" i="1" s="1"/>
  <c r="M669" i="1"/>
  <c r="G669" i="1"/>
  <c r="H669" i="1" s="1"/>
  <c r="AW670" i="1"/>
  <c r="AI670" i="1" s="1"/>
  <c r="AJ670" i="1" s="1"/>
  <c r="AK670" i="1"/>
  <c r="A671" i="1"/>
  <c r="C671" i="1"/>
  <c r="B672" i="1"/>
  <c r="AA671" i="1"/>
  <c r="BC670" i="1" l="1"/>
  <c r="BD670" i="1" s="1"/>
  <c r="AE670" i="1" s="1"/>
  <c r="BF672" i="1"/>
  <c r="Y345" i="1"/>
  <c r="X345" i="1" s="1"/>
  <c r="AF345" i="1" s="1"/>
  <c r="BB671" i="1"/>
  <c r="AQ345" i="1"/>
  <c r="V345" i="1"/>
  <c r="AY345" i="1"/>
  <c r="BA344" i="1"/>
  <c r="O345" i="1"/>
  <c r="AP267" i="1"/>
  <c r="AX268" i="1" s="1"/>
  <c r="AP259" i="1"/>
  <c r="AX260" i="1" s="1"/>
  <c r="AP251" i="1"/>
  <c r="AX252" i="1" s="1"/>
  <c r="J671" i="1"/>
  <c r="L672" i="1"/>
  <c r="A692" i="7"/>
  <c r="B691" i="7"/>
  <c r="S672" i="1"/>
  <c r="Z674" i="1" s="1"/>
  <c r="K672" i="1"/>
  <c r="AU672" i="1"/>
  <c r="G670" i="1"/>
  <c r="H670" i="1" s="1"/>
  <c r="E671" i="1"/>
  <c r="F671" i="1" s="1"/>
  <c r="D671" i="1"/>
  <c r="AW671" i="1"/>
  <c r="AI671" i="1" s="1"/>
  <c r="AJ671" i="1" s="1"/>
  <c r="AK671" i="1"/>
  <c r="A672" i="1"/>
  <c r="M670" i="1"/>
  <c r="AC671" i="1"/>
  <c r="C672" i="1"/>
  <c r="AA672" i="1"/>
  <c r="B673" i="1"/>
  <c r="BC671" i="1" l="1"/>
  <c r="BD671" i="1" s="1"/>
  <c r="AE671" i="1" s="1"/>
  <c r="BF673" i="1"/>
  <c r="BB672" i="1"/>
  <c r="I346" i="1"/>
  <c r="Q346" i="1" s="1"/>
  <c r="AT346" i="1"/>
  <c r="AS346" i="1" s="1"/>
  <c r="N346" i="1"/>
  <c r="AM346" i="1"/>
  <c r="P346" i="1"/>
  <c r="BE346" i="1" s="1"/>
  <c r="AG345" i="1"/>
  <c r="AH345" i="1"/>
  <c r="J672" i="1"/>
  <c r="L673" i="1"/>
  <c r="A693" i="7"/>
  <c r="B692" i="7"/>
  <c r="S673" i="1"/>
  <c r="Z675" i="1" s="1"/>
  <c r="K673" i="1"/>
  <c r="AU673" i="1"/>
  <c r="AC672" i="1"/>
  <c r="M671" i="1"/>
  <c r="C673" i="1"/>
  <c r="B674" i="1"/>
  <c r="AA673" i="1"/>
  <c r="D672" i="1"/>
  <c r="E672" i="1"/>
  <c r="F672" i="1" s="1"/>
  <c r="AW672" i="1"/>
  <c r="AI672" i="1" s="1"/>
  <c r="AJ672" i="1" s="1"/>
  <c r="AP672" i="1"/>
  <c r="AK672" i="1"/>
  <c r="A673" i="1"/>
  <c r="G671" i="1"/>
  <c r="H671" i="1" s="1"/>
  <c r="BC672" i="1" l="1"/>
  <c r="BD672" i="1" s="1"/>
  <c r="AE672" i="1" s="1"/>
  <c r="BF674" i="1"/>
  <c r="Y346" i="1"/>
  <c r="X346" i="1" s="1"/>
  <c r="AF346" i="1" s="1"/>
  <c r="BB673" i="1"/>
  <c r="O346" i="1"/>
  <c r="P347" i="1" s="1"/>
  <c r="BE347" i="1" s="1"/>
  <c r="BA345" i="1"/>
  <c r="V346" i="1"/>
  <c r="AQ346" i="1"/>
  <c r="AY346" i="1"/>
  <c r="U268" i="1"/>
  <c r="U252" i="1"/>
  <c r="U260" i="1"/>
  <c r="J673" i="1"/>
  <c r="L674" i="1"/>
  <c r="A694" i="7"/>
  <c r="B693" i="7"/>
  <c r="S674" i="1"/>
  <c r="Z676" i="1" s="1"/>
  <c r="K674" i="1"/>
  <c r="AU674" i="1"/>
  <c r="AA674" i="1"/>
  <c r="B675" i="1"/>
  <c r="C674" i="1"/>
  <c r="M672" i="1"/>
  <c r="D673" i="1"/>
  <c r="E673" i="1"/>
  <c r="F673" i="1" s="1"/>
  <c r="AC673" i="1"/>
  <c r="AK673" i="1"/>
  <c r="A674" i="1"/>
  <c r="AW673" i="1"/>
  <c r="AI673" i="1" s="1"/>
  <c r="AJ673" i="1" s="1"/>
  <c r="G672" i="1"/>
  <c r="H672" i="1" s="1"/>
  <c r="BC673" i="1" l="1"/>
  <c r="BD673" i="1" s="1"/>
  <c r="AE673" i="1" s="1"/>
  <c r="BF675" i="1"/>
  <c r="Y347" i="1"/>
  <c r="X347" i="1" s="1"/>
  <c r="AF347" i="1" s="1"/>
  <c r="BB674" i="1"/>
  <c r="N347" i="1"/>
  <c r="I347" i="1"/>
  <c r="Q347" i="1" s="1"/>
  <c r="AM347" i="1"/>
  <c r="AT347" i="1"/>
  <c r="AS347" i="1" s="1"/>
  <c r="AQ347" i="1" s="1"/>
  <c r="AG346" i="1"/>
  <c r="AH346" i="1"/>
  <c r="V347" i="1"/>
  <c r="AY347" i="1"/>
  <c r="AL252" i="1"/>
  <c r="AL260" i="1"/>
  <c r="AL268" i="1"/>
  <c r="J674" i="1"/>
  <c r="L675" i="1"/>
  <c r="A695" i="7"/>
  <c r="B694" i="7"/>
  <c r="S675" i="1"/>
  <c r="Z677" i="1" s="1"/>
  <c r="K675" i="1"/>
  <c r="AU675" i="1"/>
  <c r="G673" i="1"/>
  <c r="H673" i="1" s="1"/>
  <c r="AC674" i="1"/>
  <c r="M673" i="1"/>
  <c r="AK674" i="1"/>
  <c r="AW674" i="1"/>
  <c r="AI674" i="1" s="1"/>
  <c r="AJ674" i="1" s="1"/>
  <c r="A675" i="1"/>
  <c r="C675" i="1"/>
  <c r="AA675" i="1"/>
  <c r="B676" i="1"/>
  <c r="D674" i="1"/>
  <c r="E674" i="1"/>
  <c r="F674" i="1" s="1"/>
  <c r="BC674" i="1" l="1"/>
  <c r="BD674" i="1" s="1"/>
  <c r="AE674" i="1" s="1"/>
  <c r="BF676" i="1"/>
  <c r="BB675" i="1"/>
  <c r="AG347" i="1"/>
  <c r="O347" i="1"/>
  <c r="AH347" i="1" s="1"/>
  <c r="BA346" i="1"/>
  <c r="AN268" i="1"/>
  <c r="AN252" i="1"/>
  <c r="AN260" i="1"/>
  <c r="J675" i="1"/>
  <c r="L676" i="1"/>
  <c r="A696" i="7"/>
  <c r="B695" i="7"/>
  <c r="S676" i="1"/>
  <c r="Z678" i="1" s="1"/>
  <c r="K676" i="1"/>
  <c r="AU676" i="1"/>
  <c r="M674" i="1"/>
  <c r="G674" i="1"/>
  <c r="H674" i="1" s="1"/>
  <c r="A676" i="1"/>
  <c r="AW675" i="1"/>
  <c r="AI675" i="1" s="1"/>
  <c r="AJ675" i="1" s="1"/>
  <c r="AK675" i="1"/>
  <c r="AC675" i="1"/>
  <c r="B677" i="1"/>
  <c r="C676" i="1"/>
  <c r="AA676" i="1"/>
  <c r="D675" i="1"/>
  <c r="E675" i="1"/>
  <c r="F675" i="1" s="1"/>
  <c r="BC675" i="1" l="1"/>
  <c r="BD675" i="1" s="1"/>
  <c r="AE675" i="1" s="1"/>
  <c r="BF677" i="1"/>
  <c r="BB676" i="1"/>
  <c r="BA347" i="1"/>
  <c r="AM348" i="1"/>
  <c r="I348" i="1"/>
  <c r="Q348" i="1" s="1"/>
  <c r="N348" i="1"/>
  <c r="AT348" i="1"/>
  <c r="AS348" i="1" s="1"/>
  <c r="P348" i="1"/>
  <c r="BE348" i="1" s="1"/>
  <c r="AO252" i="1"/>
  <c r="AO268" i="1"/>
  <c r="AO260" i="1"/>
  <c r="J676" i="1"/>
  <c r="L677" i="1"/>
  <c r="A697" i="7"/>
  <c r="B696" i="7"/>
  <c r="S677" i="1"/>
  <c r="Z679" i="1" s="1"/>
  <c r="K677" i="1"/>
  <c r="AU677" i="1"/>
  <c r="G675" i="1"/>
  <c r="H675" i="1" s="1"/>
  <c r="E676" i="1"/>
  <c r="F676" i="1" s="1"/>
  <c r="D676" i="1"/>
  <c r="M675" i="1"/>
  <c r="AW676" i="1"/>
  <c r="AI676" i="1" s="1"/>
  <c r="AJ676" i="1" s="1"/>
  <c r="AK676" i="1"/>
  <c r="A677" i="1"/>
  <c r="AC676" i="1"/>
  <c r="B678" i="1"/>
  <c r="C677" i="1"/>
  <c r="AA677" i="1"/>
  <c r="BC676" i="1" l="1"/>
  <c r="BD676" i="1" s="1"/>
  <c r="AE676" i="1" s="1"/>
  <c r="BF678" i="1"/>
  <c r="BB677" i="1"/>
  <c r="V348" i="1"/>
  <c r="Y348" i="1"/>
  <c r="X348" i="1" s="1"/>
  <c r="O348" i="1"/>
  <c r="P349" i="1" s="1"/>
  <c r="BE349" i="1" s="1"/>
  <c r="AQ348" i="1"/>
  <c r="AY348" i="1"/>
  <c r="AP260" i="1"/>
  <c r="AX261" i="1" s="1"/>
  <c r="AP268" i="1"/>
  <c r="AX269" i="1" s="1"/>
  <c r="J677" i="1"/>
  <c r="L678" i="1"/>
  <c r="A698" i="7"/>
  <c r="B697" i="7"/>
  <c r="S678" i="1"/>
  <c r="Z680" i="1" s="1"/>
  <c r="K678" i="1"/>
  <c r="AU678" i="1"/>
  <c r="D677" i="1"/>
  <c r="E677" i="1"/>
  <c r="F677" i="1" s="1"/>
  <c r="AA678" i="1"/>
  <c r="B679" i="1"/>
  <c r="C678" i="1"/>
  <c r="G676" i="1"/>
  <c r="H676" i="1" s="1"/>
  <c r="M676" i="1"/>
  <c r="AW677" i="1"/>
  <c r="AI677" i="1" s="1"/>
  <c r="AJ677" i="1" s="1"/>
  <c r="A678" i="1"/>
  <c r="AK677" i="1"/>
  <c r="AC677" i="1"/>
  <c r="BC677" i="1" l="1"/>
  <c r="BD677" i="1" s="1"/>
  <c r="AE677" i="1" s="1"/>
  <c r="BF679" i="1"/>
  <c r="Y349" i="1"/>
  <c r="X349" i="1" s="1"/>
  <c r="AF349" i="1" s="1"/>
  <c r="BB678" i="1"/>
  <c r="AF348" i="1"/>
  <c r="AG348" i="1" s="1"/>
  <c r="AM349" i="1"/>
  <c r="AT349" i="1"/>
  <c r="AS349" i="1" s="1"/>
  <c r="AQ349" i="1" s="1"/>
  <c r="N349" i="1"/>
  <c r="I349" i="1"/>
  <c r="Q349" i="1" s="1"/>
  <c r="V349" i="1"/>
  <c r="AY349" i="1"/>
  <c r="J678" i="1"/>
  <c r="L679" i="1"/>
  <c r="A699" i="7"/>
  <c r="B698" i="7"/>
  <c r="S679" i="1"/>
  <c r="Z681" i="1" s="1"/>
  <c r="K679" i="1"/>
  <c r="AU679" i="1"/>
  <c r="G677" i="1"/>
  <c r="H677" i="1" s="1"/>
  <c r="AC678" i="1"/>
  <c r="D678" i="1"/>
  <c r="E678" i="1"/>
  <c r="F678" i="1" s="1"/>
  <c r="M677" i="1"/>
  <c r="AK678" i="1"/>
  <c r="AW678" i="1"/>
  <c r="AI678" i="1" s="1"/>
  <c r="AJ678" i="1" s="1"/>
  <c r="A679" i="1"/>
  <c r="B680" i="1"/>
  <c r="AA679" i="1"/>
  <c r="C679" i="1"/>
  <c r="BC678" i="1" l="1"/>
  <c r="BD678" i="1" s="1"/>
  <c r="AE678" i="1" s="1"/>
  <c r="BF680" i="1"/>
  <c r="BB679" i="1"/>
  <c r="BA348" i="1"/>
  <c r="AH348" i="1"/>
  <c r="AG349" i="1"/>
  <c r="O349" i="1"/>
  <c r="AH349" i="1" s="1"/>
  <c r="U269" i="1"/>
  <c r="U261" i="1"/>
  <c r="J679" i="1"/>
  <c r="L680" i="1"/>
  <c r="A700" i="7"/>
  <c r="B699" i="7"/>
  <c r="S680" i="1"/>
  <c r="Z682" i="1" s="1"/>
  <c r="K680" i="1"/>
  <c r="AU680" i="1"/>
  <c r="AC679" i="1"/>
  <c r="AA680" i="1"/>
  <c r="B681" i="1"/>
  <c r="C680" i="1"/>
  <c r="A680" i="1"/>
  <c r="AK679" i="1"/>
  <c r="AW679" i="1"/>
  <c r="AI679" i="1" s="1"/>
  <c r="AJ679" i="1" s="1"/>
  <c r="D679" i="1"/>
  <c r="E679" i="1"/>
  <c r="F679" i="1" s="1"/>
  <c r="M678" i="1"/>
  <c r="G678" i="1"/>
  <c r="H678" i="1" s="1"/>
  <c r="U277" i="1"/>
  <c r="BC679" i="1" l="1"/>
  <c r="BD679" i="1" s="1"/>
  <c r="AE679" i="1" s="1"/>
  <c r="BF681" i="1"/>
  <c r="AX349" i="1"/>
  <c r="BB680" i="1"/>
  <c r="BA349" i="1"/>
  <c r="N350" i="1"/>
  <c r="AM350" i="1"/>
  <c r="AT350" i="1"/>
  <c r="AS350" i="1" s="1"/>
  <c r="P350" i="1"/>
  <c r="BE350" i="1" s="1"/>
  <c r="I350" i="1"/>
  <c r="Q350" i="1" s="1"/>
  <c r="AL261" i="1"/>
  <c r="AL277" i="1"/>
  <c r="AL269" i="1"/>
  <c r="J680" i="1"/>
  <c r="L681" i="1"/>
  <c r="A701" i="7"/>
  <c r="B700" i="7"/>
  <c r="S681" i="1"/>
  <c r="Z683" i="1" s="1"/>
  <c r="K681" i="1"/>
  <c r="AU681" i="1"/>
  <c r="B682" i="1"/>
  <c r="C681" i="1"/>
  <c r="AA681" i="1"/>
  <c r="M679" i="1"/>
  <c r="AW680" i="1"/>
  <c r="AI680" i="1" s="1"/>
  <c r="AJ680" i="1" s="1"/>
  <c r="A681" i="1"/>
  <c r="AK680" i="1"/>
  <c r="AC680" i="1"/>
  <c r="G679" i="1"/>
  <c r="H679" i="1" s="1"/>
  <c r="E680" i="1"/>
  <c r="F680" i="1" s="1"/>
  <c r="D680" i="1"/>
  <c r="BC680" i="1" l="1"/>
  <c r="BD680" i="1" s="1"/>
  <c r="AE680" i="1" s="1"/>
  <c r="BF682" i="1"/>
  <c r="AC681" i="1"/>
  <c r="BB681" i="1"/>
  <c r="O350" i="1"/>
  <c r="AT351" i="1" s="1"/>
  <c r="AS351" i="1" s="1"/>
  <c r="V350" i="1"/>
  <c r="Y350" i="1"/>
  <c r="X350" i="1" s="1"/>
  <c r="AF350" i="1" s="1"/>
  <c r="AQ350" i="1"/>
  <c r="AY350" i="1"/>
  <c r="AN269" i="1"/>
  <c r="AN261" i="1"/>
  <c r="AN277" i="1"/>
  <c r="J681" i="1"/>
  <c r="L682" i="1"/>
  <c r="A702" i="7"/>
  <c r="B701" i="7"/>
  <c r="S682" i="1"/>
  <c r="Z684" i="1" s="1"/>
  <c r="K682" i="1"/>
  <c r="AU682" i="1"/>
  <c r="G680" i="1"/>
  <c r="H680" i="1" s="1"/>
  <c r="AK681" i="1"/>
  <c r="A682" i="1"/>
  <c r="AW681" i="1"/>
  <c r="AI681" i="1" s="1"/>
  <c r="AJ681" i="1" s="1"/>
  <c r="M680" i="1"/>
  <c r="B683" i="1"/>
  <c r="C682" i="1"/>
  <c r="AA682" i="1"/>
  <c r="D681" i="1"/>
  <c r="E681" i="1"/>
  <c r="F681" i="1" s="1"/>
  <c r="BC681" i="1" l="1"/>
  <c r="BD681" i="1" s="1"/>
  <c r="AE681" i="1" s="1"/>
  <c r="BF683" i="1"/>
  <c r="AC682" i="1"/>
  <c r="BB682" i="1"/>
  <c r="I351" i="1"/>
  <c r="Q351" i="1" s="1"/>
  <c r="AH350" i="1"/>
  <c r="AM351" i="1"/>
  <c r="N351" i="1"/>
  <c r="P351" i="1"/>
  <c r="BE351" i="1" s="1"/>
  <c r="AG350" i="1"/>
  <c r="AO269" i="1"/>
  <c r="AO277" i="1"/>
  <c r="AO261" i="1"/>
  <c r="J682" i="1"/>
  <c r="L683" i="1"/>
  <c r="A703" i="7"/>
  <c r="B702" i="7"/>
  <c r="S683" i="1"/>
  <c r="Z685" i="1" s="1"/>
  <c r="K683" i="1"/>
  <c r="AU683" i="1"/>
  <c r="G681" i="1"/>
  <c r="H681" i="1" s="1"/>
  <c r="M681" i="1"/>
  <c r="A683" i="1"/>
  <c r="AW682" i="1"/>
  <c r="AI682" i="1" s="1"/>
  <c r="AJ682" i="1" s="1"/>
  <c r="AK682" i="1"/>
  <c r="AA683" i="1"/>
  <c r="C683" i="1"/>
  <c r="B684" i="1"/>
  <c r="E682" i="1"/>
  <c r="F682" i="1" s="1"/>
  <c r="D682" i="1"/>
  <c r="BC682" i="1" l="1"/>
  <c r="BD682" i="1" s="1"/>
  <c r="AE682" i="1" s="1"/>
  <c r="BF684" i="1"/>
  <c r="Y351" i="1"/>
  <c r="X351" i="1" s="1"/>
  <c r="AF351" i="1" s="1"/>
  <c r="BB683" i="1"/>
  <c r="O351" i="1"/>
  <c r="AM352" i="1" s="1"/>
  <c r="V351" i="1"/>
  <c r="AQ351" i="1"/>
  <c r="AY351" i="1"/>
  <c r="BA350" i="1"/>
  <c r="AP261" i="1"/>
  <c r="AX262" i="1" s="1"/>
  <c r="AP277" i="1"/>
  <c r="AX278" i="1" s="1"/>
  <c r="AP269" i="1"/>
  <c r="AX270" i="1" s="1"/>
  <c r="J683" i="1"/>
  <c r="L684" i="1"/>
  <c r="A704" i="7"/>
  <c r="B703" i="7"/>
  <c r="S684" i="1"/>
  <c r="Z686" i="1" s="1"/>
  <c r="K684" i="1"/>
  <c r="AU684" i="1"/>
  <c r="AA684" i="1"/>
  <c r="B685" i="1"/>
  <c r="C684" i="1"/>
  <c r="AC683" i="1"/>
  <c r="AK683" i="1"/>
  <c r="A684" i="1"/>
  <c r="AW683" i="1"/>
  <c r="AI683" i="1" s="1"/>
  <c r="AJ683" i="1" s="1"/>
  <c r="D683" i="1"/>
  <c r="E683" i="1"/>
  <c r="F683" i="1" s="1"/>
  <c r="M682" i="1"/>
  <c r="G682" i="1"/>
  <c r="H682" i="1" s="1"/>
  <c r="BC683" i="1" l="1"/>
  <c r="BD683" i="1" s="1"/>
  <c r="AE683" i="1" s="1"/>
  <c r="BF685" i="1"/>
  <c r="BB684" i="1"/>
  <c r="AG351" i="1"/>
  <c r="P352" i="1"/>
  <c r="BE352" i="1" s="1"/>
  <c r="AH351" i="1"/>
  <c r="N352" i="1"/>
  <c r="AT352" i="1"/>
  <c r="AS352" i="1" s="1"/>
  <c r="I352" i="1"/>
  <c r="Q352" i="1" s="1"/>
  <c r="J684" i="1"/>
  <c r="L685" i="1"/>
  <c r="A705" i="7"/>
  <c r="B704" i="7"/>
  <c r="S685" i="1"/>
  <c r="Z687" i="1" s="1"/>
  <c r="K685" i="1"/>
  <c r="AU685" i="1"/>
  <c r="D684" i="1"/>
  <c r="E684" i="1"/>
  <c r="F684" i="1" s="1"/>
  <c r="B686" i="1"/>
  <c r="C685" i="1"/>
  <c r="AA685" i="1"/>
  <c r="AC684" i="1"/>
  <c r="G683" i="1"/>
  <c r="H683" i="1" s="1"/>
  <c r="A685" i="1"/>
  <c r="AK684" i="1"/>
  <c r="AW684" i="1"/>
  <c r="AI684" i="1" s="1"/>
  <c r="AJ684" i="1" s="1"/>
  <c r="AP684" i="1"/>
  <c r="M683" i="1"/>
  <c r="BC684" i="1" l="1"/>
  <c r="BD684" i="1" s="1"/>
  <c r="AE684" i="1" s="1"/>
  <c r="BF686" i="1"/>
  <c r="AY352" i="1"/>
  <c r="BB685" i="1"/>
  <c r="BA351" i="1"/>
  <c r="AQ352" i="1"/>
  <c r="V352" i="1"/>
  <c r="Y352" i="1"/>
  <c r="X352" i="1" s="1"/>
  <c r="O352" i="1"/>
  <c r="AM353" i="1" s="1"/>
  <c r="U270" i="1"/>
  <c r="U278" i="1"/>
  <c r="U262" i="1"/>
  <c r="J685" i="1"/>
  <c r="L686" i="1"/>
  <c r="A706" i="7"/>
  <c r="B705" i="7"/>
  <c r="S686" i="1"/>
  <c r="Z688" i="1" s="1"/>
  <c r="K686" i="1"/>
  <c r="AU686" i="1"/>
  <c r="E685" i="1"/>
  <c r="F685" i="1" s="1"/>
  <c r="D685" i="1"/>
  <c r="G684" i="1"/>
  <c r="H684" i="1" s="1"/>
  <c r="AK685" i="1"/>
  <c r="A686" i="1"/>
  <c r="AW685" i="1"/>
  <c r="AI685" i="1" s="1"/>
  <c r="AJ685" i="1" s="1"/>
  <c r="M684" i="1"/>
  <c r="AC685" i="1"/>
  <c r="C686" i="1"/>
  <c r="B687" i="1"/>
  <c r="AA686" i="1"/>
  <c r="BC685" i="1" l="1"/>
  <c r="BD685" i="1" s="1"/>
  <c r="AE685" i="1" s="1"/>
  <c r="BF687" i="1"/>
  <c r="BB686" i="1"/>
  <c r="AF352" i="1"/>
  <c r="AG352" i="1" s="1"/>
  <c r="AT353" i="1"/>
  <c r="AS353" i="1" s="1"/>
  <c r="P353" i="1"/>
  <c r="BE353" i="1" s="1"/>
  <c r="N353" i="1"/>
  <c r="I353" i="1"/>
  <c r="Q353" i="1" s="1"/>
  <c r="AL278" i="1"/>
  <c r="AL262" i="1"/>
  <c r="AL270" i="1"/>
  <c r="J686" i="1"/>
  <c r="L687" i="1"/>
  <c r="A707" i="7"/>
  <c r="B706" i="7"/>
  <c r="S687" i="1"/>
  <c r="Z689" i="1" s="1"/>
  <c r="K687" i="1"/>
  <c r="AU687" i="1"/>
  <c r="AA687" i="1"/>
  <c r="B688" i="1"/>
  <c r="C687" i="1"/>
  <c r="A687" i="1"/>
  <c r="AW686" i="1"/>
  <c r="AI686" i="1" s="1"/>
  <c r="AJ686" i="1" s="1"/>
  <c r="AK686" i="1"/>
  <c r="AC686" i="1"/>
  <c r="D686" i="1"/>
  <c r="E686" i="1"/>
  <c r="F686" i="1" s="1"/>
  <c r="M685" i="1"/>
  <c r="G685" i="1"/>
  <c r="H685" i="1" s="1"/>
  <c r="BC686" i="1" l="1"/>
  <c r="BD686" i="1" s="1"/>
  <c r="AE686" i="1" s="1"/>
  <c r="BF688" i="1"/>
  <c r="Y353" i="1"/>
  <c r="X353" i="1" s="1"/>
  <c r="AF353" i="1" s="1"/>
  <c r="AG353" i="1" s="1"/>
  <c r="BB687" i="1"/>
  <c r="BA352" i="1"/>
  <c r="AH352" i="1"/>
  <c r="O353" i="1"/>
  <c r="AT354" i="1" s="1"/>
  <c r="AS354" i="1" s="1"/>
  <c r="AQ353" i="1"/>
  <c r="V353" i="1"/>
  <c r="AY353" i="1"/>
  <c r="AN270" i="1"/>
  <c r="AN278" i="1"/>
  <c r="AN262" i="1"/>
  <c r="J687" i="1"/>
  <c r="L688" i="1"/>
  <c r="A708" i="7"/>
  <c r="B707" i="7"/>
  <c r="S688" i="1"/>
  <c r="Z690" i="1" s="1"/>
  <c r="K688" i="1"/>
  <c r="AU688" i="1"/>
  <c r="M686" i="1"/>
  <c r="AA688" i="1"/>
  <c r="B689" i="1"/>
  <c r="C688" i="1"/>
  <c r="D687" i="1"/>
  <c r="E687" i="1"/>
  <c r="F687" i="1" s="1"/>
  <c r="G686" i="1"/>
  <c r="H686" i="1" s="1"/>
  <c r="AW687" i="1"/>
  <c r="AI687" i="1" s="1"/>
  <c r="AJ687" i="1" s="1"/>
  <c r="A688" i="1"/>
  <c r="AK687" i="1"/>
  <c r="AC687" i="1"/>
  <c r="BC687" i="1" l="1"/>
  <c r="BD687" i="1" s="1"/>
  <c r="AE687" i="1" s="1"/>
  <c r="BF689" i="1"/>
  <c r="BB688" i="1"/>
  <c r="P354" i="1"/>
  <c r="BE354" i="1" s="1"/>
  <c r="AH353" i="1"/>
  <c r="I354" i="1"/>
  <c r="Q354" i="1" s="1"/>
  <c r="AM354" i="1"/>
  <c r="N354" i="1"/>
  <c r="AO278" i="1"/>
  <c r="AO270" i="1"/>
  <c r="AO262" i="1"/>
  <c r="BA353" i="1"/>
  <c r="J688" i="1"/>
  <c r="L689" i="1"/>
  <c r="A709" i="7"/>
  <c r="B708" i="7"/>
  <c r="S689" i="1"/>
  <c r="Z691" i="1" s="1"/>
  <c r="K689" i="1"/>
  <c r="AU689" i="1"/>
  <c r="AA689" i="1"/>
  <c r="B690" i="1"/>
  <c r="C689" i="1"/>
  <c r="AC688" i="1"/>
  <c r="D688" i="1"/>
  <c r="E688" i="1"/>
  <c r="F688" i="1" s="1"/>
  <c r="AK688" i="1"/>
  <c r="AW688" i="1"/>
  <c r="AI688" i="1" s="1"/>
  <c r="AJ688" i="1" s="1"/>
  <c r="A689" i="1"/>
  <c r="G687" i="1"/>
  <c r="H687" i="1" s="1"/>
  <c r="M687" i="1"/>
  <c r="BC688" i="1" l="1"/>
  <c r="BD688" i="1" s="1"/>
  <c r="AE688" i="1" s="1"/>
  <c r="BF690" i="1"/>
  <c r="AY354" i="1"/>
  <c r="BB689" i="1"/>
  <c r="Y354" i="1"/>
  <c r="X354" i="1" s="1"/>
  <c r="V354" i="1"/>
  <c r="AQ354" i="1"/>
  <c r="O354" i="1"/>
  <c r="AM355" i="1" s="1"/>
  <c r="AP262" i="1"/>
  <c r="AX263" i="1" s="1"/>
  <c r="AP270" i="1"/>
  <c r="AX271" i="1" s="1"/>
  <c r="AP278" i="1"/>
  <c r="AX279" i="1" s="1"/>
  <c r="J689" i="1"/>
  <c r="L690" i="1"/>
  <c r="A710" i="7"/>
  <c r="B709" i="7"/>
  <c r="S690" i="1"/>
  <c r="Z692" i="1" s="1"/>
  <c r="K690" i="1"/>
  <c r="AU690" i="1"/>
  <c r="G688" i="1"/>
  <c r="H688" i="1" s="1"/>
  <c r="E689" i="1"/>
  <c r="F689" i="1" s="1"/>
  <c r="D689" i="1"/>
  <c r="AC689" i="1"/>
  <c r="A690" i="1"/>
  <c r="AW689" i="1"/>
  <c r="AI689" i="1" s="1"/>
  <c r="AJ689" i="1" s="1"/>
  <c r="AK689" i="1"/>
  <c r="B691" i="1"/>
  <c r="C690" i="1"/>
  <c r="AA690" i="1"/>
  <c r="M688" i="1"/>
  <c r="BC689" i="1" l="1"/>
  <c r="BD689" i="1" s="1"/>
  <c r="AE689" i="1" s="1"/>
  <c r="BF691" i="1"/>
  <c r="BB690" i="1"/>
  <c r="AF354" i="1"/>
  <c r="AG354" i="1" s="1"/>
  <c r="I355" i="1"/>
  <c r="Q355" i="1" s="1"/>
  <c r="AT355" i="1"/>
  <c r="AS355" i="1" s="1"/>
  <c r="N355" i="1"/>
  <c r="P355" i="1"/>
  <c r="BE355" i="1" s="1"/>
  <c r="J690" i="1"/>
  <c r="L691" i="1"/>
  <c r="A711" i="7"/>
  <c r="B710" i="7"/>
  <c r="S691" i="1"/>
  <c r="Z693" i="1" s="1"/>
  <c r="K691" i="1"/>
  <c r="AU691" i="1"/>
  <c r="AW690" i="1"/>
  <c r="AI690" i="1" s="1"/>
  <c r="AJ690" i="1" s="1"/>
  <c r="A691" i="1"/>
  <c r="AK690" i="1"/>
  <c r="G689" i="1"/>
  <c r="H689" i="1" s="1"/>
  <c r="D690" i="1"/>
  <c r="E690" i="1"/>
  <c r="F690" i="1" s="1"/>
  <c r="M689" i="1"/>
  <c r="AC690" i="1"/>
  <c r="B692" i="1"/>
  <c r="C691" i="1"/>
  <c r="AA691" i="1"/>
  <c r="BC690" i="1" l="1"/>
  <c r="BD690" i="1" s="1"/>
  <c r="AE690" i="1" s="1"/>
  <c r="BF692" i="1"/>
  <c r="BB691" i="1"/>
  <c r="BA354" i="1"/>
  <c r="AH354" i="1"/>
  <c r="O355" i="1"/>
  <c r="AM356" i="1" s="1"/>
  <c r="AQ355" i="1"/>
  <c r="V355" i="1"/>
  <c r="AY355" i="1"/>
  <c r="Y355" i="1"/>
  <c r="X355" i="1" s="1"/>
  <c r="AF355" i="1" s="1"/>
  <c r="U263" i="1"/>
  <c r="U279" i="1"/>
  <c r="U271" i="1"/>
  <c r="J691" i="1"/>
  <c r="L692" i="1"/>
  <c r="A712" i="7"/>
  <c r="B711" i="7"/>
  <c r="S692" i="1"/>
  <c r="Z694" i="1" s="1"/>
  <c r="K692" i="1"/>
  <c r="AU692" i="1"/>
  <c r="A692" i="1"/>
  <c r="AK691" i="1"/>
  <c r="AW691" i="1"/>
  <c r="AI691" i="1" s="1"/>
  <c r="AJ691" i="1" s="1"/>
  <c r="M690" i="1"/>
  <c r="D691" i="1"/>
  <c r="E691" i="1"/>
  <c r="F691" i="1" s="1"/>
  <c r="AC691" i="1"/>
  <c r="C692" i="1"/>
  <c r="AA692" i="1"/>
  <c r="B693" i="1"/>
  <c r="G690" i="1"/>
  <c r="H690" i="1" s="1"/>
  <c r="BC691" i="1" l="1"/>
  <c r="BD691" i="1" s="1"/>
  <c r="AE691" i="1" s="1"/>
  <c r="BF693" i="1"/>
  <c r="BB692" i="1"/>
  <c r="N356" i="1"/>
  <c r="AH355" i="1"/>
  <c r="P356" i="1"/>
  <c r="BE356" i="1" s="1"/>
  <c r="AT356" i="1"/>
  <c r="AS356" i="1" s="1"/>
  <c r="I356" i="1"/>
  <c r="Q356" i="1" s="1"/>
  <c r="AG355" i="1"/>
  <c r="AL279" i="1"/>
  <c r="AL263" i="1"/>
  <c r="AL271" i="1"/>
  <c r="J692" i="1"/>
  <c r="L693" i="1"/>
  <c r="A713" i="7"/>
  <c r="B712" i="7"/>
  <c r="S693" i="1"/>
  <c r="Z695" i="1" s="1"/>
  <c r="K693" i="1"/>
  <c r="AU693" i="1"/>
  <c r="AC692" i="1"/>
  <c r="G691" i="1"/>
  <c r="H691" i="1" s="1"/>
  <c r="AW692" i="1"/>
  <c r="AI692" i="1" s="1"/>
  <c r="AJ692" i="1" s="1"/>
  <c r="AK692" i="1"/>
  <c r="A693" i="1"/>
  <c r="D692" i="1"/>
  <c r="E692" i="1"/>
  <c r="F692" i="1" s="1"/>
  <c r="M691" i="1"/>
  <c r="B694" i="1"/>
  <c r="C693" i="1"/>
  <c r="AA693" i="1"/>
  <c r="BC692" i="1" l="1"/>
  <c r="BD692" i="1" s="1"/>
  <c r="AE692" i="1" s="1"/>
  <c r="BF694" i="1"/>
  <c r="V356" i="1"/>
  <c r="BB693" i="1"/>
  <c r="AY356" i="1"/>
  <c r="Y356" i="1"/>
  <c r="X356" i="1" s="1"/>
  <c r="AQ356" i="1"/>
  <c r="BA355" i="1"/>
  <c r="O356" i="1"/>
  <c r="AN271" i="1"/>
  <c r="AN279" i="1"/>
  <c r="AN263" i="1"/>
  <c r="J693" i="1"/>
  <c r="L694" i="1"/>
  <c r="A714" i="7"/>
  <c r="B713" i="7"/>
  <c r="S694" i="1"/>
  <c r="Z696" i="1" s="1"/>
  <c r="K694" i="1"/>
  <c r="AU694" i="1"/>
  <c r="AC693" i="1"/>
  <c r="D693" i="1"/>
  <c r="E693" i="1"/>
  <c r="F693" i="1" s="1"/>
  <c r="B695" i="1"/>
  <c r="C694" i="1"/>
  <c r="AA694" i="1"/>
  <c r="AK693" i="1"/>
  <c r="A694" i="1"/>
  <c r="AW693" i="1"/>
  <c r="AI693" i="1" s="1"/>
  <c r="AJ693" i="1" s="1"/>
  <c r="M692" i="1"/>
  <c r="G692" i="1"/>
  <c r="H692" i="1" s="1"/>
  <c r="BC693" i="1" l="1"/>
  <c r="BD693" i="1" s="1"/>
  <c r="AE693" i="1" s="1"/>
  <c r="BF695" i="1"/>
  <c r="BB694" i="1"/>
  <c r="AF356" i="1"/>
  <c r="AG356" i="1" s="1"/>
  <c r="P357" i="1"/>
  <c r="BE357" i="1" s="1"/>
  <c r="AM357" i="1"/>
  <c r="N357" i="1"/>
  <c r="I357" i="1"/>
  <c r="Q357" i="1" s="1"/>
  <c r="AT357" i="1"/>
  <c r="AS357" i="1" s="1"/>
  <c r="AO263" i="1"/>
  <c r="AO271" i="1"/>
  <c r="AO279" i="1"/>
  <c r="J694" i="1"/>
  <c r="L695" i="1"/>
  <c r="A715" i="7"/>
  <c r="B714" i="7"/>
  <c r="S695" i="1"/>
  <c r="Z697" i="1" s="1"/>
  <c r="K695" i="1"/>
  <c r="AU695" i="1"/>
  <c r="AK694" i="1"/>
  <c r="A695" i="1"/>
  <c r="AW694" i="1"/>
  <c r="AI694" i="1" s="1"/>
  <c r="AJ694" i="1" s="1"/>
  <c r="M693" i="1"/>
  <c r="AC694" i="1"/>
  <c r="D694" i="1"/>
  <c r="E694" i="1"/>
  <c r="F694" i="1" s="1"/>
  <c r="G693" i="1"/>
  <c r="H693" i="1" s="1"/>
  <c r="C695" i="1"/>
  <c r="B696" i="1"/>
  <c r="AA695" i="1"/>
  <c r="BC694" i="1" l="1"/>
  <c r="BD694" i="1" s="1"/>
  <c r="AE694" i="1" s="1"/>
  <c r="BF696" i="1"/>
  <c r="AQ357" i="1"/>
  <c r="BB695" i="1"/>
  <c r="AH356" i="1"/>
  <c r="BA356" i="1"/>
  <c r="O357" i="1"/>
  <c r="V357" i="1"/>
  <c r="Y357" i="1"/>
  <c r="X357" i="1" s="1"/>
  <c r="AF357" i="1" s="1"/>
  <c r="AY357" i="1"/>
  <c r="AP263" i="1"/>
  <c r="AX264" i="1" s="1"/>
  <c r="AP279" i="1"/>
  <c r="AX280" i="1" s="1"/>
  <c r="AP271" i="1"/>
  <c r="AX272" i="1" s="1"/>
  <c r="J695" i="1"/>
  <c r="L696" i="1"/>
  <c r="A716" i="7"/>
  <c r="B715" i="7"/>
  <c r="S696" i="1"/>
  <c r="Z698" i="1" s="1"/>
  <c r="K696" i="1"/>
  <c r="AU696" i="1"/>
  <c r="AW695" i="1"/>
  <c r="AI695" i="1" s="1"/>
  <c r="AJ695" i="1" s="1"/>
  <c r="A696" i="1"/>
  <c r="AK695" i="1"/>
  <c r="G694" i="1"/>
  <c r="H694" i="1" s="1"/>
  <c r="E695" i="1"/>
  <c r="F695" i="1" s="1"/>
  <c r="D695" i="1"/>
  <c r="M694" i="1"/>
  <c r="AC695" i="1"/>
  <c r="AA696" i="1"/>
  <c r="B697" i="1"/>
  <c r="C696" i="1"/>
  <c r="BC695" i="1" l="1"/>
  <c r="BD695" i="1" s="1"/>
  <c r="AE695" i="1" s="1"/>
  <c r="BF697" i="1"/>
  <c r="BB696" i="1"/>
  <c r="I358" i="1"/>
  <c r="Q358" i="1" s="1"/>
  <c r="P358" i="1"/>
  <c r="BE358" i="1" s="1"/>
  <c r="N358" i="1"/>
  <c r="AM358" i="1"/>
  <c r="AT358" i="1"/>
  <c r="AS358" i="1" s="1"/>
  <c r="AG357" i="1"/>
  <c r="AH357" i="1"/>
  <c r="J696" i="1"/>
  <c r="L697" i="1"/>
  <c r="A717" i="7"/>
  <c r="B716" i="7"/>
  <c r="S697" i="1"/>
  <c r="Z699" i="1" s="1"/>
  <c r="K697" i="1"/>
  <c r="AU697" i="1"/>
  <c r="G695" i="1"/>
  <c r="H695" i="1" s="1"/>
  <c r="C697" i="1"/>
  <c r="AA697" i="1"/>
  <c r="B698" i="1"/>
  <c r="AK696" i="1"/>
  <c r="A697" i="1"/>
  <c r="AW696" i="1"/>
  <c r="AI696" i="1" s="1"/>
  <c r="AJ696" i="1" s="1"/>
  <c r="AP696" i="1"/>
  <c r="D696" i="1"/>
  <c r="E696" i="1"/>
  <c r="F696" i="1" s="1"/>
  <c r="AC696" i="1"/>
  <c r="M695" i="1"/>
  <c r="BC696" i="1" l="1"/>
  <c r="BD696" i="1" s="1"/>
  <c r="AE696" i="1" s="1"/>
  <c r="BF698" i="1"/>
  <c r="BB697" i="1"/>
  <c r="O358" i="1"/>
  <c r="P359" i="1" s="1"/>
  <c r="BE359" i="1" s="1"/>
  <c r="V358" i="1"/>
  <c r="Y358" i="1"/>
  <c r="X358" i="1" s="1"/>
  <c r="AF358" i="1" s="1"/>
  <c r="AQ358" i="1"/>
  <c r="AY358" i="1"/>
  <c r="BA357" i="1"/>
  <c r="U280" i="1"/>
  <c r="U272" i="1"/>
  <c r="U264" i="1"/>
  <c r="J697" i="1"/>
  <c r="L698" i="1"/>
  <c r="A718" i="7"/>
  <c r="B717" i="7"/>
  <c r="S698" i="1"/>
  <c r="Z700" i="1" s="1"/>
  <c r="K698" i="1"/>
  <c r="AU698" i="1"/>
  <c r="AK697" i="1"/>
  <c r="A698" i="1"/>
  <c r="AW697" i="1"/>
  <c r="AI697" i="1" s="1"/>
  <c r="AJ697" i="1" s="1"/>
  <c r="M696" i="1"/>
  <c r="G696" i="1"/>
  <c r="H696" i="1" s="1"/>
  <c r="B699" i="1"/>
  <c r="AA698" i="1"/>
  <c r="C698" i="1"/>
  <c r="AC697" i="1"/>
  <c r="D697" i="1"/>
  <c r="E697" i="1"/>
  <c r="F697" i="1" s="1"/>
  <c r="BC697" i="1" l="1"/>
  <c r="BD697" i="1" s="1"/>
  <c r="AE697" i="1" s="1"/>
  <c r="BF699" i="1"/>
  <c r="BB698" i="1"/>
  <c r="N359" i="1"/>
  <c r="I359" i="1"/>
  <c r="Q359" i="1" s="1"/>
  <c r="AT359" i="1"/>
  <c r="AS359" i="1" s="1"/>
  <c r="AQ359" i="1" s="1"/>
  <c r="AM359" i="1"/>
  <c r="AH358" i="1"/>
  <c r="Y359" i="1"/>
  <c r="X359" i="1" s="1"/>
  <c r="AF359" i="1" s="1"/>
  <c r="AY359" i="1"/>
  <c r="V359" i="1"/>
  <c r="AL272" i="1"/>
  <c r="AL264" i="1"/>
  <c r="AL280" i="1"/>
  <c r="J698" i="1"/>
  <c r="L699" i="1"/>
  <c r="A719" i="7"/>
  <c r="B718" i="7"/>
  <c r="S699" i="1"/>
  <c r="Z701" i="1" s="1"/>
  <c r="K699" i="1"/>
  <c r="AU699" i="1"/>
  <c r="M697" i="1"/>
  <c r="G697" i="1"/>
  <c r="H697" i="1" s="1"/>
  <c r="AC698" i="1"/>
  <c r="B700" i="1"/>
  <c r="C699" i="1"/>
  <c r="AA699" i="1"/>
  <c r="A699" i="1"/>
  <c r="AW698" i="1"/>
  <c r="AI698" i="1" s="1"/>
  <c r="AJ698" i="1" s="1"/>
  <c r="AK698" i="1"/>
  <c r="E698" i="1"/>
  <c r="F698" i="1" s="1"/>
  <c r="D698" i="1"/>
  <c r="BC698" i="1" l="1"/>
  <c r="BD698" i="1" s="1"/>
  <c r="AE698" i="1" s="1"/>
  <c r="BF700" i="1"/>
  <c r="BB699" i="1"/>
  <c r="O359" i="1"/>
  <c r="AM360" i="1" s="1"/>
  <c r="AG358" i="1"/>
  <c r="AG359" i="1"/>
  <c r="BA359" i="1" s="1"/>
  <c r="AN280" i="1"/>
  <c r="AN272" i="1"/>
  <c r="AN264" i="1"/>
  <c r="J699" i="1"/>
  <c r="L700" i="1"/>
  <c r="A720" i="7"/>
  <c r="B719" i="7"/>
  <c r="S700" i="1"/>
  <c r="Z702" i="1" s="1"/>
  <c r="K700" i="1"/>
  <c r="AU700" i="1"/>
  <c r="G698" i="1"/>
  <c r="H698" i="1" s="1"/>
  <c r="AK699" i="1"/>
  <c r="AW699" i="1"/>
  <c r="AI699" i="1" s="1"/>
  <c r="AJ699" i="1" s="1"/>
  <c r="A700" i="1"/>
  <c r="M698" i="1"/>
  <c r="D699" i="1"/>
  <c r="E699" i="1"/>
  <c r="F699" i="1" s="1"/>
  <c r="AC699" i="1"/>
  <c r="AA700" i="1"/>
  <c r="B701" i="1"/>
  <c r="C700" i="1"/>
  <c r="BC699" i="1" l="1"/>
  <c r="BD699" i="1" s="1"/>
  <c r="AE699" i="1" s="1"/>
  <c r="BF701" i="1"/>
  <c r="BB700" i="1"/>
  <c r="N360" i="1"/>
  <c r="BA358" i="1"/>
  <c r="AT360" i="1"/>
  <c r="AS360" i="1" s="1"/>
  <c r="I360" i="1"/>
  <c r="Q360" i="1" s="1"/>
  <c r="P360" i="1"/>
  <c r="BE360" i="1" s="1"/>
  <c r="AH359" i="1"/>
  <c r="AO272" i="1"/>
  <c r="AO280" i="1"/>
  <c r="AO264" i="1"/>
  <c r="J700" i="1"/>
  <c r="L701" i="1"/>
  <c r="A721" i="7"/>
  <c r="B720" i="7"/>
  <c r="S701" i="1"/>
  <c r="Z703" i="1" s="1"/>
  <c r="K701" i="1"/>
  <c r="AU701" i="1"/>
  <c r="AC700" i="1"/>
  <c r="D700" i="1"/>
  <c r="E700" i="1"/>
  <c r="F700" i="1" s="1"/>
  <c r="AW700" i="1"/>
  <c r="AI700" i="1" s="1"/>
  <c r="AJ700" i="1" s="1"/>
  <c r="AK700" i="1"/>
  <c r="A701" i="1"/>
  <c r="B702" i="1"/>
  <c r="C701" i="1"/>
  <c r="AA701" i="1"/>
  <c r="M699" i="1"/>
  <c r="G699" i="1"/>
  <c r="H699" i="1" s="1"/>
  <c r="BC700" i="1" l="1"/>
  <c r="BD700" i="1" s="1"/>
  <c r="AE700" i="1" s="1"/>
  <c r="BF702" i="1"/>
  <c r="V360" i="1"/>
  <c r="BB701" i="1"/>
  <c r="AQ360" i="1"/>
  <c r="O360" i="1"/>
  <c r="P361" i="1" s="1"/>
  <c r="BE361" i="1" s="1"/>
  <c r="Y360" i="1"/>
  <c r="X360" i="1" s="1"/>
  <c r="AY360" i="1"/>
  <c r="AP272" i="1"/>
  <c r="AX273" i="1" s="1"/>
  <c r="AP280" i="1"/>
  <c r="AX281" i="1" s="1"/>
  <c r="J701" i="1"/>
  <c r="L702" i="1"/>
  <c r="A722" i="7"/>
  <c r="B721" i="7"/>
  <c r="S702" i="1"/>
  <c r="Z704" i="1" s="1"/>
  <c r="K702" i="1"/>
  <c r="AU702" i="1"/>
  <c r="AC701" i="1"/>
  <c r="D701" i="1"/>
  <c r="E701" i="1"/>
  <c r="F701" i="1" s="1"/>
  <c r="A702" i="1"/>
  <c r="AW701" i="1"/>
  <c r="AI701" i="1" s="1"/>
  <c r="AJ701" i="1" s="1"/>
  <c r="AK701" i="1"/>
  <c r="M700" i="1"/>
  <c r="B703" i="1"/>
  <c r="AA702" i="1"/>
  <c r="C702" i="1"/>
  <c r="G700" i="1"/>
  <c r="H700" i="1" s="1"/>
  <c r="BC701" i="1" l="1"/>
  <c r="BD701" i="1" s="1"/>
  <c r="AE701" i="1" s="1"/>
  <c r="BF703" i="1"/>
  <c r="Y361" i="1"/>
  <c r="X361" i="1" s="1"/>
  <c r="AF361" i="1" s="1"/>
  <c r="BB702" i="1"/>
  <c r="AF360" i="1"/>
  <c r="AM361" i="1"/>
  <c r="N361" i="1"/>
  <c r="AT361" i="1"/>
  <c r="AS361" i="1" s="1"/>
  <c r="AQ361" i="1" s="1"/>
  <c r="V361" i="1"/>
  <c r="I361" i="1"/>
  <c r="Q361" i="1" s="1"/>
  <c r="AY361" i="1"/>
  <c r="J702" i="1"/>
  <c r="L703" i="1"/>
  <c r="A723" i="7"/>
  <c r="B722" i="7"/>
  <c r="S703" i="1"/>
  <c r="Z705" i="1" s="1"/>
  <c r="K703" i="1"/>
  <c r="AU703" i="1"/>
  <c r="B704" i="1"/>
  <c r="AA703" i="1"/>
  <c r="C703" i="1"/>
  <c r="AC702" i="1"/>
  <c r="D702" i="1"/>
  <c r="E702" i="1"/>
  <c r="F702" i="1" s="1"/>
  <c r="AK702" i="1"/>
  <c r="A703" i="1"/>
  <c r="AW702" i="1"/>
  <c r="AI702" i="1" s="1"/>
  <c r="AJ702" i="1" s="1"/>
  <c r="M701" i="1"/>
  <c r="G701" i="1"/>
  <c r="H701" i="1" s="1"/>
  <c r="BC702" i="1" l="1"/>
  <c r="BD702" i="1" s="1"/>
  <c r="AE702" i="1" s="1"/>
  <c r="BF704" i="1"/>
  <c r="BB703" i="1"/>
  <c r="AH360" i="1"/>
  <c r="AG360" i="1"/>
  <c r="O361" i="1"/>
  <c r="AM362" i="1" s="1"/>
  <c r="AG361" i="1"/>
  <c r="BA361" i="1" s="1"/>
  <c r="U281" i="1"/>
  <c r="U273" i="1"/>
  <c r="J703" i="1"/>
  <c r="L704" i="1"/>
  <c r="A724" i="7"/>
  <c r="B723" i="7"/>
  <c r="S704" i="1"/>
  <c r="Z706" i="1" s="1"/>
  <c r="K704" i="1"/>
  <c r="AU704" i="1"/>
  <c r="G702" i="1"/>
  <c r="H702" i="1" s="1"/>
  <c r="M702" i="1"/>
  <c r="AK703" i="1"/>
  <c r="AW703" i="1"/>
  <c r="AI703" i="1" s="1"/>
  <c r="AJ703" i="1" s="1"/>
  <c r="A704" i="1"/>
  <c r="B705" i="1"/>
  <c r="AA704" i="1"/>
  <c r="C704" i="1"/>
  <c r="D703" i="1"/>
  <c r="E703" i="1"/>
  <c r="F703" i="1" s="1"/>
  <c r="AC703" i="1"/>
  <c r="U289" i="1"/>
  <c r="BC703" i="1" l="1"/>
  <c r="BD703" i="1" s="1"/>
  <c r="AE703" i="1" s="1"/>
  <c r="BF705" i="1"/>
  <c r="AX361" i="1"/>
  <c r="BA360" i="1"/>
  <c r="BB704" i="1"/>
  <c r="AT362" i="1"/>
  <c r="AS362" i="1" s="1"/>
  <c r="N362" i="1"/>
  <c r="P362" i="1"/>
  <c r="BE362" i="1" s="1"/>
  <c r="I362" i="1"/>
  <c r="Q362" i="1" s="1"/>
  <c r="AH361" i="1"/>
  <c r="AL273" i="1"/>
  <c r="AL281" i="1"/>
  <c r="AL289" i="1"/>
  <c r="J704" i="1"/>
  <c r="L705" i="1"/>
  <c r="A725" i="7"/>
  <c r="B724" i="7"/>
  <c r="S705" i="1"/>
  <c r="Z707" i="1" s="1"/>
  <c r="K705" i="1"/>
  <c r="AU705" i="1"/>
  <c r="AK704" i="1"/>
  <c r="AW704" i="1"/>
  <c r="AI704" i="1" s="1"/>
  <c r="AJ704" i="1" s="1"/>
  <c r="A705" i="1"/>
  <c r="AC704" i="1"/>
  <c r="M703" i="1"/>
  <c r="C705" i="1"/>
  <c r="B706" i="1"/>
  <c r="AA705" i="1"/>
  <c r="E704" i="1"/>
  <c r="F704" i="1" s="1"/>
  <c r="D704" i="1"/>
  <c r="G703" i="1"/>
  <c r="H703" i="1" s="1"/>
  <c r="BC704" i="1" l="1"/>
  <c r="BD704" i="1" s="1"/>
  <c r="AE704" i="1" s="1"/>
  <c r="BF706" i="1"/>
  <c r="BB705" i="1"/>
  <c r="V362" i="1"/>
  <c r="AY362" i="1"/>
  <c r="AQ362" i="1"/>
  <c r="Y362" i="1"/>
  <c r="X362" i="1" s="1"/>
  <c r="O362" i="1"/>
  <c r="N363" i="1" s="1"/>
  <c r="AN289" i="1"/>
  <c r="AN273" i="1"/>
  <c r="AN281" i="1"/>
  <c r="J705" i="1"/>
  <c r="L706" i="1"/>
  <c r="A726" i="7"/>
  <c r="B725" i="7"/>
  <c r="S706" i="1"/>
  <c r="Z708" i="1" s="1"/>
  <c r="K706" i="1"/>
  <c r="AU706" i="1"/>
  <c r="G704" i="1"/>
  <c r="H704" i="1" s="1"/>
  <c r="B707" i="1"/>
  <c r="AA706" i="1"/>
  <c r="C706" i="1"/>
  <c r="A706" i="1"/>
  <c r="AW705" i="1"/>
  <c r="AI705" i="1" s="1"/>
  <c r="AJ705" i="1" s="1"/>
  <c r="AK705" i="1"/>
  <c r="AC705" i="1"/>
  <c r="M704" i="1"/>
  <c r="D705" i="1"/>
  <c r="E705" i="1"/>
  <c r="F705" i="1" s="1"/>
  <c r="BC705" i="1" l="1"/>
  <c r="BD705" i="1" s="1"/>
  <c r="AE705" i="1" s="1"/>
  <c r="BF707" i="1"/>
  <c r="BB706" i="1"/>
  <c r="AF362" i="1"/>
  <c r="AG362" i="1" s="1"/>
  <c r="P363" i="1"/>
  <c r="BE363" i="1" s="1"/>
  <c r="AT363" i="1"/>
  <c r="AS363" i="1" s="1"/>
  <c r="I363" i="1"/>
  <c r="Q363" i="1" s="1"/>
  <c r="AM363" i="1"/>
  <c r="AO289" i="1"/>
  <c r="AO281" i="1"/>
  <c r="AO273" i="1"/>
  <c r="J706" i="1"/>
  <c r="L707" i="1"/>
  <c r="A727" i="7"/>
  <c r="B726" i="7"/>
  <c r="S707" i="1"/>
  <c r="Z709" i="1" s="1"/>
  <c r="K707" i="1"/>
  <c r="AU707" i="1"/>
  <c r="AC706" i="1"/>
  <c r="M705" i="1"/>
  <c r="A707" i="1"/>
  <c r="AW706" i="1"/>
  <c r="AI706" i="1" s="1"/>
  <c r="AJ706" i="1" s="1"/>
  <c r="AK706" i="1"/>
  <c r="B708" i="1"/>
  <c r="AA707" i="1"/>
  <c r="C707" i="1"/>
  <c r="G705" i="1"/>
  <c r="H705" i="1" s="1"/>
  <c r="D706" i="1"/>
  <c r="E706" i="1"/>
  <c r="F706" i="1" s="1"/>
  <c r="BC706" i="1" l="1"/>
  <c r="BD706" i="1" s="1"/>
  <c r="AE706" i="1" s="1"/>
  <c r="BF708" i="1"/>
  <c r="Y363" i="1"/>
  <c r="X363" i="1" s="1"/>
  <c r="AF363" i="1" s="1"/>
  <c r="O363" i="1"/>
  <c r="N364" i="1" s="1"/>
  <c r="BB707" i="1"/>
  <c r="AH362" i="1"/>
  <c r="AC707" i="1"/>
  <c r="BA362" i="1"/>
  <c r="V363" i="1"/>
  <c r="AQ363" i="1"/>
  <c r="AY363" i="1"/>
  <c r="AP289" i="1"/>
  <c r="AX290" i="1" s="1"/>
  <c r="AP273" i="1"/>
  <c r="AX274" i="1" s="1"/>
  <c r="AP281" i="1"/>
  <c r="AX282" i="1" s="1"/>
  <c r="J707" i="1"/>
  <c r="L708" i="1"/>
  <c r="A728" i="7"/>
  <c r="B727" i="7"/>
  <c r="S708" i="1"/>
  <c r="Z710" i="1" s="1"/>
  <c r="K708" i="1"/>
  <c r="AU708" i="1"/>
  <c r="G706" i="1"/>
  <c r="H706" i="1" s="1"/>
  <c r="E707" i="1"/>
  <c r="F707" i="1" s="1"/>
  <c r="D707" i="1"/>
  <c r="M706" i="1"/>
  <c r="C708" i="1"/>
  <c r="AA708" i="1"/>
  <c r="B709" i="1"/>
  <c r="AK707" i="1"/>
  <c r="AW707" i="1"/>
  <c r="AI707" i="1" s="1"/>
  <c r="AJ707" i="1" s="1"/>
  <c r="A708" i="1"/>
  <c r="BC707" i="1" l="1"/>
  <c r="BD707" i="1" s="1"/>
  <c r="AE707" i="1" s="1"/>
  <c r="BF709" i="1"/>
  <c r="AG363" i="1"/>
  <c r="AH363" i="1"/>
  <c r="AM364" i="1"/>
  <c r="P364" i="1"/>
  <c r="BE364" i="1" s="1"/>
  <c r="AT364" i="1"/>
  <c r="AS364" i="1" s="1"/>
  <c r="I364" i="1"/>
  <c r="Q364" i="1" s="1"/>
  <c r="AC708" i="1"/>
  <c r="BB708" i="1"/>
  <c r="J708" i="1"/>
  <c r="L709" i="1"/>
  <c r="A729" i="7"/>
  <c r="B728" i="7"/>
  <c r="S709" i="1"/>
  <c r="Z711" i="1" s="1"/>
  <c r="K709" i="1"/>
  <c r="AU709" i="1"/>
  <c r="G707" i="1"/>
  <c r="H707" i="1" s="1"/>
  <c r="M707" i="1"/>
  <c r="E708" i="1"/>
  <c r="F708" i="1" s="1"/>
  <c r="D708" i="1"/>
  <c r="B710" i="1"/>
  <c r="C709" i="1"/>
  <c r="AA709" i="1"/>
  <c r="AW708" i="1"/>
  <c r="AI708" i="1" s="1"/>
  <c r="AJ708" i="1" s="1"/>
  <c r="AP708" i="1"/>
  <c r="AK708" i="1"/>
  <c r="A709" i="1"/>
  <c r="BC708" i="1" l="1"/>
  <c r="BD708" i="1" s="1"/>
  <c r="AE708" i="1" s="1"/>
  <c r="BF710" i="1"/>
  <c r="O364" i="1"/>
  <c r="AM365" i="1" s="1"/>
  <c r="BA363" i="1"/>
  <c r="V364" i="1"/>
  <c r="Y364" i="1"/>
  <c r="X364" i="1" s="1"/>
  <c r="AF364" i="1" s="1"/>
  <c r="AY364" i="1"/>
  <c r="AQ364" i="1"/>
  <c r="BB709" i="1"/>
  <c r="U282" i="1"/>
  <c r="U274" i="1"/>
  <c r="U290" i="1"/>
  <c r="J709" i="1"/>
  <c r="L710" i="1"/>
  <c r="A730" i="7"/>
  <c r="B729" i="7"/>
  <c r="S710" i="1"/>
  <c r="Z712" i="1" s="1"/>
  <c r="K710" i="1"/>
  <c r="AU710" i="1"/>
  <c r="M708" i="1"/>
  <c r="G708" i="1"/>
  <c r="H708" i="1" s="1"/>
  <c r="D709" i="1"/>
  <c r="E709" i="1"/>
  <c r="F709" i="1" s="1"/>
  <c r="AW709" i="1"/>
  <c r="AI709" i="1" s="1"/>
  <c r="AJ709" i="1" s="1"/>
  <c r="AK709" i="1"/>
  <c r="A710" i="1"/>
  <c r="AA710" i="1"/>
  <c r="B711" i="1"/>
  <c r="C710" i="1"/>
  <c r="AC709" i="1"/>
  <c r="BC709" i="1" l="1"/>
  <c r="BD709" i="1" s="1"/>
  <c r="AE709" i="1" s="1"/>
  <c r="BF711" i="1"/>
  <c r="N365" i="1"/>
  <c r="P365" i="1"/>
  <c r="BE365" i="1" s="1"/>
  <c r="AT365" i="1"/>
  <c r="AS365" i="1" s="1"/>
  <c r="I365" i="1"/>
  <c r="Q365" i="1" s="1"/>
  <c r="BB710" i="1"/>
  <c r="AG364" i="1"/>
  <c r="AH364" i="1"/>
  <c r="AL274" i="1"/>
  <c r="AL290" i="1"/>
  <c r="AL282" i="1"/>
  <c r="J710" i="1"/>
  <c r="L711" i="1"/>
  <c r="A731" i="7"/>
  <c r="B730" i="7"/>
  <c r="S711" i="1"/>
  <c r="Z713" i="1" s="1"/>
  <c r="K711" i="1"/>
  <c r="AU711" i="1"/>
  <c r="M709" i="1"/>
  <c r="B712" i="1"/>
  <c r="AA711" i="1"/>
  <c r="C711" i="1"/>
  <c r="AC710" i="1"/>
  <c r="D710" i="1"/>
  <c r="E710" i="1"/>
  <c r="F710" i="1" s="1"/>
  <c r="A711" i="1"/>
  <c r="AW710" i="1"/>
  <c r="AI710" i="1" s="1"/>
  <c r="AJ710" i="1" s="1"/>
  <c r="AK710" i="1"/>
  <c r="G709" i="1"/>
  <c r="H709" i="1" s="1"/>
  <c r="BC710" i="1" l="1"/>
  <c r="BD710" i="1" s="1"/>
  <c r="AE710" i="1" s="1"/>
  <c r="BF712" i="1"/>
  <c r="V365" i="1"/>
  <c r="Y365" i="1"/>
  <c r="X365" i="1" s="1"/>
  <c r="AF365" i="1" s="1"/>
  <c r="AG365" i="1" s="1"/>
  <c r="AQ365" i="1"/>
  <c r="AY365" i="1"/>
  <c r="O365" i="1"/>
  <c r="I366" i="1" s="1"/>
  <c r="Q366" i="1" s="1"/>
  <c r="AC711" i="1"/>
  <c r="BB711" i="1"/>
  <c r="BA364" i="1"/>
  <c r="AN282" i="1"/>
  <c r="AN274" i="1"/>
  <c r="AN290" i="1"/>
  <c r="J711" i="1"/>
  <c r="L712" i="1"/>
  <c r="A732" i="7"/>
  <c r="B731" i="7"/>
  <c r="S712" i="1"/>
  <c r="Z714" i="1" s="1"/>
  <c r="K712" i="1"/>
  <c r="AU712" i="1"/>
  <c r="G710" i="1"/>
  <c r="H710" i="1" s="1"/>
  <c r="AA712" i="1"/>
  <c r="B713" i="1"/>
  <c r="C712" i="1"/>
  <c r="M710" i="1"/>
  <c r="A712" i="1"/>
  <c r="AW711" i="1"/>
  <c r="AI711" i="1" s="1"/>
  <c r="AJ711" i="1" s="1"/>
  <c r="AK711" i="1"/>
  <c r="E711" i="1"/>
  <c r="F711" i="1" s="1"/>
  <c r="D711" i="1"/>
  <c r="BC711" i="1" l="1"/>
  <c r="BD711" i="1" s="1"/>
  <c r="AE711" i="1" s="1"/>
  <c r="BF713" i="1"/>
  <c r="N366" i="1"/>
  <c r="O366" i="1" s="1"/>
  <c r="N367" i="1" s="1"/>
  <c r="AT366" i="1"/>
  <c r="AS366" i="1" s="1"/>
  <c r="AM366" i="1"/>
  <c r="P366" i="1"/>
  <c r="BE366" i="1" s="1"/>
  <c r="AH365" i="1"/>
  <c r="BB712" i="1"/>
  <c r="BA365" i="1"/>
  <c r="AO274" i="1"/>
  <c r="AO290" i="1"/>
  <c r="AO282" i="1"/>
  <c r="J712" i="1"/>
  <c r="L713" i="1"/>
  <c r="A733" i="7"/>
  <c r="B732" i="7"/>
  <c r="S713" i="1"/>
  <c r="Z715" i="1" s="1"/>
  <c r="K713" i="1"/>
  <c r="AU713" i="1"/>
  <c r="G711" i="1"/>
  <c r="H711" i="1" s="1"/>
  <c r="D712" i="1"/>
  <c r="E712" i="1"/>
  <c r="F712" i="1" s="1"/>
  <c r="M711" i="1"/>
  <c r="A713" i="1"/>
  <c r="AW712" i="1"/>
  <c r="AI712" i="1" s="1"/>
  <c r="AJ712" i="1" s="1"/>
  <c r="AK712" i="1"/>
  <c r="C713" i="1"/>
  <c r="B714" i="1"/>
  <c r="AA713" i="1"/>
  <c r="AC712" i="1"/>
  <c r="BC712" i="1" l="1"/>
  <c r="BD712" i="1" s="1"/>
  <c r="AE712" i="1" s="1"/>
  <c r="BF714" i="1"/>
  <c r="AQ366" i="1"/>
  <c r="Y366" i="1"/>
  <c r="X366" i="1" s="1"/>
  <c r="AF366" i="1" s="1"/>
  <c r="V366" i="1"/>
  <c r="AY366" i="1"/>
  <c r="BB713" i="1"/>
  <c r="AT367" i="1"/>
  <c r="AS367" i="1" s="1"/>
  <c r="AM367" i="1"/>
  <c r="P367" i="1"/>
  <c r="BE367" i="1" s="1"/>
  <c r="I367" i="1"/>
  <c r="Q367" i="1" s="1"/>
  <c r="AP290" i="1"/>
  <c r="AX291" i="1" s="1"/>
  <c r="AP274" i="1"/>
  <c r="AX275" i="1" s="1"/>
  <c r="AP282" i="1"/>
  <c r="AX283" i="1" s="1"/>
  <c r="J713" i="1"/>
  <c r="L714" i="1"/>
  <c r="A734" i="7"/>
  <c r="B733" i="7"/>
  <c r="S714" i="1"/>
  <c r="Z716" i="1" s="1"/>
  <c r="K714" i="1"/>
  <c r="AU714" i="1"/>
  <c r="AC713" i="1"/>
  <c r="D713" i="1"/>
  <c r="E713" i="1"/>
  <c r="F713" i="1" s="1"/>
  <c r="AK713" i="1"/>
  <c r="A714" i="1"/>
  <c r="AW713" i="1"/>
  <c r="AI713" i="1" s="1"/>
  <c r="AJ713" i="1" s="1"/>
  <c r="AA714" i="1"/>
  <c r="B715" i="1"/>
  <c r="C714" i="1"/>
  <c r="M712" i="1"/>
  <c r="G712" i="1"/>
  <c r="H712" i="1" s="1"/>
  <c r="BC713" i="1" l="1"/>
  <c r="BD713" i="1" s="1"/>
  <c r="AE713" i="1" s="1"/>
  <c r="BF715" i="1"/>
  <c r="AH366" i="1"/>
  <c r="AG366" i="1"/>
  <c r="BA366" i="1" s="1"/>
  <c r="BB714" i="1"/>
  <c r="AC714" i="1"/>
  <c r="Y367" i="1"/>
  <c r="X367" i="1" s="1"/>
  <c r="AQ367" i="1"/>
  <c r="AY367" i="1"/>
  <c r="O367" i="1"/>
  <c r="V367" i="1"/>
  <c r="J714" i="1"/>
  <c r="L715" i="1"/>
  <c r="A735" i="7"/>
  <c r="B734" i="7"/>
  <c r="S715" i="1"/>
  <c r="Z717" i="1" s="1"/>
  <c r="K715" i="1"/>
  <c r="AU715" i="1"/>
  <c r="D714" i="1"/>
  <c r="E714" i="1"/>
  <c r="F714" i="1" s="1"/>
  <c r="AA715" i="1"/>
  <c r="B716" i="1"/>
  <c r="C715" i="1"/>
  <c r="M713" i="1"/>
  <c r="AK714" i="1"/>
  <c r="A715" i="1"/>
  <c r="AW714" i="1"/>
  <c r="AI714" i="1" s="1"/>
  <c r="AJ714" i="1" s="1"/>
  <c r="G713" i="1"/>
  <c r="H713" i="1" s="1"/>
  <c r="BC714" i="1" l="1"/>
  <c r="BD714" i="1" s="1"/>
  <c r="AE714" i="1" s="1"/>
  <c r="BF716" i="1"/>
  <c r="BB715" i="1"/>
  <c r="AF367" i="1"/>
  <c r="P368" i="1"/>
  <c r="BE368" i="1" s="1"/>
  <c r="I368" i="1"/>
  <c r="Q368" i="1" s="1"/>
  <c r="N368" i="1"/>
  <c r="AM368" i="1"/>
  <c r="AT368" i="1"/>
  <c r="AS368" i="1" s="1"/>
  <c r="U283" i="1"/>
  <c r="U291" i="1"/>
  <c r="U275" i="1"/>
  <c r="J715" i="1"/>
  <c r="L716" i="1"/>
  <c r="A736" i="7"/>
  <c r="B735" i="7"/>
  <c r="S716" i="1"/>
  <c r="Z718" i="1" s="1"/>
  <c r="K716" i="1"/>
  <c r="AU716" i="1"/>
  <c r="D715" i="1"/>
  <c r="E715" i="1"/>
  <c r="F715" i="1" s="1"/>
  <c r="G714" i="1"/>
  <c r="H714" i="1" s="1"/>
  <c r="A716" i="1"/>
  <c r="AK715" i="1"/>
  <c r="AW715" i="1"/>
  <c r="AI715" i="1" s="1"/>
  <c r="AJ715" i="1" s="1"/>
  <c r="C716" i="1"/>
  <c r="AA716" i="1"/>
  <c r="B717" i="1"/>
  <c r="M714" i="1"/>
  <c r="AC715" i="1"/>
  <c r="BC715" i="1" l="1"/>
  <c r="BD715" i="1" s="1"/>
  <c r="AE715" i="1" s="1"/>
  <c r="BF717" i="1"/>
  <c r="AH367" i="1"/>
  <c r="BB716" i="1"/>
  <c r="AG367" i="1"/>
  <c r="O368" i="1"/>
  <c r="AQ368" i="1"/>
  <c r="AY368" i="1"/>
  <c r="V368" i="1"/>
  <c r="Y368" i="1"/>
  <c r="X368" i="1" s="1"/>
  <c r="AF368" i="1" s="1"/>
  <c r="AL291" i="1"/>
  <c r="AL275" i="1"/>
  <c r="AL283" i="1"/>
  <c r="J716" i="1"/>
  <c r="L717" i="1"/>
  <c r="A737" i="7"/>
  <c r="B736" i="7"/>
  <c r="S717" i="1"/>
  <c r="Z719" i="1" s="1"/>
  <c r="K717" i="1"/>
  <c r="AU717" i="1"/>
  <c r="A717" i="1"/>
  <c r="AW716" i="1"/>
  <c r="AI716" i="1" s="1"/>
  <c r="AJ716" i="1" s="1"/>
  <c r="AK716" i="1"/>
  <c r="B718" i="1"/>
  <c r="AA717" i="1"/>
  <c r="C717" i="1"/>
  <c r="D716" i="1"/>
  <c r="E716" i="1"/>
  <c r="F716" i="1" s="1"/>
  <c r="AC716" i="1"/>
  <c r="G715" i="1"/>
  <c r="H715" i="1" s="1"/>
  <c r="M715" i="1"/>
  <c r="BC716" i="1" l="1"/>
  <c r="BD716" i="1" s="1"/>
  <c r="AE716" i="1" s="1"/>
  <c r="BF718" i="1"/>
  <c r="BA367" i="1"/>
  <c r="BB717" i="1"/>
  <c r="AH368" i="1"/>
  <c r="AG368" i="1"/>
  <c r="N369" i="1"/>
  <c r="AM369" i="1"/>
  <c r="I369" i="1"/>
  <c r="Q369" i="1" s="1"/>
  <c r="P369" i="1"/>
  <c r="BE369" i="1" s="1"/>
  <c r="AT369" i="1"/>
  <c r="AS369" i="1" s="1"/>
  <c r="AN283" i="1"/>
  <c r="AN291" i="1"/>
  <c r="AN275" i="1"/>
  <c r="J717" i="1"/>
  <c r="L718" i="1"/>
  <c r="A738" i="7"/>
  <c r="B737" i="7"/>
  <c r="S718" i="1"/>
  <c r="Z720" i="1" s="1"/>
  <c r="K718" i="1"/>
  <c r="AU718" i="1"/>
  <c r="D717" i="1"/>
  <c r="E717" i="1"/>
  <c r="F717" i="1" s="1"/>
  <c r="AC717" i="1"/>
  <c r="AW717" i="1"/>
  <c r="AI717" i="1" s="1"/>
  <c r="AJ717" i="1" s="1"/>
  <c r="AK717" i="1"/>
  <c r="A718" i="1"/>
  <c r="G716" i="1"/>
  <c r="H716" i="1" s="1"/>
  <c r="M716" i="1"/>
  <c r="AA718" i="1"/>
  <c r="B719" i="1"/>
  <c r="C718" i="1"/>
  <c r="BC717" i="1" l="1"/>
  <c r="BD717" i="1" s="1"/>
  <c r="AE717" i="1" s="1"/>
  <c r="BF719" i="1"/>
  <c r="AC718" i="1"/>
  <c r="BB718" i="1"/>
  <c r="V369" i="1"/>
  <c r="Y369" i="1"/>
  <c r="X369" i="1" s="1"/>
  <c r="AF369" i="1" s="1"/>
  <c r="AQ369" i="1"/>
  <c r="AY369" i="1"/>
  <c r="O369" i="1"/>
  <c r="BA368" i="1"/>
  <c r="AO291" i="1"/>
  <c r="AO283" i="1"/>
  <c r="AO275" i="1"/>
  <c r="J718" i="1"/>
  <c r="L719" i="1"/>
  <c r="A739" i="7"/>
  <c r="B738" i="7"/>
  <c r="S719" i="1"/>
  <c r="Z721" i="1" s="1"/>
  <c r="K719" i="1"/>
  <c r="AU719" i="1"/>
  <c r="M717" i="1"/>
  <c r="G717" i="1"/>
  <c r="H717" i="1" s="1"/>
  <c r="D718" i="1"/>
  <c r="E718" i="1"/>
  <c r="F718" i="1" s="1"/>
  <c r="A719" i="1"/>
  <c r="AW718" i="1"/>
  <c r="AI718" i="1" s="1"/>
  <c r="AJ718" i="1" s="1"/>
  <c r="AK718" i="1"/>
  <c r="B720" i="1"/>
  <c r="C719" i="1"/>
  <c r="AA719" i="1"/>
  <c r="BC718" i="1" l="1"/>
  <c r="BD718" i="1" s="1"/>
  <c r="AE718" i="1" s="1"/>
  <c r="BF720" i="1"/>
  <c r="BB719" i="1"/>
  <c r="AM370" i="1"/>
  <c r="AT370" i="1"/>
  <c r="AS370" i="1" s="1"/>
  <c r="I370" i="1"/>
  <c r="Q370" i="1" s="1"/>
  <c r="P370" i="1"/>
  <c r="BE370" i="1" s="1"/>
  <c r="N370" i="1"/>
  <c r="AG369" i="1"/>
  <c r="AH369" i="1"/>
  <c r="AP275" i="1"/>
  <c r="AX276" i="1" s="1"/>
  <c r="AP283" i="1"/>
  <c r="AX284" i="1" s="1"/>
  <c r="AP291" i="1"/>
  <c r="AX292" i="1" s="1"/>
  <c r="J719" i="1"/>
  <c r="L720" i="1"/>
  <c r="A740" i="7"/>
  <c r="B739" i="7"/>
  <c r="S720" i="1"/>
  <c r="Z722" i="1" s="1"/>
  <c r="K720" i="1"/>
  <c r="AU720" i="1"/>
  <c r="AC719" i="1"/>
  <c r="AA720" i="1"/>
  <c r="B721" i="1"/>
  <c r="C720" i="1"/>
  <c r="D719" i="1"/>
  <c r="E719" i="1"/>
  <c r="F719" i="1" s="1"/>
  <c r="AW719" i="1"/>
  <c r="AI719" i="1" s="1"/>
  <c r="AJ719" i="1" s="1"/>
  <c r="A720" i="1"/>
  <c r="AK719" i="1"/>
  <c r="M718" i="1"/>
  <c r="G718" i="1"/>
  <c r="H718" i="1" s="1"/>
  <c r="BC719" i="1" l="1"/>
  <c r="BD719" i="1" s="1"/>
  <c r="AE719" i="1" s="1"/>
  <c r="BF721" i="1"/>
  <c r="AC720" i="1"/>
  <c r="BB720" i="1"/>
  <c r="Y370" i="1"/>
  <c r="X370" i="1" s="1"/>
  <c r="AF370" i="1" s="1"/>
  <c r="AY370" i="1"/>
  <c r="V370" i="1"/>
  <c r="AQ370" i="1"/>
  <c r="BA369" i="1"/>
  <c r="O370" i="1"/>
  <c r="J720" i="1"/>
  <c r="L721" i="1"/>
  <c r="A741" i="7"/>
  <c r="B740" i="7"/>
  <c r="S721" i="1"/>
  <c r="Z723" i="1" s="1"/>
  <c r="K721" i="1"/>
  <c r="AU721" i="1"/>
  <c r="G719" i="1"/>
  <c r="H719" i="1" s="1"/>
  <c r="M719" i="1"/>
  <c r="AK720" i="1"/>
  <c r="AW720" i="1"/>
  <c r="AI720" i="1" s="1"/>
  <c r="AJ720" i="1" s="1"/>
  <c r="A721" i="1"/>
  <c r="AP720" i="1"/>
  <c r="D720" i="1"/>
  <c r="E720" i="1"/>
  <c r="F720" i="1" s="1"/>
  <c r="AA721" i="1"/>
  <c r="B722" i="1"/>
  <c r="C721" i="1"/>
  <c r="BC720" i="1" l="1"/>
  <c r="BD720" i="1" s="1"/>
  <c r="AE720" i="1" s="1"/>
  <c r="BF722" i="1"/>
  <c r="BB721" i="1"/>
  <c r="I371" i="1"/>
  <c r="Q371" i="1" s="1"/>
  <c r="AM371" i="1"/>
  <c r="AT371" i="1"/>
  <c r="AS371" i="1" s="1"/>
  <c r="P371" i="1"/>
  <c r="BE371" i="1" s="1"/>
  <c r="N371" i="1"/>
  <c r="AG370" i="1"/>
  <c r="AH370" i="1"/>
  <c r="U276" i="1"/>
  <c r="U292" i="1"/>
  <c r="U284" i="1"/>
  <c r="J721" i="1"/>
  <c r="L722" i="1"/>
  <c r="A742" i="7"/>
  <c r="B741" i="7"/>
  <c r="S722" i="1"/>
  <c r="Z724" i="1" s="1"/>
  <c r="K722" i="1"/>
  <c r="AU722" i="1"/>
  <c r="B723" i="1"/>
  <c r="AA722" i="1"/>
  <c r="C722" i="1"/>
  <c r="M720" i="1"/>
  <c r="G720" i="1"/>
  <c r="H720" i="1" s="1"/>
  <c r="AK721" i="1"/>
  <c r="A722" i="1"/>
  <c r="AW721" i="1"/>
  <c r="AI721" i="1" s="1"/>
  <c r="AJ721" i="1" s="1"/>
  <c r="D721" i="1"/>
  <c r="E721" i="1"/>
  <c r="F721" i="1" s="1"/>
  <c r="AC721" i="1"/>
  <c r="BC721" i="1" l="1"/>
  <c r="BD721" i="1" s="1"/>
  <c r="AE721" i="1" s="1"/>
  <c r="BF723" i="1"/>
  <c r="BB722" i="1"/>
  <c r="O371" i="1"/>
  <c r="P372" i="1" s="1"/>
  <c r="BE372" i="1" s="1"/>
  <c r="V371" i="1"/>
  <c r="Y371" i="1"/>
  <c r="X371" i="1" s="1"/>
  <c r="AF371" i="1" s="1"/>
  <c r="AY371" i="1"/>
  <c r="AQ371" i="1"/>
  <c r="BA370" i="1"/>
  <c r="AL292" i="1"/>
  <c r="AL276" i="1"/>
  <c r="AL284" i="1"/>
  <c r="J722" i="1"/>
  <c r="L723" i="1"/>
  <c r="A743" i="7"/>
  <c r="B742" i="7"/>
  <c r="S723" i="1"/>
  <c r="Z725" i="1" s="1"/>
  <c r="K723" i="1"/>
  <c r="AU723" i="1"/>
  <c r="G721" i="1"/>
  <c r="H721" i="1" s="1"/>
  <c r="D722" i="1"/>
  <c r="E722" i="1"/>
  <c r="F722" i="1" s="1"/>
  <c r="M721" i="1"/>
  <c r="AA723" i="1"/>
  <c r="B724" i="1"/>
  <c r="C723" i="1"/>
  <c r="AK722" i="1"/>
  <c r="AW722" i="1"/>
  <c r="AI722" i="1" s="1"/>
  <c r="AJ722" i="1" s="1"/>
  <c r="A723" i="1"/>
  <c r="AC722" i="1"/>
  <c r="BC722" i="1" l="1"/>
  <c r="BD722" i="1" s="1"/>
  <c r="AE722" i="1" s="1"/>
  <c r="BF724" i="1"/>
  <c r="AT372" i="1"/>
  <c r="AS372" i="1" s="1"/>
  <c r="AQ372" i="1" s="1"/>
  <c r="BB723" i="1"/>
  <c r="I372" i="1"/>
  <c r="Q372" i="1" s="1"/>
  <c r="N372" i="1"/>
  <c r="AM372" i="1"/>
  <c r="AG371" i="1"/>
  <c r="AH371" i="1"/>
  <c r="Y372" i="1"/>
  <c r="X372" i="1" s="1"/>
  <c r="AF372" i="1" s="1"/>
  <c r="AY372" i="1"/>
  <c r="V372" i="1"/>
  <c r="AN284" i="1"/>
  <c r="AN292" i="1"/>
  <c r="AN276" i="1"/>
  <c r="J723" i="1"/>
  <c r="L724" i="1"/>
  <c r="A744" i="7"/>
  <c r="B743" i="7"/>
  <c r="S724" i="1"/>
  <c r="Z726" i="1" s="1"/>
  <c r="K724" i="1"/>
  <c r="AU724" i="1"/>
  <c r="D723" i="1"/>
  <c r="E723" i="1"/>
  <c r="F723" i="1" s="1"/>
  <c r="C724" i="1"/>
  <c r="B725" i="1"/>
  <c r="AA724" i="1"/>
  <c r="G722" i="1"/>
  <c r="H722" i="1" s="1"/>
  <c r="A724" i="1"/>
  <c r="AK723" i="1"/>
  <c r="AW723" i="1"/>
  <c r="AI723" i="1" s="1"/>
  <c r="AJ723" i="1" s="1"/>
  <c r="AC723" i="1"/>
  <c r="M722" i="1"/>
  <c r="BC723" i="1" l="1"/>
  <c r="BD723" i="1" s="1"/>
  <c r="AE723" i="1" s="1"/>
  <c r="BF725" i="1"/>
  <c r="BB724" i="1"/>
  <c r="O372" i="1"/>
  <c r="AH372" i="1" s="1"/>
  <c r="AG372" i="1"/>
  <c r="BA371" i="1"/>
  <c r="AO276" i="1"/>
  <c r="AO284" i="1"/>
  <c r="AO292" i="1"/>
  <c r="J724" i="1"/>
  <c r="L725" i="1"/>
  <c r="A745" i="7"/>
  <c r="B744" i="7"/>
  <c r="S725" i="1"/>
  <c r="Z727" i="1" s="1"/>
  <c r="K725" i="1"/>
  <c r="AU725" i="1"/>
  <c r="G723" i="1"/>
  <c r="H723" i="1" s="1"/>
  <c r="E724" i="1"/>
  <c r="F724" i="1" s="1"/>
  <c r="D724" i="1"/>
  <c r="AC724" i="1"/>
  <c r="B726" i="1"/>
  <c r="C725" i="1"/>
  <c r="AA725" i="1"/>
  <c r="AK724" i="1"/>
  <c r="A725" i="1"/>
  <c r="AW724" i="1"/>
  <c r="AI724" i="1" s="1"/>
  <c r="AJ724" i="1" s="1"/>
  <c r="M723" i="1"/>
  <c r="BC724" i="1" l="1"/>
  <c r="BD724" i="1" s="1"/>
  <c r="AE724" i="1" s="1"/>
  <c r="BF726" i="1"/>
  <c r="BB725" i="1"/>
  <c r="P373" i="1"/>
  <c r="BE373" i="1" s="1"/>
  <c r="I373" i="1"/>
  <c r="Q373" i="1" s="1"/>
  <c r="N373" i="1"/>
  <c r="AM373" i="1"/>
  <c r="AT373" i="1"/>
  <c r="AS373" i="1" s="1"/>
  <c r="BA372" i="1"/>
  <c r="AP292" i="1"/>
  <c r="AX293" i="1" s="1"/>
  <c r="AP284" i="1"/>
  <c r="AX285" i="1" s="1"/>
  <c r="J725" i="1"/>
  <c r="L726" i="1"/>
  <c r="A746" i="7"/>
  <c r="B745" i="7"/>
  <c r="S726" i="1"/>
  <c r="Z728" i="1" s="1"/>
  <c r="K726" i="1"/>
  <c r="AU726" i="1"/>
  <c r="AW725" i="1"/>
  <c r="AI725" i="1" s="1"/>
  <c r="AJ725" i="1" s="1"/>
  <c r="AK725" i="1"/>
  <c r="A726" i="1"/>
  <c r="M724" i="1"/>
  <c r="G724" i="1"/>
  <c r="H724" i="1" s="1"/>
  <c r="AA726" i="1"/>
  <c r="B727" i="1"/>
  <c r="C726" i="1"/>
  <c r="AC725" i="1"/>
  <c r="D725" i="1"/>
  <c r="E725" i="1"/>
  <c r="F725" i="1" s="1"/>
  <c r="BC725" i="1" l="1"/>
  <c r="BD725" i="1" s="1"/>
  <c r="AE725" i="1" s="1"/>
  <c r="BF727" i="1"/>
  <c r="Y373" i="1"/>
  <c r="X373" i="1" s="1"/>
  <c r="AF373" i="1" s="1"/>
  <c r="AG373" i="1" s="1"/>
  <c r="AQ373" i="1"/>
  <c r="BB726" i="1"/>
  <c r="AY373" i="1"/>
  <c r="V373" i="1"/>
  <c r="O373" i="1"/>
  <c r="P374" i="1" s="1"/>
  <c r="BE374" i="1" s="1"/>
  <c r="J726" i="1"/>
  <c r="L727" i="1"/>
  <c r="A747" i="7"/>
  <c r="B746" i="7"/>
  <c r="S727" i="1"/>
  <c r="Z729" i="1" s="1"/>
  <c r="K727" i="1"/>
  <c r="AU727" i="1"/>
  <c r="A727" i="1"/>
  <c r="AK726" i="1"/>
  <c r="AW726" i="1"/>
  <c r="AI726" i="1" s="1"/>
  <c r="AJ726" i="1" s="1"/>
  <c r="E726" i="1"/>
  <c r="F726" i="1" s="1"/>
  <c r="D726" i="1"/>
  <c r="G725" i="1"/>
  <c r="H725" i="1" s="1"/>
  <c r="AC726" i="1"/>
  <c r="AA727" i="1"/>
  <c r="B728" i="1"/>
  <c r="C727" i="1"/>
  <c r="M725" i="1"/>
  <c r="BC726" i="1" l="1"/>
  <c r="BD726" i="1" s="1"/>
  <c r="AE726" i="1" s="1"/>
  <c r="BF728" i="1"/>
  <c r="AX373" i="1"/>
  <c r="BB727" i="1"/>
  <c r="AT374" i="1"/>
  <c r="AS374" i="1" s="1"/>
  <c r="AQ374" i="1" s="1"/>
  <c r="AH373" i="1"/>
  <c r="AM374" i="1"/>
  <c r="I374" i="1"/>
  <c r="Q374" i="1" s="1"/>
  <c r="N374" i="1"/>
  <c r="AY374" i="1"/>
  <c r="V374" i="1"/>
  <c r="Y374" i="1"/>
  <c r="X374" i="1" s="1"/>
  <c r="AF374" i="1" s="1"/>
  <c r="BA373" i="1"/>
  <c r="U293" i="1"/>
  <c r="U285" i="1"/>
  <c r="J727" i="1"/>
  <c r="L728" i="1"/>
  <c r="A748" i="7"/>
  <c r="B747" i="7"/>
  <c r="S728" i="1"/>
  <c r="Z730" i="1" s="1"/>
  <c r="K728" i="1"/>
  <c r="AU728" i="1"/>
  <c r="D727" i="1"/>
  <c r="E727" i="1"/>
  <c r="F727" i="1" s="1"/>
  <c r="B729" i="1"/>
  <c r="C728" i="1"/>
  <c r="AA728" i="1"/>
  <c r="M726" i="1"/>
  <c r="AC727" i="1"/>
  <c r="G726" i="1"/>
  <c r="H726" i="1" s="1"/>
  <c r="AW727" i="1"/>
  <c r="AI727" i="1" s="1"/>
  <c r="AJ727" i="1" s="1"/>
  <c r="AK727" i="1"/>
  <c r="A728" i="1"/>
  <c r="U301" i="1"/>
  <c r="BC727" i="1" l="1"/>
  <c r="BD727" i="1" s="1"/>
  <c r="AE727" i="1" s="1"/>
  <c r="BF729" i="1"/>
  <c r="AC728" i="1"/>
  <c r="BB728" i="1"/>
  <c r="O374" i="1"/>
  <c r="P375" i="1" s="1"/>
  <c r="BE375" i="1" s="1"/>
  <c r="AG374" i="1"/>
  <c r="AL285" i="1"/>
  <c r="AL301" i="1"/>
  <c r="AL293" i="1"/>
  <c r="J728" i="1"/>
  <c r="L729" i="1"/>
  <c r="A749" i="7"/>
  <c r="B748" i="7"/>
  <c r="S729" i="1"/>
  <c r="Z731" i="1" s="1"/>
  <c r="K729" i="1"/>
  <c r="AU729" i="1"/>
  <c r="AW728" i="1"/>
  <c r="AI728" i="1" s="1"/>
  <c r="AJ728" i="1" s="1"/>
  <c r="A729" i="1"/>
  <c r="AK728" i="1"/>
  <c r="B730" i="1"/>
  <c r="AA729" i="1"/>
  <c r="C729" i="1"/>
  <c r="M727" i="1"/>
  <c r="G727" i="1"/>
  <c r="H727" i="1" s="1"/>
  <c r="D728" i="1"/>
  <c r="E728" i="1"/>
  <c r="F728" i="1" s="1"/>
  <c r="BC728" i="1" l="1"/>
  <c r="BD728" i="1" s="1"/>
  <c r="AE728" i="1" s="1"/>
  <c r="BF730" i="1"/>
  <c r="AC729" i="1"/>
  <c r="BB729" i="1"/>
  <c r="AM375" i="1"/>
  <c r="AT375" i="1"/>
  <c r="AS375" i="1" s="1"/>
  <c r="AQ375" i="1" s="1"/>
  <c r="I375" i="1"/>
  <c r="Q375" i="1" s="1"/>
  <c r="AH374" i="1"/>
  <c r="N375" i="1"/>
  <c r="BA374" i="1"/>
  <c r="AY375" i="1"/>
  <c r="V375" i="1"/>
  <c r="Y375" i="1"/>
  <c r="X375" i="1" s="1"/>
  <c r="AF375" i="1" s="1"/>
  <c r="AN293" i="1"/>
  <c r="AN285" i="1"/>
  <c r="AN301" i="1"/>
  <c r="J729" i="1"/>
  <c r="L730" i="1"/>
  <c r="A750" i="7"/>
  <c r="B749" i="7"/>
  <c r="S730" i="1"/>
  <c r="Z732" i="1" s="1"/>
  <c r="K730" i="1"/>
  <c r="AU730" i="1"/>
  <c r="AA730" i="1"/>
  <c r="C730" i="1"/>
  <c r="B731" i="1"/>
  <c r="E729" i="1"/>
  <c r="F729" i="1" s="1"/>
  <c r="D729" i="1"/>
  <c r="M728" i="1"/>
  <c r="A730" i="1"/>
  <c r="AW729" i="1"/>
  <c r="AI729" i="1" s="1"/>
  <c r="AJ729" i="1" s="1"/>
  <c r="AK729" i="1"/>
  <c r="G728" i="1"/>
  <c r="H728" i="1" s="1"/>
  <c r="BC729" i="1" l="1"/>
  <c r="BD729" i="1" s="1"/>
  <c r="AE729" i="1" s="1"/>
  <c r="BF731" i="1"/>
  <c r="BB730" i="1"/>
  <c r="O375" i="1"/>
  <c r="I376" i="1" s="1"/>
  <c r="Q376" i="1" s="1"/>
  <c r="AG375" i="1"/>
  <c r="AO293" i="1"/>
  <c r="AO285" i="1"/>
  <c r="AO301" i="1"/>
  <c r="J730" i="1"/>
  <c r="L731" i="1"/>
  <c r="A751" i="7"/>
  <c r="B750" i="7"/>
  <c r="S731" i="1"/>
  <c r="Z733" i="1" s="1"/>
  <c r="K731" i="1"/>
  <c r="AU731" i="1"/>
  <c r="AA731" i="1"/>
  <c r="B732" i="1"/>
  <c r="C731" i="1"/>
  <c r="A731" i="1"/>
  <c r="AW730" i="1"/>
  <c r="AI730" i="1" s="1"/>
  <c r="AJ730" i="1" s="1"/>
  <c r="AK730" i="1"/>
  <c r="M729" i="1"/>
  <c r="AC730" i="1"/>
  <c r="G729" i="1"/>
  <c r="H729" i="1" s="1"/>
  <c r="E730" i="1"/>
  <c r="F730" i="1" s="1"/>
  <c r="D730" i="1"/>
  <c r="BC730" i="1" l="1"/>
  <c r="BD730" i="1" s="1"/>
  <c r="AE730" i="1" s="1"/>
  <c r="BF732" i="1"/>
  <c r="BB731" i="1"/>
  <c r="AT376" i="1"/>
  <c r="AS376" i="1" s="1"/>
  <c r="AM376" i="1"/>
  <c r="AH375" i="1"/>
  <c r="N376" i="1"/>
  <c r="O376" i="1" s="1"/>
  <c r="P376" i="1"/>
  <c r="BE376" i="1" s="1"/>
  <c r="BA375" i="1"/>
  <c r="AP293" i="1"/>
  <c r="AX294" i="1" s="1"/>
  <c r="AP301" i="1"/>
  <c r="AX302" i="1" s="1"/>
  <c r="AP285" i="1"/>
  <c r="AX286" i="1" s="1"/>
  <c r="J731" i="1"/>
  <c r="L732" i="1"/>
  <c r="A752" i="7"/>
  <c r="B751" i="7"/>
  <c r="S732" i="1"/>
  <c r="Z734" i="1" s="1"/>
  <c r="K732" i="1"/>
  <c r="AU732" i="1"/>
  <c r="G730" i="1"/>
  <c r="H730" i="1" s="1"/>
  <c r="C732" i="1"/>
  <c r="AA732" i="1"/>
  <c r="B733" i="1"/>
  <c r="M730" i="1"/>
  <c r="AC731" i="1"/>
  <c r="D731" i="1"/>
  <c r="E731" i="1"/>
  <c r="F731" i="1" s="1"/>
  <c r="AW731" i="1"/>
  <c r="AI731" i="1" s="1"/>
  <c r="AJ731" i="1" s="1"/>
  <c r="AK731" i="1"/>
  <c r="A732" i="1"/>
  <c r="BC731" i="1" l="1"/>
  <c r="BD731" i="1" s="1"/>
  <c r="AE731" i="1" s="1"/>
  <c r="BF733" i="1"/>
  <c r="BB732" i="1"/>
  <c r="AQ376" i="1"/>
  <c r="AY376" i="1"/>
  <c r="V376" i="1"/>
  <c r="Y376" i="1"/>
  <c r="X376" i="1" s="1"/>
  <c r="N377" i="1"/>
  <c r="AM377" i="1"/>
  <c r="P377" i="1"/>
  <c r="BE377" i="1" s="1"/>
  <c r="AT377" i="1"/>
  <c r="AS377" i="1" s="1"/>
  <c r="I377" i="1"/>
  <c r="Q377" i="1" s="1"/>
  <c r="J732" i="1"/>
  <c r="L733" i="1"/>
  <c r="A753" i="7"/>
  <c r="B752" i="7"/>
  <c r="S733" i="1"/>
  <c r="Z735" i="1" s="1"/>
  <c r="K733" i="1"/>
  <c r="AU733" i="1"/>
  <c r="G731" i="1"/>
  <c r="H731" i="1" s="1"/>
  <c r="AC732" i="1"/>
  <c r="AA733" i="1"/>
  <c r="C733" i="1"/>
  <c r="B734" i="1"/>
  <c r="M731" i="1"/>
  <c r="AK732" i="1"/>
  <c r="A733" i="1"/>
  <c r="AW732" i="1"/>
  <c r="AI732" i="1" s="1"/>
  <c r="AJ732" i="1" s="1"/>
  <c r="AP732" i="1"/>
  <c r="D732" i="1"/>
  <c r="E732" i="1"/>
  <c r="F732" i="1" s="1"/>
  <c r="BC732" i="1" l="1"/>
  <c r="BD732" i="1" s="1"/>
  <c r="AE732" i="1" s="1"/>
  <c r="BF734" i="1"/>
  <c r="BB733" i="1"/>
  <c r="AF376" i="1"/>
  <c r="AG376" i="1" s="1"/>
  <c r="O377" i="1"/>
  <c r="N378" i="1" s="1"/>
  <c r="AY377" i="1"/>
  <c r="Y377" i="1"/>
  <c r="X377" i="1" s="1"/>
  <c r="AF377" i="1" s="1"/>
  <c r="AQ377" i="1"/>
  <c r="V377" i="1"/>
  <c r="U286" i="1"/>
  <c r="U294" i="1"/>
  <c r="U302" i="1"/>
  <c r="J733" i="1"/>
  <c r="L734" i="1"/>
  <c r="A754" i="7"/>
  <c r="B753" i="7"/>
  <c r="S734" i="1"/>
  <c r="Z736" i="1" s="1"/>
  <c r="K734" i="1"/>
  <c r="AU734" i="1"/>
  <c r="G732" i="1"/>
  <c r="H732" i="1" s="1"/>
  <c r="D733" i="1"/>
  <c r="E733" i="1"/>
  <c r="F733" i="1" s="1"/>
  <c r="M732" i="1"/>
  <c r="AK733" i="1"/>
  <c r="A734" i="1"/>
  <c r="AW733" i="1"/>
  <c r="AI733" i="1" s="1"/>
  <c r="AJ733" i="1" s="1"/>
  <c r="AA734" i="1"/>
  <c r="B735" i="1"/>
  <c r="C734" i="1"/>
  <c r="AC733" i="1"/>
  <c r="BC733" i="1" l="1"/>
  <c r="BD733" i="1" s="1"/>
  <c r="AE733" i="1" s="1"/>
  <c r="BF735" i="1"/>
  <c r="AH376" i="1"/>
  <c r="BB734" i="1"/>
  <c r="BA376" i="1"/>
  <c r="I378" i="1"/>
  <c r="Q378" i="1" s="1"/>
  <c r="P378" i="1"/>
  <c r="BE378" i="1" s="1"/>
  <c r="AM378" i="1"/>
  <c r="AT378" i="1"/>
  <c r="AS378" i="1" s="1"/>
  <c r="AG377" i="1"/>
  <c r="AH377" i="1"/>
  <c r="AL294" i="1"/>
  <c r="AL302" i="1"/>
  <c r="AL286" i="1"/>
  <c r="J734" i="1"/>
  <c r="L735" i="1"/>
  <c r="A755" i="7"/>
  <c r="B754" i="7"/>
  <c r="S735" i="1"/>
  <c r="Z737" i="1" s="1"/>
  <c r="K735" i="1"/>
  <c r="AU735" i="1"/>
  <c r="M733" i="1"/>
  <c r="D734" i="1"/>
  <c r="E734" i="1"/>
  <c r="F734" i="1" s="1"/>
  <c r="AA735" i="1"/>
  <c r="B736" i="1"/>
  <c r="C735" i="1"/>
  <c r="G733" i="1"/>
  <c r="H733" i="1" s="1"/>
  <c r="AC734" i="1"/>
  <c r="AK734" i="1"/>
  <c r="AW734" i="1"/>
  <c r="AI734" i="1" s="1"/>
  <c r="AJ734" i="1" s="1"/>
  <c r="A735" i="1"/>
  <c r="BC734" i="1" l="1"/>
  <c r="BD734" i="1" s="1"/>
  <c r="AE734" i="1" s="1"/>
  <c r="BF736" i="1"/>
  <c r="V378" i="1"/>
  <c r="BB735" i="1"/>
  <c r="AC735" i="1"/>
  <c r="O378" i="1"/>
  <c r="N379" i="1" s="1"/>
  <c r="Y378" i="1"/>
  <c r="X378" i="1" s="1"/>
  <c r="AF378" i="1" s="1"/>
  <c r="AQ378" i="1"/>
  <c r="AY378" i="1"/>
  <c r="BA377" i="1"/>
  <c r="AN286" i="1"/>
  <c r="AN294" i="1"/>
  <c r="AN302" i="1"/>
  <c r="J735" i="1"/>
  <c r="L736" i="1"/>
  <c r="A756" i="7"/>
  <c r="B755" i="7"/>
  <c r="S736" i="1"/>
  <c r="Z738" i="1" s="1"/>
  <c r="K736" i="1"/>
  <c r="AU736" i="1"/>
  <c r="B737" i="1"/>
  <c r="C736" i="1"/>
  <c r="AA736" i="1"/>
  <c r="M734" i="1"/>
  <c r="A736" i="1"/>
  <c r="AK735" i="1"/>
  <c r="AW735" i="1"/>
  <c r="AI735" i="1" s="1"/>
  <c r="AJ735" i="1" s="1"/>
  <c r="E735" i="1"/>
  <c r="F735" i="1" s="1"/>
  <c r="D735" i="1"/>
  <c r="G734" i="1"/>
  <c r="H734" i="1" s="1"/>
  <c r="BC735" i="1" l="1"/>
  <c r="BD735" i="1" s="1"/>
  <c r="AE735" i="1" s="1"/>
  <c r="BF737" i="1"/>
  <c r="BB736" i="1"/>
  <c r="AM379" i="1"/>
  <c r="AT379" i="1"/>
  <c r="AS379" i="1" s="1"/>
  <c r="I379" i="1"/>
  <c r="Q379" i="1" s="1"/>
  <c r="P379" i="1"/>
  <c r="BE379" i="1" s="1"/>
  <c r="AG378" i="1"/>
  <c r="AH378" i="1"/>
  <c r="AO286" i="1"/>
  <c r="AO302" i="1"/>
  <c r="AO294" i="1"/>
  <c r="J736" i="1"/>
  <c r="L737" i="1"/>
  <c r="A757" i="7"/>
  <c r="B756" i="7"/>
  <c r="S737" i="1"/>
  <c r="Z739" i="1" s="1"/>
  <c r="K737" i="1"/>
  <c r="AU737" i="1"/>
  <c r="G735" i="1"/>
  <c r="H735" i="1" s="1"/>
  <c r="M735" i="1"/>
  <c r="D736" i="1"/>
  <c r="E736" i="1"/>
  <c r="F736" i="1" s="1"/>
  <c r="AA737" i="1"/>
  <c r="C737" i="1"/>
  <c r="B738" i="1"/>
  <c r="A737" i="1"/>
  <c r="AW736" i="1"/>
  <c r="AI736" i="1" s="1"/>
  <c r="AJ736" i="1" s="1"/>
  <c r="AK736" i="1"/>
  <c r="AC736" i="1"/>
  <c r="BC736" i="1" l="1"/>
  <c r="BD736" i="1" s="1"/>
  <c r="AE736" i="1" s="1"/>
  <c r="BF738" i="1"/>
  <c r="AC737" i="1"/>
  <c r="BB737" i="1"/>
  <c r="AQ379" i="1"/>
  <c r="Y379" i="1"/>
  <c r="X379" i="1" s="1"/>
  <c r="AY379" i="1"/>
  <c r="V379" i="1"/>
  <c r="O379" i="1"/>
  <c r="BA378" i="1"/>
  <c r="AP286" i="1"/>
  <c r="AX287" i="1" s="1"/>
  <c r="AP294" i="1"/>
  <c r="AX295" i="1" s="1"/>
  <c r="AP302" i="1"/>
  <c r="AX303" i="1" s="1"/>
  <c r="J737" i="1"/>
  <c r="L738" i="1"/>
  <c r="A758" i="7"/>
  <c r="B757" i="7"/>
  <c r="S738" i="1"/>
  <c r="Z740" i="1" s="1"/>
  <c r="K738" i="1"/>
  <c r="AU738" i="1"/>
  <c r="AA738" i="1"/>
  <c r="C738" i="1"/>
  <c r="B739" i="1"/>
  <c r="M736" i="1"/>
  <c r="G736" i="1"/>
  <c r="H736" i="1" s="1"/>
  <c r="E737" i="1"/>
  <c r="F737" i="1" s="1"/>
  <c r="D737" i="1"/>
  <c r="A738" i="1"/>
  <c r="AW737" i="1"/>
  <c r="AI737" i="1" s="1"/>
  <c r="AJ737" i="1" s="1"/>
  <c r="AK737" i="1"/>
  <c r="BC737" i="1" l="1"/>
  <c r="BD737" i="1" s="1"/>
  <c r="AE737" i="1" s="1"/>
  <c r="BF739" i="1"/>
  <c r="BB738" i="1"/>
  <c r="AF379" i="1"/>
  <c r="AG379" i="1" s="1"/>
  <c r="I380" i="1"/>
  <c r="Q380" i="1" s="1"/>
  <c r="N380" i="1"/>
  <c r="AM380" i="1"/>
  <c r="P380" i="1"/>
  <c r="BE380" i="1" s="1"/>
  <c r="AT380" i="1"/>
  <c r="AS380" i="1" s="1"/>
  <c r="J738" i="1"/>
  <c r="L739" i="1"/>
  <c r="A759" i="7"/>
  <c r="B758" i="7"/>
  <c r="S739" i="1"/>
  <c r="Z741" i="1" s="1"/>
  <c r="K739" i="1"/>
  <c r="AU739" i="1"/>
  <c r="G737" i="1"/>
  <c r="H737" i="1" s="1"/>
  <c r="AA739" i="1"/>
  <c r="B740" i="1"/>
  <c r="C739" i="1"/>
  <c r="D738" i="1"/>
  <c r="E738" i="1"/>
  <c r="F738" i="1" s="1"/>
  <c r="AK738" i="1"/>
  <c r="AW738" i="1"/>
  <c r="AI738" i="1" s="1"/>
  <c r="AJ738" i="1" s="1"/>
  <c r="A739" i="1"/>
  <c r="AC738" i="1"/>
  <c r="M737" i="1"/>
  <c r="BC738" i="1" l="1"/>
  <c r="BD738" i="1" s="1"/>
  <c r="AE738" i="1" s="1"/>
  <c r="BF740" i="1"/>
  <c r="BB739" i="1"/>
  <c r="AH379" i="1"/>
  <c r="BA379" i="1"/>
  <c r="V380" i="1"/>
  <c r="AQ380" i="1"/>
  <c r="AY380" i="1"/>
  <c r="Y380" i="1"/>
  <c r="X380" i="1" s="1"/>
  <c r="AF380" i="1" s="1"/>
  <c r="O380" i="1"/>
  <c r="U295" i="1"/>
  <c r="U287" i="1"/>
  <c r="U303" i="1"/>
  <c r="J739" i="1"/>
  <c r="L740" i="1"/>
  <c r="A760" i="7"/>
  <c r="B759" i="7"/>
  <c r="S740" i="1"/>
  <c r="Z742" i="1" s="1"/>
  <c r="K740" i="1"/>
  <c r="AU740" i="1"/>
  <c r="G738" i="1"/>
  <c r="H738" i="1" s="1"/>
  <c r="C740" i="1"/>
  <c r="AA740" i="1"/>
  <c r="B741" i="1"/>
  <c r="M738" i="1"/>
  <c r="AC739" i="1"/>
  <c r="AK739" i="1"/>
  <c r="AW739" i="1"/>
  <c r="AI739" i="1" s="1"/>
  <c r="AJ739" i="1" s="1"/>
  <c r="A740" i="1"/>
  <c r="D739" i="1"/>
  <c r="E739" i="1"/>
  <c r="F739" i="1" s="1"/>
  <c r="BC739" i="1" l="1"/>
  <c r="BD739" i="1" s="1"/>
  <c r="AE739" i="1" s="1"/>
  <c r="BF741" i="1"/>
  <c r="BB740" i="1"/>
  <c r="AT381" i="1"/>
  <c r="AS381" i="1" s="1"/>
  <c r="AM381" i="1"/>
  <c r="N381" i="1"/>
  <c r="P381" i="1"/>
  <c r="BE381" i="1" s="1"/>
  <c r="I381" i="1"/>
  <c r="Q381" i="1" s="1"/>
  <c r="AG380" i="1"/>
  <c r="AH380" i="1"/>
  <c r="AL287" i="1"/>
  <c r="AL303" i="1"/>
  <c r="AL295" i="1"/>
  <c r="J740" i="1"/>
  <c r="L741" i="1"/>
  <c r="A761" i="7"/>
  <c r="B760" i="7"/>
  <c r="S741" i="1"/>
  <c r="Z743" i="1" s="1"/>
  <c r="K741" i="1"/>
  <c r="AU741" i="1"/>
  <c r="G739" i="1"/>
  <c r="H739" i="1" s="1"/>
  <c r="AC740" i="1"/>
  <c r="AK740" i="1"/>
  <c r="A741" i="1"/>
  <c r="AW740" i="1"/>
  <c r="AI740" i="1" s="1"/>
  <c r="AJ740" i="1" s="1"/>
  <c r="M739" i="1"/>
  <c r="D740" i="1"/>
  <c r="E740" i="1"/>
  <c r="F740" i="1" s="1"/>
  <c r="B742" i="1"/>
  <c r="AA741" i="1"/>
  <c r="C741" i="1"/>
  <c r="BC740" i="1" l="1"/>
  <c r="BD740" i="1" s="1"/>
  <c r="AE740" i="1" s="1"/>
  <c r="BF742" i="1"/>
  <c r="BB741" i="1"/>
  <c r="Y381" i="1"/>
  <c r="X381" i="1" s="1"/>
  <c r="AF381" i="1" s="1"/>
  <c r="AY381" i="1"/>
  <c r="AQ381" i="1"/>
  <c r="V381" i="1"/>
  <c r="BA380" i="1"/>
  <c r="O381" i="1"/>
  <c r="AN287" i="1"/>
  <c r="AN295" i="1"/>
  <c r="AN303" i="1"/>
  <c r="J741" i="1"/>
  <c r="L742" i="1"/>
  <c r="A762" i="7"/>
  <c r="B761" i="7"/>
  <c r="S742" i="1"/>
  <c r="Z744" i="1" s="1"/>
  <c r="K742" i="1"/>
  <c r="AU742" i="1"/>
  <c r="D741" i="1"/>
  <c r="E741" i="1"/>
  <c r="F741" i="1" s="1"/>
  <c r="B743" i="1"/>
  <c r="C742" i="1"/>
  <c r="AA742" i="1"/>
  <c r="AC741" i="1"/>
  <c r="M740" i="1"/>
  <c r="G740" i="1"/>
  <c r="H740" i="1" s="1"/>
  <c r="AK741" i="1"/>
  <c r="A742" i="1"/>
  <c r="AW741" i="1"/>
  <c r="AI741" i="1" s="1"/>
  <c r="AJ741" i="1" s="1"/>
  <c r="BC741" i="1" l="1"/>
  <c r="BD741" i="1" s="1"/>
  <c r="AE741" i="1" s="1"/>
  <c r="BF743" i="1"/>
  <c r="BB742" i="1"/>
  <c r="I382" i="1"/>
  <c r="Q382" i="1" s="1"/>
  <c r="AM382" i="1"/>
  <c r="N382" i="1"/>
  <c r="P382" i="1"/>
  <c r="BE382" i="1" s="1"/>
  <c r="AT382" i="1"/>
  <c r="AS382" i="1" s="1"/>
  <c r="AG381" i="1"/>
  <c r="AH381" i="1"/>
  <c r="AO287" i="1"/>
  <c r="AO295" i="1"/>
  <c r="AO303" i="1"/>
  <c r="J742" i="1"/>
  <c r="L743" i="1"/>
  <c r="A763" i="7"/>
  <c r="B762" i="7"/>
  <c r="S743" i="1"/>
  <c r="Z745" i="1" s="1"/>
  <c r="K743" i="1"/>
  <c r="AU743" i="1"/>
  <c r="AW742" i="1"/>
  <c r="AI742" i="1" s="1"/>
  <c r="AJ742" i="1" s="1"/>
  <c r="A743" i="1"/>
  <c r="AK742" i="1"/>
  <c r="C743" i="1"/>
  <c r="AA743" i="1"/>
  <c r="B744" i="1"/>
  <c r="M741" i="1"/>
  <c r="G741" i="1"/>
  <c r="H741" i="1" s="1"/>
  <c r="AC742" i="1"/>
  <c r="E742" i="1"/>
  <c r="F742" i="1" s="1"/>
  <c r="D742" i="1"/>
  <c r="BC742" i="1" l="1"/>
  <c r="BD742" i="1" s="1"/>
  <c r="AE742" i="1" s="1"/>
  <c r="BF744" i="1"/>
  <c r="BB743" i="1"/>
  <c r="O382" i="1"/>
  <c r="AT383" i="1" s="1"/>
  <c r="AS383" i="1" s="1"/>
  <c r="BA381" i="1"/>
  <c r="AY382" i="1"/>
  <c r="Y382" i="1"/>
  <c r="X382" i="1" s="1"/>
  <c r="AF382" i="1" s="1"/>
  <c r="V382" i="1"/>
  <c r="AQ382" i="1"/>
  <c r="AP295" i="1"/>
  <c r="AX296" i="1" s="1"/>
  <c r="AP287" i="1"/>
  <c r="AX288" i="1" s="1"/>
  <c r="AP303" i="1"/>
  <c r="AX304" i="1" s="1"/>
  <c r="J743" i="1"/>
  <c r="L744" i="1"/>
  <c r="A764" i="7"/>
  <c r="B763" i="7"/>
  <c r="S744" i="1"/>
  <c r="Z746" i="1" s="1"/>
  <c r="K744" i="1"/>
  <c r="AU744" i="1"/>
  <c r="B745" i="1"/>
  <c r="C744" i="1"/>
  <c r="AA744" i="1"/>
  <c r="M742" i="1"/>
  <c r="AW743" i="1"/>
  <c r="AI743" i="1" s="1"/>
  <c r="AJ743" i="1" s="1"/>
  <c r="AK743" i="1"/>
  <c r="A744" i="1"/>
  <c r="G742" i="1"/>
  <c r="H742" i="1" s="1"/>
  <c r="D743" i="1"/>
  <c r="E743" i="1"/>
  <c r="F743" i="1" s="1"/>
  <c r="AC743" i="1"/>
  <c r="BC743" i="1" l="1"/>
  <c r="BD743" i="1" s="1"/>
  <c r="AE743" i="1" s="1"/>
  <c r="BF745" i="1"/>
  <c r="BB744" i="1"/>
  <c r="AM383" i="1"/>
  <c r="P383" i="1"/>
  <c r="BE383" i="1" s="1"/>
  <c r="I383" i="1"/>
  <c r="Q383" i="1" s="1"/>
  <c r="N383" i="1"/>
  <c r="AG382" i="1"/>
  <c r="AH382" i="1"/>
  <c r="J744" i="1"/>
  <c r="L745" i="1"/>
  <c r="A765" i="7"/>
  <c r="B764" i="7"/>
  <c r="S745" i="1"/>
  <c r="Z747" i="1" s="1"/>
  <c r="K745" i="1"/>
  <c r="AU745" i="1"/>
  <c r="AK744" i="1"/>
  <c r="A745" i="1"/>
  <c r="AW744" i="1"/>
  <c r="AI744" i="1" s="1"/>
  <c r="AJ744" i="1" s="1"/>
  <c r="AP744" i="1"/>
  <c r="E744" i="1"/>
  <c r="F744" i="1" s="1"/>
  <c r="D744" i="1"/>
  <c r="G743" i="1"/>
  <c r="H743" i="1" s="1"/>
  <c r="AC744" i="1"/>
  <c r="AA745" i="1"/>
  <c r="C745" i="1"/>
  <c r="B746" i="1"/>
  <c r="M743" i="1"/>
  <c r="BC744" i="1" l="1"/>
  <c r="BD744" i="1" s="1"/>
  <c r="AE744" i="1" s="1"/>
  <c r="BF746" i="1"/>
  <c r="V383" i="1"/>
  <c r="BB745" i="1"/>
  <c r="AQ383" i="1"/>
  <c r="Y383" i="1"/>
  <c r="X383" i="1" s="1"/>
  <c r="AY383" i="1"/>
  <c r="O383" i="1"/>
  <c r="AT384" i="1" s="1"/>
  <c r="AS384" i="1" s="1"/>
  <c r="BA382" i="1"/>
  <c r="U296" i="1"/>
  <c r="U288" i="1"/>
  <c r="U304" i="1"/>
  <c r="J745" i="1"/>
  <c r="L746" i="1"/>
  <c r="A766" i="7"/>
  <c r="B765" i="7"/>
  <c r="S746" i="1"/>
  <c r="Z748" i="1" s="1"/>
  <c r="K746" i="1"/>
  <c r="AU746" i="1"/>
  <c r="G744" i="1"/>
  <c r="H744" i="1" s="1"/>
  <c r="D745" i="1"/>
  <c r="E745" i="1"/>
  <c r="F745" i="1" s="1"/>
  <c r="AW745" i="1"/>
  <c r="AI745" i="1" s="1"/>
  <c r="AJ745" i="1" s="1"/>
  <c r="AK745" i="1"/>
  <c r="A746" i="1"/>
  <c r="M744" i="1"/>
  <c r="AA746" i="1"/>
  <c r="C746" i="1"/>
  <c r="B747" i="1"/>
  <c r="AC745" i="1"/>
  <c r="BC745" i="1" l="1"/>
  <c r="BD745" i="1" s="1"/>
  <c r="AE745" i="1" s="1"/>
  <c r="BF747" i="1"/>
  <c r="BB746" i="1"/>
  <c r="AF383" i="1"/>
  <c r="AM384" i="1"/>
  <c r="P384" i="1"/>
  <c r="BE384" i="1" s="1"/>
  <c r="I384" i="1"/>
  <c r="Q384" i="1" s="1"/>
  <c r="N384" i="1"/>
  <c r="AL288" i="1"/>
  <c r="AL304" i="1"/>
  <c r="AL296" i="1"/>
  <c r="J746" i="1"/>
  <c r="L747" i="1"/>
  <c r="A767" i="7"/>
  <c r="B766" i="7"/>
  <c r="S747" i="1"/>
  <c r="Z749" i="1" s="1"/>
  <c r="K747" i="1"/>
  <c r="AU747" i="1"/>
  <c r="AA747" i="1"/>
  <c r="B748" i="1"/>
  <c r="C747" i="1"/>
  <c r="AK746" i="1"/>
  <c r="AW746" i="1"/>
  <c r="AI746" i="1" s="1"/>
  <c r="AJ746" i="1" s="1"/>
  <c r="A747" i="1"/>
  <c r="G745" i="1"/>
  <c r="H745" i="1" s="1"/>
  <c r="M745" i="1"/>
  <c r="AC746" i="1"/>
  <c r="D746" i="1"/>
  <c r="E746" i="1"/>
  <c r="F746" i="1" s="1"/>
  <c r="BC746" i="1" l="1"/>
  <c r="BD746" i="1" s="1"/>
  <c r="AE746" i="1" s="1"/>
  <c r="BF748" i="1"/>
  <c r="AY384" i="1"/>
  <c r="BB747" i="1"/>
  <c r="AH383" i="1"/>
  <c r="AG383" i="1"/>
  <c r="BA383" i="1" s="1"/>
  <c r="V384" i="1"/>
  <c r="AQ384" i="1"/>
  <c r="Y384" i="1"/>
  <c r="X384" i="1" s="1"/>
  <c r="O384" i="1"/>
  <c r="AN296" i="1"/>
  <c r="AN288" i="1"/>
  <c r="AN304" i="1"/>
  <c r="J747" i="1"/>
  <c r="L748" i="1"/>
  <c r="A768" i="7"/>
  <c r="B767" i="7"/>
  <c r="S748" i="1"/>
  <c r="Z750" i="1" s="1"/>
  <c r="K748" i="1"/>
  <c r="AU748" i="1"/>
  <c r="M746" i="1"/>
  <c r="AC747" i="1"/>
  <c r="G746" i="1"/>
  <c r="H746" i="1" s="1"/>
  <c r="E747" i="1"/>
  <c r="F747" i="1" s="1"/>
  <c r="D747" i="1"/>
  <c r="AK747" i="1"/>
  <c r="A748" i="1"/>
  <c r="AW747" i="1"/>
  <c r="AI747" i="1" s="1"/>
  <c r="AJ747" i="1" s="1"/>
  <c r="B749" i="1"/>
  <c r="C748" i="1"/>
  <c r="AA748" i="1"/>
  <c r="BC747" i="1" l="1"/>
  <c r="BD747" i="1" s="1"/>
  <c r="AE747" i="1" s="1"/>
  <c r="BF749" i="1"/>
  <c r="BB748" i="1"/>
  <c r="AC748" i="1"/>
  <c r="AF384" i="1"/>
  <c r="AG384" i="1" s="1"/>
  <c r="I385" i="1"/>
  <c r="Q385" i="1" s="1"/>
  <c r="AT385" i="1"/>
  <c r="AS385" i="1" s="1"/>
  <c r="N385" i="1"/>
  <c r="P385" i="1"/>
  <c r="BE385" i="1" s="1"/>
  <c r="AM385" i="1"/>
  <c r="AO296" i="1"/>
  <c r="AO304" i="1"/>
  <c r="AO288" i="1"/>
  <c r="J748" i="1"/>
  <c r="L749" i="1"/>
  <c r="A769" i="7"/>
  <c r="B768" i="7"/>
  <c r="S749" i="1"/>
  <c r="Z751" i="1" s="1"/>
  <c r="K749" i="1"/>
  <c r="AU749" i="1"/>
  <c r="G747" i="1"/>
  <c r="H747" i="1" s="1"/>
  <c r="E748" i="1"/>
  <c r="F748" i="1" s="1"/>
  <c r="D748" i="1"/>
  <c r="AW748" i="1"/>
  <c r="AI748" i="1" s="1"/>
  <c r="AJ748" i="1" s="1"/>
  <c r="AK748" i="1"/>
  <c r="A749" i="1"/>
  <c r="M747" i="1"/>
  <c r="B750" i="1"/>
  <c r="C749" i="1"/>
  <c r="AA749" i="1"/>
  <c r="BC748" i="1" l="1"/>
  <c r="BD748" i="1" s="1"/>
  <c r="AE748" i="1" s="1"/>
  <c r="BF750" i="1"/>
  <c r="AH384" i="1"/>
  <c r="AC749" i="1"/>
  <c r="BB749" i="1"/>
  <c r="BA384" i="1"/>
  <c r="O385" i="1"/>
  <c r="P386" i="1" s="1"/>
  <c r="BE386" i="1" s="1"/>
  <c r="AQ385" i="1"/>
  <c r="Y385" i="1"/>
  <c r="X385" i="1" s="1"/>
  <c r="AF385" i="1" s="1"/>
  <c r="AY385" i="1"/>
  <c r="V385" i="1"/>
  <c r="AP296" i="1"/>
  <c r="AX297" i="1" s="1"/>
  <c r="AP304" i="1"/>
  <c r="AX305" i="1" s="1"/>
  <c r="J749" i="1"/>
  <c r="L750" i="1"/>
  <c r="A770" i="7"/>
  <c r="B769" i="7"/>
  <c r="S750" i="1"/>
  <c r="Z752" i="1" s="1"/>
  <c r="K750" i="1"/>
  <c r="AU750" i="1"/>
  <c r="E749" i="1"/>
  <c r="F749" i="1" s="1"/>
  <c r="D749" i="1"/>
  <c r="AK749" i="1"/>
  <c r="A750" i="1"/>
  <c r="AW749" i="1"/>
  <c r="AI749" i="1" s="1"/>
  <c r="AJ749" i="1" s="1"/>
  <c r="M748" i="1"/>
  <c r="G748" i="1"/>
  <c r="H748" i="1" s="1"/>
  <c r="AA750" i="1"/>
  <c r="B751" i="1"/>
  <c r="C750" i="1"/>
  <c r="BC749" i="1" l="1"/>
  <c r="BD749" i="1" s="1"/>
  <c r="AE749" i="1" s="1"/>
  <c r="BF751" i="1"/>
  <c r="AX385" i="1"/>
  <c r="BB750" i="1"/>
  <c r="AC750" i="1"/>
  <c r="AM386" i="1"/>
  <c r="N386" i="1"/>
  <c r="AT386" i="1"/>
  <c r="AS386" i="1" s="1"/>
  <c r="AQ386" i="1" s="1"/>
  <c r="I386" i="1"/>
  <c r="Q386" i="1" s="1"/>
  <c r="AG385" i="1"/>
  <c r="V386" i="1"/>
  <c r="AY386" i="1"/>
  <c r="Y386" i="1"/>
  <c r="X386" i="1" s="1"/>
  <c r="AF386" i="1" s="1"/>
  <c r="J750" i="1"/>
  <c r="L751" i="1"/>
  <c r="A771" i="7"/>
  <c r="B770" i="7"/>
  <c r="S751" i="1"/>
  <c r="Z753" i="1" s="1"/>
  <c r="K751" i="1"/>
  <c r="AU751" i="1"/>
  <c r="M749" i="1"/>
  <c r="G749" i="1"/>
  <c r="H749" i="1" s="1"/>
  <c r="E750" i="1"/>
  <c r="F750" i="1" s="1"/>
  <c r="D750" i="1"/>
  <c r="AW750" i="1"/>
  <c r="AI750" i="1" s="1"/>
  <c r="AJ750" i="1" s="1"/>
  <c r="A751" i="1"/>
  <c r="AK750" i="1"/>
  <c r="AA751" i="1"/>
  <c r="B752" i="1"/>
  <c r="C751" i="1"/>
  <c r="BC750" i="1" l="1"/>
  <c r="BD750" i="1" s="1"/>
  <c r="AE750" i="1" s="1"/>
  <c r="BF752" i="1"/>
  <c r="BB751" i="1"/>
  <c r="AC751" i="1"/>
  <c r="O386" i="1"/>
  <c r="I387" i="1" s="1"/>
  <c r="Q387" i="1" s="1"/>
  <c r="AH385" i="1"/>
  <c r="AG386" i="1"/>
  <c r="BA385" i="1"/>
  <c r="U297" i="1"/>
  <c r="U305" i="1"/>
  <c r="J751" i="1"/>
  <c r="L752" i="1"/>
  <c r="A772" i="7"/>
  <c r="B771" i="7"/>
  <c r="S752" i="1"/>
  <c r="Z754" i="1" s="1"/>
  <c r="K752" i="1"/>
  <c r="AU752" i="1"/>
  <c r="M750" i="1"/>
  <c r="D751" i="1"/>
  <c r="E751" i="1"/>
  <c r="F751" i="1" s="1"/>
  <c r="AK751" i="1"/>
  <c r="AW751" i="1"/>
  <c r="AI751" i="1" s="1"/>
  <c r="AJ751" i="1" s="1"/>
  <c r="A752" i="1"/>
  <c r="G750" i="1"/>
  <c r="H750" i="1" s="1"/>
  <c r="B753" i="1"/>
  <c r="AA752" i="1"/>
  <c r="C752" i="1"/>
  <c r="U313" i="1"/>
  <c r="BC751" i="1" l="1"/>
  <c r="BD751" i="1" s="1"/>
  <c r="AE751" i="1" s="1"/>
  <c r="BF753" i="1"/>
  <c r="AC752" i="1"/>
  <c r="BB752" i="1"/>
  <c r="P387" i="1"/>
  <c r="BE387" i="1" s="1"/>
  <c r="AH386" i="1"/>
  <c r="N387" i="1"/>
  <c r="O387" i="1" s="1"/>
  <c r="AM388" i="1" s="1"/>
  <c r="AM387" i="1"/>
  <c r="AT387" i="1"/>
  <c r="AS387" i="1" s="1"/>
  <c r="BA386" i="1"/>
  <c r="AL313" i="1"/>
  <c r="AL305" i="1"/>
  <c r="AL297" i="1"/>
  <c r="J752" i="1"/>
  <c r="L753" i="1"/>
  <c r="A773" i="7"/>
  <c r="B772" i="7"/>
  <c r="S753" i="1"/>
  <c r="Z755" i="1" s="1"/>
  <c r="K753" i="1"/>
  <c r="AU753" i="1"/>
  <c r="E752" i="1"/>
  <c r="F752" i="1" s="1"/>
  <c r="D752" i="1"/>
  <c r="M751" i="1"/>
  <c r="AA753" i="1"/>
  <c r="C753" i="1"/>
  <c r="B754" i="1"/>
  <c r="AK752" i="1"/>
  <c r="A753" i="1"/>
  <c r="AW752" i="1"/>
  <c r="AI752" i="1" s="1"/>
  <c r="AJ752" i="1" s="1"/>
  <c r="G751" i="1"/>
  <c r="H751" i="1" s="1"/>
  <c r="BC752" i="1" l="1"/>
  <c r="BD752" i="1" s="1"/>
  <c r="AE752" i="1" s="1"/>
  <c r="BF754" i="1"/>
  <c r="V387" i="1"/>
  <c r="AQ387" i="1"/>
  <c r="Y387" i="1"/>
  <c r="X387" i="1" s="1"/>
  <c r="AF387" i="1" s="1"/>
  <c r="AY387" i="1"/>
  <c r="BB753" i="1"/>
  <c r="AT388" i="1"/>
  <c r="AS388" i="1" s="1"/>
  <c r="N388" i="1"/>
  <c r="I388" i="1"/>
  <c r="Q388" i="1" s="1"/>
  <c r="P388" i="1"/>
  <c r="BE388" i="1" s="1"/>
  <c r="AN305" i="1"/>
  <c r="AN297" i="1"/>
  <c r="AN313" i="1"/>
  <c r="J753" i="1"/>
  <c r="L754" i="1"/>
  <c r="A774" i="7"/>
  <c r="B773" i="7"/>
  <c r="S754" i="1"/>
  <c r="Z756" i="1" s="1"/>
  <c r="K754" i="1"/>
  <c r="AU754" i="1"/>
  <c r="D753" i="1"/>
  <c r="E753" i="1"/>
  <c r="F753" i="1" s="1"/>
  <c r="M752" i="1"/>
  <c r="A754" i="1"/>
  <c r="AW753" i="1"/>
  <c r="AI753" i="1" s="1"/>
  <c r="AJ753" i="1" s="1"/>
  <c r="AK753" i="1"/>
  <c r="B755" i="1"/>
  <c r="AA754" i="1"/>
  <c r="C754" i="1"/>
  <c r="AC753" i="1"/>
  <c r="G752" i="1"/>
  <c r="H752" i="1" s="1"/>
  <c r="BC753" i="1" l="1"/>
  <c r="BD753" i="1" s="1"/>
  <c r="AE753" i="1" s="1"/>
  <c r="BF755" i="1"/>
  <c r="Y388" i="1"/>
  <c r="X388" i="1" s="1"/>
  <c r="AF388" i="1" s="1"/>
  <c r="AH387" i="1"/>
  <c r="AG387" i="1"/>
  <c r="BA387" i="1" s="1"/>
  <c r="BB754" i="1"/>
  <c r="V388" i="1"/>
  <c r="AY388" i="1"/>
  <c r="O388" i="1"/>
  <c r="P389" i="1" s="1"/>
  <c r="BE389" i="1" s="1"/>
  <c r="AQ388" i="1"/>
  <c r="AO305" i="1"/>
  <c r="AO297" i="1"/>
  <c r="AO313" i="1"/>
  <c r="J754" i="1"/>
  <c r="L755" i="1"/>
  <c r="A775" i="7"/>
  <c r="B774" i="7"/>
  <c r="S755" i="1"/>
  <c r="Z757" i="1" s="1"/>
  <c r="K755" i="1"/>
  <c r="AU755" i="1"/>
  <c r="G753" i="1"/>
  <c r="H753" i="1" s="1"/>
  <c r="M753" i="1"/>
  <c r="AA755" i="1"/>
  <c r="C755" i="1"/>
  <c r="B756" i="1"/>
  <c r="AC754" i="1"/>
  <c r="D754" i="1"/>
  <c r="E754" i="1"/>
  <c r="F754" i="1" s="1"/>
  <c r="AW754" i="1"/>
  <c r="AI754" i="1" s="1"/>
  <c r="AJ754" i="1" s="1"/>
  <c r="A755" i="1"/>
  <c r="AK754" i="1"/>
  <c r="BC754" i="1" l="1"/>
  <c r="BD754" i="1" s="1"/>
  <c r="AE754" i="1" s="1"/>
  <c r="BF756" i="1"/>
  <c r="BB755" i="1"/>
  <c r="AT389" i="1"/>
  <c r="AS389" i="1" s="1"/>
  <c r="AQ389" i="1" s="1"/>
  <c r="N389" i="1"/>
  <c r="AM389" i="1"/>
  <c r="I389" i="1"/>
  <c r="Q389" i="1" s="1"/>
  <c r="V389" i="1"/>
  <c r="Y389" i="1"/>
  <c r="X389" i="1" s="1"/>
  <c r="AF389" i="1" s="1"/>
  <c r="AY389" i="1"/>
  <c r="AH388" i="1"/>
  <c r="AG388" i="1"/>
  <c r="AP305" i="1"/>
  <c r="AX306" i="1" s="1"/>
  <c r="AP313" i="1"/>
  <c r="AX314" i="1" s="1"/>
  <c r="AP297" i="1"/>
  <c r="AX298" i="1" s="1"/>
  <c r="J755" i="1"/>
  <c r="L756" i="1"/>
  <c r="A776" i="7"/>
  <c r="B775" i="7"/>
  <c r="S756" i="1"/>
  <c r="Z758" i="1" s="1"/>
  <c r="K756" i="1"/>
  <c r="AU756" i="1"/>
  <c r="AW755" i="1"/>
  <c r="AI755" i="1" s="1"/>
  <c r="AJ755" i="1" s="1"/>
  <c r="AK755" i="1"/>
  <c r="A756" i="1"/>
  <c r="G754" i="1"/>
  <c r="H754" i="1" s="1"/>
  <c r="C756" i="1"/>
  <c r="B757" i="1"/>
  <c r="AA756" i="1"/>
  <c r="AC755" i="1"/>
  <c r="D755" i="1"/>
  <c r="E755" i="1"/>
  <c r="F755" i="1" s="1"/>
  <c r="M754" i="1"/>
  <c r="BC755" i="1" l="1"/>
  <c r="BD755" i="1" s="1"/>
  <c r="AE755" i="1" s="1"/>
  <c r="BF757" i="1"/>
  <c r="BB756" i="1"/>
  <c r="AG389" i="1"/>
  <c r="O389" i="1"/>
  <c r="AH389" i="1" s="1"/>
  <c r="BA388" i="1"/>
  <c r="J756" i="1"/>
  <c r="L757" i="1"/>
  <c r="A777" i="7"/>
  <c r="B776" i="7"/>
  <c r="S757" i="1"/>
  <c r="Z759" i="1" s="1"/>
  <c r="K757" i="1"/>
  <c r="AU757" i="1"/>
  <c r="D756" i="1"/>
  <c r="E756" i="1"/>
  <c r="F756" i="1" s="1"/>
  <c r="AP756" i="1"/>
  <c r="AK756" i="1"/>
  <c r="AW756" i="1"/>
  <c r="AI756" i="1" s="1"/>
  <c r="AJ756" i="1" s="1"/>
  <c r="A757" i="1"/>
  <c r="AC756" i="1"/>
  <c r="M755" i="1"/>
  <c r="G755" i="1"/>
  <c r="H755" i="1" s="1"/>
  <c r="AA757" i="1"/>
  <c r="B758" i="1"/>
  <c r="C757" i="1"/>
  <c r="BC756" i="1" l="1"/>
  <c r="BD756" i="1" s="1"/>
  <c r="AE756" i="1" s="1"/>
  <c r="BF758" i="1"/>
  <c r="BB757" i="1"/>
  <c r="AM390" i="1"/>
  <c r="I390" i="1"/>
  <c r="Q390" i="1" s="1"/>
  <c r="AT390" i="1"/>
  <c r="AS390" i="1" s="1"/>
  <c r="P390" i="1"/>
  <c r="BE390" i="1" s="1"/>
  <c r="N390" i="1"/>
  <c r="BA389" i="1"/>
  <c r="U298" i="1"/>
  <c r="U306" i="1"/>
  <c r="U314" i="1"/>
  <c r="J757" i="1"/>
  <c r="L758" i="1"/>
  <c r="A778" i="7"/>
  <c r="B777" i="7"/>
  <c r="S758" i="1"/>
  <c r="Z760" i="1" s="1"/>
  <c r="K758" i="1"/>
  <c r="AU758" i="1"/>
  <c r="D757" i="1"/>
  <c r="E757" i="1"/>
  <c r="F757" i="1" s="1"/>
  <c r="B759" i="1"/>
  <c r="C758" i="1"/>
  <c r="AA758" i="1"/>
  <c r="M756" i="1"/>
  <c r="AK757" i="1"/>
  <c r="A758" i="1"/>
  <c r="AW757" i="1"/>
  <c r="AI757" i="1" s="1"/>
  <c r="AJ757" i="1" s="1"/>
  <c r="AC757" i="1"/>
  <c r="G756" i="1"/>
  <c r="H756" i="1" s="1"/>
  <c r="BC757" i="1" l="1"/>
  <c r="BD757" i="1" s="1"/>
  <c r="AE757" i="1" s="1"/>
  <c r="BF759" i="1"/>
  <c r="BB758" i="1"/>
  <c r="O390" i="1"/>
  <c r="I391" i="1" s="1"/>
  <c r="Q391" i="1" s="1"/>
  <c r="AY390" i="1"/>
  <c r="V390" i="1"/>
  <c r="Y390" i="1"/>
  <c r="X390" i="1" s="1"/>
  <c r="AF390" i="1" s="1"/>
  <c r="AQ390" i="1"/>
  <c r="AL306" i="1"/>
  <c r="AL298" i="1"/>
  <c r="AL314" i="1"/>
  <c r="J758" i="1"/>
  <c r="L759" i="1"/>
  <c r="A779" i="7"/>
  <c r="B778" i="7"/>
  <c r="S759" i="1"/>
  <c r="Z761" i="1" s="1"/>
  <c r="K759" i="1"/>
  <c r="AU759" i="1"/>
  <c r="AC758" i="1"/>
  <c r="D758" i="1"/>
  <c r="E758" i="1"/>
  <c r="F758" i="1" s="1"/>
  <c r="AA759" i="1"/>
  <c r="C759" i="1"/>
  <c r="B760" i="1"/>
  <c r="AK758" i="1"/>
  <c r="A759" i="1"/>
  <c r="AW758" i="1"/>
  <c r="AI758" i="1" s="1"/>
  <c r="AJ758" i="1" s="1"/>
  <c r="M757" i="1"/>
  <c r="G757" i="1"/>
  <c r="H757" i="1" s="1"/>
  <c r="BC758" i="1" l="1"/>
  <c r="BD758" i="1" s="1"/>
  <c r="AE758" i="1" s="1"/>
  <c r="BF760" i="1"/>
  <c r="BB759" i="1"/>
  <c r="P391" i="1"/>
  <c r="BE391" i="1" s="1"/>
  <c r="N391" i="1"/>
  <c r="O391" i="1" s="1"/>
  <c r="AM391" i="1"/>
  <c r="AT391" i="1"/>
  <c r="AS391" i="1" s="1"/>
  <c r="AG390" i="1"/>
  <c r="AH390" i="1"/>
  <c r="AN314" i="1"/>
  <c r="AN306" i="1"/>
  <c r="AN298" i="1"/>
  <c r="J759" i="1"/>
  <c r="L760" i="1"/>
  <c r="A780" i="7"/>
  <c r="B779" i="7"/>
  <c r="S760" i="1"/>
  <c r="Z762" i="1" s="1"/>
  <c r="K760" i="1"/>
  <c r="AU760" i="1"/>
  <c r="AC759" i="1"/>
  <c r="AA760" i="1"/>
  <c r="C760" i="1"/>
  <c r="B761" i="1"/>
  <c r="M758" i="1"/>
  <c r="AK759" i="1"/>
  <c r="A760" i="1"/>
  <c r="AW759" i="1"/>
  <c r="AI759" i="1" s="1"/>
  <c r="AJ759" i="1" s="1"/>
  <c r="E759" i="1"/>
  <c r="F759" i="1" s="1"/>
  <c r="D759" i="1"/>
  <c r="G758" i="1"/>
  <c r="H758" i="1" s="1"/>
  <c r="BC759" i="1" l="1"/>
  <c r="BD759" i="1" s="1"/>
  <c r="AE759" i="1" s="1"/>
  <c r="BF761" i="1"/>
  <c r="BB760" i="1"/>
  <c r="AY391" i="1"/>
  <c r="AQ391" i="1"/>
  <c r="V391" i="1"/>
  <c r="Y391" i="1"/>
  <c r="X391" i="1" s="1"/>
  <c r="N392" i="1"/>
  <c r="AT392" i="1"/>
  <c r="AS392" i="1" s="1"/>
  <c r="AM392" i="1"/>
  <c r="I392" i="1"/>
  <c r="Q392" i="1" s="1"/>
  <c r="P392" i="1"/>
  <c r="BE392" i="1" s="1"/>
  <c r="BA390" i="1"/>
  <c r="AO314" i="1"/>
  <c r="AO298" i="1"/>
  <c r="AO306" i="1"/>
  <c r="J760" i="1"/>
  <c r="L761" i="1"/>
  <c r="A781" i="7"/>
  <c r="B780" i="7"/>
  <c r="S761" i="1"/>
  <c r="Z763" i="1" s="1"/>
  <c r="K761" i="1"/>
  <c r="AU761" i="1"/>
  <c r="M759" i="1"/>
  <c r="AC760" i="1"/>
  <c r="A761" i="1"/>
  <c r="AW760" i="1"/>
  <c r="AI760" i="1" s="1"/>
  <c r="AJ760" i="1" s="1"/>
  <c r="AK760" i="1"/>
  <c r="AA761" i="1"/>
  <c r="B762" i="1"/>
  <c r="C761" i="1"/>
  <c r="G759" i="1"/>
  <c r="H759" i="1" s="1"/>
  <c r="D760" i="1"/>
  <c r="E760" i="1"/>
  <c r="F760" i="1" s="1"/>
  <c r="BC760" i="1" l="1"/>
  <c r="BD760" i="1" s="1"/>
  <c r="AE760" i="1" s="1"/>
  <c r="BF762" i="1"/>
  <c r="AY392" i="1"/>
  <c r="BB761" i="1"/>
  <c r="AF391" i="1"/>
  <c r="AG391" i="1" s="1"/>
  <c r="O392" i="1"/>
  <c r="P393" i="1" s="1"/>
  <c r="BE393" i="1" s="1"/>
  <c r="AQ392" i="1"/>
  <c r="V392" i="1"/>
  <c r="Y392" i="1"/>
  <c r="X392" i="1" s="1"/>
  <c r="AP314" i="1"/>
  <c r="AX315" i="1" s="1"/>
  <c r="AP306" i="1"/>
  <c r="AX307" i="1" s="1"/>
  <c r="AP298" i="1"/>
  <c r="AX299" i="1" s="1"/>
  <c r="J761" i="1"/>
  <c r="L762" i="1"/>
  <c r="A782" i="7"/>
  <c r="B781" i="7"/>
  <c r="S762" i="1"/>
  <c r="Z764" i="1" s="1"/>
  <c r="K762" i="1"/>
  <c r="AU762" i="1"/>
  <c r="E761" i="1"/>
  <c r="F761" i="1" s="1"/>
  <c r="D761" i="1"/>
  <c r="G760" i="1"/>
  <c r="H760" i="1" s="1"/>
  <c r="M760" i="1"/>
  <c r="B763" i="1"/>
  <c r="C762" i="1"/>
  <c r="AA762" i="1"/>
  <c r="AK761" i="1"/>
  <c r="AW761" i="1"/>
  <c r="AI761" i="1" s="1"/>
  <c r="AJ761" i="1" s="1"/>
  <c r="A762" i="1"/>
  <c r="AC761" i="1"/>
  <c r="BC761" i="1" l="1"/>
  <c r="BD761" i="1" s="1"/>
  <c r="AE761" i="1" s="1"/>
  <c r="BF763" i="1"/>
  <c r="AC762" i="1"/>
  <c r="AH391" i="1"/>
  <c r="BB762" i="1"/>
  <c r="BA391" i="1"/>
  <c r="AF392" i="1"/>
  <c r="AM393" i="1"/>
  <c r="N393" i="1"/>
  <c r="AT393" i="1"/>
  <c r="AS393" i="1" s="1"/>
  <c r="AQ393" i="1" s="1"/>
  <c r="I393" i="1"/>
  <c r="Q393" i="1" s="1"/>
  <c r="V393" i="1"/>
  <c r="Y393" i="1"/>
  <c r="X393" i="1" s="1"/>
  <c r="AF393" i="1" s="1"/>
  <c r="AY393" i="1"/>
  <c r="J762" i="1"/>
  <c r="L763" i="1"/>
  <c r="A783" i="7"/>
  <c r="B782" i="7"/>
  <c r="S763" i="1"/>
  <c r="Z765" i="1" s="1"/>
  <c r="K763" i="1"/>
  <c r="AU763" i="1"/>
  <c r="AW762" i="1"/>
  <c r="AI762" i="1" s="1"/>
  <c r="AJ762" i="1" s="1"/>
  <c r="A763" i="1"/>
  <c r="AK762" i="1"/>
  <c r="E762" i="1"/>
  <c r="F762" i="1" s="1"/>
  <c r="D762" i="1"/>
  <c r="M761" i="1"/>
  <c r="B764" i="1"/>
  <c r="C763" i="1"/>
  <c r="AA763" i="1"/>
  <c r="G761" i="1"/>
  <c r="H761" i="1" s="1"/>
  <c r="BC762" i="1" l="1"/>
  <c r="BD762" i="1" s="1"/>
  <c r="AE762" i="1" s="1"/>
  <c r="BF764" i="1"/>
  <c r="AG392" i="1"/>
  <c r="BA392" i="1" s="1"/>
  <c r="BB763" i="1"/>
  <c r="AH392" i="1"/>
  <c r="O393" i="1"/>
  <c r="AM394" i="1" s="1"/>
  <c r="AG393" i="1"/>
  <c r="U315" i="1"/>
  <c r="U299" i="1"/>
  <c r="U307" i="1"/>
  <c r="J763" i="1"/>
  <c r="L764" i="1"/>
  <c r="A784" i="7"/>
  <c r="B783" i="7"/>
  <c r="S764" i="1"/>
  <c r="Z766" i="1" s="1"/>
  <c r="K764" i="1"/>
  <c r="AU764" i="1"/>
  <c r="D763" i="1"/>
  <c r="E763" i="1"/>
  <c r="F763" i="1" s="1"/>
  <c r="M762" i="1"/>
  <c r="G762" i="1"/>
  <c r="H762" i="1" s="1"/>
  <c r="A764" i="1"/>
  <c r="AW763" i="1"/>
  <c r="AI763" i="1" s="1"/>
  <c r="AJ763" i="1" s="1"/>
  <c r="AK763" i="1"/>
  <c r="B765" i="1"/>
  <c r="AA764" i="1"/>
  <c r="C764" i="1"/>
  <c r="AC763" i="1"/>
  <c r="BC763" i="1" l="1"/>
  <c r="BD763" i="1" s="1"/>
  <c r="AE763" i="1" s="1"/>
  <c r="BF765" i="1"/>
  <c r="BB764" i="1"/>
  <c r="N394" i="1"/>
  <c r="I394" i="1"/>
  <c r="Q394" i="1" s="1"/>
  <c r="P394" i="1"/>
  <c r="BE394" i="1" s="1"/>
  <c r="AH393" i="1"/>
  <c r="AT394" i="1"/>
  <c r="AS394" i="1" s="1"/>
  <c r="BA393" i="1"/>
  <c r="AL299" i="1"/>
  <c r="AL307" i="1"/>
  <c r="AL315" i="1"/>
  <c r="J764" i="1"/>
  <c r="L765" i="1"/>
  <c r="A785" i="7"/>
  <c r="B784" i="7"/>
  <c r="S765" i="1"/>
  <c r="Z767" i="1" s="1"/>
  <c r="K765" i="1"/>
  <c r="AU765" i="1"/>
  <c r="M763" i="1"/>
  <c r="A765" i="1"/>
  <c r="AK764" i="1"/>
  <c r="AW764" i="1"/>
  <c r="AI764" i="1" s="1"/>
  <c r="AJ764" i="1" s="1"/>
  <c r="E764" i="1"/>
  <c r="F764" i="1" s="1"/>
  <c r="D764" i="1"/>
  <c r="AC764" i="1"/>
  <c r="C765" i="1"/>
  <c r="B766" i="1"/>
  <c r="AA765" i="1"/>
  <c r="G763" i="1"/>
  <c r="H763" i="1" s="1"/>
  <c r="BC764" i="1" l="1"/>
  <c r="BD764" i="1" s="1"/>
  <c r="AE764" i="1" s="1"/>
  <c r="BF766" i="1"/>
  <c r="Y394" i="1"/>
  <c r="X394" i="1" s="1"/>
  <c r="AF394" i="1" s="1"/>
  <c r="AG394" i="1" s="1"/>
  <c r="BB765" i="1"/>
  <c r="AQ394" i="1"/>
  <c r="V394" i="1"/>
  <c r="O394" i="1"/>
  <c r="AT395" i="1" s="1"/>
  <c r="AS395" i="1" s="1"/>
  <c r="AY394" i="1"/>
  <c r="AN315" i="1"/>
  <c r="AN299" i="1"/>
  <c r="AN307" i="1"/>
  <c r="J765" i="1"/>
  <c r="L766" i="1"/>
  <c r="A786" i="7"/>
  <c r="B785" i="7"/>
  <c r="S766" i="1"/>
  <c r="Z768" i="1" s="1"/>
  <c r="K766" i="1"/>
  <c r="AU766" i="1"/>
  <c r="M764" i="1"/>
  <c r="AA766" i="1"/>
  <c r="B767" i="1"/>
  <c r="C766" i="1"/>
  <c r="G764" i="1"/>
  <c r="H764" i="1" s="1"/>
  <c r="AK765" i="1"/>
  <c r="A766" i="1"/>
  <c r="AW765" i="1"/>
  <c r="AI765" i="1" s="1"/>
  <c r="AJ765" i="1" s="1"/>
  <c r="AC765" i="1"/>
  <c r="D765" i="1"/>
  <c r="E765" i="1"/>
  <c r="F765" i="1" s="1"/>
  <c r="BC765" i="1" l="1"/>
  <c r="BD765" i="1" s="1"/>
  <c r="AE765" i="1" s="1"/>
  <c r="BF767" i="1"/>
  <c r="BB766" i="1"/>
  <c r="P395" i="1"/>
  <c r="BE395" i="1" s="1"/>
  <c r="I395" i="1"/>
  <c r="Q395" i="1" s="1"/>
  <c r="N395" i="1"/>
  <c r="AM395" i="1"/>
  <c r="BA394" i="1"/>
  <c r="AH394" i="1"/>
  <c r="AO315" i="1"/>
  <c r="AO307" i="1"/>
  <c r="AO299" i="1"/>
  <c r="J766" i="1"/>
  <c r="L767" i="1"/>
  <c r="A787" i="7"/>
  <c r="B786" i="7"/>
  <c r="S767" i="1"/>
  <c r="Z769" i="1" s="1"/>
  <c r="K767" i="1"/>
  <c r="AU767" i="1"/>
  <c r="E766" i="1"/>
  <c r="F766" i="1" s="1"/>
  <c r="D766" i="1"/>
  <c r="C767" i="1"/>
  <c r="B768" i="1"/>
  <c r="AA767" i="1"/>
  <c r="A767" i="1"/>
  <c r="AW766" i="1"/>
  <c r="AI766" i="1" s="1"/>
  <c r="AJ766" i="1" s="1"/>
  <c r="AK766" i="1"/>
  <c r="M765" i="1"/>
  <c r="AC766" i="1"/>
  <c r="G765" i="1"/>
  <c r="H765" i="1" s="1"/>
  <c r="BC766" i="1" l="1"/>
  <c r="BD766" i="1" s="1"/>
  <c r="AE766" i="1" s="1"/>
  <c r="BF768" i="1"/>
  <c r="Y395" i="1"/>
  <c r="X395" i="1" s="1"/>
  <c r="AF395" i="1" s="1"/>
  <c r="AG395" i="1" s="1"/>
  <c r="V395" i="1"/>
  <c r="BB767" i="1"/>
  <c r="AC767" i="1"/>
  <c r="AY395" i="1"/>
  <c r="AQ395" i="1"/>
  <c r="O395" i="1"/>
  <c r="I396" i="1" s="1"/>
  <c r="Q396" i="1" s="1"/>
  <c r="AP315" i="1"/>
  <c r="AX316" i="1" s="1"/>
  <c r="AP307" i="1"/>
  <c r="AX308" i="1" s="1"/>
  <c r="AP299" i="1"/>
  <c r="AX300" i="1" s="1"/>
  <c r="J767" i="1"/>
  <c r="L768" i="1"/>
  <c r="A788" i="7"/>
  <c r="B787" i="7"/>
  <c r="S768" i="1"/>
  <c r="Z770" i="1" s="1"/>
  <c r="K768" i="1"/>
  <c r="AU768" i="1"/>
  <c r="M766" i="1"/>
  <c r="G766" i="1"/>
  <c r="H766" i="1" s="1"/>
  <c r="AK767" i="1"/>
  <c r="A768" i="1"/>
  <c r="AW767" i="1"/>
  <c r="AI767" i="1" s="1"/>
  <c r="AJ767" i="1" s="1"/>
  <c r="B769" i="1"/>
  <c r="C768" i="1"/>
  <c r="AA768" i="1"/>
  <c r="E767" i="1"/>
  <c r="F767" i="1" s="1"/>
  <c r="D767" i="1"/>
  <c r="BC767" i="1" l="1"/>
  <c r="BD767" i="1" s="1"/>
  <c r="AE767" i="1" s="1"/>
  <c r="BF769" i="1"/>
  <c r="BA395" i="1"/>
  <c r="BB768" i="1"/>
  <c r="AH395" i="1"/>
  <c r="AT396" i="1"/>
  <c r="AS396" i="1" s="1"/>
  <c r="AM396" i="1"/>
  <c r="P396" i="1"/>
  <c r="BE396" i="1" s="1"/>
  <c r="N396" i="1"/>
  <c r="O396" i="1" s="1"/>
  <c r="J768" i="1"/>
  <c r="L769" i="1"/>
  <c r="A789" i="7"/>
  <c r="B788" i="7"/>
  <c r="S769" i="1"/>
  <c r="Z771" i="1" s="1"/>
  <c r="K769" i="1"/>
  <c r="AU769" i="1"/>
  <c r="G767" i="1"/>
  <c r="H767" i="1" s="1"/>
  <c r="M767" i="1"/>
  <c r="AC768" i="1"/>
  <c r="E768" i="1"/>
  <c r="F768" i="1" s="1"/>
  <c r="D768" i="1"/>
  <c r="AP768" i="1"/>
  <c r="AK768" i="1"/>
  <c r="AW768" i="1"/>
  <c r="AI768" i="1" s="1"/>
  <c r="AJ768" i="1" s="1"/>
  <c r="A769" i="1"/>
  <c r="C769" i="1"/>
  <c r="AA769" i="1"/>
  <c r="B770" i="1"/>
  <c r="BC768" i="1" l="1"/>
  <c r="BD768" i="1" s="1"/>
  <c r="AE768" i="1" s="1"/>
  <c r="BF770" i="1"/>
  <c r="AY396" i="1"/>
  <c r="AC769" i="1"/>
  <c r="BB769" i="1"/>
  <c r="V396" i="1"/>
  <c r="Y396" i="1"/>
  <c r="X396" i="1" s="1"/>
  <c r="AQ396" i="1"/>
  <c r="I397" i="1"/>
  <c r="Q397" i="1" s="1"/>
  <c r="AT397" i="1"/>
  <c r="AS397" i="1" s="1"/>
  <c r="P397" i="1"/>
  <c r="BE397" i="1" s="1"/>
  <c r="AM397" i="1"/>
  <c r="N397" i="1"/>
  <c r="U308" i="1"/>
  <c r="U316" i="1"/>
  <c r="U300" i="1"/>
  <c r="J769" i="1"/>
  <c r="L770" i="1"/>
  <c r="A790" i="7"/>
  <c r="B789" i="7"/>
  <c r="S770" i="1"/>
  <c r="Z772" i="1" s="1"/>
  <c r="K770" i="1"/>
  <c r="AU770" i="1"/>
  <c r="M768" i="1"/>
  <c r="E769" i="1"/>
  <c r="F769" i="1" s="1"/>
  <c r="D769" i="1"/>
  <c r="B771" i="1"/>
  <c r="C770" i="1"/>
  <c r="AA770" i="1"/>
  <c r="A770" i="1"/>
  <c r="AW769" i="1"/>
  <c r="AI769" i="1" s="1"/>
  <c r="AJ769" i="1" s="1"/>
  <c r="AK769" i="1"/>
  <c r="G768" i="1"/>
  <c r="H768" i="1" s="1"/>
  <c r="BC769" i="1" l="1"/>
  <c r="BD769" i="1" s="1"/>
  <c r="AE769" i="1" s="1"/>
  <c r="BF771" i="1"/>
  <c r="AC770" i="1"/>
  <c r="BB770" i="1"/>
  <c r="AF396" i="1"/>
  <c r="AH396" i="1" s="1"/>
  <c r="V397" i="1"/>
  <c r="AQ397" i="1"/>
  <c r="Y397" i="1"/>
  <c r="X397" i="1" s="1"/>
  <c r="AY397" i="1"/>
  <c r="O397" i="1"/>
  <c r="AL316" i="1"/>
  <c r="AL300" i="1"/>
  <c r="AL308" i="1"/>
  <c r="J770" i="1"/>
  <c r="L771" i="1"/>
  <c r="A791" i="7"/>
  <c r="B790" i="7"/>
  <c r="S771" i="1"/>
  <c r="Z773" i="1" s="1"/>
  <c r="K771" i="1"/>
  <c r="AU771" i="1"/>
  <c r="D770" i="1"/>
  <c r="E770" i="1"/>
  <c r="F770" i="1" s="1"/>
  <c r="G769" i="1"/>
  <c r="H769" i="1" s="1"/>
  <c r="AA771" i="1"/>
  <c r="B772" i="1"/>
  <c r="C771" i="1"/>
  <c r="M769" i="1"/>
  <c r="AK770" i="1"/>
  <c r="A771" i="1"/>
  <c r="AW770" i="1"/>
  <c r="AI770" i="1" s="1"/>
  <c r="AJ770" i="1" s="1"/>
  <c r="BC770" i="1" l="1"/>
  <c r="BD770" i="1" s="1"/>
  <c r="AE770" i="1" s="1"/>
  <c r="BF772" i="1"/>
  <c r="AX397" i="1"/>
  <c r="BB771" i="1"/>
  <c r="AC771" i="1"/>
  <c r="AG396" i="1"/>
  <c r="BA396" i="1" s="1"/>
  <c r="AF397" i="1"/>
  <c r="AG397" i="1" s="1"/>
  <c r="P398" i="1"/>
  <c r="BE398" i="1" s="1"/>
  <c r="I398" i="1"/>
  <c r="Q398" i="1" s="1"/>
  <c r="AM398" i="1"/>
  <c r="AT398" i="1"/>
  <c r="AS398" i="1" s="1"/>
  <c r="N398" i="1"/>
  <c r="AN316" i="1"/>
  <c r="AN308" i="1"/>
  <c r="AN300" i="1"/>
  <c r="J771" i="1"/>
  <c r="L772" i="1"/>
  <c r="A792" i="7"/>
  <c r="B791" i="7"/>
  <c r="S772" i="1"/>
  <c r="Z774" i="1" s="1"/>
  <c r="K772" i="1"/>
  <c r="AU772" i="1"/>
  <c r="M770" i="1"/>
  <c r="D771" i="1"/>
  <c r="E771" i="1"/>
  <c r="F771" i="1" s="1"/>
  <c r="AW771" i="1"/>
  <c r="AI771" i="1" s="1"/>
  <c r="AJ771" i="1" s="1"/>
  <c r="A772" i="1"/>
  <c r="AK771" i="1"/>
  <c r="B773" i="1"/>
  <c r="C772" i="1"/>
  <c r="AA772" i="1"/>
  <c r="G770" i="1"/>
  <c r="H770" i="1" s="1"/>
  <c r="BC771" i="1" l="1"/>
  <c r="BD771" i="1" s="1"/>
  <c r="AE771" i="1" s="1"/>
  <c r="BF773" i="1"/>
  <c r="AH397" i="1"/>
  <c r="BB772" i="1"/>
  <c r="BA397" i="1"/>
  <c r="O398" i="1"/>
  <c r="V398" i="1"/>
  <c r="Y398" i="1"/>
  <c r="X398" i="1" s="1"/>
  <c r="AQ398" i="1"/>
  <c r="AY398" i="1"/>
  <c r="AO300" i="1"/>
  <c r="AO316" i="1"/>
  <c r="AO308" i="1"/>
  <c r="J772" i="1"/>
  <c r="L773" i="1"/>
  <c r="A793" i="7"/>
  <c r="B792" i="7"/>
  <c r="S773" i="1"/>
  <c r="Z775" i="1" s="1"/>
  <c r="K773" i="1"/>
  <c r="AU773" i="1"/>
  <c r="D772" i="1"/>
  <c r="E772" i="1"/>
  <c r="F772" i="1" s="1"/>
  <c r="AA773" i="1"/>
  <c r="B774" i="1"/>
  <c r="C773" i="1"/>
  <c r="AW772" i="1"/>
  <c r="AI772" i="1" s="1"/>
  <c r="AJ772" i="1" s="1"/>
  <c r="A773" i="1"/>
  <c r="AK772" i="1"/>
  <c r="G771" i="1"/>
  <c r="H771" i="1" s="1"/>
  <c r="AC772" i="1"/>
  <c r="M771" i="1"/>
  <c r="BC772" i="1" l="1"/>
  <c r="BD772" i="1" s="1"/>
  <c r="AE772" i="1" s="1"/>
  <c r="BF774" i="1"/>
  <c r="BB773" i="1"/>
  <c r="AC773" i="1"/>
  <c r="AF398" i="1"/>
  <c r="AG398" i="1" s="1"/>
  <c r="P399" i="1"/>
  <c r="BE399" i="1" s="1"/>
  <c r="I399" i="1"/>
  <c r="Q399" i="1" s="1"/>
  <c r="AM399" i="1"/>
  <c r="AT399" i="1"/>
  <c r="AS399" i="1" s="1"/>
  <c r="N399" i="1"/>
  <c r="AP308" i="1"/>
  <c r="AX309" i="1" s="1"/>
  <c r="AP316" i="1"/>
  <c r="AX317" i="1" s="1"/>
  <c r="J773" i="1"/>
  <c r="L774" i="1"/>
  <c r="A794" i="7"/>
  <c r="B793" i="7"/>
  <c r="S774" i="1"/>
  <c r="Z776" i="1" s="1"/>
  <c r="K774" i="1"/>
  <c r="AU774" i="1"/>
  <c r="G772" i="1"/>
  <c r="H772" i="1" s="1"/>
  <c r="AW773" i="1"/>
  <c r="AI773" i="1" s="1"/>
  <c r="AJ773" i="1" s="1"/>
  <c r="A774" i="1"/>
  <c r="AK773" i="1"/>
  <c r="D773" i="1"/>
  <c r="E773" i="1"/>
  <c r="F773" i="1" s="1"/>
  <c r="M772" i="1"/>
  <c r="B775" i="1"/>
  <c r="C774" i="1"/>
  <c r="AA774" i="1"/>
  <c r="BC773" i="1" l="1"/>
  <c r="BD773" i="1" s="1"/>
  <c r="AE773" i="1" s="1"/>
  <c r="BF775" i="1"/>
  <c r="AH398" i="1"/>
  <c r="BB774" i="1"/>
  <c r="BA398" i="1"/>
  <c r="O399" i="1"/>
  <c r="Y399" i="1"/>
  <c r="X399" i="1" s="1"/>
  <c r="AQ399" i="1"/>
  <c r="AY399" i="1"/>
  <c r="V399" i="1"/>
  <c r="J774" i="1"/>
  <c r="L775" i="1"/>
  <c r="A795" i="7"/>
  <c r="B794" i="7"/>
  <c r="S775" i="1"/>
  <c r="Z777" i="1" s="1"/>
  <c r="K775" i="1"/>
  <c r="AU775" i="1"/>
  <c r="D774" i="1"/>
  <c r="E774" i="1"/>
  <c r="F774" i="1" s="1"/>
  <c r="G773" i="1"/>
  <c r="H773" i="1" s="1"/>
  <c r="M773" i="1"/>
  <c r="AC774" i="1"/>
  <c r="B776" i="1"/>
  <c r="C775" i="1"/>
  <c r="AA775" i="1"/>
  <c r="A775" i="1"/>
  <c r="AW774" i="1"/>
  <c r="AI774" i="1" s="1"/>
  <c r="AJ774" i="1" s="1"/>
  <c r="AK774" i="1"/>
  <c r="BC774" i="1" l="1"/>
  <c r="BD774" i="1" s="1"/>
  <c r="AE774" i="1" s="1"/>
  <c r="BF776" i="1"/>
  <c r="BB775" i="1"/>
  <c r="AF399" i="1"/>
  <c r="AG399" i="1" s="1"/>
  <c r="N400" i="1"/>
  <c r="AT400" i="1"/>
  <c r="AS400" i="1" s="1"/>
  <c r="AM400" i="1"/>
  <c r="P400" i="1"/>
  <c r="BE400" i="1" s="1"/>
  <c r="I400" i="1"/>
  <c r="Q400" i="1" s="1"/>
  <c r="U317" i="1"/>
  <c r="U309" i="1"/>
  <c r="J775" i="1"/>
  <c r="L776" i="1"/>
  <c r="A796" i="7"/>
  <c r="B795" i="7"/>
  <c r="S776" i="1"/>
  <c r="Z778" i="1" s="1"/>
  <c r="K776" i="1"/>
  <c r="AU776" i="1"/>
  <c r="M774" i="1"/>
  <c r="B777" i="1"/>
  <c r="AA776" i="1"/>
  <c r="C776" i="1"/>
  <c r="AW775" i="1"/>
  <c r="AI775" i="1" s="1"/>
  <c r="AJ775" i="1" s="1"/>
  <c r="A776" i="1"/>
  <c r="AK775" i="1"/>
  <c r="G774" i="1"/>
  <c r="H774" i="1" s="1"/>
  <c r="AC775" i="1"/>
  <c r="D775" i="1"/>
  <c r="E775" i="1"/>
  <c r="F775" i="1" s="1"/>
  <c r="U325" i="1"/>
  <c r="BC775" i="1" l="1"/>
  <c r="BD775" i="1" s="1"/>
  <c r="AE775" i="1" s="1"/>
  <c r="BF777" i="1"/>
  <c r="AH399" i="1"/>
  <c r="BB776" i="1"/>
  <c r="BA399" i="1"/>
  <c r="Y400" i="1"/>
  <c r="X400" i="1" s="1"/>
  <c r="AQ400" i="1"/>
  <c r="AY400" i="1"/>
  <c r="V400" i="1"/>
  <c r="O400" i="1"/>
  <c r="AL309" i="1"/>
  <c r="AL317" i="1"/>
  <c r="AL325" i="1"/>
  <c r="J776" i="1"/>
  <c r="L777" i="1"/>
  <c r="A797" i="7"/>
  <c r="B796" i="7"/>
  <c r="S777" i="1"/>
  <c r="Z779" i="1" s="1"/>
  <c r="K777" i="1"/>
  <c r="AU777" i="1"/>
  <c r="G775" i="1"/>
  <c r="H775" i="1" s="1"/>
  <c r="A777" i="1"/>
  <c r="AK776" i="1"/>
  <c r="AW776" i="1"/>
  <c r="AI776" i="1" s="1"/>
  <c r="AJ776" i="1" s="1"/>
  <c r="AA777" i="1"/>
  <c r="B778" i="1"/>
  <c r="C777" i="1"/>
  <c r="E776" i="1"/>
  <c r="F776" i="1" s="1"/>
  <c r="D776" i="1"/>
  <c r="AC776" i="1"/>
  <c r="M775" i="1"/>
  <c r="BC776" i="1" l="1"/>
  <c r="BD776" i="1" s="1"/>
  <c r="AE776" i="1" s="1"/>
  <c r="BF778" i="1"/>
  <c r="AC777" i="1"/>
  <c r="BB777" i="1"/>
  <c r="AF400" i="1"/>
  <c r="P401" i="1"/>
  <c r="BE401" i="1" s="1"/>
  <c r="AT401" i="1"/>
  <c r="AS401" i="1" s="1"/>
  <c r="AM401" i="1"/>
  <c r="I401" i="1"/>
  <c r="Q401" i="1" s="1"/>
  <c r="N401" i="1"/>
  <c r="AN325" i="1"/>
  <c r="AN309" i="1"/>
  <c r="AN317" i="1"/>
  <c r="J777" i="1"/>
  <c r="L778" i="1"/>
  <c r="A798" i="7"/>
  <c r="B797" i="7"/>
  <c r="S778" i="1"/>
  <c r="Z780" i="1" s="1"/>
  <c r="K778" i="1"/>
  <c r="AU778" i="1"/>
  <c r="AA778" i="1"/>
  <c r="B779" i="1"/>
  <c r="C778" i="1"/>
  <c r="AK777" i="1"/>
  <c r="A778" i="1"/>
  <c r="AW777" i="1"/>
  <c r="AI777" i="1" s="1"/>
  <c r="AJ777" i="1" s="1"/>
  <c r="M776" i="1"/>
  <c r="G776" i="1"/>
  <c r="H776" i="1" s="1"/>
  <c r="E777" i="1"/>
  <c r="F777" i="1" s="1"/>
  <c r="D777" i="1"/>
  <c r="BC777" i="1" l="1"/>
  <c r="BD777" i="1" s="1"/>
  <c r="AE777" i="1" s="1"/>
  <c r="BF779" i="1"/>
  <c r="AG400" i="1"/>
  <c r="BB778" i="1"/>
  <c r="AH400" i="1"/>
  <c r="V401" i="1"/>
  <c r="Y401" i="1"/>
  <c r="X401" i="1" s="1"/>
  <c r="AY401" i="1"/>
  <c r="AQ401" i="1"/>
  <c r="O401" i="1"/>
  <c r="AO325" i="1"/>
  <c r="AO309" i="1"/>
  <c r="AO317" i="1"/>
  <c r="J778" i="1"/>
  <c r="L779" i="1"/>
  <c r="A799" i="7"/>
  <c r="B798" i="7"/>
  <c r="S779" i="1"/>
  <c r="Z781" i="1" s="1"/>
  <c r="K779" i="1"/>
  <c r="AU779" i="1"/>
  <c r="G777" i="1"/>
  <c r="H777" i="1" s="1"/>
  <c r="C779" i="1"/>
  <c r="AA779" i="1"/>
  <c r="B780" i="1"/>
  <c r="AK778" i="1"/>
  <c r="AW778" i="1"/>
  <c r="AI778" i="1" s="1"/>
  <c r="AJ778" i="1" s="1"/>
  <c r="A779" i="1"/>
  <c r="M777" i="1"/>
  <c r="AC778" i="1"/>
  <c r="D778" i="1"/>
  <c r="E778" i="1"/>
  <c r="F778" i="1" s="1"/>
  <c r="BC778" i="1" l="1"/>
  <c r="BD778" i="1" s="1"/>
  <c r="AE778" i="1" s="1"/>
  <c r="BF780" i="1"/>
  <c r="BA400" i="1"/>
  <c r="BB779" i="1"/>
  <c r="AF401" i="1"/>
  <c r="P402" i="1"/>
  <c r="BE402" i="1" s="1"/>
  <c r="AM402" i="1"/>
  <c r="I402" i="1"/>
  <c r="Q402" i="1" s="1"/>
  <c r="AT402" i="1"/>
  <c r="AS402" i="1" s="1"/>
  <c r="N402" i="1"/>
  <c r="AP325" i="1"/>
  <c r="AX326" i="1" s="1"/>
  <c r="AP317" i="1"/>
  <c r="AX318" i="1" s="1"/>
  <c r="AP309" i="1"/>
  <c r="AX310" i="1" s="1"/>
  <c r="J779" i="1"/>
  <c r="L780" i="1"/>
  <c r="A800" i="7"/>
  <c r="B799" i="7"/>
  <c r="S780" i="1"/>
  <c r="Z782" i="1" s="1"/>
  <c r="K780" i="1"/>
  <c r="AU780" i="1"/>
  <c r="C780" i="1"/>
  <c r="AA780" i="1"/>
  <c r="B781" i="1"/>
  <c r="AW779" i="1"/>
  <c r="AI779" i="1" s="1"/>
  <c r="AJ779" i="1" s="1"/>
  <c r="A780" i="1"/>
  <c r="AK779" i="1"/>
  <c r="M778" i="1"/>
  <c r="G778" i="1"/>
  <c r="H778" i="1" s="1"/>
  <c r="AC779" i="1"/>
  <c r="D779" i="1"/>
  <c r="E779" i="1"/>
  <c r="F779" i="1" s="1"/>
  <c r="BC779" i="1" l="1"/>
  <c r="BD779" i="1" s="1"/>
  <c r="AE779" i="1" s="1"/>
  <c r="BF781" i="1"/>
  <c r="AG401" i="1"/>
  <c r="AH401" i="1"/>
  <c r="BB780" i="1"/>
  <c r="O402" i="1"/>
  <c r="Y402" i="1"/>
  <c r="X402" i="1" s="1"/>
  <c r="AY402" i="1"/>
  <c r="V402" i="1"/>
  <c r="AQ402" i="1"/>
  <c r="J780" i="1"/>
  <c r="L781" i="1"/>
  <c r="A801" i="7"/>
  <c r="B800" i="7"/>
  <c r="S781" i="1"/>
  <c r="Z783" i="1" s="1"/>
  <c r="K781" i="1"/>
  <c r="AU781" i="1"/>
  <c r="G779" i="1"/>
  <c r="H779" i="1" s="1"/>
  <c r="M779" i="1"/>
  <c r="AC780" i="1"/>
  <c r="D780" i="1"/>
  <c r="E780" i="1"/>
  <c r="F780" i="1" s="1"/>
  <c r="AK780" i="1"/>
  <c r="AW780" i="1"/>
  <c r="AI780" i="1" s="1"/>
  <c r="AJ780" i="1" s="1"/>
  <c r="A781" i="1"/>
  <c r="AP780" i="1"/>
  <c r="B782" i="1"/>
  <c r="C781" i="1"/>
  <c r="AA781" i="1"/>
  <c r="BC780" i="1" l="1"/>
  <c r="BD780" i="1" s="1"/>
  <c r="AE780" i="1" s="1"/>
  <c r="BF782" i="1"/>
  <c r="BA401" i="1"/>
  <c r="BB781" i="1"/>
  <c r="AF402" i="1"/>
  <c r="P403" i="1"/>
  <c r="BE403" i="1" s="1"/>
  <c r="AT403" i="1"/>
  <c r="AS403" i="1" s="1"/>
  <c r="N403" i="1"/>
  <c r="I403" i="1"/>
  <c r="Q403" i="1" s="1"/>
  <c r="AM403" i="1"/>
  <c r="U310" i="1"/>
  <c r="U326" i="1"/>
  <c r="U318" i="1"/>
  <c r="J781" i="1"/>
  <c r="L782" i="1"/>
  <c r="A802" i="7"/>
  <c r="B801" i="7"/>
  <c r="S782" i="1"/>
  <c r="Z784" i="1" s="1"/>
  <c r="K782" i="1"/>
  <c r="AU782" i="1"/>
  <c r="AC781" i="1"/>
  <c r="AK781" i="1"/>
  <c r="A782" i="1"/>
  <c r="AW781" i="1"/>
  <c r="AI781" i="1" s="1"/>
  <c r="AJ781" i="1" s="1"/>
  <c r="G780" i="1"/>
  <c r="H780" i="1" s="1"/>
  <c r="E781" i="1"/>
  <c r="F781" i="1" s="1"/>
  <c r="D781" i="1"/>
  <c r="AA782" i="1"/>
  <c r="B783" i="1"/>
  <c r="C782" i="1"/>
  <c r="M780" i="1"/>
  <c r="BC781" i="1" l="1"/>
  <c r="BD781" i="1" s="1"/>
  <c r="AE781" i="1" s="1"/>
  <c r="BF783" i="1"/>
  <c r="AH402" i="1"/>
  <c r="BB782" i="1"/>
  <c r="AG402" i="1"/>
  <c r="BA402" i="1" s="1"/>
  <c r="V403" i="1"/>
  <c r="Y403" i="1"/>
  <c r="X403" i="1" s="1"/>
  <c r="AQ403" i="1"/>
  <c r="AY403" i="1"/>
  <c r="O403" i="1"/>
  <c r="AL326" i="1"/>
  <c r="AL310" i="1"/>
  <c r="AL318" i="1"/>
  <c r="J782" i="1"/>
  <c r="L783" i="1"/>
  <c r="A803" i="7"/>
  <c r="B802" i="7"/>
  <c r="S783" i="1"/>
  <c r="Z785" i="1" s="1"/>
  <c r="K783" i="1"/>
  <c r="AU783" i="1"/>
  <c r="C783" i="1"/>
  <c r="AA783" i="1"/>
  <c r="B784" i="1"/>
  <c r="A783" i="1"/>
  <c r="AK782" i="1"/>
  <c r="AW782" i="1"/>
  <c r="AI782" i="1" s="1"/>
  <c r="AJ782" i="1" s="1"/>
  <c r="G781" i="1"/>
  <c r="H781" i="1" s="1"/>
  <c r="M781" i="1"/>
  <c r="E782" i="1"/>
  <c r="F782" i="1" s="1"/>
  <c r="D782" i="1"/>
  <c r="AC782" i="1"/>
  <c r="BC782" i="1" l="1"/>
  <c r="BD782" i="1" s="1"/>
  <c r="AE782" i="1" s="1"/>
  <c r="BF784" i="1"/>
  <c r="BB783" i="1"/>
  <c r="AF403" i="1"/>
  <c r="AM404" i="1"/>
  <c r="N404" i="1"/>
  <c r="AT404" i="1"/>
  <c r="AS404" i="1" s="1"/>
  <c r="P404" i="1"/>
  <c r="BE404" i="1" s="1"/>
  <c r="I404" i="1"/>
  <c r="Q404" i="1" s="1"/>
  <c r="AN318" i="1"/>
  <c r="AN326" i="1"/>
  <c r="AN310" i="1"/>
  <c r="J783" i="1"/>
  <c r="L784" i="1"/>
  <c r="A804" i="7"/>
  <c r="B803" i="7"/>
  <c r="S784" i="1"/>
  <c r="Z786" i="1" s="1"/>
  <c r="K784" i="1"/>
  <c r="AU784" i="1"/>
  <c r="E783" i="1"/>
  <c r="F783" i="1" s="1"/>
  <c r="D783" i="1"/>
  <c r="AA784" i="1"/>
  <c r="B785" i="1"/>
  <c r="C784" i="1"/>
  <c r="G782" i="1"/>
  <c r="H782" i="1" s="1"/>
  <c r="AC783" i="1"/>
  <c r="AW783" i="1"/>
  <c r="AI783" i="1" s="1"/>
  <c r="AJ783" i="1" s="1"/>
  <c r="A784" i="1"/>
  <c r="AK783" i="1"/>
  <c r="M782" i="1"/>
  <c r="BC783" i="1" l="1"/>
  <c r="BD783" i="1" s="1"/>
  <c r="AE783" i="1" s="1"/>
  <c r="BF785" i="1"/>
  <c r="AH403" i="1"/>
  <c r="AG403" i="1"/>
  <c r="BB784" i="1"/>
  <c r="O404" i="1"/>
  <c r="P405" i="1" s="1"/>
  <c r="BE405" i="1" s="1"/>
  <c r="Y404" i="1"/>
  <c r="X404" i="1" s="1"/>
  <c r="AF404" i="1" s="1"/>
  <c r="AY404" i="1"/>
  <c r="V404" i="1"/>
  <c r="AQ404" i="1"/>
  <c r="AO310" i="1"/>
  <c r="AO318" i="1"/>
  <c r="AO326" i="1"/>
  <c r="J784" i="1"/>
  <c r="L785" i="1"/>
  <c r="A805" i="7"/>
  <c r="B804" i="7"/>
  <c r="S785" i="1"/>
  <c r="Z787" i="1" s="1"/>
  <c r="K785" i="1"/>
  <c r="AU785" i="1"/>
  <c r="AK784" i="1"/>
  <c r="AW784" i="1"/>
  <c r="AI784" i="1" s="1"/>
  <c r="AJ784" i="1" s="1"/>
  <c r="A785" i="1"/>
  <c r="E784" i="1"/>
  <c r="F784" i="1" s="1"/>
  <c r="D784" i="1"/>
  <c r="AC784" i="1"/>
  <c r="G783" i="1"/>
  <c r="H783" i="1" s="1"/>
  <c r="M783" i="1"/>
  <c r="AA785" i="1"/>
  <c r="B786" i="1"/>
  <c r="C785" i="1"/>
  <c r="BC784" i="1" l="1"/>
  <c r="BD784" i="1" s="1"/>
  <c r="AE784" i="1" s="1"/>
  <c r="BF786" i="1"/>
  <c r="Y405" i="1"/>
  <c r="X405" i="1" s="1"/>
  <c r="AF405" i="1" s="1"/>
  <c r="BB785" i="1"/>
  <c r="BA403" i="1"/>
  <c r="AC785" i="1"/>
  <c r="N405" i="1"/>
  <c r="AM405" i="1"/>
  <c r="AY405" i="1"/>
  <c r="I405" i="1"/>
  <c r="Q405" i="1" s="1"/>
  <c r="AH404" i="1"/>
  <c r="AT405" i="1"/>
  <c r="AS405" i="1" s="1"/>
  <c r="AQ405" i="1" s="1"/>
  <c r="V405" i="1"/>
  <c r="AG404" i="1"/>
  <c r="BA404" i="1" s="1"/>
  <c r="AP318" i="1"/>
  <c r="AX319" i="1" s="1"/>
  <c r="AP310" i="1"/>
  <c r="AX311" i="1" s="1"/>
  <c r="AP326" i="1"/>
  <c r="AX327" i="1" s="1"/>
  <c r="J785" i="1"/>
  <c r="L786" i="1"/>
  <c r="A806" i="7"/>
  <c r="B805" i="7"/>
  <c r="S786" i="1"/>
  <c r="Z788" i="1" s="1"/>
  <c r="K786" i="1"/>
  <c r="AU786" i="1"/>
  <c r="M784" i="1"/>
  <c r="C786" i="1"/>
  <c r="AA786" i="1"/>
  <c r="B787" i="1"/>
  <c r="D785" i="1"/>
  <c r="E785" i="1"/>
  <c r="F785" i="1" s="1"/>
  <c r="G784" i="1"/>
  <c r="H784" i="1" s="1"/>
  <c r="AW785" i="1"/>
  <c r="AI785" i="1" s="1"/>
  <c r="AJ785" i="1" s="1"/>
  <c r="A786" i="1"/>
  <c r="AK785" i="1"/>
  <c r="BC785" i="1" l="1"/>
  <c r="BD785" i="1" s="1"/>
  <c r="AE785" i="1" s="1"/>
  <c r="BF787" i="1"/>
  <c r="BB786" i="1"/>
  <c r="O405" i="1"/>
  <c r="P406" i="1" s="1"/>
  <c r="BE406" i="1" s="1"/>
  <c r="J786" i="1"/>
  <c r="L787" i="1"/>
  <c r="AG405" i="1"/>
  <c r="A807" i="7"/>
  <c r="B806" i="7"/>
  <c r="S787" i="1"/>
  <c r="Z789" i="1" s="1"/>
  <c r="K787" i="1"/>
  <c r="AU787" i="1"/>
  <c r="G785" i="1"/>
  <c r="H785" i="1" s="1"/>
  <c r="D786" i="1"/>
  <c r="E786" i="1"/>
  <c r="F786" i="1" s="1"/>
  <c r="M785" i="1"/>
  <c r="A787" i="1"/>
  <c r="AW786" i="1"/>
  <c r="AI786" i="1" s="1"/>
  <c r="AJ786" i="1" s="1"/>
  <c r="AK786" i="1"/>
  <c r="B788" i="1"/>
  <c r="AA787" i="1"/>
  <c r="C787" i="1"/>
  <c r="AC786" i="1"/>
  <c r="BC786" i="1" l="1"/>
  <c r="BD786" i="1" s="1"/>
  <c r="AE786" i="1" s="1"/>
  <c r="BF788" i="1"/>
  <c r="V406" i="1"/>
  <c r="BB787" i="1"/>
  <c r="AY406" i="1"/>
  <c r="Y406" i="1"/>
  <c r="X406" i="1" s="1"/>
  <c r="AH405" i="1"/>
  <c r="AT406" i="1"/>
  <c r="AS406" i="1" s="1"/>
  <c r="AQ406" i="1" s="1"/>
  <c r="AM406" i="1"/>
  <c r="I406" i="1"/>
  <c r="Q406" i="1" s="1"/>
  <c r="N406" i="1"/>
  <c r="U327" i="1"/>
  <c r="U311" i="1"/>
  <c r="U319" i="1"/>
  <c r="J787" i="1"/>
  <c r="L788" i="1"/>
  <c r="BA405" i="1"/>
  <c r="A808" i="7"/>
  <c r="B807" i="7"/>
  <c r="S788" i="1"/>
  <c r="Z790" i="1" s="1"/>
  <c r="K788" i="1"/>
  <c r="AU788" i="1"/>
  <c r="AC787" i="1"/>
  <c r="M786" i="1"/>
  <c r="B789" i="1"/>
  <c r="C788" i="1"/>
  <c r="AA788" i="1"/>
  <c r="G786" i="1"/>
  <c r="H786" i="1" s="1"/>
  <c r="AK787" i="1"/>
  <c r="A788" i="1"/>
  <c r="AW787" i="1"/>
  <c r="AI787" i="1" s="1"/>
  <c r="AJ787" i="1" s="1"/>
  <c r="E787" i="1"/>
  <c r="F787" i="1" s="1"/>
  <c r="D787" i="1"/>
  <c r="BC787" i="1" l="1"/>
  <c r="BD787" i="1" s="1"/>
  <c r="AE787" i="1" s="1"/>
  <c r="BF789" i="1"/>
  <c r="AC788" i="1"/>
  <c r="BB788" i="1"/>
  <c r="AF406" i="1"/>
  <c r="O406" i="1"/>
  <c r="AL311" i="1"/>
  <c r="AL319" i="1"/>
  <c r="AL327" i="1"/>
  <c r="J788" i="1"/>
  <c r="L789" i="1"/>
  <c r="A809" i="7"/>
  <c r="B808" i="7"/>
  <c r="S789" i="1"/>
  <c r="Z791" i="1" s="1"/>
  <c r="K789" i="1"/>
  <c r="AU789" i="1"/>
  <c r="G787" i="1"/>
  <c r="H787" i="1" s="1"/>
  <c r="AK788" i="1"/>
  <c r="AW788" i="1"/>
  <c r="AI788" i="1" s="1"/>
  <c r="AJ788" i="1" s="1"/>
  <c r="A789" i="1"/>
  <c r="M787" i="1"/>
  <c r="D788" i="1"/>
  <c r="E788" i="1"/>
  <c r="F788" i="1" s="1"/>
  <c r="C789" i="1"/>
  <c r="AA789" i="1"/>
  <c r="B790" i="1"/>
  <c r="BC788" i="1" l="1"/>
  <c r="BD788" i="1" s="1"/>
  <c r="AE788" i="1" s="1"/>
  <c r="BF790" i="1"/>
  <c r="AH406" i="1"/>
  <c r="BB789" i="1"/>
  <c r="AG406" i="1"/>
  <c r="N407" i="1"/>
  <c r="P407" i="1"/>
  <c r="BE407" i="1" s="1"/>
  <c r="I407" i="1"/>
  <c r="Q407" i="1" s="1"/>
  <c r="AT407" i="1"/>
  <c r="AS407" i="1" s="1"/>
  <c r="AM407" i="1"/>
  <c r="AN327" i="1"/>
  <c r="AN311" i="1"/>
  <c r="AN319" i="1"/>
  <c r="J789" i="1"/>
  <c r="L790" i="1"/>
  <c r="A810" i="7"/>
  <c r="B809" i="7"/>
  <c r="S790" i="1"/>
  <c r="Z792" i="1" s="1"/>
  <c r="K790" i="1"/>
  <c r="AU790" i="1"/>
  <c r="G788" i="1"/>
  <c r="H788" i="1" s="1"/>
  <c r="AW789" i="1"/>
  <c r="AI789" i="1" s="1"/>
  <c r="AJ789" i="1" s="1"/>
  <c r="AK789" i="1"/>
  <c r="A790" i="1"/>
  <c r="D789" i="1"/>
  <c r="E789" i="1"/>
  <c r="F789" i="1" s="1"/>
  <c r="AC789" i="1"/>
  <c r="C790" i="1"/>
  <c r="AA790" i="1"/>
  <c r="B791" i="1"/>
  <c r="M788" i="1"/>
  <c r="BC789" i="1" l="1"/>
  <c r="BD789" i="1" s="1"/>
  <c r="AE789" i="1" s="1"/>
  <c r="BF791" i="1"/>
  <c r="BB790" i="1"/>
  <c r="BA406" i="1"/>
  <c r="O407" i="1"/>
  <c r="V407" i="1"/>
  <c r="Y407" i="1"/>
  <c r="X407" i="1" s="1"/>
  <c r="AY407" i="1"/>
  <c r="AQ407" i="1"/>
  <c r="AO327" i="1"/>
  <c r="AO311" i="1"/>
  <c r="AO319" i="1"/>
  <c r="J790" i="1"/>
  <c r="L791" i="1"/>
  <c r="A811" i="7"/>
  <c r="B810" i="7"/>
  <c r="S791" i="1"/>
  <c r="Z793" i="1" s="1"/>
  <c r="K791" i="1"/>
  <c r="AU791" i="1"/>
  <c r="G789" i="1"/>
  <c r="H789" i="1" s="1"/>
  <c r="AC790" i="1"/>
  <c r="M789" i="1"/>
  <c r="AA791" i="1"/>
  <c r="B792" i="1"/>
  <c r="C791" i="1"/>
  <c r="E790" i="1"/>
  <c r="F790" i="1" s="1"/>
  <c r="D790" i="1"/>
  <c r="AK790" i="1"/>
  <c r="A791" i="1"/>
  <c r="AW790" i="1"/>
  <c r="AI790" i="1" s="1"/>
  <c r="AJ790" i="1" s="1"/>
  <c r="BC790" i="1" l="1"/>
  <c r="BD790" i="1" s="1"/>
  <c r="AE790" i="1" s="1"/>
  <c r="BF792" i="1"/>
  <c r="BB791" i="1"/>
  <c r="AC791" i="1"/>
  <c r="AF407" i="1"/>
  <c r="AG407" i="1" s="1"/>
  <c r="P408" i="1"/>
  <c r="BE408" i="1" s="1"/>
  <c r="N408" i="1"/>
  <c r="AM408" i="1"/>
  <c r="I408" i="1"/>
  <c r="Q408" i="1" s="1"/>
  <c r="AT408" i="1"/>
  <c r="AS408" i="1" s="1"/>
  <c r="AP319" i="1"/>
  <c r="AX320" i="1" s="1"/>
  <c r="AP327" i="1"/>
  <c r="AX328" i="1" s="1"/>
  <c r="AP311" i="1"/>
  <c r="AX312" i="1" s="1"/>
  <c r="J791" i="1"/>
  <c r="L792" i="1"/>
  <c r="A812" i="7"/>
  <c r="B811" i="7"/>
  <c r="S792" i="1"/>
  <c r="Z794" i="1" s="1"/>
  <c r="K792" i="1"/>
  <c r="AU792" i="1"/>
  <c r="E791" i="1"/>
  <c r="F791" i="1" s="1"/>
  <c r="D791" i="1"/>
  <c r="AK791" i="1"/>
  <c r="AW791" i="1"/>
  <c r="AI791" i="1" s="1"/>
  <c r="AJ791" i="1" s="1"/>
  <c r="A792" i="1"/>
  <c r="AA792" i="1"/>
  <c r="B793" i="1"/>
  <c r="C792" i="1"/>
  <c r="G790" i="1"/>
  <c r="H790" i="1" s="1"/>
  <c r="M790" i="1"/>
  <c r="BC791" i="1" l="1"/>
  <c r="BD791" i="1" s="1"/>
  <c r="AE791" i="1" s="1"/>
  <c r="BF793" i="1"/>
  <c r="BB792" i="1"/>
  <c r="BA407" i="1"/>
  <c r="AH407" i="1"/>
  <c r="O408" i="1"/>
  <c r="V408" i="1"/>
  <c r="Y408" i="1"/>
  <c r="X408" i="1" s="1"/>
  <c r="AF408" i="1" s="1"/>
  <c r="AQ408" i="1"/>
  <c r="AY408" i="1"/>
  <c r="J792" i="1"/>
  <c r="L793" i="1"/>
  <c r="A813" i="7"/>
  <c r="B812" i="7"/>
  <c r="S793" i="1"/>
  <c r="Z795" i="1" s="1"/>
  <c r="K793" i="1"/>
  <c r="AU793" i="1"/>
  <c r="D792" i="1"/>
  <c r="E792" i="1"/>
  <c r="F792" i="1" s="1"/>
  <c r="G791" i="1"/>
  <c r="H791" i="1" s="1"/>
  <c r="M791" i="1"/>
  <c r="AP792" i="1"/>
  <c r="AK792" i="1"/>
  <c r="A793" i="1"/>
  <c r="AW792" i="1"/>
  <c r="AI792" i="1" s="1"/>
  <c r="AJ792" i="1" s="1"/>
  <c r="AC792" i="1"/>
  <c r="AA793" i="1"/>
  <c r="B794" i="1"/>
  <c r="C793" i="1"/>
  <c r="BC792" i="1" l="1"/>
  <c r="BD792" i="1" s="1"/>
  <c r="AE792" i="1" s="1"/>
  <c r="BF794" i="1"/>
  <c r="BB793" i="1"/>
  <c r="AH408" i="1"/>
  <c r="AG408" i="1"/>
  <c r="BA408" i="1" s="1"/>
  <c r="P409" i="1"/>
  <c r="BE409" i="1" s="1"/>
  <c r="AT409" i="1"/>
  <c r="AS409" i="1" s="1"/>
  <c r="N409" i="1"/>
  <c r="I409" i="1"/>
  <c r="Q409" i="1" s="1"/>
  <c r="AM409" i="1"/>
  <c r="U312" i="1"/>
  <c r="U328" i="1"/>
  <c r="U320" i="1"/>
  <c r="J793" i="1"/>
  <c r="L794" i="1"/>
  <c r="A814" i="7"/>
  <c r="B813" i="7"/>
  <c r="S794" i="1"/>
  <c r="Z796" i="1" s="1"/>
  <c r="K794" i="1"/>
  <c r="AU794" i="1"/>
  <c r="E793" i="1"/>
  <c r="F793" i="1" s="1"/>
  <c r="D793" i="1"/>
  <c r="M792" i="1"/>
  <c r="AK793" i="1"/>
  <c r="A794" i="1"/>
  <c r="AW793" i="1"/>
  <c r="AI793" i="1" s="1"/>
  <c r="AJ793" i="1" s="1"/>
  <c r="B795" i="1"/>
  <c r="C794" i="1"/>
  <c r="AA794" i="1"/>
  <c r="G792" i="1"/>
  <c r="H792" i="1" s="1"/>
  <c r="AC793" i="1"/>
  <c r="BC793" i="1" l="1"/>
  <c r="BD793" i="1" s="1"/>
  <c r="AE793" i="1" s="1"/>
  <c r="BF795" i="1"/>
  <c r="BB794" i="1"/>
  <c r="V409" i="1"/>
  <c r="Y409" i="1"/>
  <c r="X409" i="1" s="1"/>
  <c r="AQ409" i="1"/>
  <c r="AY409" i="1"/>
  <c r="O409" i="1"/>
  <c r="AL328" i="1"/>
  <c r="AL312" i="1"/>
  <c r="AL320" i="1"/>
  <c r="J794" i="1"/>
  <c r="L795" i="1"/>
  <c r="A815" i="7"/>
  <c r="B814" i="7"/>
  <c r="S795" i="1"/>
  <c r="Z797" i="1" s="1"/>
  <c r="K795" i="1"/>
  <c r="AU795" i="1"/>
  <c r="B796" i="1"/>
  <c r="C795" i="1"/>
  <c r="AA795" i="1"/>
  <c r="M793" i="1"/>
  <c r="AC794" i="1"/>
  <c r="G793" i="1"/>
  <c r="H793" i="1" s="1"/>
  <c r="D794" i="1"/>
  <c r="E794" i="1"/>
  <c r="F794" i="1" s="1"/>
  <c r="AW794" i="1"/>
  <c r="AI794" i="1" s="1"/>
  <c r="AJ794" i="1" s="1"/>
  <c r="AK794" i="1"/>
  <c r="A795" i="1"/>
  <c r="BC794" i="1" l="1"/>
  <c r="BD794" i="1" s="1"/>
  <c r="AE794" i="1" s="1"/>
  <c r="AX409" i="1"/>
  <c r="BF796" i="1"/>
  <c r="BB795" i="1"/>
  <c r="AF409" i="1"/>
  <c r="AG409" i="1" s="1"/>
  <c r="P410" i="1"/>
  <c r="BE410" i="1" s="1"/>
  <c r="N410" i="1"/>
  <c r="AM410" i="1"/>
  <c r="AT410" i="1"/>
  <c r="AS410" i="1" s="1"/>
  <c r="I410" i="1"/>
  <c r="Q410" i="1" s="1"/>
  <c r="AN320" i="1"/>
  <c r="AN328" i="1"/>
  <c r="AN312" i="1"/>
  <c r="J795" i="1"/>
  <c r="L796" i="1"/>
  <c r="A816" i="7"/>
  <c r="B815" i="7"/>
  <c r="S796" i="1"/>
  <c r="Z798" i="1" s="1"/>
  <c r="K796" i="1"/>
  <c r="AU796" i="1"/>
  <c r="M794" i="1"/>
  <c r="D795" i="1"/>
  <c r="E795" i="1"/>
  <c r="F795" i="1" s="1"/>
  <c r="B797" i="1"/>
  <c r="C796" i="1"/>
  <c r="AA796" i="1"/>
  <c r="AC795" i="1"/>
  <c r="AK795" i="1"/>
  <c r="AW795" i="1"/>
  <c r="AI795" i="1" s="1"/>
  <c r="AJ795" i="1" s="1"/>
  <c r="A796" i="1"/>
  <c r="G794" i="1"/>
  <c r="H794" i="1" s="1"/>
  <c r="BC795" i="1" l="1"/>
  <c r="BD795" i="1" s="1"/>
  <c r="AE795" i="1" s="1"/>
  <c r="BF797" i="1"/>
  <c r="BB796" i="1"/>
  <c r="BA409" i="1"/>
  <c r="AH409" i="1"/>
  <c r="O410" i="1"/>
  <c r="N411" i="1" s="1"/>
  <c r="V410" i="1"/>
  <c r="Y410" i="1"/>
  <c r="X410" i="1" s="1"/>
  <c r="AF410" i="1" s="1"/>
  <c r="AQ410" i="1"/>
  <c r="AY410" i="1"/>
  <c r="AO312" i="1"/>
  <c r="AO320" i="1"/>
  <c r="AO328" i="1"/>
  <c r="J796" i="1"/>
  <c r="L797" i="1"/>
  <c r="A817" i="7"/>
  <c r="B816" i="7"/>
  <c r="S797" i="1"/>
  <c r="Z799" i="1" s="1"/>
  <c r="K797" i="1"/>
  <c r="AU797" i="1"/>
  <c r="E796" i="1"/>
  <c r="F796" i="1" s="1"/>
  <c r="D796" i="1"/>
  <c r="C797" i="1"/>
  <c r="B798" i="1"/>
  <c r="AA797" i="1"/>
  <c r="G795" i="1"/>
  <c r="H795" i="1" s="1"/>
  <c r="AK796" i="1"/>
  <c r="AW796" i="1"/>
  <c r="AI796" i="1" s="1"/>
  <c r="AJ796" i="1" s="1"/>
  <c r="A797" i="1"/>
  <c r="AC796" i="1"/>
  <c r="M795" i="1"/>
  <c r="BC796" i="1" l="1"/>
  <c r="BD796" i="1" s="1"/>
  <c r="AE796" i="1" s="1"/>
  <c r="BF798" i="1"/>
  <c r="AC797" i="1"/>
  <c r="BB797" i="1"/>
  <c r="AH410" i="1"/>
  <c r="AT411" i="1"/>
  <c r="AS411" i="1" s="1"/>
  <c r="I411" i="1"/>
  <c r="Q411" i="1" s="1"/>
  <c r="P411" i="1"/>
  <c r="BE411" i="1" s="1"/>
  <c r="AM411" i="1"/>
  <c r="AG410" i="1"/>
  <c r="BA410" i="1" s="1"/>
  <c r="AP328" i="1"/>
  <c r="AX329" i="1" s="1"/>
  <c r="AP320" i="1"/>
  <c r="AX321" i="1" s="1"/>
  <c r="J797" i="1"/>
  <c r="L798" i="1"/>
  <c r="A818" i="7"/>
  <c r="B817" i="7"/>
  <c r="S798" i="1"/>
  <c r="Z800" i="1" s="1"/>
  <c r="K798" i="1"/>
  <c r="AU798" i="1"/>
  <c r="D797" i="1"/>
  <c r="E797" i="1"/>
  <c r="F797" i="1" s="1"/>
  <c r="AW797" i="1"/>
  <c r="AI797" i="1" s="1"/>
  <c r="AJ797" i="1" s="1"/>
  <c r="A798" i="1"/>
  <c r="AK797" i="1"/>
  <c r="C798" i="1"/>
  <c r="AA798" i="1"/>
  <c r="B799" i="1"/>
  <c r="M796" i="1"/>
  <c r="G796" i="1"/>
  <c r="H796" i="1" s="1"/>
  <c r="BC797" i="1" l="1"/>
  <c r="BD797" i="1" s="1"/>
  <c r="AE797" i="1" s="1"/>
  <c r="BF799" i="1"/>
  <c r="Y411" i="1"/>
  <c r="X411" i="1" s="1"/>
  <c r="AF411" i="1" s="1"/>
  <c r="BB798" i="1"/>
  <c r="O411" i="1"/>
  <c r="P412" i="1" s="1"/>
  <c r="BE412" i="1" s="1"/>
  <c r="AQ411" i="1"/>
  <c r="AY411" i="1"/>
  <c r="V411" i="1"/>
  <c r="J798" i="1"/>
  <c r="L799" i="1"/>
  <c r="A819" i="7"/>
  <c r="B818" i="7"/>
  <c r="S799" i="1"/>
  <c r="Z801" i="1" s="1"/>
  <c r="K799" i="1"/>
  <c r="AU799" i="1"/>
  <c r="M797" i="1"/>
  <c r="AA799" i="1"/>
  <c r="B800" i="1"/>
  <c r="C799" i="1"/>
  <c r="AC798" i="1"/>
  <c r="E798" i="1"/>
  <c r="F798" i="1" s="1"/>
  <c r="D798" i="1"/>
  <c r="AW798" i="1"/>
  <c r="AI798" i="1" s="1"/>
  <c r="AJ798" i="1" s="1"/>
  <c r="A799" i="1"/>
  <c r="AK798" i="1"/>
  <c r="G797" i="1"/>
  <c r="H797" i="1" s="1"/>
  <c r="BC798" i="1" l="1"/>
  <c r="BD798" i="1" s="1"/>
  <c r="AE798" i="1" s="1"/>
  <c r="BF800" i="1"/>
  <c r="V412" i="1"/>
  <c r="AG411" i="1"/>
  <c r="BB799" i="1"/>
  <c r="AY412" i="1"/>
  <c r="AH411" i="1"/>
  <c r="I412" i="1"/>
  <c r="Q412" i="1" s="1"/>
  <c r="AM412" i="1"/>
  <c r="AT412" i="1"/>
  <c r="AS412" i="1" s="1"/>
  <c r="AQ412" i="1" s="1"/>
  <c r="N412" i="1"/>
  <c r="Y412" i="1"/>
  <c r="X412" i="1" s="1"/>
  <c r="AF412" i="1" s="1"/>
  <c r="U329" i="1"/>
  <c r="U321" i="1"/>
  <c r="J799" i="1"/>
  <c r="L800" i="1"/>
  <c r="A820" i="7"/>
  <c r="B819" i="7"/>
  <c r="S800" i="1"/>
  <c r="Z802" i="1" s="1"/>
  <c r="K800" i="1"/>
  <c r="AU800" i="1"/>
  <c r="G798" i="1"/>
  <c r="H798" i="1" s="1"/>
  <c r="B801" i="1"/>
  <c r="C800" i="1"/>
  <c r="AA800" i="1"/>
  <c r="AC799" i="1"/>
  <c r="AW799" i="1"/>
  <c r="AI799" i="1" s="1"/>
  <c r="AJ799" i="1" s="1"/>
  <c r="AK799" i="1"/>
  <c r="A800" i="1"/>
  <c r="M798" i="1"/>
  <c r="D799" i="1"/>
  <c r="E799" i="1"/>
  <c r="F799" i="1" s="1"/>
  <c r="U337" i="1"/>
  <c r="BC799" i="1" l="1"/>
  <c r="BD799" i="1" s="1"/>
  <c r="AE799" i="1" s="1"/>
  <c r="BF801" i="1"/>
  <c r="BA411" i="1"/>
  <c r="BB800" i="1"/>
  <c r="O412" i="1"/>
  <c r="P413" i="1" s="1"/>
  <c r="BE413" i="1" s="1"/>
  <c r="AL321" i="1"/>
  <c r="AL337" i="1"/>
  <c r="AL329" i="1"/>
  <c r="J800" i="1"/>
  <c r="AG412" i="1"/>
  <c r="L801" i="1"/>
  <c r="A821" i="7"/>
  <c r="B820" i="7"/>
  <c r="S801" i="1"/>
  <c r="Z803" i="1" s="1"/>
  <c r="K801" i="1"/>
  <c r="AU801" i="1"/>
  <c r="G799" i="1"/>
  <c r="H799" i="1" s="1"/>
  <c r="AW800" i="1"/>
  <c r="AI800" i="1" s="1"/>
  <c r="AJ800" i="1" s="1"/>
  <c r="A801" i="1"/>
  <c r="AK800" i="1"/>
  <c r="M799" i="1"/>
  <c r="E800" i="1"/>
  <c r="F800" i="1" s="1"/>
  <c r="D800" i="1"/>
  <c r="AC800" i="1"/>
  <c r="C801" i="1"/>
  <c r="B802" i="1"/>
  <c r="AA801" i="1"/>
  <c r="BC800" i="1" l="1"/>
  <c r="BD800" i="1" s="1"/>
  <c r="AE800" i="1" s="1"/>
  <c r="BF802" i="1"/>
  <c r="AC801" i="1"/>
  <c r="BB801" i="1"/>
  <c r="AH412" i="1"/>
  <c r="AM413" i="1"/>
  <c r="N413" i="1"/>
  <c r="AT413" i="1"/>
  <c r="AS413" i="1" s="1"/>
  <c r="AQ413" i="1" s="1"/>
  <c r="V413" i="1"/>
  <c r="Y413" i="1"/>
  <c r="X413" i="1" s="1"/>
  <c r="AF413" i="1" s="1"/>
  <c r="AY413" i="1"/>
  <c r="I413" i="1"/>
  <c r="Q413" i="1" s="1"/>
  <c r="AN329" i="1"/>
  <c r="AN321" i="1"/>
  <c r="AN337" i="1"/>
  <c r="J801" i="1"/>
  <c r="L802" i="1"/>
  <c r="BA412" i="1"/>
  <c r="A822" i="7"/>
  <c r="B821" i="7"/>
  <c r="S802" i="1"/>
  <c r="Z804" i="1" s="1"/>
  <c r="K802" i="1"/>
  <c r="AU802" i="1"/>
  <c r="M800" i="1"/>
  <c r="AW801" i="1"/>
  <c r="AI801" i="1" s="1"/>
  <c r="AJ801" i="1" s="1"/>
  <c r="A802" i="1"/>
  <c r="AK801" i="1"/>
  <c r="G800" i="1"/>
  <c r="H800" i="1" s="1"/>
  <c r="E801" i="1"/>
  <c r="F801" i="1" s="1"/>
  <c r="D801" i="1"/>
  <c r="C802" i="1"/>
  <c r="AA802" i="1"/>
  <c r="B803" i="1"/>
  <c r="BC801" i="1" l="1"/>
  <c r="BD801" i="1" s="1"/>
  <c r="AE801" i="1" s="1"/>
  <c r="BF803" i="1"/>
  <c r="BB802" i="1"/>
  <c r="O413" i="1"/>
  <c r="N414" i="1" s="1"/>
  <c r="AO329" i="1"/>
  <c r="AO321" i="1"/>
  <c r="AO337" i="1"/>
  <c r="J802" i="1"/>
  <c r="L803" i="1"/>
  <c r="AG413" i="1"/>
  <c r="A823" i="7"/>
  <c r="B822" i="7"/>
  <c r="S803" i="1"/>
  <c r="Z805" i="1" s="1"/>
  <c r="K803" i="1"/>
  <c r="AU803" i="1"/>
  <c r="D802" i="1"/>
  <c r="E802" i="1"/>
  <c r="F802" i="1" s="1"/>
  <c r="G801" i="1"/>
  <c r="H801" i="1" s="1"/>
  <c r="M801" i="1"/>
  <c r="B804" i="1"/>
  <c r="C803" i="1"/>
  <c r="AA803" i="1"/>
  <c r="AK802" i="1"/>
  <c r="A803" i="1"/>
  <c r="AW802" i="1"/>
  <c r="AI802" i="1" s="1"/>
  <c r="AJ802" i="1" s="1"/>
  <c r="AC802" i="1"/>
  <c r="BC802" i="1" l="1"/>
  <c r="BD802" i="1" s="1"/>
  <c r="AE802" i="1" s="1"/>
  <c r="BF804" i="1"/>
  <c r="BB803" i="1"/>
  <c r="AH413" i="1"/>
  <c r="AT414" i="1"/>
  <c r="AS414" i="1" s="1"/>
  <c r="AM414" i="1"/>
  <c r="P414" i="1"/>
  <c r="BE414" i="1" s="1"/>
  <c r="I414" i="1"/>
  <c r="Q414" i="1" s="1"/>
  <c r="AP329" i="1"/>
  <c r="AX330" i="1" s="1"/>
  <c r="AP337" i="1"/>
  <c r="AX338" i="1" s="1"/>
  <c r="AP321" i="1"/>
  <c r="AX322" i="1" s="1"/>
  <c r="J803" i="1"/>
  <c r="L804" i="1"/>
  <c r="BA413" i="1"/>
  <c r="A824" i="7"/>
  <c r="B823" i="7"/>
  <c r="S804" i="1"/>
  <c r="Z806" i="1" s="1"/>
  <c r="K804" i="1"/>
  <c r="AU804" i="1"/>
  <c r="G802" i="1"/>
  <c r="H802" i="1" s="1"/>
  <c r="E803" i="1"/>
  <c r="F803" i="1" s="1"/>
  <c r="D803" i="1"/>
  <c r="AW803" i="1"/>
  <c r="AI803" i="1" s="1"/>
  <c r="AJ803" i="1" s="1"/>
  <c r="AK803" i="1"/>
  <c r="A804" i="1"/>
  <c r="AA804" i="1"/>
  <c r="C804" i="1"/>
  <c r="B805" i="1"/>
  <c r="AC803" i="1"/>
  <c r="M802" i="1"/>
  <c r="BC803" i="1" l="1"/>
  <c r="BD803" i="1" s="1"/>
  <c r="AE803" i="1" s="1"/>
  <c r="BF805" i="1"/>
  <c r="BB804" i="1"/>
  <c r="AQ414" i="1"/>
  <c r="O414" i="1"/>
  <c r="V414" i="1"/>
  <c r="Y414" i="1"/>
  <c r="X414" i="1" s="1"/>
  <c r="AY414" i="1"/>
  <c r="J804" i="1"/>
  <c r="L805" i="1"/>
  <c r="A825" i="7"/>
  <c r="B824" i="7"/>
  <c r="S805" i="1"/>
  <c r="Z807" i="1" s="1"/>
  <c r="K805" i="1"/>
  <c r="AU805" i="1"/>
  <c r="M803" i="1"/>
  <c r="AA805" i="1"/>
  <c r="B806" i="1"/>
  <c r="C805" i="1"/>
  <c r="AC804" i="1"/>
  <c r="G803" i="1"/>
  <c r="H803" i="1" s="1"/>
  <c r="E804" i="1"/>
  <c r="F804" i="1" s="1"/>
  <c r="D804" i="1"/>
  <c r="AP804" i="1"/>
  <c r="AK804" i="1"/>
  <c r="AW804" i="1"/>
  <c r="AI804" i="1" s="1"/>
  <c r="AJ804" i="1" s="1"/>
  <c r="A805" i="1"/>
  <c r="BC804" i="1" l="1"/>
  <c r="BD804" i="1" s="1"/>
  <c r="AE804" i="1" s="1"/>
  <c r="BF806" i="1"/>
  <c r="BB805" i="1"/>
  <c r="AF414" i="1"/>
  <c r="AG414" i="1" s="1"/>
  <c r="P415" i="1"/>
  <c r="BE415" i="1" s="1"/>
  <c r="N415" i="1"/>
  <c r="AM415" i="1"/>
  <c r="I415" i="1"/>
  <c r="Q415" i="1" s="1"/>
  <c r="AT415" i="1"/>
  <c r="AS415" i="1" s="1"/>
  <c r="U338" i="1"/>
  <c r="U330" i="1"/>
  <c r="U322" i="1"/>
  <c r="J805" i="1"/>
  <c r="L806" i="1"/>
  <c r="A826" i="7"/>
  <c r="B825" i="7"/>
  <c r="S806" i="1"/>
  <c r="Z808" i="1" s="1"/>
  <c r="K806" i="1"/>
  <c r="AU806" i="1"/>
  <c r="AW805" i="1"/>
  <c r="AI805" i="1" s="1"/>
  <c r="AJ805" i="1" s="1"/>
  <c r="AK805" i="1"/>
  <c r="A806" i="1"/>
  <c r="D805" i="1"/>
  <c r="E805" i="1"/>
  <c r="F805" i="1" s="1"/>
  <c r="B807" i="1"/>
  <c r="C806" i="1"/>
  <c r="AA806" i="1"/>
  <c r="G804" i="1"/>
  <c r="H804" i="1" s="1"/>
  <c r="M804" i="1"/>
  <c r="AC805" i="1"/>
  <c r="BC805" i="1" l="1"/>
  <c r="BD805" i="1" s="1"/>
  <c r="AE805" i="1" s="1"/>
  <c r="BF807" i="1"/>
  <c r="BB806" i="1"/>
  <c r="AH414" i="1"/>
  <c r="BA414" i="1"/>
  <c r="Y415" i="1"/>
  <c r="X415" i="1" s="1"/>
  <c r="V415" i="1"/>
  <c r="AQ415" i="1"/>
  <c r="AY415" i="1"/>
  <c r="O415" i="1"/>
  <c r="AL330" i="1"/>
  <c r="AL322" i="1"/>
  <c r="AL338" i="1"/>
  <c r="J806" i="1"/>
  <c r="L807" i="1"/>
  <c r="A827" i="7"/>
  <c r="B826" i="7"/>
  <c r="S807" i="1"/>
  <c r="Z809" i="1" s="1"/>
  <c r="K807" i="1"/>
  <c r="AU807" i="1"/>
  <c r="E806" i="1"/>
  <c r="F806" i="1" s="1"/>
  <c r="D806" i="1"/>
  <c r="AA807" i="1"/>
  <c r="C807" i="1"/>
  <c r="B808" i="1"/>
  <c r="M805" i="1"/>
  <c r="G805" i="1"/>
  <c r="H805" i="1" s="1"/>
  <c r="A807" i="1"/>
  <c r="AK806" i="1"/>
  <c r="AW806" i="1"/>
  <c r="AI806" i="1" s="1"/>
  <c r="AJ806" i="1" s="1"/>
  <c r="AC806" i="1"/>
  <c r="BC806" i="1" l="1"/>
  <c r="BD806" i="1" s="1"/>
  <c r="AE806" i="1" s="1"/>
  <c r="BF808" i="1"/>
  <c r="AC807" i="1"/>
  <c r="BB807" i="1"/>
  <c r="AF415" i="1"/>
  <c r="AG415" i="1" s="1"/>
  <c r="P416" i="1"/>
  <c r="BE416" i="1" s="1"/>
  <c r="AT416" i="1"/>
  <c r="AS416" i="1" s="1"/>
  <c r="N416" i="1"/>
  <c r="I416" i="1"/>
  <c r="Q416" i="1" s="1"/>
  <c r="AM416" i="1"/>
  <c r="AN338" i="1"/>
  <c r="AN330" i="1"/>
  <c r="AN322" i="1"/>
  <c r="J807" i="1"/>
  <c r="L808" i="1"/>
  <c r="A828" i="7"/>
  <c r="B827" i="7"/>
  <c r="S808" i="1"/>
  <c r="Z810" i="1" s="1"/>
  <c r="K808" i="1"/>
  <c r="AU808" i="1"/>
  <c r="A808" i="1"/>
  <c r="AW807" i="1"/>
  <c r="AI807" i="1" s="1"/>
  <c r="AJ807" i="1" s="1"/>
  <c r="AK807" i="1"/>
  <c r="B809" i="1"/>
  <c r="AA808" i="1"/>
  <c r="C808" i="1"/>
  <c r="M806" i="1"/>
  <c r="D807" i="1"/>
  <c r="E807" i="1"/>
  <c r="F807" i="1" s="1"/>
  <c r="G806" i="1"/>
  <c r="H806" i="1" s="1"/>
  <c r="BC807" i="1" l="1"/>
  <c r="BD807" i="1" s="1"/>
  <c r="AE807" i="1" s="1"/>
  <c r="BF809" i="1"/>
  <c r="AC808" i="1"/>
  <c r="BB808" i="1"/>
  <c r="BA415" i="1"/>
  <c r="AH415" i="1"/>
  <c r="V416" i="1"/>
  <c r="Y416" i="1"/>
  <c r="X416" i="1" s="1"/>
  <c r="AQ416" i="1"/>
  <c r="AY416" i="1"/>
  <c r="O416" i="1"/>
  <c r="AO322" i="1"/>
  <c r="AO330" i="1"/>
  <c r="AO338" i="1"/>
  <c r="J808" i="1"/>
  <c r="L809" i="1"/>
  <c r="A829" i="7"/>
  <c r="B828" i="7"/>
  <c r="S809" i="1"/>
  <c r="Z811" i="1" s="1"/>
  <c r="K809" i="1"/>
  <c r="AU809" i="1"/>
  <c r="G807" i="1"/>
  <c r="H807" i="1" s="1"/>
  <c r="D808" i="1"/>
  <c r="E808" i="1"/>
  <c r="F808" i="1" s="1"/>
  <c r="M807" i="1"/>
  <c r="C809" i="1"/>
  <c r="AA809" i="1"/>
  <c r="B810" i="1"/>
  <c r="AK808" i="1"/>
  <c r="AW808" i="1"/>
  <c r="AI808" i="1" s="1"/>
  <c r="AJ808" i="1" s="1"/>
  <c r="A809" i="1"/>
  <c r="BC808" i="1" l="1"/>
  <c r="BD808" i="1" s="1"/>
  <c r="AE808" i="1" s="1"/>
  <c r="BF810" i="1"/>
  <c r="BB809" i="1"/>
  <c r="AF416" i="1"/>
  <c r="N417" i="1"/>
  <c r="I417" i="1"/>
  <c r="Q417" i="1" s="1"/>
  <c r="P417" i="1"/>
  <c r="BE417" i="1" s="1"/>
  <c r="AM417" i="1"/>
  <c r="AT417" i="1"/>
  <c r="AS417" i="1" s="1"/>
  <c r="AP322" i="1"/>
  <c r="AX323" i="1" s="1"/>
  <c r="AP338" i="1"/>
  <c r="AX339" i="1" s="1"/>
  <c r="AP330" i="1"/>
  <c r="AX331" i="1" s="1"/>
  <c r="J809" i="1"/>
  <c r="L810" i="1"/>
  <c r="A830" i="7"/>
  <c r="B829" i="7"/>
  <c r="S810" i="1"/>
  <c r="Z812" i="1" s="1"/>
  <c r="K810" i="1"/>
  <c r="AU810" i="1"/>
  <c r="B811" i="1"/>
  <c r="C810" i="1"/>
  <c r="AA810" i="1"/>
  <c r="M808" i="1"/>
  <c r="AC809" i="1"/>
  <c r="D809" i="1"/>
  <c r="E809" i="1"/>
  <c r="F809" i="1" s="1"/>
  <c r="AW809" i="1"/>
  <c r="AI809" i="1" s="1"/>
  <c r="AJ809" i="1" s="1"/>
  <c r="AK809" i="1"/>
  <c r="A810" i="1"/>
  <c r="G808" i="1"/>
  <c r="H808" i="1" s="1"/>
  <c r="BC809" i="1" l="1"/>
  <c r="BD809" i="1" s="1"/>
  <c r="AE809" i="1" s="1"/>
  <c r="BF811" i="1"/>
  <c r="BB810" i="1"/>
  <c r="AG416" i="1"/>
  <c r="BA416" i="1" s="1"/>
  <c r="AH416" i="1"/>
  <c r="AQ417" i="1"/>
  <c r="V417" i="1"/>
  <c r="Y417" i="1"/>
  <c r="X417" i="1" s="1"/>
  <c r="AY417" i="1"/>
  <c r="O417" i="1"/>
  <c r="J810" i="1"/>
  <c r="L811" i="1"/>
  <c r="A831" i="7"/>
  <c r="B830" i="7"/>
  <c r="S811" i="1"/>
  <c r="Z813" i="1" s="1"/>
  <c r="K811" i="1"/>
  <c r="AU811" i="1"/>
  <c r="G809" i="1"/>
  <c r="H809" i="1" s="1"/>
  <c r="C811" i="1"/>
  <c r="AA811" i="1"/>
  <c r="B812" i="1"/>
  <c r="AW810" i="1"/>
  <c r="AI810" i="1" s="1"/>
  <c r="AJ810" i="1" s="1"/>
  <c r="AK810" i="1"/>
  <c r="A811" i="1"/>
  <c r="AC810" i="1"/>
  <c r="D810" i="1"/>
  <c r="E810" i="1"/>
  <c r="F810" i="1" s="1"/>
  <c r="M809" i="1"/>
  <c r="BC810" i="1" l="1"/>
  <c r="BD810" i="1" s="1"/>
  <c r="AE810" i="1" s="1"/>
  <c r="BF812" i="1"/>
  <c r="BB811" i="1"/>
  <c r="AF417" i="1"/>
  <c r="AG417" i="1" s="1"/>
  <c r="N418" i="1"/>
  <c r="AT418" i="1"/>
  <c r="AS418" i="1" s="1"/>
  <c r="P418" i="1"/>
  <c r="BE418" i="1" s="1"/>
  <c r="AM418" i="1"/>
  <c r="I418" i="1"/>
  <c r="Q418" i="1" s="1"/>
  <c r="U339" i="1"/>
  <c r="U323" i="1"/>
  <c r="U331" i="1"/>
  <c r="J811" i="1"/>
  <c r="L812" i="1"/>
  <c r="A832" i="7"/>
  <c r="B831" i="7"/>
  <c r="S812" i="1"/>
  <c r="Z814" i="1" s="1"/>
  <c r="K812" i="1"/>
  <c r="AU812" i="1"/>
  <c r="G810" i="1"/>
  <c r="H810" i="1" s="1"/>
  <c r="AC811" i="1"/>
  <c r="AK811" i="1"/>
  <c r="A812" i="1"/>
  <c r="AW811" i="1"/>
  <c r="AI811" i="1" s="1"/>
  <c r="AJ811" i="1" s="1"/>
  <c r="AA812" i="1"/>
  <c r="B813" i="1"/>
  <c r="C812" i="1"/>
  <c r="D811" i="1"/>
  <c r="E811" i="1"/>
  <c r="F811" i="1" s="1"/>
  <c r="M810" i="1"/>
  <c r="BC811" i="1" l="1"/>
  <c r="BD811" i="1" s="1"/>
  <c r="AE811" i="1" s="1"/>
  <c r="BF813" i="1"/>
  <c r="AC812" i="1"/>
  <c r="BB812" i="1"/>
  <c r="BA417" i="1"/>
  <c r="AH417" i="1"/>
  <c r="Y418" i="1"/>
  <c r="X418" i="1" s="1"/>
  <c r="AF418" i="1" s="1"/>
  <c r="V418" i="1"/>
  <c r="AQ418" i="1"/>
  <c r="AY418" i="1"/>
  <c r="O418" i="1"/>
  <c r="AL323" i="1"/>
  <c r="AL331" i="1"/>
  <c r="AL339" i="1"/>
  <c r="J812" i="1"/>
  <c r="L813" i="1"/>
  <c r="A833" i="7"/>
  <c r="B832" i="7"/>
  <c r="S813" i="1"/>
  <c r="Z815" i="1" s="1"/>
  <c r="K813" i="1"/>
  <c r="AU813" i="1"/>
  <c r="G811" i="1"/>
  <c r="H811" i="1" s="1"/>
  <c r="D812" i="1"/>
  <c r="E812" i="1"/>
  <c r="F812" i="1" s="1"/>
  <c r="AA813" i="1"/>
  <c r="B814" i="1"/>
  <c r="C813" i="1"/>
  <c r="M811" i="1"/>
  <c r="A813" i="1"/>
  <c r="AW812" i="1"/>
  <c r="AI812" i="1" s="1"/>
  <c r="AJ812" i="1" s="1"/>
  <c r="AK812" i="1"/>
  <c r="BC812" i="1" l="1"/>
  <c r="BD812" i="1" s="1"/>
  <c r="AE812" i="1" s="1"/>
  <c r="BF814" i="1"/>
  <c r="AC813" i="1"/>
  <c r="BB813" i="1"/>
  <c r="P419" i="1"/>
  <c r="BE419" i="1" s="1"/>
  <c r="AT419" i="1"/>
  <c r="AS419" i="1" s="1"/>
  <c r="AM419" i="1"/>
  <c r="N419" i="1"/>
  <c r="I419" i="1"/>
  <c r="Q419" i="1" s="1"/>
  <c r="AH418" i="1"/>
  <c r="AG418" i="1"/>
  <c r="AN323" i="1"/>
  <c r="AN339" i="1"/>
  <c r="AN331" i="1"/>
  <c r="J813" i="1"/>
  <c r="L814" i="1"/>
  <c r="A834" i="7"/>
  <c r="B833" i="7"/>
  <c r="S814" i="1"/>
  <c r="Z816" i="1" s="1"/>
  <c r="K814" i="1"/>
  <c r="AU814" i="1"/>
  <c r="D813" i="1"/>
  <c r="E813" i="1"/>
  <c r="F813" i="1" s="1"/>
  <c r="B815" i="1"/>
  <c r="C814" i="1"/>
  <c r="AA814" i="1"/>
  <c r="G812" i="1"/>
  <c r="H812" i="1" s="1"/>
  <c r="A814" i="1"/>
  <c r="AW813" i="1"/>
  <c r="AI813" i="1" s="1"/>
  <c r="AJ813" i="1" s="1"/>
  <c r="AK813" i="1"/>
  <c r="M812" i="1"/>
  <c r="BC813" i="1" l="1"/>
  <c r="BD813" i="1" s="1"/>
  <c r="AE813" i="1" s="1"/>
  <c r="BF815" i="1"/>
  <c r="BB814" i="1"/>
  <c r="AQ419" i="1"/>
  <c r="BA418" i="1"/>
  <c r="O419" i="1"/>
  <c r="V419" i="1"/>
  <c r="Y419" i="1"/>
  <c r="X419" i="1" s="1"/>
  <c r="AF419" i="1" s="1"/>
  <c r="AY419" i="1"/>
  <c r="AO323" i="1"/>
  <c r="AO331" i="1"/>
  <c r="AO339" i="1"/>
  <c r="J814" i="1"/>
  <c r="L815" i="1"/>
  <c r="A835" i="7"/>
  <c r="B834" i="7"/>
  <c r="S815" i="1"/>
  <c r="Z817" i="1" s="1"/>
  <c r="K815" i="1"/>
  <c r="AU815" i="1"/>
  <c r="AC814" i="1"/>
  <c r="C815" i="1"/>
  <c r="AA815" i="1"/>
  <c r="B816" i="1"/>
  <c r="M813" i="1"/>
  <c r="G813" i="1"/>
  <c r="H813" i="1" s="1"/>
  <c r="A815" i="1"/>
  <c r="AW814" i="1"/>
  <c r="AI814" i="1" s="1"/>
  <c r="AJ814" i="1" s="1"/>
  <c r="AK814" i="1"/>
  <c r="D814" i="1"/>
  <c r="E814" i="1"/>
  <c r="F814" i="1" s="1"/>
  <c r="BC814" i="1" l="1"/>
  <c r="BD814" i="1" s="1"/>
  <c r="AE814" i="1" s="1"/>
  <c r="BF816" i="1"/>
  <c r="BB815" i="1"/>
  <c r="P420" i="1"/>
  <c r="BE420" i="1" s="1"/>
  <c r="AM420" i="1"/>
  <c r="AT420" i="1"/>
  <c r="AS420" i="1" s="1"/>
  <c r="I420" i="1"/>
  <c r="Q420" i="1" s="1"/>
  <c r="N420" i="1"/>
  <c r="AG419" i="1"/>
  <c r="AH419" i="1"/>
  <c r="AP323" i="1"/>
  <c r="AX324" i="1" s="1"/>
  <c r="AP331" i="1"/>
  <c r="AX332" i="1" s="1"/>
  <c r="AP339" i="1"/>
  <c r="AX340" i="1" s="1"/>
  <c r="J815" i="1"/>
  <c r="L816" i="1"/>
  <c r="A836" i="7"/>
  <c r="B835" i="7"/>
  <c r="S816" i="1"/>
  <c r="Z818" i="1" s="1"/>
  <c r="K816" i="1"/>
  <c r="AU816" i="1"/>
  <c r="AA816" i="1"/>
  <c r="C816" i="1"/>
  <c r="B817" i="1"/>
  <c r="D815" i="1"/>
  <c r="E815" i="1"/>
  <c r="F815" i="1" s="1"/>
  <c r="AC815" i="1"/>
  <c r="G814" i="1"/>
  <c r="H814" i="1" s="1"/>
  <c r="AK815" i="1"/>
  <c r="A816" i="1"/>
  <c r="AW815" i="1"/>
  <c r="AI815" i="1" s="1"/>
  <c r="AJ815" i="1" s="1"/>
  <c r="M814" i="1"/>
  <c r="BC815" i="1" l="1"/>
  <c r="BD815" i="1" s="1"/>
  <c r="AE815" i="1" s="1"/>
  <c r="BF817" i="1"/>
  <c r="BB816" i="1"/>
  <c r="AC816" i="1"/>
  <c r="AQ420" i="1"/>
  <c r="O420" i="1"/>
  <c r="BA419" i="1"/>
  <c r="V420" i="1"/>
  <c r="AY420" i="1"/>
  <c r="Y420" i="1"/>
  <c r="X420" i="1" s="1"/>
  <c r="AF420" i="1" s="1"/>
  <c r="J816" i="1"/>
  <c r="L817" i="1"/>
  <c r="A837" i="7"/>
  <c r="B836" i="7"/>
  <c r="S817" i="1"/>
  <c r="Z819" i="1" s="1"/>
  <c r="K817" i="1"/>
  <c r="AU817" i="1"/>
  <c r="AW816" i="1"/>
  <c r="AI816" i="1" s="1"/>
  <c r="AJ816" i="1" s="1"/>
  <c r="A817" i="1"/>
  <c r="AP816" i="1"/>
  <c r="AK816" i="1"/>
  <c r="M815" i="1"/>
  <c r="G815" i="1"/>
  <c r="H815" i="1" s="1"/>
  <c r="AA817" i="1"/>
  <c r="B818" i="1"/>
  <c r="C817" i="1"/>
  <c r="E816" i="1"/>
  <c r="F816" i="1" s="1"/>
  <c r="D816" i="1"/>
  <c r="BC816" i="1" l="1"/>
  <c r="BD816" i="1" s="1"/>
  <c r="AE816" i="1" s="1"/>
  <c r="BF818" i="1"/>
  <c r="AC817" i="1"/>
  <c r="BB817" i="1"/>
  <c r="AG420" i="1"/>
  <c r="AH420" i="1"/>
  <c r="P421" i="1"/>
  <c r="BE421" i="1" s="1"/>
  <c r="AT421" i="1"/>
  <c r="AS421" i="1" s="1"/>
  <c r="I421" i="1"/>
  <c r="Q421" i="1" s="1"/>
  <c r="N421" i="1"/>
  <c r="AM421" i="1"/>
  <c r="U324" i="1"/>
  <c r="U340" i="1"/>
  <c r="U332" i="1"/>
  <c r="J817" i="1"/>
  <c r="L818" i="1"/>
  <c r="A838" i="7"/>
  <c r="B837" i="7"/>
  <c r="S818" i="1"/>
  <c r="Z820" i="1" s="1"/>
  <c r="K818" i="1"/>
  <c r="AU818" i="1"/>
  <c r="G816" i="1"/>
  <c r="H816" i="1" s="1"/>
  <c r="AW817" i="1"/>
  <c r="AI817" i="1" s="1"/>
  <c r="AJ817" i="1" s="1"/>
  <c r="A818" i="1"/>
  <c r="AK817" i="1"/>
  <c r="M816" i="1"/>
  <c r="B819" i="1"/>
  <c r="C818" i="1"/>
  <c r="AA818" i="1"/>
  <c r="D817" i="1"/>
  <c r="E817" i="1"/>
  <c r="F817" i="1" s="1"/>
  <c r="BC817" i="1" l="1"/>
  <c r="BD817" i="1" s="1"/>
  <c r="AE817" i="1" s="1"/>
  <c r="BF819" i="1"/>
  <c r="BB818" i="1"/>
  <c r="AQ421" i="1"/>
  <c r="V421" i="1"/>
  <c r="Y421" i="1"/>
  <c r="X421" i="1" s="1"/>
  <c r="AF421" i="1" s="1"/>
  <c r="AY421" i="1"/>
  <c r="BA420" i="1"/>
  <c r="O421" i="1"/>
  <c r="AL340" i="1"/>
  <c r="AL324" i="1"/>
  <c r="AL332" i="1"/>
  <c r="J818" i="1"/>
  <c r="L819" i="1"/>
  <c r="A839" i="7"/>
  <c r="B838" i="7"/>
  <c r="S819" i="1"/>
  <c r="Z821" i="1" s="1"/>
  <c r="K819" i="1"/>
  <c r="AU819" i="1"/>
  <c r="M817" i="1"/>
  <c r="D818" i="1"/>
  <c r="E818" i="1"/>
  <c r="F818" i="1" s="1"/>
  <c r="AK818" i="1"/>
  <c r="A819" i="1"/>
  <c r="AW818" i="1"/>
  <c r="AI818" i="1" s="1"/>
  <c r="AJ818" i="1" s="1"/>
  <c r="AC818" i="1"/>
  <c r="AA819" i="1"/>
  <c r="B820" i="1"/>
  <c r="C819" i="1"/>
  <c r="G817" i="1"/>
  <c r="H817" i="1" s="1"/>
  <c r="BC818" i="1" l="1"/>
  <c r="BD818" i="1" s="1"/>
  <c r="AE818" i="1" s="1"/>
  <c r="AX421" i="1"/>
  <c r="BF820" i="1"/>
  <c r="BB819" i="1"/>
  <c r="AH421" i="1"/>
  <c r="AG421" i="1"/>
  <c r="BA421" i="1" s="1"/>
  <c r="P422" i="1"/>
  <c r="BE422" i="1" s="1"/>
  <c r="N422" i="1"/>
  <c r="AM422" i="1"/>
  <c r="AT422" i="1"/>
  <c r="AS422" i="1" s="1"/>
  <c r="I422" i="1"/>
  <c r="Q422" i="1" s="1"/>
  <c r="AN332" i="1"/>
  <c r="AN340" i="1"/>
  <c r="AN324" i="1"/>
  <c r="J819" i="1"/>
  <c r="L820" i="1"/>
  <c r="A840" i="7"/>
  <c r="B839" i="7"/>
  <c r="S820" i="1"/>
  <c r="Z822" i="1" s="1"/>
  <c r="K820" i="1"/>
  <c r="AU820" i="1"/>
  <c r="M818" i="1"/>
  <c r="AA820" i="1"/>
  <c r="C820" i="1"/>
  <c r="B821" i="1"/>
  <c r="AC819" i="1"/>
  <c r="G818" i="1"/>
  <c r="H818" i="1" s="1"/>
  <c r="AW819" i="1"/>
  <c r="AI819" i="1" s="1"/>
  <c r="AJ819" i="1" s="1"/>
  <c r="AK819" i="1"/>
  <c r="A820" i="1"/>
  <c r="D819" i="1"/>
  <c r="E819" i="1"/>
  <c r="F819" i="1" s="1"/>
  <c r="BC819" i="1" l="1"/>
  <c r="BD819" i="1" s="1"/>
  <c r="AE819" i="1" s="1"/>
  <c r="BF821" i="1"/>
  <c r="BB820" i="1"/>
  <c r="O422" i="1"/>
  <c r="V422" i="1"/>
  <c r="Y422" i="1"/>
  <c r="X422" i="1" s="1"/>
  <c r="AF422" i="1" s="1"/>
  <c r="AQ422" i="1"/>
  <c r="AY422" i="1"/>
  <c r="AO332" i="1"/>
  <c r="AO324" i="1"/>
  <c r="AO340" i="1"/>
  <c r="J820" i="1"/>
  <c r="L821" i="1"/>
  <c r="A841" i="7"/>
  <c r="B840" i="7"/>
  <c r="S821" i="1"/>
  <c r="Z823" i="1" s="1"/>
  <c r="K821" i="1"/>
  <c r="AU821" i="1"/>
  <c r="E820" i="1"/>
  <c r="F820" i="1" s="1"/>
  <c r="D820" i="1"/>
  <c r="G819" i="1"/>
  <c r="H819" i="1" s="1"/>
  <c r="C821" i="1"/>
  <c r="AA821" i="1"/>
  <c r="B822" i="1"/>
  <c r="AK820" i="1"/>
  <c r="AW820" i="1"/>
  <c r="AI820" i="1" s="1"/>
  <c r="AJ820" i="1" s="1"/>
  <c r="A821" i="1"/>
  <c r="M819" i="1"/>
  <c r="AC820" i="1"/>
  <c r="BC820" i="1" l="1"/>
  <c r="BD820" i="1" s="1"/>
  <c r="AE820" i="1" s="1"/>
  <c r="BF822" i="1"/>
  <c r="BB821" i="1"/>
  <c r="AG422" i="1"/>
  <c r="BA422" i="1" s="1"/>
  <c r="AH422" i="1"/>
  <c r="P423" i="1"/>
  <c r="BE423" i="1" s="1"/>
  <c r="AT423" i="1"/>
  <c r="AS423" i="1" s="1"/>
  <c r="N423" i="1"/>
  <c r="AM423" i="1"/>
  <c r="I423" i="1"/>
  <c r="Q423" i="1" s="1"/>
  <c r="AP332" i="1"/>
  <c r="AX333" i="1" s="1"/>
  <c r="AP340" i="1"/>
  <c r="AX341" i="1" s="1"/>
  <c r="J821" i="1"/>
  <c r="L822" i="1"/>
  <c r="A842" i="7"/>
  <c r="B841" i="7"/>
  <c r="S822" i="1"/>
  <c r="Z824" i="1" s="1"/>
  <c r="K822" i="1"/>
  <c r="AU822" i="1"/>
  <c r="AK821" i="1"/>
  <c r="A822" i="1"/>
  <c r="AW821" i="1"/>
  <c r="AI821" i="1" s="1"/>
  <c r="AJ821" i="1" s="1"/>
  <c r="M820" i="1"/>
  <c r="AC821" i="1"/>
  <c r="D821" i="1"/>
  <c r="E821" i="1"/>
  <c r="F821" i="1" s="1"/>
  <c r="B823" i="1"/>
  <c r="C822" i="1"/>
  <c r="AA822" i="1"/>
  <c r="G820" i="1"/>
  <c r="H820" i="1" s="1"/>
  <c r="BC821" i="1" l="1"/>
  <c r="BD821" i="1" s="1"/>
  <c r="AE821" i="1" s="1"/>
  <c r="BF823" i="1"/>
  <c r="BB822" i="1"/>
  <c r="O423" i="1"/>
  <c r="Y423" i="1"/>
  <c r="X423" i="1" s="1"/>
  <c r="AF423" i="1" s="1"/>
  <c r="V423" i="1"/>
  <c r="AY423" i="1"/>
  <c r="AQ423" i="1"/>
  <c r="J822" i="1"/>
  <c r="L823" i="1"/>
  <c r="A843" i="7"/>
  <c r="B842" i="7"/>
  <c r="S823" i="1"/>
  <c r="Z825" i="1" s="1"/>
  <c r="K823" i="1"/>
  <c r="AU823" i="1"/>
  <c r="E822" i="1"/>
  <c r="F822" i="1" s="1"/>
  <c r="D822" i="1"/>
  <c r="AC822" i="1"/>
  <c r="AK822" i="1"/>
  <c r="A823" i="1"/>
  <c r="AW822" i="1"/>
  <c r="AI822" i="1" s="1"/>
  <c r="AJ822" i="1" s="1"/>
  <c r="M821" i="1"/>
  <c r="AA823" i="1"/>
  <c r="C823" i="1"/>
  <c r="B824" i="1"/>
  <c r="G821" i="1"/>
  <c r="H821" i="1" s="1"/>
  <c r="BC822" i="1" l="1"/>
  <c r="BD822" i="1" s="1"/>
  <c r="AE822" i="1" s="1"/>
  <c r="BF824" i="1"/>
  <c r="AC823" i="1"/>
  <c r="BB823" i="1"/>
  <c r="AG423" i="1"/>
  <c r="BA423" i="1" s="1"/>
  <c r="AH423" i="1"/>
  <c r="P424" i="1"/>
  <c r="BE424" i="1" s="1"/>
  <c r="AM424" i="1"/>
  <c r="I424" i="1"/>
  <c r="Q424" i="1" s="1"/>
  <c r="N424" i="1"/>
  <c r="AT424" i="1"/>
  <c r="AS424" i="1" s="1"/>
  <c r="U341" i="1"/>
  <c r="U333" i="1"/>
  <c r="J823" i="1"/>
  <c r="L824" i="1"/>
  <c r="A844" i="7"/>
  <c r="B843" i="7"/>
  <c r="S824" i="1"/>
  <c r="Z826" i="1" s="1"/>
  <c r="K824" i="1"/>
  <c r="AU824" i="1"/>
  <c r="D823" i="1"/>
  <c r="E823" i="1"/>
  <c r="F823" i="1" s="1"/>
  <c r="AW823" i="1"/>
  <c r="AI823" i="1" s="1"/>
  <c r="AJ823" i="1" s="1"/>
  <c r="AK823" i="1"/>
  <c r="A824" i="1"/>
  <c r="G822" i="1"/>
  <c r="H822" i="1" s="1"/>
  <c r="M822" i="1"/>
  <c r="B825" i="1"/>
  <c r="C824" i="1"/>
  <c r="AA824" i="1"/>
  <c r="U349" i="1"/>
  <c r="BC823" i="1" l="1"/>
  <c r="BD823" i="1" s="1"/>
  <c r="AE823" i="1" s="1"/>
  <c r="BF825" i="1"/>
  <c r="BB824" i="1"/>
  <c r="O424" i="1"/>
  <c r="P425" i="1" s="1"/>
  <c r="BE425" i="1" s="1"/>
  <c r="V424" i="1"/>
  <c r="Y424" i="1"/>
  <c r="X424" i="1" s="1"/>
  <c r="AF424" i="1" s="1"/>
  <c r="AY424" i="1"/>
  <c r="AQ424" i="1"/>
  <c r="AL349" i="1"/>
  <c r="AL333" i="1"/>
  <c r="AL341" i="1"/>
  <c r="J824" i="1"/>
  <c r="L825" i="1"/>
  <c r="A845" i="7"/>
  <c r="B844" i="7"/>
  <c r="S825" i="1"/>
  <c r="Z827" i="1" s="1"/>
  <c r="K825" i="1"/>
  <c r="AU825" i="1"/>
  <c r="AC824" i="1"/>
  <c r="M823" i="1"/>
  <c r="AA825" i="1"/>
  <c r="B826" i="1"/>
  <c r="C825" i="1"/>
  <c r="E824" i="1"/>
  <c r="F824" i="1" s="1"/>
  <c r="D824" i="1"/>
  <c r="AK824" i="1"/>
  <c r="A825" i="1"/>
  <c r="AW824" i="1"/>
  <c r="AI824" i="1" s="1"/>
  <c r="AJ824" i="1" s="1"/>
  <c r="G823" i="1"/>
  <c r="H823" i="1" s="1"/>
  <c r="BC824" i="1" l="1"/>
  <c r="BD824" i="1" s="1"/>
  <c r="AE824" i="1" s="1"/>
  <c r="BF826" i="1"/>
  <c r="BB825" i="1"/>
  <c r="I425" i="1"/>
  <c r="Q425" i="1" s="1"/>
  <c r="AM425" i="1"/>
  <c r="N425" i="1"/>
  <c r="AT425" i="1"/>
  <c r="AS425" i="1" s="1"/>
  <c r="AQ425" i="1" s="1"/>
  <c r="AG424" i="1"/>
  <c r="BA424" i="1" s="1"/>
  <c r="V425" i="1"/>
  <c r="Y425" i="1"/>
  <c r="X425" i="1" s="1"/>
  <c r="AF425" i="1" s="1"/>
  <c r="AY425" i="1"/>
  <c r="AN333" i="1"/>
  <c r="AN341" i="1"/>
  <c r="AN349" i="1"/>
  <c r="J825" i="1"/>
  <c r="L826" i="1"/>
  <c r="A846" i="7"/>
  <c r="B845" i="7"/>
  <c r="S826" i="1"/>
  <c r="Z828" i="1" s="1"/>
  <c r="K826" i="1"/>
  <c r="AU826" i="1"/>
  <c r="B827" i="1"/>
  <c r="AA826" i="1"/>
  <c r="C826" i="1"/>
  <c r="A826" i="1"/>
  <c r="AW825" i="1"/>
  <c r="AI825" i="1" s="1"/>
  <c r="AJ825" i="1" s="1"/>
  <c r="AK825" i="1"/>
  <c r="G824" i="1"/>
  <c r="H824" i="1" s="1"/>
  <c r="AC825" i="1"/>
  <c r="E825" i="1"/>
  <c r="F825" i="1" s="1"/>
  <c r="D825" i="1"/>
  <c r="M824" i="1"/>
  <c r="BC825" i="1" l="1"/>
  <c r="BD825" i="1" s="1"/>
  <c r="AE825" i="1" s="1"/>
  <c r="BF827" i="1"/>
  <c r="BB826" i="1"/>
  <c r="AC826" i="1"/>
  <c r="O425" i="1"/>
  <c r="AM426" i="1" s="1"/>
  <c r="AH424" i="1"/>
  <c r="AG425" i="1"/>
  <c r="BA425" i="1" s="1"/>
  <c r="AO333" i="1"/>
  <c r="AO341" i="1"/>
  <c r="AO349" i="1"/>
  <c r="J826" i="1"/>
  <c r="L827" i="1"/>
  <c r="A847" i="7"/>
  <c r="B846" i="7"/>
  <c r="S827" i="1"/>
  <c r="Z829" i="1" s="1"/>
  <c r="K827" i="1"/>
  <c r="AU827" i="1"/>
  <c r="M825" i="1"/>
  <c r="G825" i="1"/>
  <c r="H825" i="1" s="1"/>
  <c r="AK826" i="1"/>
  <c r="A827" i="1"/>
  <c r="AW826" i="1"/>
  <c r="AI826" i="1" s="1"/>
  <c r="AJ826" i="1" s="1"/>
  <c r="D826" i="1"/>
  <c r="E826" i="1"/>
  <c r="F826" i="1" s="1"/>
  <c r="AA827" i="1"/>
  <c r="B828" i="1"/>
  <c r="C827" i="1"/>
  <c r="BC826" i="1" l="1"/>
  <c r="BD826" i="1" s="1"/>
  <c r="AE826" i="1" s="1"/>
  <c r="BF828" i="1"/>
  <c r="BB827" i="1"/>
  <c r="P426" i="1"/>
  <c r="BE426" i="1" s="1"/>
  <c r="N426" i="1"/>
  <c r="AH425" i="1"/>
  <c r="I426" i="1"/>
  <c r="Q426" i="1" s="1"/>
  <c r="AT426" i="1"/>
  <c r="AS426" i="1" s="1"/>
  <c r="AP333" i="1"/>
  <c r="AX334" i="1" s="1"/>
  <c r="AP349" i="1"/>
  <c r="AX350" i="1" s="1"/>
  <c r="AP341" i="1"/>
  <c r="AX342" i="1" s="1"/>
  <c r="J827" i="1"/>
  <c r="L828" i="1"/>
  <c r="A848" i="7"/>
  <c r="B847" i="7"/>
  <c r="S828" i="1"/>
  <c r="Z830" i="1" s="1"/>
  <c r="K828" i="1"/>
  <c r="AU828" i="1"/>
  <c r="G826" i="1"/>
  <c r="H826" i="1" s="1"/>
  <c r="M826" i="1"/>
  <c r="E827" i="1"/>
  <c r="F827" i="1" s="1"/>
  <c r="D827" i="1"/>
  <c r="AC827" i="1"/>
  <c r="B829" i="1"/>
  <c r="AA828" i="1"/>
  <c r="C828" i="1"/>
  <c r="A828" i="1"/>
  <c r="AK827" i="1"/>
  <c r="AW827" i="1"/>
  <c r="AI827" i="1" s="1"/>
  <c r="AJ827" i="1" s="1"/>
  <c r="BC827" i="1" l="1"/>
  <c r="BD827" i="1" s="1"/>
  <c r="AE827" i="1" s="1"/>
  <c r="BF829" i="1"/>
  <c r="V426" i="1"/>
  <c r="AQ426" i="1"/>
  <c r="BB828" i="1"/>
  <c r="Y426" i="1"/>
  <c r="X426" i="1" s="1"/>
  <c r="AY426" i="1"/>
  <c r="O426" i="1"/>
  <c r="J828" i="1"/>
  <c r="L829" i="1"/>
  <c r="A849" i="7"/>
  <c r="B848" i="7"/>
  <c r="S829" i="1"/>
  <c r="Z831" i="1" s="1"/>
  <c r="K829" i="1"/>
  <c r="AU829" i="1"/>
  <c r="E828" i="1"/>
  <c r="F828" i="1" s="1"/>
  <c r="D828" i="1"/>
  <c r="M827" i="1"/>
  <c r="A829" i="1"/>
  <c r="AK828" i="1"/>
  <c r="AP828" i="1"/>
  <c r="AW828" i="1"/>
  <c r="AI828" i="1" s="1"/>
  <c r="AJ828" i="1" s="1"/>
  <c r="AC828" i="1"/>
  <c r="C829" i="1"/>
  <c r="AA829" i="1"/>
  <c r="B830" i="1"/>
  <c r="G827" i="1"/>
  <c r="H827" i="1" s="1"/>
  <c r="BC828" i="1" l="1"/>
  <c r="BD828" i="1" s="1"/>
  <c r="AE828" i="1" s="1"/>
  <c r="BF830" i="1"/>
  <c r="BB829" i="1"/>
  <c r="AF426" i="1"/>
  <c r="AG426" i="1" s="1"/>
  <c r="BA426" i="1" s="1"/>
  <c r="I427" i="1"/>
  <c r="Q427" i="1" s="1"/>
  <c r="AT427" i="1"/>
  <c r="AS427" i="1" s="1"/>
  <c r="P427" i="1"/>
  <c r="BE427" i="1" s="1"/>
  <c r="N427" i="1"/>
  <c r="AM427" i="1"/>
  <c r="U350" i="1"/>
  <c r="U342" i="1"/>
  <c r="U334" i="1"/>
  <c r="J829" i="1"/>
  <c r="L830" i="1"/>
  <c r="A850" i="7"/>
  <c r="B849" i="7"/>
  <c r="S830" i="1"/>
  <c r="Z832" i="1" s="1"/>
  <c r="K830" i="1"/>
  <c r="AU830" i="1"/>
  <c r="C830" i="1"/>
  <c r="AA830" i="1"/>
  <c r="B831" i="1"/>
  <c r="G828" i="1"/>
  <c r="H828" i="1" s="1"/>
  <c r="M828" i="1"/>
  <c r="D829" i="1"/>
  <c r="E829" i="1"/>
  <c r="F829" i="1" s="1"/>
  <c r="A830" i="1"/>
  <c r="AW829" i="1"/>
  <c r="AI829" i="1" s="1"/>
  <c r="AJ829" i="1" s="1"/>
  <c r="AK829" i="1"/>
  <c r="AC829" i="1"/>
  <c r="BC829" i="1" l="1"/>
  <c r="BD829" i="1" s="1"/>
  <c r="AE829" i="1" s="1"/>
  <c r="BF831" i="1"/>
  <c r="Y427" i="1"/>
  <c r="X427" i="1" s="1"/>
  <c r="AF427" i="1" s="1"/>
  <c r="AG427" i="1" s="1"/>
  <c r="BB830" i="1"/>
  <c r="AH426" i="1"/>
  <c r="V427" i="1"/>
  <c r="O427" i="1"/>
  <c r="AY427" i="1"/>
  <c r="AQ427" i="1"/>
  <c r="AL342" i="1"/>
  <c r="AL350" i="1"/>
  <c r="AL334" i="1"/>
  <c r="J830" i="1"/>
  <c r="L831" i="1"/>
  <c r="A851" i="7"/>
  <c r="B850" i="7"/>
  <c r="S831" i="1"/>
  <c r="Z833" i="1" s="1"/>
  <c r="K831" i="1"/>
  <c r="AU831" i="1"/>
  <c r="M829" i="1"/>
  <c r="A831" i="1"/>
  <c r="AW830" i="1"/>
  <c r="AI830" i="1" s="1"/>
  <c r="AJ830" i="1" s="1"/>
  <c r="AK830" i="1"/>
  <c r="B832" i="1"/>
  <c r="AA831" i="1"/>
  <c r="C831" i="1"/>
  <c r="D830" i="1"/>
  <c r="E830" i="1"/>
  <c r="F830" i="1" s="1"/>
  <c r="G829" i="1"/>
  <c r="H829" i="1" s="1"/>
  <c r="AC830" i="1"/>
  <c r="BC830" i="1" l="1"/>
  <c r="BD830" i="1" s="1"/>
  <c r="AE830" i="1" s="1"/>
  <c r="BF832" i="1"/>
  <c r="AH427" i="1"/>
  <c r="BB831" i="1"/>
  <c r="AC831" i="1"/>
  <c r="BA427" i="1"/>
  <c r="AM428" i="1"/>
  <c r="P428" i="1"/>
  <c r="BE428" i="1" s="1"/>
  <c r="I428" i="1"/>
  <c r="Q428" i="1" s="1"/>
  <c r="AT428" i="1"/>
  <c r="AS428" i="1" s="1"/>
  <c r="N428" i="1"/>
  <c r="AN334" i="1"/>
  <c r="AN342" i="1"/>
  <c r="AN350" i="1"/>
  <c r="J831" i="1"/>
  <c r="L832" i="1"/>
  <c r="A852" i="7"/>
  <c r="B851" i="7"/>
  <c r="S832" i="1"/>
  <c r="Z834" i="1" s="1"/>
  <c r="K832" i="1"/>
  <c r="AU832" i="1"/>
  <c r="M830" i="1"/>
  <c r="AW831" i="1"/>
  <c r="AI831" i="1" s="1"/>
  <c r="AJ831" i="1" s="1"/>
  <c r="AK831" i="1"/>
  <c r="A832" i="1"/>
  <c r="G830" i="1"/>
  <c r="H830" i="1" s="1"/>
  <c r="E831" i="1"/>
  <c r="F831" i="1" s="1"/>
  <c r="D831" i="1"/>
  <c r="AA832" i="1"/>
  <c r="B833" i="1"/>
  <c r="C832" i="1"/>
  <c r="BC831" i="1" l="1"/>
  <c r="BD831" i="1" s="1"/>
  <c r="AE831" i="1" s="1"/>
  <c r="BF833" i="1"/>
  <c r="AY428" i="1"/>
  <c r="BB832" i="1"/>
  <c r="AC832" i="1"/>
  <c r="AQ428" i="1"/>
  <c r="V428" i="1"/>
  <c r="Y428" i="1"/>
  <c r="X428" i="1" s="1"/>
  <c r="O428" i="1"/>
  <c r="N429" i="1" s="1"/>
  <c r="AO334" i="1"/>
  <c r="AO350" i="1"/>
  <c r="AO342" i="1"/>
  <c r="J832" i="1"/>
  <c r="L833" i="1"/>
  <c r="A853" i="7"/>
  <c r="B852" i="7"/>
  <c r="S833" i="1"/>
  <c r="Z835" i="1" s="1"/>
  <c r="K833" i="1"/>
  <c r="AU833" i="1"/>
  <c r="M831" i="1"/>
  <c r="G831" i="1"/>
  <c r="H831" i="1" s="1"/>
  <c r="AW832" i="1"/>
  <c r="AI832" i="1" s="1"/>
  <c r="AJ832" i="1" s="1"/>
  <c r="A833" i="1"/>
  <c r="AK832" i="1"/>
  <c r="AA833" i="1"/>
  <c r="B834" i="1"/>
  <c r="C833" i="1"/>
  <c r="D832" i="1"/>
  <c r="E832" i="1"/>
  <c r="F832" i="1" s="1"/>
  <c r="BC832" i="1" l="1"/>
  <c r="BD832" i="1" s="1"/>
  <c r="AE832" i="1" s="1"/>
  <c r="BF834" i="1"/>
  <c r="AC833" i="1"/>
  <c r="BB833" i="1"/>
  <c r="AF428" i="1"/>
  <c r="AT429" i="1"/>
  <c r="AS429" i="1" s="1"/>
  <c r="P429" i="1"/>
  <c r="BE429" i="1" s="1"/>
  <c r="AM429" i="1"/>
  <c r="I429" i="1"/>
  <c r="Q429" i="1" s="1"/>
  <c r="AP334" i="1"/>
  <c r="AX335" i="1" s="1"/>
  <c r="AP342" i="1"/>
  <c r="AX343" i="1" s="1"/>
  <c r="AP350" i="1"/>
  <c r="AX351" i="1" s="1"/>
  <c r="J833" i="1"/>
  <c r="L834" i="1"/>
  <c r="A854" i="7"/>
  <c r="B853" i="7"/>
  <c r="S834" i="1"/>
  <c r="Z836" i="1" s="1"/>
  <c r="K834" i="1"/>
  <c r="AU834" i="1"/>
  <c r="AK833" i="1"/>
  <c r="AW833" i="1"/>
  <c r="AI833" i="1" s="1"/>
  <c r="AJ833" i="1" s="1"/>
  <c r="A834" i="1"/>
  <c r="G832" i="1"/>
  <c r="H832" i="1" s="1"/>
  <c r="E833" i="1"/>
  <c r="F833" i="1" s="1"/>
  <c r="D833" i="1"/>
  <c r="M832" i="1"/>
  <c r="B835" i="1"/>
  <c r="C834" i="1"/>
  <c r="AA834" i="1"/>
  <c r="BC833" i="1" l="1"/>
  <c r="BD833" i="1" s="1"/>
  <c r="AE833" i="1" s="1"/>
  <c r="BF835" i="1"/>
  <c r="AY429" i="1"/>
  <c r="AH428" i="1"/>
  <c r="AG428" i="1"/>
  <c r="BA428" i="1" s="1"/>
  <c r="BB834" i="1"/>
  <c r="Y429" i="1"/>
  <c r="X429" i="1" s="1"/>
  <c r="AQ429" i="1"/>
  <c r="V429" i="1"/>
  <c r="O429" i="1"/>
  <c r="J834" i="1"/>
  <c r="L835" i="1"/>
  <c r="A855" i="7"/>
  <c r="B854" i="7"/>
  <c r="S835" i="1"/>
  <c r="Z837" i="1" s="1"/>
  <c r="K835" i="1"/>
  <c r="AU835" i="1"/>
  <c r="AC834" i="1"/>
  <c r="B836" i="1"/>
  <c r="AA835" i="1"/>
  <c r="C835" i="1"/>
  <c r="D834" i="1"/>
  <c r="E834" i="1"/>
  <c r="F834" i="1" s="1"/>
  <c r="M833" i="1"/>
  <c r="G833" i="1"/>
  <c r="H833" i="1" s="1"/>
  <c r="AK834" i="1"/>
  <c r="A835" i="1"/>
  <c r="AW834" i="1"/>
  <c r="AI834" i="1" s="1"/>
  <c r="AJ834" i="1" s="1"/>
  <c r="BC834" i="1" l="1"/>
  <c r="BD834" i="1" s="1"/>
  <c r="AE834" i="1" s="1"/>
  <c r="BF836" i="1"/>
  <c r="BB835" i="1"/>
  <c r="AF429" i="1"/>
  <c r="AG429" i="1" s="1"/>
  <c r="BA429" i="1" s="1"/>
  <c r="I430" i="1"/>
  <c r="Q430" i="1" s="1"/>
  <c r="P430" i="1"/>
  <c r="BE430" i="1" s="1"/>
  <c r="N430" i="1"/>
  <c r="AM430" i="1"/>
  <c r="AT430" i="1"/>
  <c r="AS430" i="1" s="1"/>
  <c r="U343" i="1"/>
  <c r="U335" i="1"/>
  <c r="U351" i="1"/>
  <c r="J835" i="1"/>
  <c r="L836" i="1"/>
  <c r="A856" i="7"/>
  <c r="B855" i="7"/>
  <c r="S836" i="1"/>
  <c r="Z838" i="1" s="1"/>
  <c r="K836" i="1"/>
  <c r="AU836" i="1"/>
  <c r="G834" i="1"/>
  <c r="H834" i="1" s="1"/>
  <c r="E835" i="1"/>
  <c r="F835" i="1" s="1"/>
  <c r="D835" i="1"/>
  <c r="AW835" i="1"/>
  <c r="AI835" i="1" s="1"/>
  <c r="AJ835" i="1" s="1"/>
  <c r="A836" i="1"/>
  <c r="AK835" i="1"/>
  <c r="AC835" i="1"/>
  <c r="M834" i="1"/>
  <c r="AA836" i="1"/>
  <c r="C836" i="1"/>
  <c r="B837" i="1"/>
  <c r="BC835" i="1" l="1"/>
  <c r="BD835" i="1" s="1"/>
  <c r="AE835" i="1" s="1"/>
  <c r="BF837" i="1"/>
  <c r="V430" i="1"/>
  <c r="BB836" i="1"/>
  <c r="AH429" i="1"/>
  <c r="O430" i="1"/>
  <c r="N431" i="1" s="1"/>
  <c r="AY430" i="1"/>
  <c r="Y430" i="1"/>
  <c r="X430" i="1" s="1"/>
  <c r="AQ430" i="1"/>
  <c r="AL335" i="1"/>
  <c r="AL351" i="1"/>
  <c r="AL343" i="1"/>
  <c r="J836" i="1"/>
  <c r="L837" i="1"/>
  <c r="A857" i="7"/>
  <c r="B856" i="7"/>
  <c r="S837" i="1"/>
  <c r="Z839" i="1" s="1"/>
  <c r="K837" i="1"/>
  <c r="AU837" i="1"/>
  <c r="AA837" i="1"/>
  <c r="B838" i="1"/>
  <c r="C837" i="1"/>
  <c r="D836" i="1"/>
  <c r="E836" i="1"/>
  <c r="F836" i="1" s="1"/>
  <c r="AC836" i="1"/>
  <c r="AK836" i="1"/>
  <c r="AW836" i="1"/>
  <c r="AI836" i="1" s="1"/>
  <c r="AJ836" i="1" s="1"/>
  <c r="A837" i="1"/>
  <c r="M835" i="1"/>
  <c r="G835" i="1"/>
  <c r="H835" i="1" s="1"/>
  <c r="BC836" i="1" l="1"/>
  <c r="BD836" i="1" s="1"/>
  <c r="AE836" i="1" s="1"/>
  <c r="BF838" i="1"/>
  <c r="AT431" i="1"/>
  <c r="AS431" i="1" s="1"/>
  <c r="AC837" i="1"/>
  <c r="BB837" i="1"/>
  <c r="AF430" i="1"/>
  <c r="P431" i="1"/>
  <c r="BE431" i="1" s="1"/>
  <c r="AM431" i="1"/>
  <c r="I431" i="1"/>
  <c r="Q431" i="1" s="1"/>
  <c r="AN343" i="1"/>
  <c r="AN335" i="1"/>
  <c r="AN351" i="1"/>
  <c r="J837" i="1"/>
  <c r="L838" i="1"/>
  <c r="A858" i="7"/>
  <c r="B857" i="7"/>
  <c r="S838" i="1"/>
  <c r="Z840" i="1" s="1"/>
  <c r="K838" i="1"/>
  <c r="AU838" i="1"/>
  <c r="E837" i="1"/>
  <c r="F837" i="1" s="1"/>
  <c r="D837" i="1"/>
  <c r="M836" i="1"/>
  <c r="C838" i="1"/>
  <c r="AA838" i="1"/>
  <c r="B839" i="1"/>
  <c r="AK837" i="1"/>
  <c r="A838" i="1"/>
  <c r="AW837" i="1"/>
  <c r="AI837" i="1" s="1"/>
  <c r="AJ837" i="1" s="1"/>
  <c r="G836" i="1"/>
  <c r="H836" i="1" s="1"/>
  <c r="BC837" i="1" l="1"/>
  <c r="BD837" i="1" s="1"/>
  <c r="AE837" i="1" s="1"/>
  <c r="BF839" i="1"/>
  <c r="V431" i="1"/>
  <c r="AG430" i="1"/>
  <c r="BA430" i="1" s="1"/>
  <c r="AH430" i="1"/>
  <c r="Y431" i="1"/>
  <c r="X431" i="1" s="1"/>
  <c r="AF431" i="1" s="1"/>
  <c r="AG431" i="1" s="1"/>
  <c r="AY431" i="1"/>
  <c r="BB838" i="1"/>
  <c r="AQ431" i="1"/>
  <c r="O431" i="1"/>
  <c r="AM432" i="1" s="1"/>
  <c r="AO351" i="1"/>
  <c r="AO343" i="1"/>
  <c r="AO335" i="1"/>
  <c r="J838" i="1"/>
  <c r="L839" i="1"/>
  <c r="A859" i="7"/>
  <c r="B858" i="7"/>
  <c r="S839" i="1"/>
  <c r="Z841" i="1" s="1"/>
  <c r="K839" i="1"/>
  <c r="AU839" i="1"/>
  <c r="G837" i="1"/>
  <c r="H837" i="1" s="1"/>
  <c r="AA839" i="1"/>
  <c r="B840" i="1"/>
  <c r="C839" i="1"/>
  <c r="M837" i="1"/>
  <c r="A839" i="1"/>
  <c r="AW838" i="1"/>
  <c r="AI838" i="1" s="1"/>
  <c r="AJ838" i="1" s="1"/>
  <c r="AK838" i="1"/>
  <c r="AC838" i="1"/>
  <c r="D838" i="1"/>
  <c r="E838" i="1"/>
  <c r="F838" i="1" s="1"/>
  <c r="BC838" i="1" l="1"/>
  <c r="BD838" i="1" s="1"/>
  <c r="AE838" i="1" s="1"/>
  <c r="BA431" i="1"/>
  <c r="BF840" i="1"/>
  <c r="BB839" i="1"/>
  <c r="AT432" i="1"/>
  <c r="AS432" i="1" s="1"/>
  <c r="I432" i="1"/>
  <c r="Q432" i="1" s="1"/>
  <c r="N432" i="1"/>
  <c r="AH431" i="1"/>
  <c r="P432" i="1"/>
  <c r="BE432" i="1" s="1"/>
  <c r="AP335" i="1"/>
  <c r="AX336" i="1" s="1"/>
  <c r="AP351" i="1"/>
  <c r="AX352" i="1" s="1"/>
  <c r="AP343" i="1"/>
  <c r="AX344" i="1" s="1"/>
  <c r="J839" i="1"/>
  <c r="L840" i="1"/>
  <c r="A860" i="7"/>
  <c r="B859" i="7"/>
  <c r="S840" i="1"/>
  <c r="Z842" i="1" s="1"/>
  <c r="K840" i="1"/>
  <c r="AU840" i="1"/>
  <c r="AW839" i="1"/>
  <c r="AI839" i="1" s="1"/>
  <c r="AJ839" i="1" s="1"/>
  <c r="A840" i="1"/>
  <c r="AK839" i="1"/>
  <c r="M838" i="1"/>
  <c r="G838" i="1"/>
  <c r="H838" i="1" s="1"/>
  <c r="D839" i="1"/>
  <c r="E839" i="1"/>
  <c r="F839" i="1" s="1"/>
  <c r="B841" i="1"/>
  <c r="C840" i="1"/>
  <c r="AA840" i="1"/>
  <c r="AC839" i="1"/>
  <c r="BC839" i="1" l="1"/>
  <c r="BD839" i="1" s="1"/>
  <c r="AE839" i="1" s="1"/>
  <c r="BF841" i="1"/>
  <c r="AY432" i="1"/>
  <c r="BB840" i="1"/>
  <c r="O432" i="1"/>
  <c r="AT433" i="1" s="1"/>
  <c r="AS433" i="1" s="1"/>
  <c r="AQ432" i="1"/>
  <c r="V432" i="1"/>
  <c r="Y432" i="1"/>
  <c r="X432" i="1" s="1"/>
  <c r="J840" i="1"/>
  <c r="L841" i="1"/>
  <c r="A861" i="7"/>
  <c r="B860" i="7"/>
  <c r="S841" i="1"/>
  <c r="Z843" i="1" s="1"/>
  <c r="K841" i="1"/>
  <c r="AU841" i="1"/>
  <c r="AC840" i="1"/>
  <c r="E840" i="1"/>
  <c r="F840" i="1" s="1"/>
  <c r="D840" i="1"/>
  <c r="M839" i="1"/>
  <c r="AA841" i="1"/>
  <c r="B842" i="1"/>
  <c r="C841" i="1"/>
  <c r="A841" i="1"/>
  <c r="AP840" i="1"/>
  <c r="AK840" i="1"/>
  <c r="AW840" i="1"/>
  <c r="AI840" i="1" s="1"/>
  <c r="AJ840" i="1" s="1"/>
  <c r="G839" i="1"/>
  <c r="H839" i="1" s="1"/>
  <c r="BC840" i="1" l="1"/>
  <c r="BD840" i="1" s="1"/>
  <c r="AE840" i="1" s="1"/>
  <c r="BF842" i="1"/>
  <c r="P433" i="1"/>
  <c r="BE433" i="1" s="1"/>
  <c r="AM433" i="1"/>
  <c r="I433" i="1"/>
  <c r="Q433" i="1" s="1"/>
  <c r="N433" i="1"/>
  <c r="BB841" i="1"/>
  <c r="AF432" i="1"/>
  <c r="AG432" i="1" s="1"/>
  <c r="BA432" i="1" s="1"/>
  <c r="U344" i="1"/>
  <c r="U336" i="1"/>
  <c r="U352" i="1"/>
  <c r="J841" i="1"/>
  <c r="L842" i="1"/>
  <c r="A862" i="7"/>
  <c r="B861" i="7"/>
  <c r="S842" i="1"/>
  <c r="Z844" i="1" s="1"/>
  <c r="K842" i="1"/>
  <c r="AU842" i="1"/>
  <c r="AC841" i="1"/>
  <c r="A842" i="1"/>
  <c r="AW841" i="1"/>
  <c r="AI841" i="1" s="1"/>
  <c r="AJ841" i="1" s="1"/>
  <c r="AK841" i="1"/>
  <c r="E841" i="1"/>
  <c r="F841" i="1" s="1"/>
  <c r="D841" i="1"/>
  <c r="G840" i="1"/>
  <c r="H840" i="1" s="1"/>
  <c r="C842" i="1"/>
  <c r="AA842" i="1"/>
  <c r="B843" i="1"/>
  <c r="M840" i="1"/>
  <c r="BC841" i="1" l="1"/>
  <c r="BD841" i="1" s="1"/>
  <c r="AE841" i="1" s="1"/>
  <c r="BF843" i="1"/>
  <c r="V433" i="1"/>
  <c r="AQ433" i="1"/>
  <c r="AY433" i="1"/>
  <c r="Y433" i="1"/>
  <c r="X433" i="1" s="1"/>
  <c r="AF433" i="1" s="1"/>
  <c r="AG433" i="1" s="1"/>
  <c r="O433" i="1"/>
  <c r="P434" i="1" s="1"/>
  <c r="BE434" i="1" s="1"/>
  <c r="AC842" i="1"/>
  <c r="AH432" i="1"/>
  <c r="BB842" i="1"/>
  <c r="AL336" i="1"/>
  <c r="AL352" i="1"/>
  <c r="AL344" i="1"/>
  <c r="J842" i="1"/>
  <c r="L843" i="1"/>
  <c r="A863" i="7"/>
  <c r="B862" i="7"/>
  <c r="S843" i="1"/>
  <c r="Z845" i="1" s="1"/>
  <c r="K843" i="1"/>
  <c r="AU843" i="1"/>
  <c r="AA843" i="1"/>
  <c r="B844" i="1"/>
  <c r="C843" i="1"/>
  <c r="D842" i="1"/>
  <c r="E842" i="1"/>
  <c r="F842" i="1" s="1"/>
  <c r="G841" i="1"/>
  <c r="H841" i="1" s="1"/>
  <c r="AK842" i="1"/>
  <c r="A843" i="1"/>
  <c r="AW842" i="1"/>
  <c r="AI842" i="1" s="1"/>
  <c r="AJ842" i="1" s="1"/>
  <c r="M841" i="1"/>
  <c r="BC842" i="1" l="1"/>
  <c r="BD842" i="1" s="1"/>
  <c r="AE842" i="1" s="1"/>
  <c r="BA433" i="1"/>
  <c r="AX433" i="1"/>
  <c r="U433" i="1" s="1"/>
  <c r="AL433" i="1" s="1"/>
  <c r="AN433" i="1" s="1"/>
  <c r="AO433" i="1" s="1"/>
  <c r="AP433" i="1" s="1"/>
  <c r="BF844" i="1"/>
  <c r="AT434" i="1"/>
  <c r="AS434" i="1" s="1"/>
  <c r="AQ434" i="1" s="1"/>
  <c r="N434" i="1"/>
  <c r="I434" i="1"/>
  <c r="Q434" i="1" s="1"/>
  <c r="AM434" i="1"/>
  <c r="AH433" i="1"/>
  <c r="BB843" i="1"/>
  <c r="AY434" i="1"/>
  <c r="V434" i="1"/>
  <c r="Y434" i="1"/>
  <c r="X434" i="1" s="1"/>
  <c r="AF434" i="1" s="1"/>
  <c r="AN344" i="1"/>
  <c r="AN336" i="1"/>
  <c r="AN352" i="1"/>
  <c r="J843" i="1"/>
  <c r="L844" i="1"/>
  <c r="A864" i="7"/>
  <c r="B863" i="7"/>
  <c r="S844" i="1"/>
  <c r="Z846" i="1" s="1"/>
  <c r="K844" i="1"/>
  <c r="AU844" i="1"/>
  <c r="AC843" i="1"/>
  <c r="G842" i="1"/>
  <c r="H842" i="1" s="1"/>
  <c r="M842" i="1"/>
  <c r="AK843" i="1"/>
  <c r="A844" i="1"/>
  <c r="AW843" i="1"/>
  <c r="AI843" i="1" s="1"/>
  <c r="AJ843" i="1" s="1"/>
  <c r="D843" i="1"/>
  <c r="E843" i="1"/>
  <c r="F843" i="1" s="1"/>
  <c r="B845" i="1"/>
  <c r="C844" i="1"/>
  <c r="AA844" i="1"/>
  <c r="BC843" i="1" l="1"/>
  <c r="BD843" i="1" s="1"/>
  <c r="AE843" i="1" s="1"/>
  <c r="BF845" i="1"/>
  <c r="AX434" i="1"/>
  <c r="U434" i="1" s="1"/>
  <c r="AL434" i="1" s="1"/>
  <c r="AN434" i="1" s="1"/>
  <c r="AO434" i="1" s="1"/>
  <c r="AP434" i="1" s="1"/>
  <c r="O434" i="1"/>
  <c r="AM435" i="1" s="1"/>
  <c r="BB844" i="1"/>
  <c r="AO352" i="1"/>
  <c r="AO344" i="1"/>
  <c r="AO336" i="1"/>
  <c r="AG434" i="1"/>
  <c r="BA434" i="1" s="1"/>
  <c r="J844" i="1"/>
  <c r="L845" i="1"/>
  <c r="A865" i="7"/>
  <c r="B864" i="7"/>
  <c r="S845" i="1"/>
  <c r="Z847" i="1" s="1"/>
  <c r="K845" i="1"/>
  <c r="AU845" i="1"/>
  <c r="G843" i="1"/>
  <c r="H843" i="1" s="1"/>
  <c r="A845" i="1"/>
  <c r="AW844" i="1"/>
  <c r="AI844" i="1" s="1"/>
  <c r="AJ844" i="1" s="1"/>
  <c r="AK844" i="1"/>
  <c r="D844" i="1"/>
  <c r="E844" i="1"/>
  <c r="F844" i="1" s="1"/>
  <c r="AC844" i="1"/>
  <c r="AA845" i="1"/>
  <c r="B846" i="1"/>
  <c r="C845" i="1"/>
  <c r="M843" i="1"/>
  <c r="BC844" i="1" l="1"/>
  <c r="BD844" i="1" s="1"/>
  <c r="AE844" i="1" s="1"/>
  <c r="BF846" i="1"/>
  <c r="AH434" i="1"/>
  <c r="N435" i="1"/>
  <c r="I435" i="1"/>
  <c r="Q435" i="1" s="1"/>
  <c r="P435" i="1"/>
  <c r="BE435" i="1" s="1"/>
  <c r="AT435" i="1"/>
  <c r="AS435" i="1" s="1"/>
  <c r="BB845" i="1"/>
  <c r="AP352" i="1"/>
  <c r="AX353" i="1" s="1"/>
  <c r="AP344" i="1"/>
  <c r="AX345" i="1" s="1"/>
  <c r="J845" i="1"/>
  <c r="L846" i="1"/>
  <c r="A866" i="7"/>
  <c r="B865" i="7"/>
  <c r="S846" i="1"/>
  <c r="Z848" i="1" s="1"/>
  <c r="K846" i="1"/>
  <c r="AU846" i="1"/>
  <c r="G844" i="1"/>
  <c r="H844" i="1" s="1"/>
  <c r="AA846" i="1"/>
  <c r="C846" i="1"/>
  <c r="B847" i="1"/>
  <c r="M844" i="1"/>
  <c r="AK845" i="1"/>
  <c r="AW845" i="1"/>
  <c r="AI845" i="1" s="1"/>
  <c r="AJ845" i="1" s="1"/>
  <c r="A846" i="1"/>
  <c r="E845" i="1"/>
  <c r="F845" i="1" s="1"/>
  <c r="D845" i="1"/>
  <c r="AC845" i="1"/>
  <c r="BC845" i="1" l="1"/>
  <c r="BD845" i="1" s="1"/>
  <c r="AE845" i="1" s="1"/>
  <c r="BF847" i="1"/>
  <c r="V435" i="1"/>
  <c r="AQ435" i="1"/>
  <c r="O435" i="1"/>
  <c r="P436" i="1" s="1"/>
  <c r="BE436" i="1" s="1"/>
  <c r="AY435" i="1"/>
  <c r="Y435" i="1"/>
  <c r="X435" i="1" s="1"/>
  <c r="AF435" i="1" s="1"/>
  <c r="AG435" i="1" s="1"/>
  <c r="BB846" i="1"/>
  <c r="AC846" i="1"/>
  <c r="J846" i="1"/>
  <c r="L847" i="1"/>
  <c r="A867" i="7"/>
  <c r="B866" i="7"/>
  <c r="S847" i="1"/>
  <c r="Z849" i="1" s="1"/>
  <c r="K847" i="1"/>
  <c r="AU847" i="1"/>
  <c r="G845" i="1"/>
  <c r="H845" i="1" s="1"/>
  <c r="A847" i="1"/>
  <c r="AK846" i="1"/>
  <c r="AW846" i="1"/>
  <c r="AI846" i="1" s="1"/>
  <c r="AJ846" i="1" s="1"/>
  <c r="E846" i="1"/>
  <c r="F846" i="1" s="1"/>
  <c r="D846" i="1"/>
  <c r="B848" i="1"/>
  <c r="C847" i="1"/>
  <c r="AA847" i="1"/>
  <c r="M845" i="1"/>
  <c r="BC846" i="1" l="1"/>
  <c r="BD846" i="1" s="1"/>
  <c r="AE846" i="1" s="1"/>
  <c r="BF848" i="1"/>
  <c r="AX435" i="1"/>
  <c r="U435" i="1" s="1"/>
  <c r="AL435" i="1" s="1"/>
  <c r="AN435" i="1" s="1"/>
  <c r="AO435" i="1" s="1"/>
  <c r="AP435" i="1" s="1"/>
  <c r="BA435" i="1"/>
  <c r="V436" i="1"/>
  <c r="Y436" i="1"/>
  <c r="X436" i="1" s="1"/>
  <c r="AF436" i="1" s="1"/>
  <c r="AT436" i="1"/>
  <c r="AS436" i="1" s="1"/>
  <c r="AQ436" i="1" s="1"/>
  <c r="N436" i="1"/>
  <c r="AY436" i="1"/>
  <c r="I436" i="1"/>
  <c r="Q436" i="1" s="1"/>
  <c r="AM436" i="1"/>
  <c r="BB847" i="1"/>
  <c r="AH435" i="1"/>
  <c r="U345" i="1"/>
  <c r="U353" i="1"/>
  <c r="J847" i="1"/>
  <c r="L848" i="1"/>
  <c r="A868" i="7"/>
  <c r="B867" i="7"/>
  <c r="S848" i="1"/>
  <c r="Z850" i="1" s="1"/>
  <c r="K848" i="1"/>
  <c r="AU848" i="1"/>
  <c r="AC847" i="1"/>
  <c r="AA848" i="1"/>
  <c r="B849" i="1"/>
  <c r="C848" i="1"/>
  <c r="G846" i="1"/>
  <c r="H846" i="1" s="1"/>
  <c r="AW847" i="1"/>
  <c r="AI847" i="1" s="1"/>
  <c r="AJ847" i="1" s="1"/>
  <c r="A848" i="1"/>
  <c r="AK847" i="1"/>
  <c r="M846" i="1"/>
  <c r="E847" i="1"/>
  <c r="F847" i="1" s="1"/>
  <c r="D847" i="1"/>
  <c r="U361" i="1"/>
  <c r="BC847" i="1" l="1"/>
  <c r="BD847" i="1" s="1"/>
  <c r="AE847" i="1" s="1"/>
  <c r="BF849" i="1"/>
  <c r="AX436" i="1"/>
  <c r="U436" i="1" s="1"/>
  <c r="AL436" i="1" s="1"/>
  <c r="AN436" i="1" s="1"/>
  <c r="AO436" i="1" s="1"/>
  <c r="AP436" i="1" s="1"/>
  <c r="AG436" i="1"/>
  <c r="BA436" i="1" s="1"/>
  <c r="O436" i="1"/>
  <c r="AH436" i="1" s="1"/>
  <c r="BB848" i="1"/>
  <c r="AL353" i="1"/>
  <c r="AL361" i="1"/>
  <c r="AL345" i="1"/>
  <c r="J848" i="1"/>
  <c r="L849" i="1"/>
  <c r="A869" i="7"/>
  <c r="B868" i="7"/>
  <c r="S849" i="1"/>
  <c r="Z851" i="1" s="1"/>
  <c r="K849" i="1"/>
  <c r="AU849" i="1"/>
  <c r="AK848" i="1"/>
  <c r="A849" i="1"/>
  <c r="AW848" i="1"/>
  <c r="AI848" i="1" s="1"/>
  <c r="AJ848" i="1" s="1"/>
  <c r="AA849" i="1"/>
  <c r="B850" i="1"/>
  <c r="C849" i="1"/>
  <c r="G847" i="1"/>
  <c r="H847" i="1" s="1"/>
  <c r="M847" i="1"/>
  <c r="AC848" i="1"/>
  <c r="E848" i="1"/>
  <c r="F848" i="1" s="1"/>
  <c r="D848" i="1"/>
  <c r="BC848" i="1" l="1"/>
  <c r="BD848" i="1" s="1"/>
  <c r="AE848" i="1" s="1"/>
  <c r="BF850" i="1"/>
  <c r="N437" i="1"/>
  <c r="P437" i="1"/>
  <c r="BE437" i="1" s="1"/>
  <c r="AT437" i="1"/>
  <c r="AS437" i="1" s="1"/>
  <c r="AM437" i="1"/>
  <c r="I437" i="1"/>
  <c r="Q437" i="1" s="1"/>
  <c r="BB849" i="1"/>
  <c r="AN345" i="1"/>
  <c r="AN353" i="1"/>
  <c r="AN361" i="1"/>
  <c r="J849" i="1"/>
  <c r="L850" i="1"/>
  <c r="A870" i="7"/>
  <c r="B869" i="7"/>
  <c r="S850" i="1"/>
  <c r="Z852" i="1" s="1"/>
  <c r="K850" i="1"/>
  <c r="AU850" i="1"/>
  <c r="D849" i="1"/>
  <c r="E849" i="1"/>
  <c r="F849" i="1" s="1"/>
  <c r="A850" i="1"/>
  <c r="AW849" i="1"/>
  <c r="AI849" i="1" s="1"/>
  <c r="AJ849" i="1" s="1"/>
  <c r="AK849" i="1"/>
  <c r="M848" i="1"/>
  <c r="AA850" i="1"/>
  <c r="B851" i="1"/>
  <c r="C850" i="1"/>
  <c r="G848" i="1"/>
  <c r="H848" i="1" s="1"/>
  <c r="AC849" i="1"/>
  <c r="BC849" i="1" l="1"/>
  <c r="BD849" i="1" s="1"/>
  <c r="AE849" i="1" s="1"/>
  <c r="BF851" i="1"/>
  <c r="Y437" i="1"/>
  <c r="X437" i="1" s="1"/>
  <c r="AF437" i="1" s="1"/>
  <c r="AG437" i="1" s="1"/>
  <c r="AY437" i="1"/>
  <c r="V437" i="1"/>
  <c r="AQ437" i="1"/>
  <c r="O437" i="1"/>
  <c r="N438" i="1" s="1"/>
  <c r="BB850" i="1"/>
  <c r="AC850" i="1"/>
  <c r="AO345" i="1"/>
  <c r="AO353" i="1"/>
  <c r="AO361" i="1"/>
  <c r="J850" i="1"/>
  <c r="L851" i="1"/>
  <c r="A871" i="7"/>
  <c r="B870" i="7"/>
  <c r="S851" i="1"/>
  <c r="Z853" i="1" s="1"/>
  <c r="K851" i="1"/>
  <c r="AU851" i="1"/>
  <c r="M849" i="1"/>
  <c r="AK850" i="1"/>
  <c r="A851" i="1"/>
  <c r="AW850" i="1"/>
  <c r="AI850" i="1" s="1"/>
  <c r="AJ850" i="1" s="1"/>
  <c r="G849" i="1"/>
  <c r="H849" i="1" s="1"/>
  <c r="B852" i="1"/>
  <c r="C851" i="1"/>
  <c r="AA851" i="1"/>
  <c r="D850" i="1"/>
  <c r="E850" i="1"/>
  <c r="F850" i="1" s="1"/>
  <c r="BC850" i="1" l="1"/>
  <c r="BD850" i="1" s="1"/>
  <c r="AE850" i="1" s="1"/>
  <c r="AX437" i="1"/>
  <c r="U437" i="1" s="1"/>
  <c r="AL437" i="1" s="1"/>
  <c r="AN437" i="1" s="1"/>
  <c r="AO437" i="1" s="1"/>
  <c r="AP437" i="1" s="1"/>
  <c r="BF852" i="1"/>
  <c r="BA437" i="1"/>
  <c r="P438" i="1"/>
  <c r="BE438" i="1" s="1"/>
  <c r="I438" i="1"/>
  <c r="Q438" i="1" s="1"/>
  <c r="AT438" i="1"/>
  <c r="AS438" i="1" s="1"/>
  <c r="AM438" i="1"/>
  <c r="BB851" i="1"/>
  <c r="AH437" i="1"/>
  <c r="AP345" i="1"/>
  <c r="AX346" i="1" s="1"/>
  <c r="AP361" i="1"/>
  <c r="AX362" i="1" s="1"/>
  <c r="AP353" i="1"/>
  <c r="AX354" i="1" s="1"/>
  <c r="J851" i="1"/>
  <c r="L852" i="1"/>
  <c r="A872" i="7"/>
  <c r="B871" i="7"/>
  <c r="S852" i="1"/>
  <c r="Z854" i="1" s="1"/>
  <c r="K852" i="1"/>
  <c r="AU852" i="1"/>
  <c r="G850" i="1"/>
  <c r="H850" i="1" s="1"/>
  <c r="AC851" i="1"/>
  <c r="M850" i="1"/>
  <c r="A852" i="1"/>
  <c r="AW851" i="1"/>
  <c r="AI851" i="1" s="1"/>
  <c r="AJ851" i="1" s="1"/>
  <c r="AK851" i="1"/>
  <c r="D851" i="1"/>
  <c r="E851" i="1"/>
  <c r="F851" i="1" s="1"/>
  <c r="B853" i="1"/>
  <c r="AA852" i="1"/>
  <c r="C852" i="1"/>
  <c r="BC851" i="1" l="1"/>
  <c r="BD851" i="1" s="1"/>
  <c r="AE851" i="1" s="1"/>
  <c r="BF853" i="1"/>
  <c r="Y438" i="1"/>
  <c r="X438" i="1" s="1"/>
  <c r="AF438" i="1" s="1"/>
  <c r="V438" i="1"/>
  <c r="AQ438" i="1"/>
  <c r="AY438" i="1"/>
  <c r="O438" i="1"/>
  <c r="N439" i="1" s="1"/>
  <c r="BB852" i="1"/>
  <c r="J852" i="1"/>
  <c r="L853" i="1"/>
  <c r="A873" i="7"/>
  <c r="B872" i="7"/>
  <c r="S853" i="1"/>
  <c r="Z855" i="1" s="1"/>
  <c r="K853" i="1"/>
  <c r="AU853" i="1"/>
  <c r="E852" i="1"/>
  <c r="F852" i="1" s="1"/>
  <c r="D852" i="1"/>
  <c r="G851" i="1"/>
  <c r="H851" i="1" s="1"/>
  <c r="AC852" i="1"/>
  <c r="C853" i="1"/>
  <c r="B854" i="1"/>
  <c r="AA853" i="1"/>
  <c r="M851" i="1"/>
  <c r="AP852" i="1"/>
  <c r="AK852" i="1"/>
  <c r="AW852" i="1"/>
  <c r="AI852" i="1" s="1"/>
  <c r="AJ852" i="1" s="1"/>
  <c r="A853" i="1"/>
  <c r="BC852" i="1" l="1"/>
  <c r="BD852" i="1" s="1"/>
  <c r="AE852" i="1" s="1"/>
  <c r="BF854" i="1"/>
  <c r="AX438" i="1"/>
  <c r="U438" i="1" s="1"/>
  <c r="AL438" i="1" s="1"/>
  <c r="AN438" i="1" s="1"/>
  <c r="AO438" i="1" s="1"/>
  <c r="AP438" i="1" s="1"/>
  <c r="AG438" i="1"/>
  <c r="BA438" i="1" s="1"/>
  <c r="AT439" i="1"/>
  <c r="AS439" i="1" s="1"/>
  <c r="P439" i="1"/>
  <c r="BE439" i="1" s="1"/>
  <c r="AM439" i="1"/>
  <c r="I439" i="1"/>
  <c r="Q439" i="1" s="1"/>
  <c r="AH438" i="1"/>
  <c r="BB853" i="1"/>
  <c r="U346" i="1"/>
  <c r="U362" i="1"/>
  <c r="U354" i="1"/>
  <c r="J853" i="1"/>
  <c r="L854" i="1"/>
  <c r="A874" i="7"/>
  <c r="B873" i="7"/>
  <c r="S854" i="1"/>
  <c r="Z856" i="1" s="1"/>
  <c r="K854" i="1"/>
  <c r="AU854" i="1"/>
  <c r="AC853" i="1"/>
  <c r="E853" i="1"/>
  <c r="F853" i="1" s="1"/>
  <c r="D853" i="1"/>
  <c r="A854" i="1"/>
  <c r="AK853" i="1"/>
  <c r="AW853" i="1"/>
  <c r="AI853" i="1" s="1"/>
  <c r="AJ853" i="1" s="1"/>
  <c r="M852" i="1"/>
  <c r="G852" i="1"/>
  <c r="H852" i="1" s="1"/>
  <c r="B855" i="1"/>
  <c r="AA854" i="1"/>
  <c r="C854" i="1"/>
  <c r="BC853" i="1" l="1"/>
  <c r="BD853" i="1" s="1"/>
  <c r="AE853" i="1" s="1"/>
  <c r="BF855" i="1"/>
  <c r="V439" i="1"/>
  <c r="AY439" i="1"/>
  <c r="Y439" i="1"/>
  <c r="X439" i="1" s="1"/>
  <c r="AF439" i="1" s="1"/>
  <c r="AQ439" i="1"/>
  <c r="O439" i="1"/>
  <c r="N440" i="1" s="1"/>
  <c r="BB854" i="1"/>
  <c r="AL362" i="1"/>
  <c r="AL346" i="1"/>
  <c r="AL354" i="1"/>
  <c r="J854" i="1"/>
  <c r="L855" i="1"/>
  <c r="A875" i="7"/>
  <c r="B874" i="7"/>
  <c r="S855" i="1"/>
  <c r="Z857" i="1" s="1"/>
  <c r="K855" i="1"/>
  <c r="AU855" i="1"/>
  <c r="M853" i="1"/>
  <c r="B856" i="1"/>
  <c r="C855" i="1"/>
  <c r="AA855" i="1"/>
  <c r="A855" i="1"/>
  <c r="AW854" i="1"/>
  <c r="AI854" i="1" s="1"/>
  <c r="AJ854" i="1" s="1"/>
  <c r="AK854" i="1"/>
  <c r="D854" i="1"/>
  <c r="E854" i="1"/>
  <c r="F854" i="1" s="1"/>
  <c r="G853" i="1"/>
  <c r="H853" i="1" s="1"/>
  <c r="AC854" i="1"/>
  <c r="BC854" i="1" l="1"/>
  <c r="BD854" i="1" s="1"/>
  <c r="AE854" i="1" s="1"/>
  <c r="AX439" i="1"/>
  <c r="U439" i="1" s="1"/>
  <c r="AL439" i="1" s="1"/>
  <c r="AN439" i="1" s="1"/>
  <c r="AO439" i="1" s="1"/>
  <c r="AP439" i="1" s="1"/>
  <c r="BF856" i="1"/>
  <c r="AG439" i="1"/>
  <c r="BA439" i="1" s="1"/>
  <c r="I440" i="1"/>
  <c r="Q440" i="1" s="1"/>
  <c r="AM440" i="1"/>
  <c r="P440" i="1"/>
  <c r="BE440" i="1" s="1"/>
  <c r="AH439" i="1"/>
  <c r="AT440" i="1"/>
  <c r="AS440" i="1" s="1"/>
  <c r="BB855" i="1"/>
  <c r="AN362" i="1"/>
  <c r="AN354" i="1"/>
  <c r="AN346" i="1"/>
  <c r="J855" i="1"/>
  <c r="L856" i="1"/>
  <c r="A876" i="7"/>
  <c r="B875" i="7"/>
  <c r="S856" i="1"/>
  <c r="Z858" i="1" s="1"/>
  <c r="K856" i="1"/>
  <c r="AU856" i="1"/>
  <c r="M854" i="1"/>
  <c r="AA856" i="1"/>
  <c r="B857" i="1"/>
  <c r="C856" i="1"/>
  <c r="G854" i="1"/>
  <c r="H854" i="1" s="1"/>
  <c r="AW855" i="1"/>
  <c r="AI855" i="1" s="1"/>
  <c r="AJ855" i="1" s="1"/>
  <c r="AK855" i="1"/>
  <c r="A856" i="1"/>
  <c r="AC855" i="1"/>
  <c r="D855" i="1"/>
  <c r="E855" i="1"/>
  <c r="F855" i="1" s="1"/>
  <c r="BC855" i="1" l="1"/>
  <c r="BD855" i="1" s="1"/>
  <c r="AE855" i="1" s="1"/>
  <c r="BF857" i="1"/>
  <c r="V440" i="1"/>
  <c r="O440" i="1"/>
  <c r="P441" i="1" s="1"/>
  <c r="BE441" i="1" s="1"/>
  <c r="AY440" i="1"/>
  <c r="Y440" i="1"/>
  <c r="X440" i="1" s="1"/>
  <c r="AF440" i="1" s="1"/>
  <c r="AG440" i="1" s="1"/>
  <c r="AQ440" i="1"/>
  <c r="BB856" i="1"/>
  <c r="AO354" i="1"/>
  <c r="AO346" i="1"/>
  <c r="AO362" i="1"/>
  <c r="J856" i="1"/>
  <c r="L857" i="1"/>
  <c r="A877" i="7"/>
  <c r="B876" i="7"/>
  <c r="S857" i="1"/>
  <c r="Z859" i="1" s="1"/>
  <c r="K857" i="1"/>
  <c r="AU857" i="1"/>
  <c r="C857" i="1"/>
  <c r="B858" i="1"/>
  <c r="AA857" i="1"/>
  <c r="AW856" i="1"/>
  <c r="AI856" i="1" s="1"/>
  <c r="AJ856" i="1" s="1"/>
  <c r="A857" i="1"/>
  <c r="AK856" i="1"/>
  <c r="M855" i="1"/>
  <c r="AC856" i="1"/>
  <c r="G855" i="1"/>
  <c r="H855" i="1" s="1"/>
  <c r="D856" i="1"/>
  <c r="E856" i="1"/>
  <c r="F856" i="1" s="1"/>
  <c r="BC856" i="1" l="1"/>
  <c r="BD856" i="1" s="1"/>
  <c r="AE856" i="1" s="1"/>
  <c r="AX440" i="1"/>
  <c r="U440" i="1" s="1"/>
  <c r="AL440" i="1" s="1"/>
  <c r="AN440" i="1" s="1"/>
  <c r="AO440" i="1" s="1"/>
  <c r="AP440" i="1" s="1"/>
  <c r="BF858" i="1"/>
  <c r="AM441" i="1"/>
  <c r="AY441" i="1"/>
  <c r="Y441" i="1"/>
  <c r="X441" i="1" s="1"/>
  <c r="AF441" i="1" s="1"/>
  <c r="V441" i="1"/>
  <c r="I441" i="1"/>
  <c r="Q441" i="1" s="1"/>
  <c r="N441" i="1"/>
  <c r="AT441" i="1"/>
  <c r="AS441" i="1" s="1"/>
  <c r="AQ441" i="1" s="1"/>
  <c r="BA440" i="1"/>
  <c r="AH440" i="1"/>
  <c r="BB857" i="1"/>
  <c r="AP362" i="1"/>
  <c r="AX363" i="1" s="1"/>
  <c r="AP354" i="1"/>
  <c r="AX355" i="1" s="1"/>
  <c r="AP346" i="1"/>
  <c r="AX347" i="1" s="1"/>
  <c r="J857" i="1"/>
  <c r="L858" i="1"/>
  <c r="A878" i="7"/>
  <c r="B877" i="7"/>
  <c r="S858" i="1"/>
  <c r="Z860" i="1" s="1"/>
  <c r="K858" i="1"/>
  <c r="AU858" i="1"/>
  <c r="AA858" i="1"/>
  <c r="B859" i="1"/>
  <c r="C858" i="1"/>
  <c r="AC857" i="1"/>
  <c r="M856" i="1"/>
  <c r="G856" i="1"/>
  <c r="H856" i="1" s="1"/>
  <c r="D857" i="1"/>
  <c r="E857" i="1"/>
  <c r="F857" i="1" s="1"/>
  <c r="AK857" i="1"/>
  <c r="A858" i="1"/>
  <c r="AW857" i="1"/>
  <c r="AI857" i="1" s="1"/>
  <c r="AJ857" i="1" s="1"/>
  <c r="BC857" i="1" l="1"/>
  <c r="BD857" i="1" s="1"/>
  <c r="AE857" i="1" s="1"/>
  <c r="BF859" i="1"/>
  <c r="AX441" i="1"/>
  <c r="U441" i="1" s="1"/>
  <c r="AL441" i="1" s="1"/>
  <c r="AN441" i="1" s="1"/>
  <c r="AO441" i="1" s="1"/>
  <c r="AP441" i="1" s="1"/>
  <c r="O441" i="1"/>
  <c r="I442" i="1" s="1"/>
  <c r="Q442" i="1" s="1"/>
  <c r="AG441" i="1"/>
  <c r="BA441" i="1" s="1"/>
  <c r="BB858" i="1"/>
  <c r="J858" i="1"/>
  <c r="L859" i="1"/>
  <c r="A879" i="7"/>
  <c r="B878" i="7"/>
  <c r="S859" i="1"/>
  <c r="Z861" i="1" s="1"/>
  <c r="K859" i="1"/>
  <c r="AU859" i="1"/>
  <c r="G857" i="1"/>
  <c r="H857" i="1" s="1"/>
  <c r="AC858" i="1"/>
  <c r="D858" i="1"/>
  <c r="E858" i="1"/>
  <c r="F858" i="1" s="1"/>
  <c r="AW858" i="1"/>
  <c r="AI858" i="1" s="1"/>
  <c r="AJ858" i="1" s="1"/>
  <c r="AK858" i="1"/>
  <c r="A859" i="1"/>
  <c r="AA859" i="1"/>
  <c r="C859" i="1"/>
  <c r="B860" i="1"/>
  <c r="M857" i="1"/>
  <c r="BC858" i="1" l="1"/>
  <c r="BD858" i="1" s="1"/>
  <c r="AE858" i="1" s="1"/>
  <c r="BF860" i="1"/>
  <c r="AT442" i="1"/>
  <c r="AS442" i="1" s="1"/>
  <c r="AM442" i="1"/>
  <c r="P442" i="1"/>
  <c r="BE442" i="1" s="1"/>
  <c r="AH441" i="1"/>
  <c r="N442" i="1"/>
  <c r="O442" i="1" s="1"/>
  <c r="AM443" i="1" s="1"/>
  <c r="BB859" i="1"/>
  <c r="U355" i="1"/>
  <c r="U347" i="1"/>
  <c r="U363" i="1"/>
  <c r="J859" i="1"/>
  <c r="L860" i="1"/>
  <c r="A880" i="7"/>
  <c r="B879" i="7"/>
  <c r="S860" i="1"/>
  <c r="Z862" i="1" s="1"/>
  <c r="K860" i="1"/>
  <c r="AU860" i="1"/>
  <c r="M858" i="1"/>
  <c r="AC859" i="1"/>
  <c r="AW859" i="1"/>
  <c r="AI859" i="1" s="1"/>
  <c r="AJ859" i="1" s="1"/>
  <c r="AK859" i="1"/>
  <c r="A860" i="1"/>
  <c r="G858" i="1"/>
  <c r="H858" i="1" s="1"/>
  <c r="D859" i="1"/>
  <c r="E859" i="1"/>
  <c r="F859" i="1" s="1"/>
  <c r="AA860" i="1"/>
  <c r="C860" i="1"/>
  <c r="B861" i="1"/>
  <c r="BC859" i="1" l="1"/>
  <c r="BD859" i="1" s="1"/>
  <c r="AE859" i="1" s="1"/>
  <c r="BF861" i="1"/>
  <c r="AQ442" i="1"/>
  <c r="Y442" i="1"/>
  <c r="X442" i="1" s="1"/>
  <c r="AF442" i="1" s="1"/>
  <c r="AG442" i="1" s="1"/>
  <c r="AY442" i="1"/>
  <c r="V442" i="1"/>
  <c r="I443" i="1"/>
  <c r="Q443" i="1" s="1"/>
  <c r="N443" i="1"/>
  <c r="P443" i="1"/>
  <c r="AT443" i="1"/>
  <c r="AS443" i="1" s="1"/>
  <c r="BB860" i="1"/>
  <c r="AL355" i="1"/>
  <c r="AL363" i="1"/>
  <c r="AL347" i="1"/>
  <c r="J860" i="1"/>
  <c r="L861" i="1"/>
  <c r="A881" i="7"/>
  <c r="B880" i="7"/>
  <c r="S861" i="1"/>
  <c r="Z863" i="1" s="1"/>
  <c r="K861" i="1"/>
  <c r="AU861" i="1"/>
  <c r="M859" i="1"/>
  <c r="AC860" i="1"/>
  <c r="G859" i="1"/>
  <c r="H859" i="1" s="1"/>
  <c r="AA861" i="1"/>
  <c r="B862" i="1"/>
  <c r="C861" i="1"/>
  <c r="E860" i="1"/>
  <c r="F860" i="1" s="1"/>
  <c r="D860" i="1"/>
  <c r="AK860" i="1"/>
  <c r="AW860" i="1"/>
  <c r="AI860" i="1" s="1"/>
  <c r="AJ860" i="1" s="1"/>
  <c r="A861" i="1"/>
  <c r="BC860" i="1" l="1"/>
  <c r="BD860" i="1" s="1"/>
  <c r="AE860" i="1" s="1"/>
  <c r="AY443" i="1"/>
  <c r="BE443" i="1"/>
  <c r="AX442" i="1"/>
  <c r="U442" i="1" s="1"/>
  <c r="AL442" i="1" s="1"/>
  <c r="AN442" i="1" s="1"/>
  <c r="AO442" i="1" s="1"/>
  <c r="AP442" i="1" s="1"/>
  <c r="BF862" i="1"/>
  <c r="O443" i="1"/>
  <c r="AM444" i="1" s="1"/>
  <c r="AH442" i="1"/>
  <c r="BA442" i="1"/>
  <c r="V443" i="1"/>
  <c r="AQ443" i="1"/>
  <c r="Y443" i="1"/>
  <c r="X443" i="1" s="1"/>
  <c r="AF443" i="1" s="1"/>
  <c r="BB861" i="1"/>
  <c r="AN347" i="1"/>
  <c r="AN355" i="1"/>
  <c r="AN363" i="1"/>
  <c r="J861" i="1"/>
  <c r="L862" i="1"/>
  <c r="A882" i="7"/>
  <c r="B881" i="7"/>
  <c r="S862" i="1"/>
  <c r="Z864" i="1" s="1"/>
  <c r="K862" i="1"/>
  <c r="AU862" i="1"/>
  <c r="C862" i="1"/>
  <c r="AA862" i="1"/>
  <c r="B863" i="1"/>
  <c r="M860" i="1"/>
  <c r="AW861" i="1"/>
  <c r="AI861" i="1" s="1"/>
  <c r="AJ861" i="1" s="1"/>
  <c r="A862" i="1"/>
  <c r="AK861" i="1"/>
  <c r="AC861" i="1"/>
  <c r="G860" i="1"/>
  <c r="H860" i="1" s="1"/>
  <c r="D861" i="1"/>
  <c r="E861" i="1"/>
  <c r="F861" i="1" s="1"/>
  <c r="BC861" i="1" l="1"/>
  <c r="BD861" i="1" s="1"/>
  <c r="AE861" i="1" s="1"/>
  <c r="BF863" i="1"/>
  <c r="AX443" i="1"/>
  <c r="U443" i="1" s="1"/>
  <c r="AL443" i="1" s="1"/>
  <c r="AN443" i="1" s="1"/>
  <c r="AO443" i="1" s="1"/>
  <c r="AP443" i="1" s="1"/>
  <c r="AH443" i="1"/>
  <c r="N444" i="1"/>
  <c r="I444" i="1"/>
  <c r="Q444" i="1" s="1"/>
  <c r="P444" i="1"/>
  <c r="AT444" i="1"/>
  <c r="AS444" i="1" s="1"/>
  <c r="AG443" i="1"/>
  <c r="BA443" i="1" s="1"/>
  <c r="BB862" i="1"/>
  <c r="AO347" i="1"/>
  <c r="AO355" i="1"/>
  <c r="AO363" i="1"/>
  <c r="J862" i="1"/>
  <c r="L863" i="1"/>
  <c r="A883" i="7"/>
  <c r="B882" i="7"/>
  <c r="S863" i="1"/>
  <c r="Z865" i="1" s="1"/>
  <c r="K863" i="1"/>
  <c r="AU863" i="1"/>
  <c r="AK862" i="1"/>
  <c r="A863" i="1"/>
  <c r="AW862" i="1"/>
  <c r="AI862" i="1" s="1"/>
  <c r="AJ862" i="1" s="1"/>
  <c r="AA863" i="1"/>
  <c r="C863" i="1"/>
  <c r="B864" i="1"/>
  <c r="M861" i="1"/>
  <c r="G861" i="1"/>
  <c r="H861" i="1" s="1"/>
  <c r="AC862" i="1"/>
  <c r="D862" i="1"/>
  <c r="E862" i="1"/>
  <c r="F862" i="1" s="1"/>
  <c r="BC862" i="1" l="1"/>
  <c r="BD862" i="1" s="1"/>
  <c r="AE862" i="1" s="1"/>
  <c r="Y444" i="1"/>
  <c r="X444" i="1" s="1"/>
  <c r="AF444" i="1" s="1"/>
  <c r="AG444" i="1" s="1"/>
  <c r="BE444" i="1"/>
  <c r="BF864" i="1"/>
  <c r="O444" i="1"/>
  <c r="AM445" i="1" s="1"/>
  <c r="AY444" i="1"/>
  <c r="V444" i="1"/>
  <c r="AQ444" i="1"/>
  <c r="BB863" i="1"/>
  <c r="AP347" i="1"/>
  <c r="AX348" i="1" s="1"/>
  <c r="AP363" i="1"/>
  <c r="AX364" i="1" s="1"/>
  <c r="AP355" i="1"/>
  <c r="AX356" i="1" s="1"/>
  <c r="J863" i="1"/>
  <c r="L864" i="1"/>
  <c r="A884" i="7"/>
  <c r="B883" i="7"/>
  <c r="S864" i="1"/>
  <c r="Z866" i="1" s="1"/>
  <c r="K864" i="1"/>
  <c r="AU864" i="1"/>
  <c r="G862" i="1"/>
  <c r="H862" i="1" s="1"/>
  <c r="D863" i="1"/>
  <c r="E863" i="1"/>
  <c r="F863" i="1" s="1"/>
  <c r="M862" i="1"/>
  <c r="B865" i="1"/>
  <c r="C864" i="1"/>
  <c r="AA864" i="1"/>
  <c r="AC863" i="1"/>
  <c r="AK863" i="1"/>
  <c r="A864" i="1"/>
  <c r="AW863" i="1"/>
  <c r="AI863" i="1" s="1"/>
  <c r="AJ863" i="1" s="1"/>
  <c r="BC863" i="1" l="1"/>
  <c r="BD863" i="1" s="1"/>
  <c r="AE863" i="1" s="1"/>
  <c r="AX444" i="1"/>
  <c r="U444" i="1" s="1"/>
  <c r="AL444" i="1" s="1"/>
  <c r="AN444" i="1" s="1"/>
  <c r="AO444" i="1" s="1"/>
  <c r="BF865" i="1"/>
  <c r="N445" i="1"/>
  <c r="I445" i="1"/>
  <c r="Q445" i="1" s="1"/>
  <c r="AH444" i="1"/>
  <c r="P445" i="1"/>
  <c r="AT445" i="1"/>
  <c r="AS445" i="1" s="1"/>
  <c r="BA444" i="1"/>
  <c r="BB864" i="1"/>
  <c r="J864" i="1"/>
  <c r="L865" i="1"/>
  <c r="A885" i="7"/>
  <c r="B884" i="7"/>
  <c r="S865" i="1"/>
  <c r="Z867" i="1" s="1"/>
  <c r="K865" i="1"/>
  <c r="AU865" i="1"/>
  <c r="G863" i="1"/>
  <c r="H863" i="1" s="1"/>
  <c r="AW864" i="1"/>
  <c r="AI864" i="1" s="1"/>
  <c r="AJ864" i="1" s="1"/>
  <c r="A865" i="1"/>
  <c r="AK864" i="1"/>
  <c r="AP864" i="1"/>
  <c r="AC864" i="1"/>
  <c r="C865" i="1"/>
  <c r="AA865" i="1"/>
  <c r="B866" i="1"/>
  <c r="E864" i="1"/>
  <c r="F864" i="1" s="1"/>
  <c r="D864" i="1"/>
  <c r="M863" i="1"/>
  <c r="BC864" i="1" l="1"/>
  <c r="BD864" i="1" s="1"/>
  <c r="AE864" i="1" s="1"/>
  <c r="AY445" i="1"/>
  <c r="BE445" i="1"/>
  <c r="BF866" i="1"/>
  <c r="V445" i="1"/>
  <c r="O445" i="1"/>
  <c r="AM446" i="1" s="1"/>
  <c r="AQ445" i="1"/>
  <c r="Y445" i="1"/>
  <c r="X445" i="1" s="1"/>
  <c r="AF445" i="1" s="1"/>
  <c r="AC865" i="1"/>
  <c r="BB865" i="1"/>
  <c r="U356" i="1"/>
  <c r="U348" i="1"/>
  <c r="U364" i="1"/>
  <c r="J865" i="1"/>
  <c r="L866" i="1"/>
  <c r="A886" i="7"/>
  <c r="B885" i="7"/>
  <c r="S866" i="1"/>
  <c r="Z868" i="1" s="1"/>
  <c r="K866" i="1"/>
  <c r="AU866" i="1"/>
  <c r="G864" i="1"/>
  <c r="H864" i="1" s="1"/>
  <c r="D865" i="1"/>
  <c r="E865" i="1"/>
  <c r="F865" i="1" s="1"/>
  <c r="AK865" i="1"/>
  <c r="A866" i="1"/>
  <c r="AW865" i="1"/>
  <c r="AI865" i="1" s="1"/>
  <c r="AJ865" i="1" s="1"/>
  <c r="AA866" i="1"/>
  <c r="B867" i="1"/>
  <c r="C866" i="1"/>
  <c r="M864" i="1"/>
  <c r="BC865" i="1" l="1"/>
  <c r="BD865" i="1" s="1"/>
  <c r="AE865" i="1" s="1"/>
  <c r="BF867" i="1"/>
  <c r="AX445" i="1"/>
  <c r="U445" i="1" s="1"/>
  <c r="AL445" i="1" s="1"/>
  <c r="AN445" i="1" s="1"/>
  <c r="AO445" i="1" s="1"/>
  <c r="AP445" i="1" s="1"/>
  <c r="P446" i="1"/>
  <c r="BE446" i="1" s="1"/>
  <c r="AH445" i="1"/>
  <c r="N446" i="1"/>
  <c r="AT446" i="1"/>
  <c r="AS446" i="1" s="1"/>
  <c r="I446" i="1"/>
  <c r="Q446" i="1" s="1"/>
  <c r="AG445" i="1"/>
  <c r="BA445" i="1" s="1"/>
  <c r="BB866" i="1"/>
  <c r="AL348" i="1"/>
  <c r="AL356" i="1"/>
  <c r="AL364" i="1"/>
  <c r="J866" i="1"/>
  <c r="L867" i="1"/>
  <c r="A887" i="7"/>
  <c r="B886" i="7"/>
  <c r="S867" i="1"/>
  <c r="Z869" i="1" s="1"/>
  <c r="K867" i="1"/>
  <c r="AU867" i="1"/>
  <c r="AC866" i="1"/>
  <c r="E866" i="1"/>
  <c r="F866" i="1" s="1"/>
  <c r="D866" i="1"/>
  <c r="AK866" i="1"/>
  <c r="A867" i="1"/>
  <c r="AW866" i="1"/>
  <c r="AI866" i="1" s="1"/>
  <c r="AJ866" i="1" s="1"/>
  <c r="M865" i="1"/>
  <c r="AA867" i="1"/>
  <c r="B868" i="1"/>
  <c r="C867" i="1"/>
  <c r="G865" i="1"/>
  <c r="H865" i="1" s="1"/>
  <c r="BC866" i="1" l="1"/>
  <c r="BD866" i="1" s="1"/>
  <c r="AE866" i="1" s="1"/>
  <c r="BF868" i="1"/>
  <c r="AQ446" i="1"/>
  <c r="AY446" i="1"/>
  <c r="V446" i="1"/>
  <c r="Y446" i="1"/>
  <c r="X446" i="1" s="1"/>
  <c r="AF446" i="1" s="1"/>
  <c r="AG446" i="1" s="1"/>
  <c r="O446" i="1"/>
  <c r="AT447" i="1" s="1"/>
  <c r="AS447" i="1" s="1"/>
  <c r="BB867" i="1"/>
  <c r="AN364" i="1"/>
  <c r="AN348" i="1"/>
  <c r="AN356" i="1"/>
  <c r="J867" i="1"/>
  <c r="L868" i="1"/>
  <c r="A888" i="7"/>
  <c r="B887" i="7"/>
  <c r="S868" i="1"/>
  <c r="Z870" i="1" s="1"/>
  <c r="K868" i="1"/>
  <c r="AU868" i="1"/>
  <c r="D867" i="1"/>
  <c r="E867" i="1"/>
  <c r="F867" i="1" s="1"/>
  <c r="B869" i="1"/>
  <c r="C868" i="1"/>
  <c r="AA868" i="1"/>
  <c r="M866" i="1"/>
  <c r="AC867" i="1"/>
  <c r="AK867" i="1"/>
  <c r="A868" i="1"/>
  <c r="AW867" i="1"/>
  <c r="AI867" i="1" s="1"/>
  <c r="AJ867" i="1" s="1"/>
  <c r="G866" i="1"/>
  <c r="H866" i="1" s="1"/>
  <c r="BC867" i="1" l="1"/>
  <c r="BD867" i="1" s="1"/>
  <c r="AE867" i="1" s="1"/>
  <c r="BF869" i="1"/>
  <c r="AX446" i="1"/>
  <c r="U446" i="1" s="1"/>
  <c r="AL446" i="1" s="1"/>
  <c r="AN446" i="1" s="1"/>
  <c r="AO446" i="1" s="1"/>
  <c r="AP446" i="1" s="1"/>
  <c r="BA446" i="1"/>
  <c r="N447" i="1"/>
  <c r="AH446" i="1"/>
  <c r="I447" i="1"/>
  <c r="Q447" i="1" s="1"/>
  <c r="AM447" i="1"/>
  <c r="P447" i="1"/>
  <c r="BB868" i="1"/>
  <c r="AO364" i="1"/>
  <c r="AO356" i="1"/>
  <c r="AO348" i="1"/>
  <c r="J868" i="1"/>
  <c r="L869" i="1"/>
  <c r="A889" i="7"/>
  <c r="B888" i="7"/>
  <c r="S869" i="1"/>
  <c r="Z871" i="1" s="1"/>
  <c r="K869" i="1"/>
  <c r="AU869" i="1"/>
  <c r="C869" i="1"/>
  <c r="AA869" i="1"/>
  <c r="B870" i="1"/>
  <c r="AW868" i="1"/>
  <c r="AI868" i="1" s="1"/>
  <c r="AJ868" i="1" s="1"/>
  <c r="AK868" i="1"/>
  <c r="A869" i="1"/>
  <c r="M867" i="1"/>
  <c r="G867" i="1"/>
  <c r="H867" i="1" s="1"/>
  <c r="AC868" i="1"/>
  <c r="E868" i="1"/>
  <c r="F868" i="1" s="1"/>
  <c r="D868" i="1"/>
  <c r="BC868" i="1" l="1"/>
  <c r="BD868" i="1" s="1"/>
  <c r="AE868" i="1" s="1"/>
  <c r="Y447" i="1"/>
  <c r="X447" i="1" s="1"/>
  <c r="AF447" i="1" s="1"/>
  <c r="BE447" i="1"/>
  <c r="BF870" i="1"/>
  <c r="O447" i="1"/>
  <c r="P448" i="1" s="1"/>
  <c r="V447" i="1"/>
  <c r="AQ447" i="1"/>
  <c r="AY447" i="1"/>
  <c r="BB869" i="1"/>
  <c r="AP364" i="1"/>
  <c r="AX365" i="1" s="1"/>
  <c r="AP356" i="1"/>
  <c r="AX357" i="1" s="1"/>
  <c r="J869" i="1"/>
  <c r="L870" i="1"/>
  <c r="A890" i="7"/>
  <c r="B889" i="7"/>
  <c r="S870" i="1"/>
  <c r="Z872" i="1" s="1"/>
  <c r="K870" i="1"/>
  <c r="AU870" i="1"/>
  <c r="C870" i="1"/>
  <c r="B871" i="1"/>
  <c r="AA870" i="1"/>
  <c r="E869" i="1"/>
  <c r="F869" i="1" s="1"/>
  <c r="D869" i="1"/>
  <c r="AW869" i="1"/>
  <c r="AI869" i="1" s="1"/>
  <c r="AJ869" i="1" s="1"/>
  <c r="A870" i="1"/>
  <c r="AK869" i="1"/>
  <c r="AC869" i="1"/>
  <c r="M868" i="1"/>
  <c r="G868" i="1"/>
  <c r="H868" i="1" s="1"/>
  <c r="AG447" i="1" l="1"/>
  <c r="BA447" i="1" s="1"/>
  <c r="BC869" i="1"/>
  <c r="BD869" i="1" s="1"/>
  <c r="AE869" i="1" s="1"/>
  <c r="V448" i="1"/>
  <c r="BE448" i="1"/>
  <c r="BF871" i="1"/>
  <c r="AX447" i="1"/>
  <c r="U447" i="1" s="1"/>
  <c r="AL447" i="1" s="1"/>
  <c r="AN447" i="1" s="1"/>
  <c r="AO447" i="1" s="1"/>
  <c r="AP447" i="1" s="1"/>
  <c r="N448" i="1"/>
  <c r="AY448" i="1"/>
  <c r="I448" i="1"/>
  <c r="Q448" i="1" s="1"/>
  <c r="AM448" i="1"/>
  <c r="Y448" i="1"/>
  <c r="X448" i="1" s="1"/>
  <c r="AF448" i="1" s="1"/>
  <c r="AH447" i="1"/>
  <c r="AT448" i="1"/>
  <c r="AS448" i="1" s="1"/>
  <c r="AQ448" i="1" s="1"/>
  <c r="BB870" i="1"/>
  <c r="J870" i="1"/>
  <c r="L871" i="1"/>
  <c r="A891" i="7"/>
  <c r="B890" i="7"/>
  <c r="S871" i="1"/>
  <c r="Z873" i="1" s="1"/>
  <c r="K871" i="1"/>
  <c r="AU871" i="1"/>
  <c r="G869" i="1"/>
  <c r="H869" i="1" s="1"/>
  <c r="AC870" i="1"/>
  <c r="M869" i="1"/>
  <c r="AA871" i="1"/>
  <c r="C871" i="1"/>
  <c r="B872" i="1"/>
  <c r="D870" i="1"/>
  <c r="E870" i="1"/>
  <c r="F870" i="1" s="1"/>
  <c r="AK870" i="1"/>
  <c r="A871" i="1"/>
  <c r="AW870" i="1"/>
  <c r="AI870" i="1" s="1"/>
  <c r="AJ870" i="1" s="1"/>
  <c r="BC870" i="1" l="1"/>
  <c r="BD870" i="1" s="1"/>
  <c r="AE870" i="1" s="1"/>
  <c r="AX448" i="1"/>
  <c r="U448" i="1" s="1"/>
  <c r="AL448" i="1" s="1"/>
  <c r="AN448" i="1" s="1"/>
  <c r="AO448" i="1" s="1"/>
  <c r="AP448" i="1" s="1"/>
  <c r="BF872" i="1"/>
  <c r="AG448" i="1"/>
  <c r="BA448" i="1" s="1"/>
  <c r="O448" i="1"/>
  <c r="AT449" i="1" s="1"/>
  <c r="AS449" i="1" s="1"/>
  <c r="BB871" i="1"/>
  <c r="U357" i="1"/>
  <c r="U365" i="1"/>
  <c r="J871" i="1"/>
  <c r="L872" i="1"/>
  <c r="A892" i="7"/>
  <c r="B891" i="7"/>
  <c r="S872" i="1"/>
  <c r="Z874" i="1" s="1"/>
  <c r="K872" i="1"/>
  <c r="AU872" i="1"/>
  <c r="G870" i="1"/>
  <c r="H870" i="1" s="1"/>
  <c r="E871" i="1"/>
  <c r="F871" i="1" s="1"/>
  <c r="D871" i="1"/>
  <c r="M870" i="1"/>
  <c r="AC871" i="1"/>
  <c r="AK871" i="1"/>
  <c r="A872" i="1"/>
  <c r="AW871" i="1"/>
  <c r="AI871" i="1" s="1"/>
  <c r="AJ871" i="1" s="1"/>
  <c r="AA872" i="1"/>
  <c r="B873" i="1"/>
  <c r="C872" i="1"/>
  <c r="U373" i="1"/>
  <c r="BC871" i="1" l="1"/>
  <c r="BD871" i="1" s="1"/>
  <c r="AE871" i="1" s="1"/>
  <c r="BF873" i="1"/>
  <c r="AH448" i="1"/>
  <c r="I449" i="1"/>
  <c r="Q449" i="1" s="1"/>
  <c r="AM449" i="1"/>
  <c r="N449" i="1"/>
  <c r="P449" i="1"/>
  <c r="BE449" i="1" s="1"/>
  <c r="BB872" i="1"/>
  <c r="AL365" i="1"/>
  <c r="AL373" i="1"/>
  <c r="AL357" i="1"/>
  <c r="J872" i="1"/>
  <c r="L873" i="1"/>
  <c r="A893" i="7"/>
  <c r="B892" i="7"/>
  <c r="S873" i="1"/>
  <c r="Z875" i="1" s="1"/>
  <c r="K873" i="1"/>
  <c r="AU873" i="1"/>
  <c r="AC872" i="1"/>
  <c r="E872" i="1"/>
  <c r="F872" i="1" s="1"/>
  <c r="D872" i="1"/>
  <c r="G871" i="1"/>
  <c r="H871" i="1" s="1"/>
  <c r="M871" i="1"/>
  <c r="AA873" i="1"/>
  <c r="B874" i="1"/>
  <c r="C873" i="1"/>
  <c r="A873" i="1"/>
  <c r="AK872" i="1"/>
  <c r="AW872" i="1"/>
  <c r="AI872" i="1" s="1"/>
  <c r="AJ872" i="1" s="1"/>
  <c r="BC872" i="1" l="1"/>
  <c r="BD872" i="1" s="1"/>
  <c r="AE872" i="1" s="1"/>
  <c r="BF874" i="1"/>
  <c r="O449" i="1"/>
  <c r="AT450" i="1" s="1"/>
  <c r="AS450" i="1" s="1"/>
  <c r="AQ449" i="1"/>
  <c r="V449" i="1"/>
  <c r="AY449" i="1"/>
  <c r="Y449" i="1"/>
  <c r="X449" i="1" s="1"/>
  <c r="AF449" i="1" s="1"/>
  <c r="AG449" i="1" s="1"/>
  <c r="BB873" i="1"/>
  <c r="AN357" i="1"/>
  <c r="AN365" i="1"/>
  <c r="AN373" i="1"/>
  <c r="J873" i="1"/>
  <c r="L874" i="1"/>
  <c r="A894" i="7"/>
  <c r="B893" i="7"/>
  <c r="S874" i="1"/>
  <c r="Z876" i="1" s="1"/>
  <c r="K874" i="1"/>
  <c r="AU874" i="1"/>
  <c r="M872" i="1"/>
  <c r="D873" i="1"/>
  <c r="E873" i="1"/>
  <c r="F873" i="1" s="1"/>
  <c r="B875" i="1"/>
  <c r="C874" i="1"/>
  <c r="AA874" i="1"/>
  <c r="A874" i="1"/>
  <c r="AK873" i="1"/>
  <c r="AW873" i="1"/>
  <c r="AI873" i="1" s="1"/>
  <c r="AJ873" i="1" s="1"/>
  <c r="AC873" i="1"/>
  <c r="G872" i="1"/>
  <c r="H872" i="1" s="1"/>
  <c r="BC873" i="1" l="1"/>
  <c r="BD873" i="1" s="1"/>
  <c r="AE873" i="1" s="1"/>
  <c r="BF875" i="1"/>
  <c r="AX449" i="1"/>
  <c r="U449" i="1" s="1"/>
  <c r="AL449" i="1" s="1"/>
  <c r="AN449" i="1" s="1"/>
  <c r="AO449" i="1" s="1"/>
  <c r="AP449" i="1" s="1"/>
  <c r="I450" i="1"/>
  <c r="Q450" i="1" s="1"/>
  <c r="N450" i="1"/>
  <c r="P450" i="1"/>
  <c r="AM450" i="1"/>
  <c r="BA449" i="1"/>
  <c r="AH449" i="1"/>
  <c r="BB874" i="1"/>
  <c r="AO357" i="1"/>
  <c r="AO373" i="1"/>
  <c r="AO365" i="1"/>
  <c r="J874" i="1"/>
  <c r="L875" i="1"/>
  <c r="A895" i="7"/>
  <c r="B894" i="7"/>
  <c r="S875" i="1"/>
  <c r="Z877" i="1" s="1"/>
  <c r="K875" i="1"/>
  <c r="AU875" i="1"/>
  <c r="AW874" i="1"/>
  <c r="AI874" i="1" s="1"/>
  <c r="AJ874" i="1" s="1"/>
  <c r="AK874" i="1"/>
  <c r="A875" i="1"/>
  <c r="AC874" i="1"/>
  <c r="D874" i="1"/>
  <c r="E874" i="1"/>
  <c r="F874" i="1" s="1"/>
  <c r="M873" i="1"/>
  <c r="AA875" i="1"/>
  <c r="B876" i="1"/>
  <c r="C875" i="1"/>
  <c r="G873" i="1"/>
  <c r="H873" i="1" s="1"/>
  <c r="BC874" i="1" l="1"/>
  <c r="BD874" i="1" s="1"/>
  <c r="AE874" i="1" s="1"/>
  <c r="V450" i="1"/>
  <c r="BE450" i="1"/>
  <c r="BF876" i="1"/>
  <c r="O450" i="1"/>
  <c r="P451" i="1" s="1"/>
  <c r="AQ450" i="1"/>
  <c r="AY450" i="1"/>
  <c r="Y450" i="1"/>
  <c r="X450" i="1" s="1"/>
  <c r="AF450" i="1" s="1"/>
  <c r="AG450" i="1" s="1"/>
  <c r="BB875" i="1"/>
  <c r="AP365" i="1"/>
  <c r="AX366" i="1" s="1"/>
  <c r="AP373" i="1"/>
  <c r="AX374" i="1" s="1"/>
  <c r="AP357" i="1"/>
  <c r="AX358" i="1" s="1"/>
  <c r="J875" i="1"/>
  <c r="L876" i="1"/>
  <c r="A896" i="7"/>
  <c r="B895" i="7"/>
  <c r="S876" i="1"/>
  <c r="Z878" i="1" s="1"/>
  <c r="K876" i="1"/>
  <c r="AU876" i="1"/>
  <c r="G874" i="1"/>
  <c r="H874" i="1" s="1"/>
  <c r="M874" i="1"/>
  <c r="AC875" i="1"/>
  <c r="D875" i="1"/>
  <c r="E875" i="1"/>
  <c r="F875" i="1" s="1"/>
  <c r="B877" i="1"/>
  <c r="AA876" i="1"/>
  <c r="C876" i="1"/>
  <c r="AW875" i="1"/>
  <c r="AI875" i="1" s="1"/>
  <c r="AJ875" i="1" s="1"/>
  <c r="AK875" i="1"/>
  <c r="A876" i="1"/>
  <c r="BA450" i="1" l="1"/>
  <c r="BC875" i="1"/>
  <c r="BD875" i="1" s="1"/>
  <c r="AE875" i="1" s="1"/>
  <c r="Y451" i="1"/>
  <c r="X451" i="1" s="1"/>
  <c r="AF451" i="1" s="1"/>
  <c r="BE451" i="1"/>
  <c r="BF877" i="1"/>
  <c r="AX450" i="1"/>
  <c r="U450" i="1" s="1"/>
  <c r="AL450" i="1" s="1"/>
  <c r="AN450" i="1" s="1"/>
  <c r="AO450" i="1" s="1"/>
  <c r="AP450" i="1" s="1"/>
  <c r="I451" i="1"/>
  <c r="Q451" i="1" s="1"/>
  <c r="N451" i="1"/>
  <c r="AT451" i="1"/>
  <c r="AS451" i="1" s="1"/>
  <c r="AQ451" i="1" s="1"/>
  <c r="AY451" i="1"/>
  <c r="AM451" i="1"/>
  <c r="V451" i="1"/>
  <c r="AH450" i="1"/>
  <c r="BB876" i="1"/>
  <c r="J876" i="1"/>
  <c r="L877" i="1"/>
  <c r="A897" i="7"/>
  <c r="B896" i="7"/>
  <c r="S877" i="1"/>
  <c r="Z879" i="1" s="1"/>
  <c r="K877" i="1"/>
  <c r="AU877" i="1"/>
  <c r="D876" i="1"/>
  <c r="E876" i="1"/>
  <c r="F876" i="1" s="1"/>
  <c r="M875" i="1"/>
  <c r="AC876" i="1"/>
  <c r="AA877" i="1"/>
  <c r="B878" i="1"/>
  <c r="C877" i="1"/>
  <c r="A877" i="1"/>
  <c r="AP876" i="1"/>
  <c r="AK876" i="1"/>
  <c r="AW876" i="1"/>
  <c r="AI876" i="1" s="1"/>
  <c r="AJ876" i="1" s="1"/>
  <c r="G875" i="1"/>
  <c r="H875" i="1" s="1"/>
  <c r="BC876" i="1" l="1"/>
  <c r="BD876" i="1" s="1"/>
  <c r="AE876" i="1" s="1"/>
  <c r="BF878" i="1"/>
  <c r="AX451" i="1"/>
  <c r="U451" i="1" s="1"/>
  <c r="AL451" i="1" s="1"/>
  <c r="AN451" i="1" s="1"/>
  <c r="AO451" i="1" s="1"/>
  <c r="AP451" i="1" s="1"/>
  <c r="O451" i="1"/>
  <c r="P452" i="1" s="1"/>
  <c r="BE452" i="1" s="1"/>
  <c r="AG451" i="1"/>
  <c r="BA451" i="1" s="1"/>
  <c r="BB877" i="1"/>
  <c r="U358" i="1"/>
  <c r="U374" i="1"/>
  <c r="U366" i="1"/>
  <c r="J877" i="1"/>
  <c r="L878" i="1"/>
  <c r="A898" i="7"/>
  <c r="B897" i="7"/>
  <c r="S878" i="1"/>
  <c r="Z880" i="1" s="1"/>
  <c r="K878" i="1"/>
  <c r="AU878" i="1"/>
  <c r="AK877" i="1"/>
  <c r="A878" i="1"/>
  <c r="AW877" i="1"/>
  <c r="AI877" i="1" s="1"/>
  <c r="AJ877" i="1" s="1"/>
  <c r="D877" i="1"/>
  <c r="E877" i="1"/>
  <c r="F877" i="1" s="1"/>
  <c r="AA878" i="1"/>
  <c r="B879" i="1"/>
  <c r="C878" i="1"/>
  <c r="M876" i="1"/>
  <c r="AC877" i="1"/>
  <c r="G876" i="1"/>
  <c r="H876" i="1" s="1"/>
  <c r="BC877" i="1" l="1"/>
  <c r="BD877" i="1" s="1"/>
  <c r="AE877" i="1" s="1"/>
  <c r="BF879" i="1"/>
  <c r="Y452" i="1"/>
  <c r="X452" i="1" s="1"/>
  <c r="AF452" i="1" s="1"/>
  <c r="V452" i="1"/>
  <c r="AY452" i="1"/>
  <c r="AM452" i="1"/>
  <c r="I452" i="1"/>
  <c r="Q452" i="1" s="1"/>
  <c r="N452" i="1"/>
  <c r="AH451" i="1"/>
  <c r="AT452" i="1"/>
  <c r="AS452" i="1" s="1"/>
  <c r="AQ452" i="1" s="1"/>
  <c r="BB878" i="1"/>
  <c r="AL374" i="1"/>
  <c r="AL358" i="1"/>
  <c r="AL366" i="1"/>
  <c r="J878" i="1"/>
  <c r="L879" i="1"/>
  <c r="A899" i="7"/>
  <c r="B898" i="7"/>
  <c r="S879" i="1"/>
  <c r="Z881" i="1" s="1"/>
  <c r="K879" i="1"/>
  <c r="AU879" i="1"/>
  <c r="E878" i="1"/>
  <c r="F878" i="1" s="1"/>
  <c r="D878" i="1"/>
  <c r="AC878" i="1"/>
  <c r="AA879" i="1"/>
  <c r="B880" i="1"/>
  <c r="C879" i="1"/>
  <c r="G877" i="1"/>
  <c r="H877" i="1" s="1"/>
  <c r="M877" i="1"/>
  <c r="AW878" i="1"/>
  <c r="AI878" i="1" s="1"/>
  <c r="AJ878" i="1" s="1"/>
  <c r="A879" i="1"/>
  <c r="AK878" i="1"/>
  <c r="BC878" i="1" l="1"/>
  <c r="BD878" i="1" s="1"/>
  <c r="AE878" i="1" s="1"/>
  <c r="BF880" i="1"/>
  <c r="AX452" i="1"/>
  <c r="U452" i="1" s="1"/>
  <c r="AL452" i="1" s="1"/>
  <c r="AN452" i="1" s="1"/>
  <c r="AO452" i="1" s="1"/>
  <c r="AP452" i="1" s="1"/>
  <c r="O452" i="1"/>
  <c r="P453" i="1" s="1"/>
  <c r="BE453" i="1" s="1"/>
  <c r="AG452" i="1"/>
  <c r="BA452" i="1" s="1"/>
  <c r="AC879" i="1"/>
  <c r="BB879" i="1"/>
  <c r="AN374" i="1"/>
  <c r="AN366" i="1"/>
  <c r="AN358" i="1"/>
  <c r="J879" i="1"/>
  <c r="L880" i="1"/>
  <c r="A900" i="7"/>
  <c r="B899" i="7"/>
  <c r="S880" i="1"/>
  <c r="Z882" i="1" s="1"/>
  <c r="K880" i="1"/>
  <c r="AU880" i="1"/>
  <c r="A880" i="1"/>
  <c r="AW879" i="1"/>
  <c r="AI879" i="1" s="1"/>
  <c r="AJ879" i="1" s="1"/>
  <c r="AK879" i="1"/>
  <c r="M878" i="1"/>
  <c r="E879" i="1"/>
  <c r="F879" i="1" s="1"/>
  <c r="D879" i="1"/>
  <c r="G878" i="1"/>
  <c r="H878" i="1" s="1"/>
  <c r="B881" i="1"/>
  <c r="AA880" i="1"/>
  <c r="C880" i="1"/>
  <c r="BC879" i="1" l="1"/>
  <c r="BD879" i="1" s="1"/>
  <c r="AE879" i="1" s="1"/>
  <c r="BF881" i="1"/>
  <c r="Y453" i="1"/>
  <c r="X453" i="1" s="1"/>
  <c r="AF453" i="1" s="1"/>
  <c r="AY453" i="1"/>
  <c r="AT453" i="1"/>
  <c r="AS453" i="1" s="1"/>
  <c r="AQ453" i="1" s="1"/>
  <c r="AH452" i="1"/>
  <c r="AM453" i="1"/>
  <c r="N453" i="1"/>
  <c r="I453" i="1"/>
  <c r="Q453" i="1" s="1"/>
  <c r="V453" i="1"/>
  <c r="BB880" i="1"/>
  <c r="AO366" i="1"/>
  <c r="AO374" i="1"/>
  <c r="AO358" i="1"/>
  <c r="J880" i="1"/>
  <c r="L881" i="1"/>
  <c r="A901" i="7"/>
  <c r="B900" i="7"/>
  <c r="S881" i="1"/>
  <c r="Z883" i="1" s="1"/>
  <c r="K881" i="1"/>
  <c r="AU881" i="1"/>
  <c r="AK880" i="1"/>
  <c r="AW880" i="1"/>
  <c r="AI880" i="1" s="1"/>
  <c r="AJ880" i="1" s="1"/>
  <c r="A881" i="1"/>
  <c r="D880" i="1"/>
  <c r="E880" i="1"/>
  <c r="F880" i="1" s="1"/>
  <c r="M879" i="1"/>
  <c r="G879" i="1"/>
  <c r="H879" i="1" s="1"/>
  <c r="AC880" i="1"/>
  <c r="C881" i="1"/>
  <c r="AA881" i="1"/>
  <c r="B882" i="1"/>
  <c r="BC880" i="1" l="1"/>
  <c r="BD880" i="1" s="1"/>
  <c r="AE880" i="1" s="1"/>
  <c r="BF882" i="1"/>
  <c r="AX453" i="1"/>
  <c r="U453" i="1" s="1"/>
  <c r="AL453" i="1" s="1"/>
  <c r="AN453" i="1" s="1"/>
  <c r="AO453" i="1" s="1"/>
  <c r="AP453" i="1" s="1"/>
  <c r="AG453" i="1"/>
  <c r="BA453" i="1" s="1"/>
  <c r="O453" i="1"/>
  <c r="P454" i="1" s="1"/>
  <c r="BB881" i="1"/>
  <c r="AP374" i="1"/>
  <c r="AX375" i="1" s="1"/>
  <c r="AP366" i="1"/>
  <c r="AX367" i="1" s="1"/>
  <c r="AP358" i="1"/>
  <c r="AX359" i="1" s="1"/>
  <c r="J881" i="1"/>
  <c r="L882" i="1"/>
  <c r="A902" i="7"/>
  <c r="B901" i="7"/>
  <c r="S882" i="1"/>
  <c r="Z884" i="1" s="1"/>
  <c r="K882" i="1"/>
  <c r="AU882" i="1"/>
  <c r="AC881" i="1"/>
  <c r="M880" i="1"/>
  <c r="C882" i="1"/>
  <c r="B883" i="1"/>
  <c r="AA882" i="1"/>
  <c r="E881" i="1"/>
  <c r="F881" i="1" s="1"/>
  <c r="D881" i="1"/>
  <c r="G880" i="1"/>
  <c r="H880" i="1" s="1"/>
  <c r="A882" i="1"/>
  <c r="AW881" i="1"/>
  <c r="AI881" i="1" s="1"/>
  <c r="AJ881" i="1" s="1"/>
  <c r="AK881" i="1"/>
  <c r="BC881" i="1" l="1"/>
  <c r="BD881" i="1" s="1"/>
  <c r="AE881" i="1" s="1"/>
  <c r="V454" i="1"/>
  <c r="BE454" i="1"/>
  <c r="BF883" i="1"/>
  <c r="Y454" i="1"/>
  <c r="X454" i="1" s="1"/>
  <c r="AF454" i="1" s="1"/>
  <c r="AH453" i="1"/>
  <c r="N454" i="1"/>
  <c r="AM454" i="1"/>
  <c r="AT454" i="1"/>
  <c r="AS454" i="1" s="1"/>
  <c r="AQ454" i="1" s="1"/>
  <c r="I454" i="1"/>
  <c r="Q454" i="1" s="1"/>
  <c r="AY454" i="1"/>
  <c r="AC882" i="1"/>
  <c r="BB882" i="1"/>
  <c r="J882" i="1"/>
  <c r="L883" i="1"/>
  <c r="A903" i="7"/>
  <c r="B902" i="7"/>
  <c r="S883" i="1"/>
  <c r="Z885" i="1" s="1"/>
  <c r="K883" i="1"/>
  <c r="AU883" i="1"/>
  <c r="A883" i="1"/>
  <c r="AW882" i="1"/>
  <c r="AI882" i="1" s="1"/>
  <c r="AJ882" i="1" s="1"/>
  <c r="AK882" i="1"/>
  <c r="E882" i="1"/>
  <c r="F882" i="1" s="1"/>
  <c r="D882" i="1"/>
  <c r="M881" i="1"/>
  <c r="G881" i="1"/>
  <c r="H881" i="1" s="1"/>
  <c r="AA883" i="1"/>
  <c r="B884" i="1"/>
  <c r="C883" i="1"/>
  <c r="BC882" i="1" l="1"/>
  <c r="BD882" i="1" s="1"/>
  <c r="AE882" i="1" s="1"/>
  <c r="AX454" i="1"/>
  <c r="U454" i="1" s="1"/>
  <c r="AL454" i="1" s="1"/>
  <c r="AN454" i="1" s="1"/>
  <c r="AO454" i="1" s="1"/>
  <c r="AP454" i="1" s="1"/>
  <c r="BF884" i="1"/>
  <c r="AG454" i="1"/>
  <c r="BA454" i="1" s="1"/>
  <c r="O454" i="1"/>
  <c r="P455" i="1" s="1"/>
  <c r="AC883" i="1"/>
  <c r="BB883" i="1"/>
  <c r="U367" i="1"/>
  <c r="U359" i="1"/>
  <c r="U375" i="1"/>
  <c r="J883" i="1"/>
  <c r="L884" i="1"/>
  <c r="A904" i="7"/>
  <c r="B903" i="7"/>
  <c r="S884" i="1"/>
  <c r="Z886" i="1" s="1"/>
  <c r="K884" i="1"/>
  <c r="AU884" i="1"/>
  <c r="D883" i="1"/>
  <c r="E883" i="1"/>
  <c r="F883" i="1" s="1"/>
  <c r="M882" i="1"/>
  <c r="AK883" i="1"/>
  <c r="A884" i="1"/>
  <c r="AW883" i="1"/>
  <c r="AI883" i="1" s="1"/>
  <c r="AJ883" i="1" s="1"/>
  <c r="C884" i="1"/>
  <c r="B885" i="1"/>
  <c r="AA884" i="1"/>
  <c r="G882" i="1"/>
  <c r="H882" i="1" s="1"/>
  <c r="BC883" i="1" l="1"/>
  <c r="BD883" i="1" s="1"/>
  <c r="AE883" i="1" s="1"/>
  <c r="AY455" i="1"/>
  <c r="BE455" i="1"/>
  <c r="BF885" i="1"/>
  <c r="V455" i="1"/>
  <c r="AM455" i="1"/>
  <c r="AT455" i="1"/>
  <c r="AS455" i="1" s="1"/>
  <c r="AQ455" i="1" s="1"/>
  <c r="Y455" i="1"/>
  <c r="X455" i="1" s="1"/>
  <c r="AF455" i="1" s="1"/>
  <c r="I455" i="1"/>
  <c r="Q455" i="1" s="1"/>
  <c r="N455" i="1"/>
  <c r="AH454" i="1"/>
  <c r="BB884" i="1"/>
  <c r="AL359" i="1"/>
  <c r="AL375" i="1"/>
  <c r="AL367" i="1"/>
  <c r="J884" i="1"/>
  <c r="L885" i="1"/>
  <c r="A905" i="7"/>
  <c r="B904" i="7"/>
  <c r="S885" i="1"/>
  <c r="Z887" i="1" s="1"/>
  <c r="K885" i="1"/>
  <c r="AU885" i="1"/>
  <c r="E884" i="1"/>
  <c r="F884" i="1" s="1"/>
  <c r="D884" i="1"/>
  <c r="M883" i="1"/>
  <c r="AK884" i="1"/>
  <c r="AW884" i="1"/>
  <c r="AI884" i="1" s="1"/>
  <c r="AJ884" i="1" s="1"/>
  <c r="A885" i="1"/>
  <c r="AC884" i="1"/>
  <c r="C885" i="1"/>
  <c r="AA885" i="1"/>
  <c r="B886" i="1"/>
  <c r="G883" i="1"/>
  <c r="H883" i="1" s="1"/>
  <c r="BC884" i="1" l="1"/>
  <c r="BD884" i="1" s="1"/>
  <c r="AE884" i="1" s="1"/>
  <c r="AX455" i="1"/>
  <c r="U455" i="1" s="1"/>
  <c r="AL455" i="1" s="1"/>
  <c r="AN455" i="1" s="1"/>
  <c r="AO455" i="1" s="1"/>
  <c r="AP455" i="1" s="1"/>
  <c r="BF886" i="1"/>
  <c r="O455" i="1"/>
  <c r="N456" i="1" s="1"/>
  <c r="AG455" i="1"/>
  <c r="BA455" i="1" s="1"/>
  <c r="BB885" i="1"/>
  <c r="AN359" i="1"/>
  <c r="AN367" i="1"/>
  <c r="AN375" i="1"/>
  <c r="J885" i="1"/>
  <c r="L886" i="1"/>
  <c r="A906" i="7"/>
  <c r="B905" i="7"/>
  <c r="S886" i="1"/>
  <c r="Z888" i="1" s="1"/>
  <c r="K886" i="1"/>
  <c r="AU886" i="1"/>
  <c r="G884" i="1"/>
  <c r="H884" i="1" s="1"/>
  <c r="AA886" i="1"/>
  <c r="B887" i="1"/>
  <c r="C886" i="1"/>
  <c r="E885" i="1"/>
  <c r="F885" i="1" s="1"/>
  <c r="D885" i="1"/>
  <c r="AK885" i="1"/>
  <c r="A886" i="1"/>
  <c r="AW885" i="1"/>
  <c r="AI885" i="1" s="1"/>
  <c r="AJ885" i="1" s="1"/>
  <c r="AC885" i="1"/>
  <c r="M884" i="1"/>
  <c r="BC885" i="1" l="1"/>
  <c r="BD885" i="1" s="1"/>
  <c r="AE885" i="1" s="1"/>
  <c r="BF887" i="1"/>
  <c r="AT456" i="1"/>
  <c r="AS456" i="1" s="1"/>
  <c r="AM456" i="1"/>
  <c r="P456" i="1"/>
  <c r="AH455" i="1"/>
  <c r="I456" i="1"/>
  <c r="Q456" i="1" s="1"/>
  <c r="BB886" i="1"/>
  <c r="AO359" i="1"/>
  <c r="AO375" i="1"/>
  <c r="AO367" i="1"/>
  <c r="J886" i="1"/>
  <c r="L887" i="1"/>
  <c r="A907" i="7"/>
  <c r="B906" i="7"/>
  <c r="S887" i="1"/>
  <c r="Z889" i="1" s="1"/>
  <c r="K887" i="1"/>
  <c r="AU887" i="1"/>
  <c r="M885" i="1"/>
  <c r="G885" i="1"/>
  <c r="H885" i="1" s="1"/>
  <c r="B888" i="1"/>
  <c r="C887" i="1"/>
  <c r="AA887" i="1"/>
  <c r="AC886" i="1"/>
  <c r="AK886" i="1"/>
  <c r="AW886" i="1"/>
  <c r="AI886" i="1" s="1"/>
  <c r="AJ886" i="1" s="1"/>
  <c r="A887" i="1"/>
  <c r="D886" i="1"/>
  <c r="E886" i="1"/>
  <c r="F886" i="1" s="1"/>
  <c r="BC886" i="1" l="1"/>
  <c r="BD886" i="1" s="1"/>
  <c r="AE886" i="1" s="1"/>
  <c r="AY456" i="1"/>
  <c r="BE456" i="1"/>
  <c r="BF888" i="1"/>
  <c r="AQ456" i="1"/>
  <c r="V456" i="1"/>
  <c r="Y456" i="1"/>
  <c r="X456" i="1" s="1"/>
  <c r="AF456" i="1" s="1"/>
  <c r="O456" i="1"/>
  <c r="I457" i="1" s="1"/>
  <c r="Q457" i="1" s="1"/>
  <c r="BB887" i="1"/>
  <c r="AP375" i="1"/>
  <c r="AX376" i="1" s="1"/>
  <c r="AP359" i="1"/>
  <c r="AX360" i="1" s="1"/>
  <c r="AP367" i="1"/>
  <c r="AX368" i="1" s="1"/>
  <c r="J887" i="1"/>
  <c r="L888" i="1"/>
  <c r="A908" i="7"/>
  <c r="B907" i="7"/>
  <c r="S888" i="1"/>
  <c r="Z890" i="1" s="1"/>
  <c r="K888" i="1"/>
  <c r="AU888" i="1"/>
  <c r="G886" i="1"/>
  <c r="H886" i="1" s="1"/>
  <c r="AW887" i="1"/>
  <c r="AI887" i="1" s="1"/>
  <c r="AJ887" i="1" s="1"/>
  <c r="AK887" i="1"/>
  <c r="A888" i="1"/>
  <c r="M886" i="1"/>
  <c r="E887" i="1"/>
  <c r="F887" i="1" s="1"/>
  <c r="D887" i="1"/>
  <c r="AA888" i="1"/>
  <c r="B889" i="1"/>
  <c r="C888" i="1"/>
  <c r="AC887" i="1"/>
  <c r="BC887" i="1" l="1"/>
  <c r="BD887" i="1" s="1"/>
  <c r="AE887" i="1" s="1"/>
  <c r="BF889" i="1"/>
  <c r="AX456" i="1"/>
  <c r="U456" i="1" s="1"/>
  <c r="AL456" i="1" s="1"/>
  <c r="AN456" i="1" s="1"/>
  <c r="AO456" i="1" s="1"/>
  <c r="AT457" i="1"/>
  <c r="AS457" i="1" s="1"/>
  <c r="AM457" i="1"/>
  <c r="AG456" i="1"/>
  <c r="BA456" i="1" s="1"/>
  <c r="N457" i="1"/>
  <c r="O457" i="1" s="1"/>
  <c r="N458" i="1" s="1"/>
  <c r="P457" i="1"/>
  <c r="BE457" i="1" s="1"/>
  <c r="AH456" i="1"/>
  <c r="AC888" i="1"/>
  <c r="BB888" i="1"/>
  <c r="J888" i="1"/>
  <c r="L889" i="1"/>
  <c r="A909" i="7"/>
  <c r="B908" i="7"/>
  <c r="S889" i="1"/>
  <c r="Z891" i="1" s="1"/>
  <c r="K889" i="1"/>
  <c r="AU889" i="1"/>
  <c r="G887" i="1"/>
  <c r="H887" i="1" s="1"/>
  <c r="D888" i="1"/>
  <c r="E888" i="1"/>
  <c r="F888" i="1" s="1"/>
  <c r="C889" i="1"/>
  <c r="AA889" i="1"/>
  <c r="B890" i="1"/>
  <c r="M887" i="1"/>
  <c r="A889" i="1"/>
  <c r="AW888" i="1"/>
  <c r="AI888" i="1" s="1"/>
  <c r="AJ888" i="1" s="1"/>
  <c r="AP888" i="1"/>
  <c r="AK888" i="1"/>
  <c r="BC888" i="1" l="1"/>
  <c r="BD888" i="1" s="1"/>
  <c r="AE888" i="1" s="1"/>
  <c r="BF890" i="1"/>
  <c r="P458" i="1"/>
  <c r="BE458" i="1" s="1"/>
  <c r="AT458" i="1"/>
  <c r="AS458" i="1" s="1"/>
  <c r="AM458" i="1"/>
  <c r="AQ457" i="1"/>
  <c r="I458" i="1"/>
  <c r="Q458" i="1" s="1"/>
  <c r="AY457" i="1"/>
  <c r="V457" i="1"/>
  <c r="Y457" i="1"/>
  <c r="X457" i="1" s="1"/>
  <c r="AF457" i="1" s="1"/>
  <c r="AG457" i="1" s="1"/>
  <c r="BB889" i="1"/>
  <c r="AC889" i="1"/>
  <c r="U360" i="1"/>
  <c r="U368" i="1"/>
  <c r="U376" i="1"/>
  <c r="J889" i="1"/>
  <c r="L890" i="1"/>
  <c r="A910" i="7"/>
  <c r="B909" i="7"/>
  <c r="S890" i="1"/>
  <c r="Z892" i="1" s="1"/>
  <c r="K890" i="1"/>
  <c r="AU890" i="1"/>
  <c r="G888" i="1"/>
  <c r="H888" i="1" s="1"/>
  <c r="M888" i="1"/>
  <c r="AK889" i="1"/>
  <c r="A890" i="1"/>
  <c r="AW889" i="1"/>
  <c r="AI889" i="1" s="1"/>
  <c r="AJ889" i="1" s="1"/>
  <c r="AA890" i="1"/>
  <c r="B891" i="1"/>
  <c r="C890" i="1"/>
  <c r="D889" i="1"/>
  <c r="E889" i="1"/>
  <c r="F889" i="1" s="1"/>
  <c r="BC889" i="1" l="1"/>
  <c r="BD889" i="1" s="1"/>
  <c r="AE889" i="1" s="1"/>
  <c r="Y458" i="1"/>
  <c r="BF891" i="1"/>
  <c r="AX457" i="1"/>
  <c r="U457" i="1" s="1"/>
  <c r="AL457" i="1" s="1"/>
  <c r="AN457" i="1" s="1"/>
  <c r="AO457" i="1" s="1"/>
  <c r="AP457" i="1" s="1"/>
  <c r="O458" i="1"/>
  <c r="I459" i="1" s="1"/>
  <c r="Q459" i="1" s="1"/>
  <c r="AY458" i="1"/>
  <c r="V458" i="1"/>
  <c r="AQ458" i="1"/>
  <c r="X458" i="1"/>
  <c r="AF458" i="1" s="1"/>
  <c r="AG458" i="1" s="1"/>
  <c r="AH457" i="1"/>
  <c r="BA457" i="1"/>
  <c r="AC890" i="1"/>
  <c r="BB890" i="1"/>
  <c r="AL368" i="1"/>
  <c r="AL376" i="1"/>
  <c r="AL360" i="1"/>
  <c r="J890" i="1"/>
  <c r="L891" i="1"/>
  <c r="A911" i="7"/>
  <c r="B910" i="7"/>
  <c r="S891" i="1"/>
  <c r="Z893" i="1" s="1"/>
  <c r="K891" i="1"/>
  <c r="AU891" i="1"/>
  <c r="D890" i="1"/>
  <c r="E890" i="1"/>
  <c r="F890" i="1" s="1"/>
  <c r="B892" i="1"/>
  <c r="AA891" i="1"/>
  <c r="C891" i="1"/>
  <c r="M889" i="1"/>
  <c r="G889" i="1"/>
  <c r="H889" i="1" s="1"/>
  <c r="AW890" i="1"/>
  <c r="AI890" i="1" s="1"/>
  <c r="AJ890" i="1" s="1"/>
  <c r="AK890" i="1"/>
  <c r="A891" i="1"/>
  <c r="BC890" i="1" l="1"/>
  <c r="BD890" i="1" s="1"/>
  <c r="AE890" i="1" s="1"/>
  <c r="AX458" i="1"/>
  <c r="U458" i="1" s="1"/>
  <c r="AL458" i="1" s="1"/>
  <c r="AN458" i="1" s="1"/>
  <c r="AO458" i="1" s="1"/>
  <c r="AP458" i="1" s="1"/>
  <c r="BF892" i="1"/>
  <c r="P459" i="1"/>
  <c r="BE459" i="1" s="1"/>
  <c r="N459" i="1"/>
  <c r="O459" i="1" s="1"/>
  <c r="N460" i="1" s="1"/>
  <c r="AT459" i="1"/>
  <c r="AS459" i="1" s="1"/>
  <c r="AM459" i="1"/>
  <c r="BA458" i="1"/>
  <c r="AH458" i="1"/>
  <c r="BB891" i="1"/>
  <c r="AN368" i="1"/>
  <c r="AN360" i="1"/>
  <c r="AN376" i="1"/>
  <c r="J891" i="1"/>
  <c r="L892" i="1"/>
  <c r="A912" i="7"/>
  <c r="B911" i="7"/>
  <c r="S892" i="1"/>
  <c r="Z894" i="1" s="1"/>
  <c r="K892" i="1"/>
  <c r="AU892" i="1"/>
  <c r="AW891" i="1"/>
  <c r="AI891" i="1" s="1"/>
  <c r="AJ891" i="1" s="1"/>
  <c r="A892" i="1"/>
  <c r="AK891" i="1"/>
  <c r="AC891" i="1"/>
  <c r="M890" i="1"/>
  <c r="B893" i="1"/>
  <c r="AA892" i="1"/>
  <c r="C892" i="1"/>
  <c r="E891" i="1"/>
  <c r="F891" i="1" s="1"/>
  <c r="D891" i="1"/>
  <c r="G890" i="1"/>
  <c r="H890" i="1" s="1"/>
  <c r="BC891" i="1" l="1"/>
  <c r="BD891" i="1" s="1"/>
  <c r="AE891" i="1" s="1"/>
  <c r="AY459" i="1"/>
  <c r="BF893" i="1"/>
  <c r="AQ459" i="1"/>
  <c r="Y459" i="1"/>
  <c r="X459" i="1" s="1"/>
  <c r="AF459" i="1" s="1"/>
  <c r="V459" i="1"/>
  <c r="AM460" i="1"/>
  <c r="AT460" i="1"/>
  <c r="AS460" i="1" s="1"/>
  <c r="I460" i="1"/>
  <c r="Q460" i="1" s="1"/>
  <c r="P460" i="1"/>
  <c r="BE460" i="1" s="1"/>
  <c r="BB892" i="1"/>
  <c r="AO360" i="1"/>
  <c r="AO368" i="1"/>
  <c r="AO376" i="1"/>
  <c r="J892" i="1"/>
  <c r="L893" i="1"/>
  <c r="A913" i="7"/>
  <c r="B912" i="7"/>
  <c r="S893" i="1"/>
  <c r="Z895" i="1" s="1"/>
  <c r="K893" i="1"/>
  <c r="AU893" i="1"/>
  <c r="G891" i="1"/>
  <c r="H891" i="1" s="1"/>
  <c r="AC892" i="1"/>
  <c r="C893" i="1"/>
  <c r="B894" i="1"/>
  <c r="AA893" i="1"/>
  <c r="D892" i="1"/>
  <c r="E892" i="1"/>
  <c r="F892" i="1" s="1"/>
  <c r="M891" i="1"/>
  <c r="A893" i="1"/>
  <c r="AK892" i="1"/>
  <c r="AW892" i="1"/>
  <c r="AI892" i="1" s="1"/>
  <c r="AJ892" i="1" s="1"/>
  <c r="BC892" i="1" l="1"/>
  <c r="BD892" i="1" s="1"/>
  <c r="AE892" i="1" s="1"/>
  <c r="BF894" i="1"/>
  <c r="AX459" i="1"/>
  <c r="U459" i="1" s="1"/>
  <c r="AL459" i="1" s="1"/>
  <c r="AN459" i="1" s="1"/>
  <c r="AO459" i="1" s="1"/>
  <c r="AP459" i="1" s="1"/>
  <c r="V460" i="1"/>
  <c r="O460" i="1"/>
  <c r="I461" i="1" s="1"/>
  <c r="Q461" i="1" s="1"/>
  <c r="AY460" i="1"/>
  <c r="AQ460" i="1"/>
  <c r="Y460" i="1"/>
  <c r="X460" i="1" s="1"/>
  <c r="AF460" i="1" s="1"/>
  <c r="AG460" i="1" s="1"/>
  <c r="AG459" i="1"/>
  <c r="BA459" i="1" s="1"/>
  <c r="AH459" i="1"/>
  <c r="BB893" i="1"/>
  <c r="AP368" i="1"/>
  <c r="AX369" i="1" s="1"/>
  <c r="AP376" i="1"/>
  <c r="AX377" i="1" s="1"/>
  <c r="J893" i="1"/>
  <c r="L894" i="1"/>
  <c r="A914" i="7"/>
  <c r="B913" i="7"/>
  <c r="S894" i="1"/>
  <c r="Z896" i="1" s="1"/>
  <c r="K894" i="1"/>
  <c r="AU894" i="1"/>
  <c r="G892" i="1"/>
  <c r="H892" i="1" s="1"/>
  <c r="AK893" i="1"/>
  <c r="A894" i="1"/>
  <c r="AW893" i="1"/>
  <c r="AI893" i="1" s="1"/>
  <c r="AJ893" i="1" s="1"/>
  <c r="AC893" i="1"/>
  <c r="M892" i="1"/>
  <c r="AA894" i="1"/>
  <c r="B895" i="1"/>
  <c r="C894" i="1"/>
  <c r="E893" i="1"/>
  <c r="F893" i="1" s="1"/>
  <c r="D893" i="1"/>
  <c r="BC893" i="1" l="1"/>
  <c r="BD893" i="1" s="1"/>
  <c r="AE893" i="1" s="1"/>
  <c r="AX460" i="1"/>
  <c r="U460" i="1" s="1"/>
  <c r="AL460" i="1" s="1"/>
  <c r="AN460" i="1" s="1"/>
  <c r="AO460" i="1" s="1"/>
  <c r="AP460" i="1" s="1"/>
  <c r="BF895" i="1"/>
  <c r="P461" i="1"/>
  <c r="AT461" i="1"/>
  <c r="AS461" i="1" s="1"/>
  <c r="AM461" i="1"/>
  <c r="N461" i="1"/>
  <c r="O461" i="1" s="1"/>
  <c r="P462" i="1" s="1"/>
  <c r="BE462" i="1" s="1"/>
  <c r="BA460" i="1"/>
  <c r="AH460" i="1"/>
  <c r="BB894" i="1"/>
  <c r="J894" i="1"/>
  <c r="L895" i="1"/>
  <c r="A915" i="7"/>
  <c r="B914" i="7"/>
  <c r="S895" i="1"/>
  <c r="Z897" i="1" s="1"/>
  <c r="K895" i="1"/>
  <c r="AU895" i="1"/>
  <c r="AK894" i="1"/>
  <c r="A895" i="1"/>
  <c r="AW894" i="1"/>
  <c r="AI894" i="1" s="1"/>
  <c r="AJ894" i="1" s="1"/>
  <c r="B896" i="1"/>
  <c r="C895" i="1"/>
  <c r="AA895" i="1"/>
  <c r="G893" i="1"/>
  <c r="H893" i="1" s="1"/>
  <c r="M893" i="1"/>
  <c r="AC894" i="1"/>
  <c r="D894" i="1"/>
  <c r="E894" i="1"/>
  <c r="F894" i="1" s="1"/>
  <c r="BC894" i="1" l="1"/>
  <c r="BD894" i="1" s="1"/>
  <c r="AE894" i="1" s="1"/>
  <c r="Y461" i="1"/>
  <c r="X461" i="1" s="1"/>
  <c r="AF461" i="1" s="1"/>
  <c r="AG461" i="1" s="1"/>
  <c r="BE461" i="1"/>
  <c r="BF896" i="1"/>
  <c r="V461" i="1"/>
  <c r="AQ461" i="1"/>
  <c r="AY461" i="1"/>
  <c r="AM462" i="1"/>
  <c r="N462" i="1"/>
  <c r="AT462" i="1"/>
  <c r="AS462" i="1" s="1"/>
  <c r="AQ462" i="1" s="1"/>
  <c r="I462" i="1"/>
  <c r="Q462" i="1" s="1"/>
  <c r="V462" i="1"/>
  <c r="Y462" i="1"/>
  <c r="X462" i="1" s="1"/>
  <c r="AF462" i="1" s="1"/>
  <c r="AY462" i="1"/>
  <c r="BB895" i="1"/>
  <c r="U369" i="1"/>
  <c r="U377" i="1"/>
  <c r="J895" i="1"/>
  <c r="L896" i="1"/>
  <c r="A916" i="7"/>
  <c r="B915" i="7"/>
  <c r="S896" i="1"/>
  <c r="Z898" i="1" s="1"/>
  <c r="K896" i="1"/>
  <c r="AU896" i="1"/>
  <c r="M894" i="1"/>
  <c r="AC895" i="1"/>
  <c r="G894" i="1"/>
  <c r="H894" i="1" s="1"/>
  <c r="D895" i="1"/>
  <c r="E895" i="1"/>
  <c r="F895" i="1" s="1"/>
  <c r="C896" i="1"/>
  <c r="B897" i="1"/>
  <c r="AA896" i="1"/>
  <c r="A896" i="1"/>
  <c r="AW895" i="1"/>
  <c r="AI895" i="1" s="1"/>
  <c r="AJ895" i="1" s="1"/>
  <c r="AK895" i="1"/>
  <c r="U385" i="1"/>
  <c r="BC895" i="1" l="1"/>
  <c r="BD895" i="1" s="1"/>
  <c r="AE895" i="1" s="1"/>
  <c r="AH461" i="1"/>
  <c r="BA461" i="1"/>
  <c r="AX461" i="1"/>
  <c r="U461" i="1" s="1"/>
  <c r="AL461" i="1" s="1"/>
  <c r="AN461" i="1" s="1"/>
  <c r="AO461" i="1" s="1"/>
  <c r="AP461" i="1" s="1"/>
  <c r="BF897" i="1"/>
  <c r="O462" i="1"/>
  <c r="AG462" i="1"/>
  <c r="BB896" i="1"/>
  <c r="AL377" i="1"/>
  <c r="AL385" i="1"/>
  <c r="AL369" i="1"/>
  <c r="J896" i="1"/>
  <c r="L897" i="1"/>
  <c r="A917" i="7"/>
  <c r="B916" i="7"/>
  <c r="S897" i="1"/>
  <c r="Z899" i="1" s="1"/>
  <c r="K897" i="1"/>
  <c r="AU897" i="1"/>
  <c r="AA897" i="1"/>
  <c r="B898" i="1"/>
  <c r="C897" i="1"/>
  <c r="E896" i="1"/>
  <c r="F896" i="1" s="1"/>
  <c r="D896" i="1"/>
  <c r="G895" i="1"/>
  <c r="H895" i="1" s="1"/>
  <c r="AC896" i="1"/>
  <c r="AW896" i="1"/>
  <c r="AI896" i="1" s="1"/>
  <c r="AJ896" i="1" s="1"/>
  <c r="A897" i="1"/>
  <c r="AK896" i="1"/>
  <c r="M895" i="1"/>
  <c r="BC896" i="1" l="1"/>
  <c r="BD896" i="1" s="1"/>
  <c r="AE896" i="1" s="1"/>
  <c r="BF898" i="1"/>
  <c r="AX462" i="1"/>
  <c r="U462" i="1" s="1"/>
  <c r="AL462" i="1" s="1"/>
  <c r="AN462" i="1" s="1"/>
  <c r="AO462" i="1" s="1"/>
  <c r="AP462" i="1" s="1"/>
  <c r="P463" i="1"/>
  <c r="BE463" i="1" s="1"/>
  <c r="N463" i="1"/>
  <c r="AM463" i="1"/>
  <c r="AT463" i="1"/>
  <c r="AS463" i="1" s="1"/>
  <c r="I463" i="1"/>
  <c r="Q463" i="1" s="1"/>
  <c r="BA462" i="1"/>
  <c r="AH462" i="1"/>
  <c r="BB897" i="1"/>
  <c r="AN369" i="1"/>
  <c r="AN377" i="1"/>
  <c r="AN385" i="1"/>
  <c r="J897" i="1"/>
  <c r="L898" i="1"/>
  <c r="A918" i="7"/>
  <c r="B917" i="7"/>
  <c r="S898" i="1"/>
  <c r="Z900" i="1" s="1"/>
  <c r="K898" i="1"/>
  <c r="AU898" i="1"/>
  <c r="C898" i="1"/>
  <c r="AA898" i="1"/>
  <c r="B899" i="1"/>
  <c r="AK897" i="1"/>
  <c r="A898" i="1"/>
  <c r="AW897" i="1"/>
  <c r="AI897" i="1" s="1"/>
  <c r="AJ897" i="1" s="1"/>
  <c r="G896" i="1"/>
  <c r="H896" i="1" s="1"/>
  <c r="M896" i="1"/>
  <c r="AC897" i="1"/>
  <c r="D897" i="1"/>
  <c r="E897" i="1"/>
  <c r="F897" i="1" s="1"/>
  <c r="BC897" i="1" l="1"/>
  <c r="BD897" i="1" s="1"/>
  <c r="AE897" i="1" s="1"/>
  <c r="BF899" i="1"/>
  <c r="AQ463" i="1"/>
  <c r="O463" i="1"/>
  <c r="N464" i="1" s="1"/>
  <c r="Y463" i="1"/>
  <c r="X463" i="1" s="1"/>
  <c r="AF463" i="1" s="1"/>
  <c r="AY463" i="1"/>
  <c r="V463" i="1"/>
  <c r="AC898" i="1"/>
  <c r="BB898" i="1"/>
  <c r="AO369" i="1"/>
  <c r="AO385" i="1"/>
  <c r="AO377" i="1"/>
  <c r="J898" i="1"/>
  <c r="L899" i="1"/>
  <c r="A919" i="7"/>
  <c r="B918" i="7"/>
  <c r="S899" i="1"/>
  <c r="Z901" i="1" s="1"/>
  <c r="K899" i="1"/>
  <c r="AU899" i="1"/>
  <c r="D898" i="1"/>
  <c r="E898" i="1"/>
  <c r="F898" i="1" s="1"/>
  <c r="G897" i="1"/>
  <c r="H897" i="1" s="1"/>
  <c r="AW898" i="1"/>
  <c r="AI898" i="1" s="1"/>
  <c r="AJ898" i="1" s="1"/>
  <c r="A899" i="1"/>
  <c r="AK898" i="1"/>
  <c r="M897" i="1"/>
  <c r="B900" i="1"/>
  <c r="C899" i="1"/>
  <c r="AA899" i="1"/>
  <c r="BC898" i="1" l="1"/>
  <c r="BD898" i="1" s="1"/>
  <c r="AE898" i="1" s="1"/>
  <c r="AX463" i="1"/>
  <c r="U463" i="1" s="1"/>
  <c r="AL463" i="1" s="1"/>
  <c r="AN463" i="1" s="1"/>
  <c r="AO463" i="1" s="1"/>
  <c r="AP463" i="1" s="1"/>
  <c r="BF900" i="1"/>
  <c r="AT464" i="1"/>
  <c r="AS464" i="1" s="1"/>
  <c r="P464" i="1"/>
  <c r="BE464" i="1" s="1"/>
  <c r="I464" i="1"/>
  <c r="Q464" i="1" s="1"/>
  <c r="AM464" i="1"/>
  <c r="AG463" i="1"/>
  <c r="BA463" i="1" s="1"/>
  <c r="AH463" i="1"/>
  <c r="BB899" i="1"/>
  <c r="AP369" i="1"/>
  <c r="AX370" i="1" s="1"/>
  <c r="AP377" i="1"/>
  <c r="AX378" i="1" s="1"/>
  <c r="AP385" i="1"/>
  <c r="AX386" i="1" s="1"/>
  <c r="J899" i="1"/>
  <c r="L900" i="1"/>
  <c r="A920" i="7"/>
  <c r="B919" i="7"/>
  <c r="S900" i="1"/>
  <c r="Z902" i="1" s="1"/>
  <c r="K900" i="1"/>
  <c r="AU900" i="1"/>
  <c r="AC899" i="1"/>
  <c r="D899" i="1"/>
  <c r="E899" i="1"/>
  <c r="F899" i="1" s="1"/>
  <c r="B901" i="1"/>
  <c r="C900" i="1"/>
  <c r="AA900" i="1"/>
  <c r="AK899" i="1"/>
  <c r="A900" i="1"/>
  <c r="AW899" i="1"/>
  <c r="AI899" i="1" s="1"/>
  <c r="AJ899" i="1" s="1"/>
  <c r="M898" i="1"/>
  <c r="G898" i="1"/>
  <c r="H898" i="1" s="1"/>
  <c r="BC899" i="1" l="1"/>
  <c r="BD899" i="1" s="1"/>
  <c r="AE899" i="1" s="1"/>
  <c r="BF901" i="1"/>
  <c r="O464" i="1"/>
  <c r="V464" i="1"/>
  <c r="Y464" i="1"/>
  <c r="X464" i="1" s="1"/>
  <c r="AF464" i="1" s="1"/>
  <c r="AY464" i="1"/>
  <c r="AQ464" i="1"/>
  <c r="BB900" i="1"/>
  <c r="J900" i="1"/>
  <c r="L901" i="1"/>
  <c r="A921" i="7"/>
  <c r="B920" i="7"/>
  <c r="S901" i="1"/>
  <c r="Z903" i="1" s="1"/>
  <c r="K901" i="1"/>
  <c r="AU901" i="1"/>
  <c r="G899" i="1"/>
  <c r="H899" i="1" s="1"/>
  <c r="AP900" i="1"/>
  <c r="AK900" i="1"/>
  <c r="AW900" i="1"/>
  <c r="AI900" i="1" s="1"/>
  <c r="AJ900" i="1" s="1"/>
  <c r="A901" i="1"/>
  <c r="D900" i="1"/>
  <c r="E900" i="1"/>
  <c r="F900" i="1" s="1"/>
  <c r="AA901" i="1"/>
  <c r="B902" i="1"/>
  <c r="C901" i="1"/>
  <c r="M899" i="1"/>
  <c r="AC900" i="1"/>
  <c r="BC900" i="1" l="1"/>
  <c r="BD900" i="1" s="1"/>
  <c r="AE900" i="1" s="1"/>
  <c r="AX464" i="1"/>
  <c r="U464" i="1" s="1"/>
  <c r="AL464" i="1" s="1"/>
  <c r="AN464" i="1" s="1"/>
  <c r="AO464" i="1" s="1"/>
  <c r="AP464" i="1" s="1"/>
  <c r="BF902" i="1"/>
  <c r="AH464" i="1"/>
  <c r="AG464" i="1"/>
  <c r="BA464" i="1" s="1"/>
  <c r="P465" i="1"/>
  <c r="BE465" i="1" s="1"/>
  <c r="AT465" i="1"/>
  <c r="AS465" i="1" s="1"/>
  <c r="I465" i="1"/>
  <c r="Q465" i="1" s="1"/>
  <c r="N465" i="1"/>
  <c r="AM465" i="1"/>
  <c r="BB901" i="1"/>
  <c r="U370" i="1"/>
  <c r="U378" i="1"/>
  <c r="U386" i="1"/>
  <c r="J901" i="1"/>
  <c r="L902" i="1"/>
  <c r="A922" i="7"/>
  <c r="B921" i="7"/>
  <c r="S902" i="1"/>
  <c r="Z904" i="1" s="1"/>
  <c r="K902" i="1"/>
  <c r="AU902" i="1"/>
  <c r="E901" i="1"/>
  <c r="F901" i="1" s="1"/>
  <c r="D901" i="1"/>
  <c r="G900" i="1"/>
  <c r="H900" i="1" s="1"/>
  <c r="A902" i="1"/>
  <c r="AW901" i="1"/>
  <c r="AI901" i="1" s="1"/>
  <c r="AJ901" i="1" s="1"/>
  <c r="AK901" i="1"/>
  <c r="AA902" i="1"/>
  <c r="C902" i="1"/>
  <c r="B903" i="1"/>
  <c r="M900" i="1"/>
  <c r="AC901" i="1"/>
  <c r="BC901" i="1" l="1"/>
  <c r="BD901" i="1" s="1"/>
  <c r="AE901" i="1" s="1"/>
  <c r="BF903" i="1"/>
  <c r="AQ465" i="1"/>
  <c r="O465" i="1"/>
  <c r="Y465" i="1"/>
  <c r="X465" i="1" s="1"/>
  <c r="AF465" i="1" s="1"/>
  <c r="V465" i="1"/>
  <c r="AY465" i="1"/>
  <c r="BB902" i="1"/>
  <c r="AL378" i="1"/>
  <c r="AL386" i="1"/>
  <c r="AL370" i="1"/>
  <c r="J902" i="1"/>
  <c r="L903" i="1"/>
  <c r="A923" i="7"/>
  <c r="B922" i="7"/>
  <c r="S903" i="1"/>
  <c r="Z905" i="1" s="1"/>
  <c r="K903" i="1"/>
  <c r="AU903" i="1"/>
  <c r="AA903" i="1"/>
  <c r="C903" i="1"/>
  <c r="B904" i="1"/>
  <c r="M901" i="1"/>
  <c r="G901" i="1"/>
  <c r="H901" i="1" s="1"/>
  <c r="D902" i="1"/>
  <c r="E902" i="1"/>
  <c r="F902" i="1" s="1"/>
  <c r="AC902" i="1"/>
  <c r="AW902" i="1"/>
  <c r="AI902" i="1" s="1"/>
  <c r="AJ902" i="1" s="1"/>
  <c r="AK902" i="1"/>
  <c r="A903" i="1"/>
  <c r="BC902" i="1" l="1"/>
  <c r="BD902" i="1" s="1"/>
  <c r="AE902" i="1" s="1"/>
  <c r="BF904" i="1"/>
  <c r="AX465" i="1"/>
  <c r="U465" i="1" s="1"/>
  <c r="AL465" i="1" s="1"/>
  <c r="AN465" i="1" s="1"/>
  <c r="AO465" i="1" s="1"/>
  <c r="AP465" i="1" s="1"/>
  <c r="AG465" i="1"/>
  <c r="BA465" i="1" s="1"/>
  <c r="AH465" i="1"/>
  <c r="P466" i="1"/>
  <c r="BE466" i="1" s="1"/>
  <c r="AT466" i="1"/>
  <c r="AS466" i="1" s="1"/>
  <c r="I466" i="1"/>
  <c r="Q466" i="1" s="1"/>
  <c r="AM466" i="1"/>
  <c r="N466" i="1"/>
  <c r="BB903" i="1"/>
  <c r="AN370" i="1"/>
  <c r="AN378" i="1"/>
  <c r="AN386" i="1"/>
  <c r="J903" i="1"/>
  <c r="L904" i="1"/>
  <c r="A924" i="7"/>
  <c r="B923" i="7"/>
  <c r="S904" i="1"/>
  <c r="Z906" i="1" s="1"/>
  <c r="K904" i="1"/>
  <c r="AU904" i="1"/>
  <c r="G902" i="1"/>
  <c r="H902" i="1" s="1"/>
  <c r="M902" i="1"/>
  <c r="AC903" i="1"/>
  <c r="AA904" i="1"/>
  <c r="B905" i="1"/>
  <c r="C904" i="1"/>
  <c r="AK903" i="1"/>
  <c r="A904" i="1"/>
  <c r="AW903" i="1"/>
  <c r="AI903" i="1" s="1"/>
  <c r="AJ903" i="1" s="1"/>
  <c r="D903" i="1"/>
  <c r="E903" i="1"/>
  <c r="F903" i="1" s="1"/>
  <c r="BC903" i="1" l="1"/>
  <c r="BD903" i="1" s="1"/>
  <c r="AE903" i="1" s="1"/>
  <c r="BF905" i="1"/>
  <c r="O466" i="1"/>
  <c r="P467" i="1" s="1"/>
  <c r="BE467" i="1" s="1"/>
  <c r="AY466" i="1"/>
  <c r="V466" i="1"/>
  <c r="Y466" i="1"/>
  <c r="X466" i="1" s="1"/>
  <c r="AF466" i="1" s="1"/>
  <c r="AQ466" i="1"/>
  <c r="BB904" i="1"/>
  <c r="AO386" i="1"/>
  <c r="AO378" i="1"/>
  <c r="AO370" i="1"/>
  <c r="J904" i="1"/>
  <c r="L905" i="1"/>
  <c r="A925" i="7"/>
  <c r="B924" i="7"/>
  <c r="S905" i="1"/>
  <c r="Z907" i="1" s="1"/>
  <c r="K905" i="1"/>
  <c r="AU905" i="1"/>
  <c r="G903" i="1"/>
  <c r="H903" i="1" s="1"/>
  <c r="D904" i="1"/>
  <c r="E904" i="1"/>
  <c r="F904" i="1" s="1"/>
  <c r="A905" i="1"/>
  <c r="AK904" i="1"/>
  <c r="AW904" i="1"/>
  <c r="AI904" i="1" s="1"/>
  <c r="AJ904" i="1" s="1"/>
  <c r="AA905" i="1"/>
  <c r="B906" i="1"/>
  <c r="C905" i="1"/>
  <c r="AC904" i="1"/>
  <c r="M903" i="1"/>
  <c r="BC904" i="1" l="1"/>
  <c r="BD904" i="1" s="1"/>
  <c r="AE904" i="1" s="1"/>
  <c r="BF906" i="1"/>
  <c r="AX466" i="1"/>
  <c r="U466" i="1" s="1"/>
  <c r="AL466" i="1" s="1"/>
  <c r="AN466" i="1" s="1"/>
  <c r="AO466" i="1" s="1"/>
  <c r="AP466" i="1" s="1"/>
  <c r="N467" i="1"/>
  <c r="AM467" i="1"/>
  <c r="AT467" i="1"/>
  <c r="AS467" i="1" s="1"/>
  <c r="AQ467" i="1" s="1"/>
  <c r="I467" i="1"/>
  <c r="Q467" i="1" s="1"/>
  <c r="AG466" i="1"/>
  <c r="BA466" i="1" s="1"/>
  <c r="AH466" i="1"/>
  <c r="Y467" i="1"/>
  <c r="X467" i="1" s="1"/>
  <c r="AF467" i="1" s="1"/>
  <c r="AY467" i="1"/>
  <c r="V467" i="1"/>
  <c r="BB905" i="1"/>
  <c r="AP370" i="1"/>
  <c r="AX371" i="1" s="1"/>
  <c r="AP386" i="1"/>
  <c r="AX387" i="1" s="1"/>
  <c r="AP378" i="1"/>
  <c r="AX379" i="1" s="1"/>
  <c r="J905" i="1"/>
  <c r="L906" i="1"/>
  <c r="A926" i="7"/>
  <c r="B925" i="7"/>
  <c r="S906" i="1"/>
  <c r="Z908" i="1" s="1"/>
  <c r="K906" i="1"/>
  <c r="AU906" i="1"/>
  <c r="E905" i="1"/>
  <c r="F905" i="1" s="1"/>
  <c r="D905" i="1"/>
  <c r="AC905" i="1"/>
  <c r="AK905" i="1"/>
  <c r="AW905" i="1"/>
  <c r="AI905" i="1" s="1"/>
  <c r="AJ905" i="1" s="1"/>
  <c r="A906" i="1"/>
  <c r="G904" i="1"/>
  <c r="H904" i="1" s="1"/>
  <c r="M904" i="1"/>
  <c r="B907" i="1"/>
  <c r="C906" i="1"/>
  <c r="AA906" i="1"/>
  <c r="BC905" i="1" l="1"/>
  <c r="BD905" i="1" s="1"/>
  <c r="AE905" i="1" s="1"/>
  <c r="AX467" i="1"/>
  <c r="U467" i="1" s="1"/>
  <c r="AL467" i="1" s="1"/>
  <c r="AN467" i="1" s="1"/>
  <c r="AO467" i="1" s="1"/>
  <c r="AP467" i="1" s="1"/>
  <c r="BF907" i="1"/>
  <c r="O467" i="1"/>
  <c r="P468" i="1" s="1"/>
  <c r="BE468" i="1" s="1"/>
  <c r="AG467" i="1"/>
  <c r="BA467" i="1" s="1"/>
  <c r="BB906" i="1"/>
  <c r="J906" i="1"/>
  <c r="L907" i="1"/>
  <c r="A927" i="7"/>
  <c r="B926" i="7"/>
  <c r="S907" i="1"/>
  <c r="Z909" i="1" s="1"/>
  <c r="K907" i="1"/>
  <c r="AU907" i="1"/>
  <c r="D906" i="1"/>
  <c r="E906" i="1"/>
  <c r="F906" i="1" s="1"/>
  <c r="M905" i="1"/>
  <c r="G905" i="1"/>
  <c r="H905" i="1" s="1"/>
  <c r="AC906" i="1"/>
  <c r="AA907" i="1"/>
  <c r="B908" i="1"/>
  <c r="C907" i="1"/>
  <c r="AK906" i="1"/>
  <c r="A907" i="1"/>
  <c r="AW906" i="1"/>
  <c r="AI906" i="1" s="1"/>
  <c r="AJ906" i="1" s="1"/>
  <c r="BC906" i="1" l="1"/>
  <c r="BD906" i="1" s="1"/>
  <c r="AE906" i="1" s="1"/>
  <c r="BF908" i="1"/>
  <c r="Y468" i="1"/>
  <c r="X468" i="1" s="1"/>
  <c r="AF468" i="1" s="1"/>
  <c r="N468" i="1"/>
  <c r="AT468" i="1"/>
  <c r="AS468" i="1" s="1"/>
  <c r="AQ468" i="1" s="1"/>
  <c r="I468" i="1"/>
  <c r="Q468" i="1" s="1"/>
  <c r="AY468" i="1"/>
  <c r="V468" i="1"/>
  <c r="AM468" i="1"/>
  <c r="AH467" i="1"/>
  <c r="BB907" i="1"/>
  <c r="U371" i="1"/>
  <c r="U387" i="1"/>
  <c r="U379" i="1"/>
  <c r="J907" i="1"/>
  <c r="L908" i="1"/>
  <c r="A928" i="7"/>
  <c r="B927" i="7"/>
  <c r="S908" i="1"/>
  <c r="Z910" i="1" s="1"/>
  <c r="K908" i="1"/>
  <c r="AU908" i="1"/>
  <c r="AK907" i="1"/>
  <c r="A908" i="1"/>
  <c r="AW907" i="1"/>
  <c r="AI907" i="1" s="1"/>
  <c r="AJ907" i="1" s="1"/>
  <c r="AA908" i="1"/>
  <c r="C908" i="1"/>
  <c r="B909" i="1"/>
  <c r="M906" i="1"/>
  <c r="AC907" i="1"/>
  <c r="G906" i="1"/>
  <c r="H906" i="1" s="1"/>
  <c r="D907" i="1"/>
  <c r="E907" i="1"/>
  <c r="F907" i="1" s="1"/>
  <c r="BC907" i="1" l="1"/>
  <c r="BD907" i="1" s="1"/>
  <c r="AE907" i="1" s="1"/>
  <c r="AX468" i="1"/>
  <c r="U468" i="1" s="1"/>
  <c r="AL468" i="1" s="1"/>
  <c r="AN468" i="1" s="1"/>
  <c r="AO468" i="1" s="1"/>
  <c r="BF909" i="1"/>
  <c r="AG468" i="1"/>
  <c r="BA468" i="1" s="1"/>
  <c r="O468" i="1"/>
  <c r="P469" i="1" s="1"/>
  <c r="BE469" i="1" s="1"/>
  <c r="AC908" i="1"/>
  <c r="BB908" i="1"/>
  <c r="AL387" i="1"/>
  <c r="AL379" i="1"/>
  <c r="AL371" i="1"/>
  <c r="J908" i="1"/>
  <c r="L909" i="1"/>
  <c r="A929" i="7"/>
  <c r="B928" i="7"/>
  <c r="S909" i="1"/>
  <c r="Z911" i="1" s="1"/>
  <c r="K909" i="1"/>
  <c r="AU909" i="1"/>
  <c r="G907" i="1"/>
  <c r="H907" i="1" s="1"/>
  <c r="A909" i="1"/>
  <c r="AK908" i="1"/>
  <c r="AW908" i="1"/>
  <c r="AI908" i="1" s="1"/>
  <c r="AJ908" i="1" s="1"/>
  <c r="M907" i="1"/>
  <c r="C909" i="1"/>
  <c r="AA909" i="1"/>
  <c r="B910" i="1"/>
  <c r="E908" i="1"/>
  <c r="F908" i="1" s="1"/>
  <c r="D908" i="1"/>
  <c r="BC908" i="1" l="1"/>
  <c r="BD908" i="1" s="1"/>
  <c r="AE908" i="1" s="1"/>
  <c r="BF910" i="1"/>
  <c r="Y469" i="1"/>
  <c r="X469" i="1" s="1"/>
  <c r="AF469" i="1" s="1"/>
  <c r="AT469" i="1"/>
  <c r="AS469" i="1" s="1"/>
  <c r="AQ469" i="1" s="1"/>
  <c r="AH468" i="1"/>
  <c r="AY469" i="1"/>
  <c r="AM469" i="1"/>
  <c r="V469" i="1"/>
  <c r="I469" i="1"/>
  <c r="Q469" i="1" s="1"/>
  <c r="N469" i="1"/>
  <c r="BB909" i="1"/>
  <c r="AN387" i="1"/>
  <c r="AN371" i="1"/>
  <c r="AN379" i="1"/>
  <c r="J909" i="1"/>
  <c r="L910" i="1"/>
  <c r="A930" i="7"/>
  <c r="B929" i="7"/>
  <c r="S910" i="1"/>
  <c r="Z912" i="1" s="1"/>
  <c r="K910" i="1"/>
  <c r="AU910" i="1"/>
  <c r="G908" i="1"/>
  <c r="H908" i="1" s="1"/>
  <c r="D909" i="1"/>
  <c r="E909" i="1"/>
  <c r="F909" i="1" s="1"/>
  <c r="C910" i="1"/>
  <c r="AA910" i="1"/>
  <c r="B911" i="1"/>
  <c r="AW909" i="1"/>
  <c r="AI909" i="1" s="1"/>
  <c r="AJ909" i="1" s="1"/>
  <c r="AK909" i="1"/>
  <c r="A910" i="1"/>
  <c r="AC909" i="1"/>
  <c r="M908" i="1"/>
  <c r="BC909" i="1" l="1"/>
  <c r="BD909" i="1" s="1"/>
  <c r="AE909" i="1" s="1"/>
  <c r="BF911" i="1"/>
  <c r="AX469" i="1"/>
  <c r="U469" i="1" s="1"/>
  <c r="AL469" i="1" s="1"/>
  <c r="AN469" i="1" s="1"/>
  <c r="AO469" i="1" s="1"/>
  <c r="AP469" i="1" s="1"/>
  <c r="AG469" i="1"/>
  <c r="BA469" i="1" s="1"/>
  <c r="O469" i="1"/>
  <c r="AM470" i="1" s="1"/>
  <c r="BB910" i="1"/>
  <c r="AO387" i="1"/>
  <c r="AO379" i="1"/>
  <c r="AO371" i="1"/>
  <c r="J910" i="1"/>
  <c r="L911" i="1"/>
  <c r="A931" i="7"/>
  <c r="B930" i="7"/>
  <c r="S911" i="1"/>
  <c r="Z913" i="1" s="1"/>
  <c r="K911" i="1"/>
  <c r="AU911" i="1"/>
  <c r="D910" i="1"/>
  <c r="E910" i="1"/>
  <c r="F910" i="1" s="1"/>
  <c r="G909" i="1"/>
  <c r="H909" i="1" s="1"/>
  <c r="AK910" i="1"/>
  <c r="A911" i="1"/>
  <c r="AW910" i="1"/>
  <c r="AI910" i="1" s="1"/>
  <c r="AJ910" i="1" s="1"/>
  <c r="B912" i="1"/>
  <c r="C911" i="1"/>
  <c r="AA911" i="1"/>
  <c r="AC910" i="1"/>
  <c r="M909" i="1"/>
  <c r="BC910" i="1" l="1"/>
  <c r="BD910" i="1" s="1"/>
  <c r="AE910" i="1" s="1"/>
  <c r="BF912" i="1"/>
  <c r="AH469" i="1"/>
  <c r="I470" i="1"/>
  <c r="Q470" i="1" s="1"/>
  <c r="AT470" i="1"/>
  <c r="AS470" i="1" s="1"/>
  <c r="N470" i="1"/>
  <c r="P470" i="1"/>
  <c r="BE470" i="1" s="1"/>
  <c r="BB911" i="1"/>
  <c r="AP387" i="1"/>
  <c r="AX388" i="1" s="1"/>
  <c r="AP371" i="1"/>
  <c r="AX372" i="1" s="1"/>
  <c r="AP379" i="1"/>
  <c r="AX380" i="1" s="1"/>
  <c r="J911" i="1"/>
  <c r="L912" i="1"/>
  <c r="A932" i="7"/>
  <c r="B931" i="7"/>
  <c r="S912" i="1"/>
  <c r="Z914" i="1" s="1"/>
  <c r="K912" i="1"/>
  <c r="AU912" i="1"/>
  <c r="AC911" i="1"/>
  <c r="AW911" i="1"/>
  <c r="AI911" i="1" s="1"/>
  <c r="AJ911" i="1" s="1"/>
  <c r="AK911" i="1"/>
  <c r="A912" i="1"/>
  <c r="B913" i="1"/>
  <c r="AA912" i="1"/>
  <c r="C912" i="1"/>
  <c r="M910" i="1"/>
  <c r="D911" i="1"/>
  <c r="E911" i="1"/>
  <c r="F911" i="1" s="1"/>
  <c r="G910" i="1"/>
  <c r="H910" i="1" s="1"/>
  <c r="BC911" i="1" l="1"/>
  <c r="BD911" i="1" s="1"/>
  <c r="AE911" i="1" s="1"/>
  <c r="BF913" i="1"/>
  <c r="Y470" i="1"/>
  <c r="X470" i="1" s="1"/>
  <c r="AF470" i="1" s="1"/>
  <c r="O470" i="1"/>
  <c r="I471" i="1" s="1"/>
  <c r="Q471" i="1" s="1"/>
  <c r="V470" i="1"/>
  <c r="AQ470" i="1"/>
  <c r="AY470" i="1"/>
  <c r="AC912" i="1"/>
  <c r="BB912" i="1"/>
  <c r="J912" i="1"/>
  <c r="L913" i="1"/>
  <c r="A933" i="7"/>
  <c r="B932" i="7"/>
  <c r="S913" i="1"/>
  <c r="Z915" i="1" s="1"/>
  <c r="K913" i="1"/>
  <c r="AU913" i="1"/>
  <c r="G911" i="1"/>
  <c r="H911" i="1" s="1"/>
  <c r="AW912" i="1"/>
  <c r="AI912" i="1" s="1"/>
  <c r="AJ912" i="1" s="1"/>
  <c r="AK912" i="1"/>
  <c r="AP912" i="1"/>
  <c r="A913" i="1"/>
  <c r="E912" i="1"/>
  <c r="F912" i="1" s="1"/>
  <c r="D912" i="1"/>
  <c r="M911" i="1"/>
  <c r="C913" i="1"/>
  <c r="AA913" i="1"/>
  <c r="B914" i="1"/>
  <c r="BC912" i="1" l="1"/>
  <c r="BD912" i="1" s="1"/>
  <c r="AE912" i="1" s="1"/>
  <c r="BF914" i="1"/>
  <c r="AX470" i="1"/>
  <c r="U470" i="1" s="1"/>
  <c r="AL470" i="1" s="1"/>
  <c r="AN470" i="1" s="1"/>
  <c r="AO470" i="1" s="1"/>
  <c r="AP470" i="1" s="1"/>
  <c r="AG470" i="1"/>
  <c r="BA470" i="1" s="1"/>
  <c r="AM471" i="1"/>
  <c r="AH470" i="1"/>
  <c r="AT471" i="1"/>
  <c r="AS471" i="1" s="1"/>
  <c r="P471" i="1"/>
  <c r="BE471" i="1" s="1"/>
  <c r="N471" i="1"/>
  <c r="O471" i="1" s="1"/>
  <c r="I472" i="1" s="1"/>
  <c r="Q472" i="1" s="1"/>
  <c r="BB913" i="1"/>
  <c r="U388" i="1"/>
  <c r="U372" i="1"/>
  <c r="U380" i="1"/>
  <c r="J913" i="1"/>
  <c r="L914" i="1"/>
  <c r="A934" i="7"/>
  <c r="B933" i="7"/>
  <c r="S914" i="1"/>
  <c r="Z916" i="1" s="1"/>
  <c r="K914" i="1"/>
  <c r="AU914" i="1"/>
  <c r="AK913" i="1"/>
  <c r="A914" i="1"/>
  <c r="AW913" i="1"/>
  <c r="AI913" i="1" s="1"/>
  <c r="AJ913" i="1" s="1"/>
  <c r="AA914" i="1"/>
  <c r="B915" i="1"/>
  <c r="C914" i="1"/>
  <c r="E913" i="1"/>
  <c r="F913" i="1" s="1"/>
  <c r="D913" i="1"/>
  <c r="G912" i="1"/>
  <c r="H912" i="1" s="1"/>
  <c r="AC913" i="1"/>
  <c r="M912" i="1"/>
  <c r="BC913" i="1" l="1"/>
  <c r="BD913" i="1" s="1"/>
  <c r="AE913" i="1" s="1"/>
  <c r="BF915" i="1"/>
  <c r="Y471" i="1"/>
  <c r="X471" i="1" s="1"/>
  <c r="AF471" i="1" s="1"/>
  <c r="AG471" i="1" s="1"/>
  <c r="AY471" i="1"/>
  <c r="AT472" i="1"/>
  <c r="AS472" i="1" s="1"/>
  <c r="P472" i="1"/>
  <c r="BE472" i="1" s="1"/>
  <c r="AQ471" i="1"/>
  <c r="N472" i="1"/>
  <c r="O472" i="1" s="1"/>
  <c r="AM472" i="1"/>
  <c r="V471" i="1"/>
  <c r="AC914" i="1"/>
  <c r="BB914" i="1"/>
  <c r="AL372" i="1"/>
  <c r="AL380" i="1"/>
  <c r="AL388" i="1"/>
  <c r="J914" i="1"/>
  <c r="L915" i="1"/>
  <c r="A935" i="7"/>
  <c r="B934" i="7"/>
  <c r="S915" i="1"/>
  <c r="Z917" i="1" s="1"/>
  <c r="K915" i="1"/>
  <c r="AU915" i="1"/>
  <c r="M913" i="1"/>
  <c r="AK914" i="1"/>
  <c r="A915" i="1"/>
  <c r="AW914" i="1"/>
  <c r="AI914" i="1" s="1"/>
  <c r="AJ914" i="1" s="1"/>
  <c r="E914" i="1"/>
  <c r="F914" i="1" s="1"/>
  <c r="D914" i="1"/>
  <c r="AA915" i="1"/>
  <c r="B916" i="1"/>
  <c r="C915" i="1"/>
  <c r="G913" i="1"/>
  <c r="H913" i="1" s="1"/>
  <c r="BC914" i="1" l="1"/>
  <c r="BD914" i="1" s="1"/>
  <c r="AE914" i="1" s="1"/>
  <c r="AX471" i="1"/>
  <c r="U471" i="1" s="1"/>
  <c r="AL471" i="1" s="1"/>
  <c r="AN471" i="1" s="1"/>
  <c r="AO471" i="1" s="1"/>
  <c r="AP471" i="1" s="1"/>
  <c r="BF916" i="1"/>
  <c r="AH471" i="1"/>
  <c r="Y472" i="1"/>
  <c r="X472" i="1" s="1"/>
  <c r="AF472" i="1" s="1"/>
  <c r="AG472" i="1" s="1"/>
  <c r="AQ472" i="1"/>
  <c r="AY472" i="1"/>
  <c r="V472" i="1"/>
  <c r="BA471" i="1"/>
  <c r="BB915" i="1"/>
  <c r="N473" i="1"/>
  <c r="AT473" i="1"/>
  <c r="AS473" i="1" s="1"/>
  <c r="AM473" i="1"/>
  <c r="P473" i="1"/>
  <c r="BE473" i="1" s="1"/>
  <c r="I473" i="1"/>
  <c r="Q473" i="1" s="1"/>
  <c r="AN388" i="1"/>
  <c r="AN372" i="1"/>
  <c r="AN380" i="1"/>
  <c r="J915" i="1"/>
  <c r="L916" i="1"/>
  <c r="A936" i="7"/>
  <c r="B935" i="7"/>
  <c r="S916" i="1"/>
  <c r="Z918" i="1" s="1"/>
  <c r="K916" i="1"/>
  <c r="AU916" i="1"/>
  <c r="M914" i="1"/>
  <c r="AC915" i="1"/>
  <c r="E915" i="1"/>
  <c r="F915" i="1" s="1"/>
  <c r="D915" i="1"/>
  <c r="AA916" i="1"/>
  <c r="B917" i="1"/>
  <c r="C916" i="1"/>
  <c r="G914" i="1"/>
  <c r="H914" i="1" s="1"/>
  <c r="AW915" i="1"/>
  <c r="AI915" i="1" s="1"/>
  <c r="AJ915" i="1" s="1"/>
  <c r="AK915" i="1"/>
  <c r="A916" i="1"/>
  <c r="BC915" i="1" l="1"/>
  <c r="BD915" i="1" s="1"/>
  <c r="AE915" i="1" s="1"/>
  <c r="AX472" i="1"/>
  <c r="U472" i="1" s="1"/>
  <c r="AL472" i="1" s="1"/>
  <c r="AN472" i="1" s="1"/>
  <c r="AO472" i="1" s="1"/>
  <c r="AP472" i="1" s="1"/>
  <c r="BF917" i="1"/>
  <c r="BA472" i="1"/>
  <c r="Y473" i="1"/>
  <c r="X473" i="1" s="1"/>
  <c r="AC916" i="1"/>
  <c r="BB916" i="1"/>
  <c r="AH472" i="1"/>
  <c r="V473" i="1"/>
  <c r="AQ473" i="1"/>
  <c r="AY473" i="1"/>
  <c r="O473" i="1"/>
  <c r="AO380" i="1"/>
  <c r="AO372" i="1"/>
  <c r="AO388" i="1"/>
  <c r="J916" i="1"/>
  <c r="L917" i="1"/>
  <c r="A937" i="7"/>
  <c r="B936" i="7"/>
  <c r="S917" i="1"/>
  <c r="Z919" i="1" s="1"/>
  <c r="K917" i="1"/>
  <c r="AU917" i="1"/>
  <c r="B918" i="1"/>
  <c r="AA917" i="1"/>
  <c r="C917" i="1"/>
  <c r="G915" i="1"/>
  <c r="H915" i="1" s="1"/>
  <c r="M915" i="1"/>
  <c r="A917" i="1"/>
  <c r="AW916" i="1"/>
  <c r="AI916" i="1" s="1"/>
  <c r="AJ916" i="1" s="1"/>
  <c r="AK916" i="1"/>
  <c r="D916" i="1"/>
  <c r="E916" i="1"/>
  <c r="F916" i="1" s="1"/>
  <c r="BC916" i="1" l="1"/>
  <c r="BD916" i="1" s="1"/>
  <c r="AE916" i="1" s="1"/>
  <c r="AX473" i="1"/>
  <c r="U473" i="1" s="1"/>
  <c r="AL473" i="1" s="1"/>
  <c r="AN473" i="1" s="1"/>
  <c r="AO473" i="1" s="1"/>
  <c r="AP473" i="1" s="1"/>
  <c r="BF918" i="1"/>
  <c r="BB917" i="1"/>
  <c r="AF473" i="1"/>
  <c r="AG473" i="1" s="1"/>
  <c r="BA473" i="1" s="1"/>
  <c r="P474" i="1"/>
  <c r="BE474" i="1" s="1"/>
  <c r="AT474" i="1"/>
  <c r="AS474" i="1" s="1"/>
  <c r="I474" i="1"/>
  <c r="Q474" i="1" s="1"/>
  <c r="N474" i="1"/>
  <c r="AM474" i="1"/>
  <c r="AP388" i="1"/>
  <c r="AX389" i="1" s="1"/>
  <c r="AP380" i="1"/>
  <c r="AX381" i="1" s="1"/>
  <c r="J917" i="1"/>
  <c r="L918" i="1"/>
  <c r="A938" i="7"/>
  <c r="B937" i="7"/>
  <c r="S918" i="1"/>
  <c r="Z920" i="1" s="1"/>
  <c r="K918" i="1"/>
  <c r="AU918" i="1"/>
  <c r="E917" i="1"/>
  <c r="F917" i="1" s="1"/>
  <c r="D917" i="1"/>
  <c r="C918" i="1"/>
  <c r="AA918" i="1"/>
  <c r="B919" i="1"/>
  <c r="AC917" i="1"/>
  <c r="M916" i="1"/>
  <c r="AW917" i="1"/>
  <c r="AI917" i="1" s="1"/>
  <c r="AJ917" i="1" s="1"/>
  <c r="AK917" i="1"/>
  <c r="A918" i="1"/>
  <c r="G916" i="1"/>
  <c r="H916" i="1" s="1"/>
  <c r="BC917" i="1" l="1"/>
  <c r="BD917" i="1" s="1"/>
  <c r="AE917" i="1" s="1"/>
  <c r="BF919" i="1"/>
  <c r="Y474" i="1"/>
  <c r="X474" i="1" s="1"/>
  <c r="BB918" i="1"/>
  <c r="AH473" i="1"/>
  <c r="O474" i="1"/>
  <c r="V474" i="1"/>
  <c r="AY474" i="1"/>
  <c r="AQ474" i="1"/>
  <c r="J918" i="1"/>
  <c r="L919" i="1"/>
  <c r="A939" i="7"/>
  <c r="B938" i="7"/>
  <c r="S919" i="1"/>
  <c r="Z921" i="1" s="1"/>
  <c r="K919" i="1"/>
  <c r="AU919" i="1"/>
  <c r="A919" i="1"/>
  <c r="AW918" i="1"/>
  <c r="AI918" i="1" s="1"/>
  <c r="AJ918" i="1" s="1"/>
  <c r="AK918" i="1"/>
  <c r="G917" i="1"/>
  <c r="H917" i="1" s="1"/>
  <c r="AA919" i="1"/>
  <c r="B920" i="1"/>
  <c r="C919" i="1"/>
  <c r="D918" i="1"/>
  <c r="E918" i="1"/>
  <c r="F918" i="1" s="1"/>
  <c r="AC918" i="1"/>
  <c r="M917" i="1"/>
  <c r="BC918" i="1" l="1"/>
  <c r="BD918" i="1" s="1"/>
  <c r="AE918" i="1" s="1"/>
  <c r="BF920" i="1"/>
  <c r="AX474" i="1"/>
  <c r="U474" i="1" s="1"/>
  <c r="AL474" i="1" s="1"/>
  <c r="AN474" i="1" s="1"/>
  <c r="AO474" i="1" s="1"/>
  <c r="AP474" i="1" s="1"/>
  <c r="BB919" i="1"/>
  <c r="AF474" i="1"/>
  <c r="AG474" i="1" s="1"/>
  <c r="BA474" i="1" s="1"/>
  <c r="I475" i="1"/>
  <c r="Q475" i="1" s="1"/>
  <c r="N475" i="1"/>
  <c r="AM475" i="1"/>
  <c r="AT475" i="1"/>
  <c r="AS475" i="1" s="1"/>
  <c r="P475" i="1"/>
  <c r="BE475" i="1" s="1"/>
  <c r="U389" i="1"/>
  <c r="U381" i="1"/>
  <c r="J919" i="1"/>
  <c r="L920" i="1"/>
  <c r="A940" i="7"/>
  <c r="B939" i="7"/>
  <c r="S920" i="1"/>
  <c r="Z922" i="1" s="1"/>
  <c r="K920" i="1"/>
  <c r="AU920" i="1"/>
  <c r="M918" i="1"/>
  <c r="AC919" i="1"/>
  <c r="D919" i="1"/>
  <c r="E919" i="1"/>
  <c r="F919" i="1" s="1"/>
  <c r="G918" i="1"/>
  <c r="H918" i="1" s="1"/>
  <c r="AA920" i="1"/>
  <c r="C920" i="1"/>
  <c r="B921" i="1"/>
  <c r="AK919" i="1"/>
  <c r="A920" i="1"/>
  <c r="AW919" i="1"/>
  <c r="AI919" i="1" s="1"/>
  <c r="AJ919" i="1" s="1"/>
  <c r="U397" i="1"/>
  <c r="BC919" i="1" l="1"/>
  <c r="BD919" i="1" s="1"/>
  <c r="AE919" i="1" s="1"/>
  <c r="BF921" i="1"/>
  <c r="Y475" i="1"/>
  <c r="X475" i="1" s="1"/>
  <c r="AH474" i="1"/>
  <c r="BB920" i="1"/>
  <c r="V475" i="1"/>
  <c r="AQ475" i="1"/>
  <c r="AY475" i="1"/>
  <c r="O475" i="1"/>
  <c r="AL381" i="1"/>
  <c r="AL397" i="1"/>
  <c r="AL389" i="1"/>
  <c r="J920" i="1"/>
  <c r="L921" i="1"/>
  <c r="A941" i="7"/>
  <c r="B940" i="7"/>
  <c r="S921" i="1"/>
  <c r="Z923" i="1" s="1"/>
  <c r="K921" i="1"/>
  <c r="AU921" i="1"/>
  <c r="B922" i="1"/>
  <c r="AA921" i="1"/>
  <c r="C921" i="1"/>
  <c r="AC920" i="1"/>
  <c r="AK920" i="1"/>
  <c r="AW920" i="1"/>
  <c r="AI920" i="1" s="1"/>
  <c r="AJ920" i="1" s="1"/>
  <c r="A921" i="1"/>
  <c r="E920" i="1"/>
  <c r="F920" i="1" s="1"/>
  <c r="D920" i="1"/>
  <c r="M919" i="1"/>
  <c r="G919" i="1"/>
  <c r="H919" i="1" s="1"/>
  <c r="BC920" i="1" l="1"/>
  <c r="BD920" i="1" s="1"/>
  <c r="AE920" i="1" s="1"/>
  <c r="BF922" i="1"/>
  <c r="AX475" i="1"/>
  <c r="U475" i="1" s="1"/>
  <c r="AL475" i="1" s="1"/>
  <c r="AN475" i="1" s="1"/>
  <c r="AO475" i="1" s="1"/>
  <c r="AP475" i="1" s="1"/>
  <c r="BB921" i="1"/>
  <c r="AF475" i="1"/>
  <c r="AG475" i="1" s="1"/>
  <c r="BA475" i="1" s="1"/>
  <c r="N476" i="1"/>
  <c r="I476" i="1"/>
  <c r="Q476" i="1" s="1"/>
  <c r="AT476" i="1"/>
  <c r="AS476" i="1" s="1"/>
  <c r="P476" i="1"/>
  <c r="BE476" i="1" s="1"/>
  <c r="AM476" i="1"/>
  <c r="AN389" i="1"/>
  <c r="AN381" i="1"/>
  <c r="AN397" i="1"/>
  <c r="J921" i="1"/>
  <c r="L922" i="1"/>
  <c r="A942" i="7"/>
  <c r="B941" i="7"/>
  <c r="S922" i="1"/>
  <c r="Z924" i="1" s="1"/>
  <c r="K922" i="1"/>
  <c r="AU922" i="1"/>
  <c r="AW921" i="1"/>
  <c r="AI921" i="1" s="1"/>
  <c r="AJ921" i="1" s="1"/>
  <c r="A922" i="1"/>
  <c r="AK921" i="1"/>
  <c r="E921" i="1"/>
  <c r="F921" i="1" s="1"/>
  <c r="D921" i="1"/>
  <c r="M920" i="1"/>
  <c r="AC921" i="1"/>
  <c r="C922" i="1"/>
  <c r="AA922" i="1"/>
  <c r="B923" i="1"/>
  <c r="G920" i="1"/>
  <c r="H920" i="1" s="1"/>
  <c r="BC921" i="1" l="1"/>
  <c r="BD921" i="1" s="1"/>
  <c r="AE921" i="1" s="1"/>
  <c r="BF923" i="1"/>
  <c r="Y476" i="1"/>
  <c r="X476" i="1" s="1"/>
  <c r="AH475" i="1"/>
  <c r="BB922" i="1"/>
  <c r="O476" i="1"/>
  <c r="V476" i="1"/>
  <c r="AY476" i="1"/>
  <c r="AQ476" i="1"/>
  <c r="AO389" i="1"/>
  <c r="AO381" i="1"/>
  <c r="AO397" i="1"/>
  <c r="J922" i="1"/>
  <c r="L923" i="1"/>
  <c r="A943" i="7"/>
  <c r="B942" i="7"/>
  <c r="S923" i="1"/>
  <c r="Z925" i="1" s="1"/>
  <c r="K923" i="1"/>
  <c r="AU923" i="1"/>
  <c r="B924" i="1"/>
  <c r="C923" i="1"/>
  <c r="AA923" i="1"/>
  <c r="M921" i="1"/>
  <c r="A923" i="1"/>
  <c r="AW922" i="1"/>
  <c r="AI922" i="1" s="1"/>
  <c r="AJ922" i="1" s="1"/>
  <c r="AK922" i="1"/>
  <c r="AC922" i="1"/>
  <c r="D922" i="1"/>
  <c r="E922" i="1"/>
  <c r="F922" i="1" s="1"/>
  <c r="G921" i="1"/>
  <c r="H921" i="1" s="1"/>
  <c r="BC922" i="1" l="1"/>
  <c r="BD922" i="1" s="1"/>
  <c r="AE922" i="1" s="1"/>
  <c r="BF924" i="1"/>
  <c r="AX476" i="1"/>
  <c r="U476" i="1" s="1"/>
  <c r="AL476" i="1" s="1"/>
  <c r="AN476" i="1" s="1"/>
  <c r="AO476" i="1" s="1"/>
  <c r="AP476" i="1" s="1"/>
  <c r="BB923" i="1"/>
  <c r="AF476" i="1"/>
  <c r="AG476" i="1" s="1"/>
  <c r="BA476" i="1" s="1"/>
  <c r="AT477" i="1"/>
  <c r="AS477" i="1" s="1"/>
  <c r="AM477" i="1"/>
  <c r="N477" i="1"/>
  <c r="P477" i="1"/>
  <c r="BE477" i="1" s="1"/>
  <c r="I477" i="1"/>
  <c r="Q477" i="1" s="1"/>
  <c r="AP389" i="1"/>
  <c r="AX390" i="1" s="1"/>
  <c r="AP381" i="1"/>
  <c r="AX382" i="1" s="1"/>
  <c r="AP397" i="1"/>
  <c r="AX398" i="1" s="1"/>
  <c r="J923" i="1"/>
  <c r="L924" i="1"/>
  <c r="A944" i="7"/>
  <c r="B943" i="7"/>
  <c r="S924" i="1"/>
  <c r="Z926" i="1" s="1"/>
  <c r="K924" i="1"/>
  <c r="AU924" i="1"/>
  <c r="E923" i="1"/>
  <c r="F923" i="1" s="1"/>
  <c r="D923" i="1"/>
  <c r="A924" i="1"/>
  <c r="AW923" i="1"/>
  <c r="AI923" i="1" s="1"/>
  <c r="AJ923" i="1" s="1"/>
  <c r="AK923" i="1"/>
  <c r="M922" i="1"/>
  <c r="B925" i="1"/>
  <c r="C924" i="1"/>
  <c r="AA924" i="1"/>
  <c r="G922" i="1"/>
  <c r="H922" i="1" s="1"/>
  <c r="AC923" i="1"/>
  <c r="BC923" i="1" l="1"/>
  <c r="BD923" i="1" s="1"/>
  <c r="AE923" i="1" s="1"/>
  <c r="BF925" i="1"/>
  <c r="Y477" i="1"/>
  <c r="X477" i="1" s="1"/>
  <c r="AF477" i="1" s="1"/>
  <c r="AC924" i="1"/>
  <c r="BB924" i="1"/>
  <c r="AH476" i="1"/>
  <c r="V477" i="1"/>
  <c r="AQ477" i="1"/>
  <c r="AY477" i="1"/>
  <c r="O477" i="1"/>
  <c r="J924" i="1"/>
  <c r="L925" i="1"/>
  <c r="A945" i="7"/>
  <c r="B944" i="7"/>
  <c r="S925" i="1"/>
  <c r="Z927" i="1" s="1"/>
  <c r="K925" i="1"/>
  <c r="AU925" i="1"/>
  <c r="B926" i="1"/>
  <c r="C925" i="1"/>
  <c r="AA925" i="1"/>
  <c r="G923" i="1"/>
  <c r="H923" i="1" s="1"/>
  <c r="D924" i="1"/>
  <c r="E924" i="1"/>
  <c r="F924" i="1" s="1"/>
  <c r="M923" i="1"/>
  <c r="AW924" i="1"/>
  <c r="AI924" i="1" s="1"/>
  <c r="AJ924" i="1" s="1"/>
  <c r="AK924" i="1"/>
  <c r="AP924" i="1"/>
  <c r="A925" i="1"/>
  <c r="BC924" i="1" l="1"/>
  <c r="BD924" i="1" s="1"/>
  <c r="AE924" i="1" s="1"/>
  <c r="AX477" i="1"/>
  <c r="U477" i="1" s="1"/>
  <c r="AL477" i="1" s="1"/>
  <c r="AN477" i="1" s="1"/>
  <c r="AO477" i="1" s="1"/>
  <c r="AP477" i="1" s="1"/>
  <c r="BF926" i="1"/>
  <c r="BB925" i="1"/>
  <c r="AH477" i="1"/>
  <c r="AG477" i="1"/>
  <c r="BA477" i="1" s="1"/>
  <c r="AM478" i="1"/>
  <c r="N478" i="1"/>
  <c r="AT478" i="1"/>
  <c r="AS478" i="1" s="1"/>
  <c r="P478" i="1"/>
  <c r="BE478" i="1" s="1"/>
  <c r="I478" i="1"/>
  <c r="Q478" i="1" s="1"/>
  <c r="U398" i="1"/>
  <c r="U390" i="1"/>
  <c r="U382" i="1"/>
  <c r="J925" i="1"/>
  <c r="L926" i="1"/>
  <c r="A946" i="7"/>
  <c r="B945" i="7"/>
  <c r="S926" i="1"/>
  <c r="Z928" i="1" s="1"/>
  <c r="K926" i="1"/>
  <c r="AU926" i="1"/>
  <c r="G924" i="1"/>
  <c r="H924" i="1" s="1"/>
  <c r="AC925" i="1"/>
  <c r="M924" i="1"/>
  <c r="AK925" i="1"/>
  <c r="AW925" i="1"/>
  <c r="AI925" i="1" s="1"/>
  <c r="AJ925" i="1" s="1"/>
  <c r="A926" i="1"/>
  <c r="D925" i="1"/>
  <c r="E925" i="1"/>
  <c r="F925" i="1" s="1"/>
  <c r="AA926" i="1"/>
  <c r="B927" i="1"/>
  <c r="C926" i="1"/>
  <c r="BC925" i="1" l="1"/>
  <c r="BD925" i="1" s="1"/>
  <c r="AE925" i="1" s="1"/>
  <c r="BF927" i="1"/>
  <c r="Y478" i="1"/>
  <c r="X478" i="1" s="1"/>
  <c r="BB926" i="1"/>
  <c r="AC926" i="1"/>
  <c r="O478" i="1"/>
  <c r="V478" i="1"/>
  <c r="AY478" i="1"/>
  <c r="AQ478" i="1"/>
  <c r="AL390" i="1"/>
  <c r="AL382" i="1"/>
  <c r="AL398" i="1"/>
  <c r="J926" i="1"/>
  <c r="L927" i="1"/>
  <c r="A947" i="7"/>
  <c r="B946" i="7"/>
  <c r="S927" i="1"/>
  <c r="Z929" i="1" s="1"/>
  <c r="K927" i="1"/>
  <c r="AU927" i="1"/>
  <c r="A927" i="1"/>
  <c r="AW926" i="1"/>
  <c r="AI926" i="1" s="1"/>
  <c r="AJ926" i="1" s="1"/>
  <c r="AK926" i="1"/>
  <c r="G925" i="1"/>
  <c r="H925" i="1" s="1"/>
  <c r="E926" i="1"/>
  <c r="F926" i="1" s="1"/>
  <c r="D926" i="1"/>
  <c r="M925" i="1"/>
  <c r="B928" i="1"/>
  <c r="C927" i="1"/>
  <c r="AA927" i="1"/>
  <c r="BC926" i="1" l="1"/>
  <c r="BD926" i="1" s="1"/>
  <c r="AE926" i="1" s="1"/>
  <c r="BF928" i="1"/>
  <c r="AX478" i="1"/>
  <c r="U478" i="1" s="1"/>
  <c r="AL478" i="1" s="1"/>
  <c r="AN478" i="1" s="1"/>
  <c r="AO478" i="1" s="1"/>
  <c r="AP478" i="1" s="1"/>
  <c r="BB927" i="1"/>
  <c r="AF478" i="1"/>
  <c r="AG478" i="1" s="1"/>
  <c r="BA478" i="1" s="1"/>
  <c r="P479" i="1"/>
  <c r="BE479" i="1" s="1"/>
  <c r="AM479" i="1"/>
  <c r="AT479" i="1"/>
  <c r="AS479" i="1" s="1"/>
  <c r="N479" i="1"/>
  <c r="I479" i="1"/>
  <c r="Q479" i="1" s="1"/>
  <c r="AN398" i="1"/>
  <c r="AN390" i="1"/>
  <c r="AN382" i="1"/>
  <c r="J927" i="1"/>
  <c r="L928" i="1"/>
  <c r="A948" i="7"/>
  <c r="B947" i="7"/>
  <c r="S928" i="1"/>
  <c r="Z930" i="1" s="1"/>
  <c r="K928" i="1"/>
  <c r="AU928" i="1"/>
  <c r="AC927" i="1"/>
  <c r="E927" i="1"/>
  <c r="F927" i="1" s="1"/>
  <c r="D927" i="1"/>
  <c r="AW927" i="1"/>
  <c r="AI927" i="1" s="1"/>
  <c r="AJ927" i="1" s="1"/>
  <c r="A928" i="1"/>
  <c r="AK927" i="1"/>
  <c r="M926" i="1"/>
  <c r="AA928" i="1"/>
  <c r="B929" i="1"/>
  <c r="C928" i="1"/>
  <c r="G926" i="1"/>
  <c r="H926" i="1" s="1"/>
  <c r="BC927" i="1" l="1"/>
  <c r="BD927" i="1" s="1"/>
  <c r="AE927" i="1" s="1"/>
  <c r="BF929" i="1"/>
  <c r="Y479" i="1"/>
  <c r="X479" i="1" s="1"/>
  <c r="AF479" i="1" s="1"/>
  <c r="AH478" i="1"/>
  <c r="BB928" i="1"/>
  <c r="AQ479" i="1"/>
  <c r="O479" i="1"/>
  <c r="V479" i="1"/>
  <c r="AY479" i="1"/>
  <c r="AO382" i="1"/>
  <c r="AO390" i="1"/>
  <c r="AO398" i="1"/>
  <c r="J928" i="1"/>
  <c r="L929" i="1"/>
  <c r="A949" i="7"/>
  <c r="B948" i="7"/>
  <c r="S929" i="1"/>
  <c r="Z931" i="1" s="1"/>
  <c r="K929" i="1"/>
  <c r="AU929" i="1"/>
  <c r="D928" i="1"/>
  <c r="E928" i="1"/>
  <c r="F928" i="1" s="1"/>
  <c r="AC928" i="1"/>
  <c r="G927" i="1"/>
  <c r="H927" i="1" s="1"/>
  <c r="M927" i="1"/>
  <c r="A929" i="1"/>
  <c r="AK928" i="1"/>
  <c r="AW928" i="1"/>
  <c r="AI928" i="1" s="1"/>
  <c r="AJ928" i="1" s="1"/>
  <c r="C929" i="1"/>
  <c r="B930" i="1"/>
  <c r="AA929" i="1"/>
  <c r="BC928" i="1" l="1"/>
  <c r="BD928" i="1" s="1"/>
  <c r="AE928" i="1" s="1"/>
  <c r="BF930" i="1"/>
  <c r="AX479" i="1"/>
  <c r="U479" i="1" s="1"/>
  <c r="AL479" i="1" s="1"/>
  <c r="AN479" i="1" s="1"/>
  <c r="AO479" i="1" s="1"/>
  <c r="AP479" i="1" s="1"/>
  <c r="AC929" i="1"/>
  <c r="BB929" i="1"/>
  <c r="AH479" i="1"/>
  <c r="AG479" i="1"/>
  <c r="BA479" i="1" s="1"/>
  <c r="P480" i="1"/>
  <c r="BE480" i="1" s="1"/>
  <c r="AT480" i="1"/>
  <c r="AS480" i="1" s="1"/>
  <c r="I480" i="1"/>
  <c r="Q480" i="1" s="1"/>
  <c r="AM480" i="1"/>
  <c r="N480" i="1"/>
  <c r="AP382" i="1"/>
  <c r="AX383" i="1" s="1"/>
  <c r="AP390" i="1"/>
  <c r="AX391" i="1" s="1"/>
  <c r="AP398" i="1"/>
  <c r="AX399" i="1" s="1"/>
  <c r="J929" i="1"/>
  <c r="L930" i="1"/>
  <c r="A950" i="7"/>
  <c r="B949" i="7"/>
  <c r="S930" i="1"/>
  <c r="Z932" i="1" s="1"/>
  <c r="K930" i="1"/>
  <c r="AU930" i="1"/>
  <c r="M928" i="1"/>
  <c r="D929" i="1"/>
  <c r="E929" i="1"/>
  <c r="F929" i="1" s="1"/>
  <c r="AA930" i="1"/>
  <c r="B931" i="1"/>
  <c r="C930" i="1"/>
  <c r="G928" i="1"/>
  <c r="H928" i="1" s="1"/>
  <c r="AK929" i="1"/>
  <c r="AW929" i="1"/>
  <c r="AI929" i="1" s="1"/>
  <c r="AJ929" i="1" s="1"/>
  <c r="A930" i="1"/>
  <c r="BC929" i="1" l="1"/>
  <c r="BD929" i="1" s="1"/>
  <c r="AE929" i="1" s="1"/>
  <c r="BF931" i="1"/>
  <c r="Y480" i="1"/>
  <c r="X480" i="1" s="1"/>
  <c r="AF480" i="1" s="1"/>
  <c r="BB930" i="1"/>
  <c r="V480" i="1"/>
  <c r="AY480" i="1"/>
  <c r="O480" i="1"/>
  <c r="AQ480" i="1"/>
  <c r="J930" i="1"/>
  <c r="L931" i="1"/>
  <c r="A951" i="7"/>
  <c r="B950" i="7"/>
  <c r="S931" i="1"/>
  <c r="Z933" i="1" s="1"/>
  <c r="K931" i="1"/>
  <c r="AU931" i="1"/>
  <c r="E930" i="1"/>
  <c r="F930" i="1" s="1"/>
  <c r="D930" i="1"/>
  <c r="A931" i="1"/>
  <c r="AW930" i="1"/>
  <c r="AI930" i="1" s="1"/>
  <c r="AJ930" i="1" s="1"/>
  <c r="AK930" i="1"/>
  <c r="AA931" i="1"/>
  <c r="B932" i="1"/>
  <c r="C931" i="1"/>
  <c r="M929" i="1"/>
  <c r="AC930" i="1"/>
  <c r="G929" i="1"/>
  <c r="H929" i="1" s="1"/>
  <c r="BC930" i="1" l="1"/>
  <c r="BD930" i="1" s="1"/>
  <c r="AE930" i="1" s="1"/>
  <c r="AX480" i="1"/>
  <c r="U480" i="1" s="1"/>
  <c r="AL480" i="1" s="1"/>
  <c r="AN480" i="1" s="1"/>
  <c r="AO480" i="1" s="1"/>
  <c r="BF932" i="1"/>
  <c r="BB931" i="1"/>
  <c r="AH480" i="1"/>
  <c r="AG480" i="1"/>
  <c r="BA480" i="1" s="1"/>
  <c r="P481" i="1"/>
  <c r="BE481" i="1" s="1"/>
  <c r="AT481" i="1"/>
  <c r="AS481" i="1" s="1"/>
  <c r="I481" i="1"/>
  <c r="Q481" i="1" s="1"/>
  <c r="AM481" i="1"/>
  <c r="N481" i="1"/>
  <c r="U383" i="1"/>
  <c r="U399" i="1"/>
  <c r="U391" i="1"/>
  <c r="J931" i="1"/>
  <c r="L932" i="1"/>
  <c r="A952" i="7"/>
  <c r="B951" i="7"/>
  <c r="S932" i="1"/>
  <c r="Z934" i="1" s="1"/>
  <c r="K932" i="1"/>
  <c r="AU932" i="1"/>
  <c r="M930" i="1"/>
  <c r="AC931" i="1"/>
  <c r="G930" i="1"/>
  <c r="H930" i="1" s="1"/>
  <c r="D931" i="1"/>
  <c r="E931" i="1"/>
  <c r="F931" i="1" s="1"/>
  <c r="AA932" i="1"/>
  <c r="C932" i="1"/>
  <c r="B933" i="1"/>
  <c r="AK931" i="1"/>
  <c r="A932" i="1"/>
  <c r="AW931" i="1"/>
  <c r="AI931" i="1" s="1"/>
  <c r="AJ931" i="1" s="1"/>
  <c r="BC931" i="1" l="1"/>
  <c r="BD931" i="1" s="1"/>
  <c r="AE931" i="1" s="1"/>
  <c r="BF933" i="1"/>
  <c r="Y481" i="1"/>
  <c r="X481" i="1" s="1"/>
  <c r="AF481" i="1" s="1"/>
  <c r="BB932" i="1"/>
  <c r="AC932" i="1"/>
  <c r="V481" i="1"/>
  <c r="AY481" i="1"/>
  <c r="O481" i="1"/>
  <c r="AQ481" i="1"/>
  <c r="AL399" i="1"/>
  <c r="AL391" i="1"/>
  <c r="AL383" i="1"/>
  <c r="J932" i="1"/>
  <c r="L933" i="1"/>
  <c r="A953" i="7"/>
  <c r="B952" i="7"/>
  <c r="S933" i="1"/>
  <c r="Z935" i="1" s="1"/>
  <c r="K933" i="1"/>
  <c r="AU933" i="1"/>
  <c r="D932" i="1"/>
  <c r="E932" i="1"/>
  <c r="F932" i="1" s="1"/>
  <c r="AW932" i="1"/>
  <c r="AI932" i="1" s="1"/>
  <c r="AJ932" i="1" s="1"/>
  <c r="AK932" i="1"/>
  <c r="A933" i="1"/>
  <c r="M931" i="1"/>
  <c r="AA933" i="1"/>
  <c r="C933" i="1"/>
  <c r="B934" i="1"/>
  <c r="G931" i="1"/>
  <c r="H931" i="1" s="1"/>
  <c r="BC932" i="1" l="1"/>
  <c r="BD932" i="1" s="1"/>
  <c r="AE932" i="1" s="1"/>
  <c r="AX481" i="1"/>
  <c r="U481" i="1" s="1"/>
  <c r="AL481" i="1" s="1"/>
  <c r="AN481" i="1" s="1"/>
  <c r="AO481" i="1" s="1"/>
  <c r="AP481" i="1" s="1"/>
  <c r="BF934" i="1"/>
  <c r="BB933" i="1"/>
  <c r="AH481" i="1"/>
  <c r="AG481" i="1"/>
  <c r="BA481" i="1" s="1"/>
  <c r="I482" i="1"/>
  <c r="Q482" i="1" s="1"/>
  <c r="AT482" i="1"/>
  <c r="AS482" i="1" s="1"/>
  <c r="N482" i="1"/>
  <c r="P482" i="1"/>
  <c r="BE482" i="1" s="1"/>
  <c r="AM482" i="1"/>
  <c r="AN383" i="1"/>
  <c r="AN399" i="1"/>
  <c r="AN391" i="1"/>
  <c r="J933" i="1"/>
  <c r="L934" i="1"/>
  <c r="A954" i="7"/>
  <c r="B953" i="7"/>
  <c r="S934" i="1"/>
  <c r="Z936" i="1" s="1"/>
  <c r="K934" i="1"/>
  <c r="AU934" i="1"/>
  <c r="C934" i="1"/>
  <c r="AA934" i="1"/>
  <c r="B935" i="1"/>
  <c r="E933" i="1"/>
  <c r="F933" i="1" s="1"/>
  <c r="D933" i="1"/>
  <c r="G932" i="1"/>
  <c r="H932" i="1" s="1"/>
  <c r="M932" i="1"/>
  <c r="AK933" i="1"/>
  <c r="AW933" i="1"/>
  <c r="AI933" i="1" s="1"/>
  <c r="AJ933" i="1" s="1"/>
  <c r="A934" i="1"/>
  <c r="AC933" i="1"/>
  <c r="BC933" i="1" l="1"/>
  <c r="BD933" i="1" s="1"/>
  <c r="AE933" i="1" s="1"/>
  <c r="BF935" i="1"/>
  <c r="Y482" i="1"/>
  <c r="X482" i="1" s="1"/>
  <c r="AF482" i="1" s="1"/>
  <c r="BB934" i="1"/>
  <c r="V482" i="1"/>
  <c r="AQ482" i="1"/>
  <c r="AY482" i="1"/>
  <c r="O482" i="1"/>
  <c r="AO383" i="1"/>
  <c r="AO399" i="1"/>
  <c r="AO391" i="1"/>
  <c r="J934" i="1"/>
  <c r="L935" i="1"/>
  <c r="A955" i="7"/>
  <c r="B954" i="7"/>
  <c r="S935" i="1"/>
  <c r="Z937" i="1" s="1"/>
  <c r="K935" i="1"/>
  <c r="AU935" i="1"/>
  <c r="C935" i="1"/>
  <c r="AA935" i="1"/>
  <c r="B936" i="1"/>
  <c r="M933" i="1"/>
  <c r="AK934" i="1"/>
  <c r="A935" i="1"/>
  <c r="AW934" i="1"/>
  <c r="AI934" i="1" s="1"/>
  <c r="AJ934" i="1" s="1"/>
  <c r="AC934" i="1"/>
  <c r="E934" i="1"/>
  <c r="F934" i="1" s="1"/>
  <c r="D934" i="1"/>
  <c r="G933" i="1"/>
  <c r="H933" i="1" s="1"/>
  <c r="BC934" i="1" l="1"/>
  <c r="BD934" i="1" s="1"/>
  <c r="AE934" i="1" s="1"/>
  <c r="AX482" i="1"/>
  <c r="U482" i="1" s="1"/>
  <c r="AL482" i="1" s="1"/>
  <c r="AN482" i="1" s="1"/>
  <c r="AO482" i="1" s="1"/>
  <c r="AP482" i="1" s="1"/>
  <c r="BF936" i="1"/>
  <c r="BB935" i="1"/>
  <c r="AH482" i="1"/>
  <c r="P483" i="1"/>
  <c r="BE483" i="1" s="1"/>
  <c r="N483" i="1"/>
  <c r="AM483" i="1"/>
  <c r="I483" i="1"/>
  <c r="Q483" i="1" s="1"/>
  <c r="AT483" i="1"/>
  <c r="AS483" i="1" s="1"/>
  <c r="AP383" i="1"/>
  <c r="AX384" i="1" s="1"/>
  <c r="AP391" i="1"/>
  <c r="AX392" i="1" s="1"/>
  <c r="AP399" i="1"/>
  <c r="AX400" i="1" s="1"/>
  <c r="J935" i="1"/>
  <c r="L936" i="1"/>
  <c r="A956" i="7"/>
  <c r="B955" i="7"/>
  <c r="S936" i="1"/>
  <c r="Z938" i="1" s="1"/>
  <c r="K936" i="1"/>
  <c r="AU936" i="1"/>
  <c r="AA936" i="1"/>
  <c r="B937" i="1"/>
  <c r="C936" i="1"/>
  <c r="AC935" i="1"/>
  <c r="G934" i="1"/>
  <c r="H934" i="1" s="1"/>
  <c r="D935" i="1"/>
  <c r="E935" i="1"/>
  <c r="F935" i="1" s="1"/>
  <c r="AK935" i="1"/>
  <c r="A936" i="1"/>
  <c r="AW935" i="1"/>
  <c r="AI935" i="1" s="1"/>
  <c r="AJ935" i="1" s="1"/>
  <c r="M934" i="1"/>
  <c r="BC935" i="1" l="1"/>
  <c r="BD935" i="1" s="1"/>
  <c r="AE935" i="1" s="1"/>
  <c r="BF937" i="1"/>
  <c r="Y483" i="1"/>
  <c r="X483" i="1" s="1"/>
  <c r="AF483" i="1" s="1"/>
  <c r="AC936" i="1"/>
  <c r="BB936" i="1"/>
  <c r="AG482" i="1"/>
  <c r="BA482" i="1" s="1"/>
  <c r="O483" i="1"/>
  <c r="V483" i="1"/>
  <c r="AY483" i="1"/>
  <c r="AQ483" i="1"/>
  <c r="J936" i="1"/>
  <c r="L937" i="1"/>
  <c r="A957" i="7"/>
  <c r="B956" i="7"/>
  <c r="S937" i="1"/>
  <c r="Z939" i="1" s="1"/>
  <c r="K937" i="1"/>
  <c r="AU937" i="1"/>
  <c r="D936" i="1"/>
  <c r="E936" i="1"/>
  <c r="F936" i="1" s="1"/>
  <c r="G935" i="1"/>
  <c r="H935" i="1" s="1"/>
  <c r="AA937" i="1"/>
  <c r="C937" i="1"/>
  <c r="B938" i="1"/>
  <c r="M935" i="1"/>
  <c r="AP936" i="1"/>
  <c r="AW936" i="1"/>
  <c r="AI936" i="1" s="1"/>
  <c r="AJ936" i="1" s="1"/>
  <c r="A937" i="1"/>
  <c r="AK936" i="1"/>
  <c r="BC936" i="1" l="1"/>
  <c r="BD936" i="1" s="1"/>
  <c r="AE936" i="1" s="1"/>
  <c r="AX483" i="1"/>
  <c r="U483" i="1" s="1"/>
  <c r="AL483" i="1" s="1"/>
  <c r="AN483" i="1" s="1"/>
  <c r="AO483" i="1" s="1"/>
  <c r="AP483" i="1" s="1"/>
  <c r="BF938" i="1"/>
  <c r="AC937" i="1"/>
  <c r="BB937" i="1"/>
  <c r="AG483" i="1"/>
  <c r="BA483" i="1" s="1"/>
  <c r="P484" i="1"/>
  <c r="BE484" i="1" s="1"/>
  <c r="N484" i="1"/>
  <c r="AT484" i="1"/>
  <c r="AS484" i="1" s="1"/>
  <c r="AM484" i="1"/>
  <c r="I484" i="1"/>
  <c r="Q484" i="1" s="1"/>
  <c r="AH483" i="1"/>
  <c r="U400" i="1"/>
  <c r="U392" i="1"/>
  <c r="U384" i="1"/>
  <c r="J937" i="1"/>
  <c r="L938" i="1"/>
  <c r="A958" i="7"/>
  <c r="B957" i="7"/>
  <c r="S938" i="1"/>
  <c r="Z940" i="1" s="1"/>
  <c r="K938" i="1"/>
  <c r="AU938" i="1"/>
  <c r="D937" i="1"/>
  <c r="E937" i="1"/>
  <c r="F937" i="1" s="1"/>
  <c r="A938" i="1"/>
  <c r="AW937" i="1"/>
  <c r="AI937" i="1" s="1"/>
  <c r="AJ937" i="1" s="1"/>
  <c r="AK937" i="1"/>
  <c r="M936" i="1"/>
  <c r="C938" i="1"/>
  <c r="B939" i="1"/>
  <c r="AA938" i="1"/>
  <c r="G936" i="1"/>
  <c r="H936" i="1" s="1"/>
  <c r="BC937" i="1" l="1"/>
  <c r="BD937" i="1" s="1"/>
  <c r="AE937" i="1" s="1"/>
  <c r="BF939" i="1"/>
  <c r="Y484" i="1"/>
  <c r="X484" i="1" s="1"/>
  <c r="AF484" i="1" s="1"/>
  <c r="BB938" i="1"/>
  <c r="O484" i="1"/>
  <c r="P485" i="1" s="1"/>
  <c r="BE485" i="1" s="1"/>
  <c r="V484" i="1"/>
  <c r="AY484" i="1"/>
  <c r="AQ484" i="1"/>
  <c r="AL392" i="1"/>
  <c r="AL400" i="1"/>
  <c r="AL384" i="1"/>
  <c r="J938" i="1"/>
  <c r="L939" i="1"/>
  <c r="A959" i="7"/>
  <c r="B958" i="7"/>
  <c r="S939" i="1"/>
  <c r="Z941" i="1" s="1"/>
  <c r="K939" i="1"/>
  <c r="AU939" i="1"/>
  <c r="E938" i="1"/>
  <c r="F938" i="1" s="1"/>
  <c r="D938" i="1"/>
  <c r="G937" i="1"/>
  <c r="H937" i="1" s="1"/>
  <c r="C939" i="1"/>
  <c r="B940" i="1"/>
  <c r="AA939" i="1"/>
  <c r="AC938" i="1"/>
  <c r="M937" i="1"/>
  <c r="AW938" i="1"/>
  <c r="AI938" i="1" s="1"/>
  <c r="AJ938" i="1" s="1"/>
  <c r="AK938" i="1"/>
  <c r="A939" i="1"/>
  <c r="BC938" i="1" l="1"/>
  <c r="BD938" i="1" s="1"/>
  <c r="AE938" i="1" s="1"/>
  <c r="AX484" i="1"/>
  <c r="U484" i="1" s="1"/>
  <c r="AL484" i="1" s="1"/>
  <c r="AN484" i="1" s="1"/>
  <c r="AO484" i="1" s="1"/>
  <c r="AP484" i="1" s="1"/>
  <c r="BF940" i="1"/>
  <c r="Y485" i="1"/>
  <c r="X485" i="1" s="1"/>
  <c r="AF485" i="1" s="1"/>
  <c r="BB939" i="1"/>
  <c r="AM485" i="1"/>
  <c r="AT485" i="1"/>
  <c r="AS485" i="1" s="1"/>
  <c r="AQ485" i="1" s="1"/>
  <c r="N485" i="1"/>
  <c r="I485" i="1"/>
  <c r="Q485" i="1" s="1"/>
  <c r="AG484" i="1"/>
  <c r="BA484" i="1" s="1"/>
  <c r="AH484" i="1"/>
  <c r="V485" i="1"/>
  <c r="AY485" i="1"/>
  <c r="AN384" i="1"/>
  <c r="AN392" i="1"/>
  <c r="AN400" i="1"/>
  <c r="J939" i="1"/>
  <c r="L940" i="1"/>
  <c r="A960" i="7"/>
  <c r="B959" i="7"/>
  <c r="S940" i="1"/>
  <c r="Z942" i="1" s="1"/>
  <c r="K940" i="1"/>
  <c r="AU940" i="1"/>
  <c r="AW939" i="1"/>
  <c r="AI939" i="1" s="1"/>
  <c r="AJ939" i="1" s="1"/>
  <c r="AK939" i="1"/>
  <c r="A940" i="1"/>
  <c r="AC939" i="1"/>
  <c r="G938" i="1"/>
  <c r="H938" i="1" s="1"/>
  <c r="B941" i="1"/>
  <c r="C940" i="1"/>
  <c r="AA940" i="1"/>
  <c r="M938" i="1"/>
  <c r="E939" i="1"/>
  <c r="F939" i="1" s="1"/>
  <c r="D939" i="1"/>
  <c r="BC939" i="1" l="1"/>
  <c r="BD939" i="1" s="1"/>
  <c r="AE939" i="1" s="1"/>
  <c r="BF941" i="1"/>
  <c r="AX485" i="1"/>
  <c r="U485" i="1" s="1"/>
  <c r="AL485" i="1" s="1"/>
  <c r="AN485" i="1" s="1"/>
  <c r="AO485" i="1" s="1"/>
  <c r="AP485" i="1" s="1"/>
  <c r="BB940" i="1"/>
  <c r="O485" i="1"/>
  <c r="AM486" i="1" s="1"/>
  <c r="AG485" i="1"/>
  <c r="AO384" i="1"/>
  <c r="AO392" i="1"/>
  <c r="AO400" i="1"/>
  <c r="J940" i="1"/>
  <c r="L941" i="1"/>
  <c r="A961" i="7"/>
  <c r="B960" i="7"/>
  <c r="S941" i="1"/>
  <c r="Z943" i="1" s="1"/>
  <c r="K941" i="1"/>
  <c r="AU941" i="1"/>
  <c r="B942" i="1"/>
  <c r="AA941" i="1"/>
  <c r="C941" i="1"/>
  <c r="M939" i="1"/>
  <c r="G939" i="1"/>
  <c r="H939" i="1" s="1"/>
  <c r="AC940" i="1"/>
  <c r="D940" i="1"/>
  <c r="E940" i="1"/>
  <c r="F940" i="1" s="1"/>
  <c r="AK940" i="1"/>
  <c r="A941" i="1"/>
  <c r="AW940" i="1"/>
  <c r="AI940" i="1" s="1"/>
  <c r="AJ940" i="1" s="1"/>
  <c r="BC940" i="1" l="1"/>
  <c r="BD940" i="1" s="1"/>
  <c r="AE940" i="1" s="1"/>
  <c r="BF942" i="1"/>
  <c r="BB941" i="1"/>
  <c r="P486" i="1"/>
  <c r="BE486" i="1" s="1"/>
  <c r="N486" i="1"/>
  <c r="I486" i="1"/>
  <c r="Q486" i="1" s="1"/>
  <c r="AT486" i="1"/>
  <c r="AS486" i="1" s="1"/>
  <c r="AH485" i="1"/>
  <c r="BA485" i="1"/>
  <c r="AP400" i="1"/>
  <c r="AX401" i="1" s="1"/>
  <c r="AP392" i="1"/>
  <c r="AX393" i="1" s="1"/>
  <c r="J941" i="1"/>
  <c r="L942" i="1"/>
  <c r="A962" i="7"/>
  <c r="B961" i="7"/>
  <c r="S942" i="1"/>
  <c r="Z944" i="1" s="1"/>
  <c r="K942" i="1"/>
  <c r="AU942" i="1"/>
  <c r="E941" i="1"/>
  <c r="F941" i="1" s="1"/>
  <c r="D941" i="1"/>
  <c r="M940" i="1"/>
  <c r="AC941" i="1"/>
  <c r="AA942" i="1"/>
  <c r="B943" i="1"/>
  <c r="C942" i="1"/>
  <c r="G940" i="1"/>
  <c r="H940" i="1" s="1"/>
  <c r="AK941" i="1"/>
  <c r="AW941" i="1"/>
  <c r="AI941" i="1" s="1"/>
  <c r="AJ941" i="1" s="1"/>
  <c r="A942" i="1"/>
  <c r="BC941" i="1" l="1"/>
  <c r="BD941" i="1" s="1"/>
  <c r="AE941" i="1" s="1"/>
  <c r="BF943" i="1"/>
  <c r="BB942" i="1"/>
  <c r="Y486" i="1"/>
  <c r="X486" i="1" s="1"/>
  <c r="AF486" i="1" s="1"/>
  <c r="O486" i="1"/>
  <c r="V486" i="1"/>
  <c r="AQ486" i="1"/>
  <c r="AY486" i="1"/>
  <c r="J942" i="1"/>
  <c r="L943" i="1"/>
  <c r="A963" i="7"/>
  <c r="B962" i="7"/>
  <c r="S943" i="1"/>
  <c r="Z945" i="1" s="1"/>
  <c r="K943" i="1"/>
  <c r="AU943" i="1"/>
  <c r="D942" i="1"/>
  <c r="E942" i="1"/>
  <c r="F942" i="1" s="1"/>
  <c r="G941" i="1"/>
  <c r="H941" i="1" s="1"/>
  <c r="AK942" i="1"/>
  <c r="A943" i="1"/>
  <c r="AW942" i="1"/>
  <c r="AI942" i="1" s="1"/>
  <c r="AJ942" i="1" s="1"/>
  <c r="B944" i="1"/>
  <c r="C943" i="1"/>
  <c r="AA943" i="1"/>
  <c r="M941" i="1"/>
  <c r="AC942" i="1"/>
  <c r="BC942" i="1" l="1"/>
  <c r="BD942" i="1" s="1"/>
  <c r="AE942" i="1" s="1"/>
  <c r="AX486" i="1"/>
  <c r="U486" i="1" s="1"/>
  <c r="AL486" i="1" s="1"/>
  <c r="AN486" i="1" s="1"/>
  <c r="AO486" i="1" s="1"/>
  <c r="AP486" i="1" s="1"/>
  <c r="BF944" i="1"/>
  <c r="BB943" i="1"/>
  <c r="AG486" i="1"/>
  <c r="BA486" i="1" s="1"/>
  <c r="AH486" i="1"/>
  <c r="AT487" i="1"/>
  <c r="AS487" i="1" s="1"/>
  <c r="N487" i="1"/>
  <c r="P487" i="1"/>
  <c r="BE487" i="1" s="1"/>
  <c r="I487" i="1"/>
  <c r="Q487" i="1" s="1"/>
  <c r="AM487" i="1"/>
  <c r="U401" i="1"/>
  <c r="U393" i="1"/>
  <c r="J943" i="1"/>
  <c r="L944" i="1"/>
  <c r="A964" i="7"/>
  <c r="B963" i="7"/>
  <c r="S944" i="1"/>
  <c r="Z946" i="1" s="1"/>
  <c r="K944" i="1"/>
  <c r="AU944" i="1"/>
  <c r="AC943" i="1"/>
  <c r="D943" i="1"/>
  <c r="E943" i="1"/>
  <c r="F943" i="1" s="1"/>
  <c r="M942" i="1"/>
  <c r="AA944" i="1"/>
  <c r="C944" i="1"/>
  <c r="B945" i="1"/>
  <c r="AK943" i="1"/>
  <c r="A944" i="1"/>
  <c r="AW943" i="1"/>
  <c r="AI943" i="1" s="1"/>
  <c r="AJ943" i="1" s="1"/>
  <c r="G942" i="1"/>
  <c r="H942" i="1" s="1"/>
  <c r="U409" i="1"/>
  <c r="BC943" i="1" l="1"/>
  <c r="BD943" i="1" s="1"/>
  <c r="AE943" i="1" s="1"/>
  <c r="BF945" i="1"/>
  <c r="Y487" i="1"/>
  <c r="X487" i="1" s="1"/>
  <c r="BB944" i="1"/>
  <c r="AQ487" i="1"/>
  <c r="O487" i="1"/>
  <c r="I488" i="1" s="1"/>
  <c r="Q488" i="1" s="1"/>
  <c r="V487" i="1"/>
  <c r="AY487" i="1"/>
  <c r="AL393" i="1"/>
  <c r="AL409" i="1"/>
  <c r="AL401" i="1"/>
  <c r="J944" i="1"/>
  <c r="L945" i="1"/>
  <c r="A965" i="7"/>
  <c r="B964" i="7"/>
  <c r="S945" i="1"/>
  <c r="Z947" i="1" s="1"/>
  <c r="K945" i="1"/>
  <c r="AU945" i="1"/>
  <c r="G943" i="1"/>
  <c r="H943" i="1" s="1"/>
  <c r="M943" i="1"/>
  <c r="AC944" i="1"/>
  <c r="AK944" i="1"/>
  <c r="A945" i="1"/>
  <c r="AW944" i="1"/>
  <c r="AI944" i="1" s="1"/>
  <c r="AJ944" i="1" s="1"/>
  <c r="AA945" i="1"/>
  <c r="C945" i="1"/>
  <c r="B946" i="1"/>
  <c r="D944" i="1"/>
  <c r="E944" i="1"/>
  <c r="F944" i="1" s="1"/>
  <c r="BC944" i="1" l="1"/>
  <c r="BD944" i="1" s="1"/>
  <c r="AE944" i="1" s="1"/>
  <c r="BF946" i="1"/>
  <c r="AX487" i="1"/>
  <c r="U487" i="1" s="1"/>
  <c r="AL487" i="1" s="1"/>
  <c r="AN487" i="1" s="1"/>
  <c r="AO487" i="1" s="1"/>
  <c r="AP487" i="1" s="1"/>
  <c r="AC945" i="1"/>
  <c r="BB945" i="1"/>
  <c r="AF487" i="1"/>
  <c r="AG487" i="1" s="1"/>
  <c r="BA487" i="1" s="1"/>
  <c r="AT488" i="1"/>
  <c r="AS488" i="1" s="1"/>
  <c r="AM488" i="1"/>
  <c r="P488" i="1"/>
  <c r="BE488" i="1" s="1"/>
  <c r="N488" i="1"/>
  <c r="O488" i="1" s="1"/>
  <c r="AN401" i="1"/>
  <c r="AN393" i="1"/>
  <c r="AN409" i="1"/>
  <c r="J945" i="1"/>
  <c r="L946" i="1"/>
  <c r="A966" i="7"/>
  <c r="B965" i="7"/>
  <c r="S946" i="1"/>
  <c r="Z948" i="1" s="1"/>
  <c r="K946" i="1"/>
  <c r="AU946" i="1"/>
  <c r="M944" i="1"/>
  <c r="AA946" i="1"/>
  <c r="B947" i="1"/>
  <c r="C946" i="1"/>
  <c r="AK945" i="1"/>
  <c r="AW945" i="1"/>
  <c r="AI945" i="1" s="1"/>
  <c r="AJ945" i="1" s="1"/>
  <c r="A946" i="1"/>
  <c r="G944" i="1"/>
  <c r="H944" i="1" s="1"/>
  <c r="E945" i="1"/>
  <c r="F945" i="1" s="1"/>
  <c r="D945" i="1"/>
  <c r="BC945" i="1" l="1"/>
  <c r="BD945" i="1" s="1"/>
  <c r="AE945" i="1" s="1"/>
  <c r="BF947" i="1"/>
  <c r="Y488" i="1"/>
  <c r="X488" i="1" s="1"/>
  <c r="BB946" i="1"/>
  <c r="AH487" i="1"/>
  <c r="AQ488" i="1"/>
  <c r="V488" i="1"/>
  <c r="AY488" i="1"/>
  <c r="P489" i="1"/>
  <c r="BE489" i="1" s="1"/>
  <c r="AM489" i="1"/>
  <c r="N489" i="1"/>
  <c r="AT489" i="1"/>
  <c r="AS489" i="1" s="1"/>
  <c r="I489" i="1"/>
  <c r="Q489" i="1" s="1"/>
  <c r="AO401" i="1"/>
  <c r="AO393" i="1"/>
  <c r="AO409" i="1"/>
  <c r="J946" i="1"/>
  <c r="L947" i="1"/>
  <c r="A967" i="7"/>
  <c r="B966" i="7"/>
  <c r="S947" i="1"/>
  <c r="Z949" i="1" s="1"/>
  <c r="K947" i="1"/>
  <c r="AU947" i="1"/>
  <c r="G945" i="1"/>
  <c r="H945" i="1" s="1"/>
  <c r="AC946" i="1"/>
  <c r="M945" i="1"/>
  <c r="E946" i="1"/>
  <c r="F946" i="1" s="1"/>
  <c r="D946" i="1"/>
  <c r="A947" i="1"/>
  <c r="AW946" i="1"/>
  <c r="AI946" i="1" s="1"/>
  <c r="AJ946" i="1" s="1"/>
  <c r="AK946" i="1"/>
  <c r="B948" i="1"/>
  <c r="C947" i="1"/>
  <c r="AA947" i="1"/>
  <c r="BC946" i="1" l="1"/>
  <c r="BD946" i="1" s="1"/>
  <c r="AE946" i="1" s="1"/>
  <c r="AX488" i="1"/>
  <c r="U488" i="1" s="1"/>
  <c r="AL488" i="1" s="1"/>
  <c r="AN488" i="1" s="1"/>
  <c r="AO488" i="1" s="1"/>
  <c r="AP488" i="1" s="1"/>
  <c r="BF948" i="1"/>
  <c r="Y489" i="1"/>
  <c r="X489" i="1" s="1"/>
  <c r="BB947" i="1"/>
  <c r="AF488" i="1"/>
  <c r="O489" i="1"/>
  <c r="V489" i="1"/>
  <c r="AY489" i="1"/>
  <c r="AQ489" i="1"/>
  <c r="AP401" i="1"/>
  <c r="AX402" i="1" s="1"/>
  <c r="AP409" i="1"/>
  <c r="AX410" i="1" s="1"/>
  <c r="AP393" i="1"/>
  <c r="AX394" i="1" s="1"/>
  <c r="J947" i="1"/>
  <c r="L948" i="1"/>
  <c r="A968" i="7"/>
  <c r="B967" i="7"/>
  <c r="S948" i="1"/>
  <c r="Z950" i="1" s="1"/>
  <c r="K948" i="1"/>
  <c r="AU948" i="1"/>
  <c r="AC947" i="1"/>
  <c r="G946" i="1"/>
  <c r="H946" i="1" s="1"/>
  <c r="A948" i="1"/>
  <c r="AW947" i="1"/>
  <c r="AI947" i="1" s="1"/>
  <c r="AJ947" i="1" s="1"/>
  <c r="AK947" i="1"/>
  <c r="D947" i="1"/>
  <c r="E947" i="1"/>
  <c r="F947" i="1" s="1"/>
  <c r="M946" i="1"/>
  <c r="AA948" i="1"/>
  <c r="C948" i="1"/>
  <c r="B949" i="1"/>
  <c r="BC947" i="1" l="1"/>
  <c r="BD947" i="1" s="1"/>
  <c r="AE947" i="1" s="1"/>
  <c r="BF949" i="1"/>
  <c r="AH488" i="1"/>
  <c r="BB948" i="1"/>
  <c r="AF489" i="1"/>
  <c r="AG489" i="1" s="1"/>
  <c r="BA489" i="1" s="1"/>
  <c r="AG488" i="1"/>
  <c r="BA488" i="1" s="1"/>
  <c r="P490" i="1"/>
  <c r="BE490" i="1" s="1"/>
  <c r="N490" i="1"/>
  <c r="AM490" i="1"/>
  <c r="AT490" i="1"/>
  <c r="AS490" i="1" s="1"/>
  <c r="I490" i="1"/>
  <c r="Q490" i="1" s="1"/>
  <c r="J948" i="1"/>
  <c r="L949" i="1"/>
  <c r="A969" i="7"/>
  <c r="B968" i="7"/>
  <c r="S949" i="1"/>
  <c r="Z951" i="1" s="1"/>
  <c r="K949" i="1"/>
  <c r="AU949" i="1"/>
  <c r="M947" i="1"/>
  <c r="AC948" i="1"/>
  <c r="G947" i="1"/>
  <c r="H947" i="1" s="1"/>
  <c r="AA949" i="1"/>
  <c r="C949" i="1"/>
  <c r="B950" i="1"/>
  <c r="E948" i="1"/>
  <c r="F948" i="1" s="1"/>
  <c r="D948" i="1"/>
  <c r="AW948" i="1"/>
  <c r="AI948" i="1" s="1"/>
  <c r="AJ948" i="1" s="1"/>
  <c r="AK948" i="1"/>
  <c r="A949" i="1"/>
  <c r="AP948" i="1"/>
  <c r="BC948" i="1" l="1"/>
  <c r="BD948" i="1" s="1"/>
  <c r="AE948" i="1" s="1"/>
  <c r="BF950" i="1"/>
  <c r="AX489" i="1"/>
  <c r="U489" i="1" s="1"/>
  <c r="AL489" i="1" s="1"/>
  <c r="AN489" i="1" s="1"/>
  <c r="AO489" i="1" s="1"/>
  <c r="AP489" i="1" s="1"/>
  <c r="Y490" i="1"/>
  <c r="X490" i="1" s="1"/>
  <c r="AH489" i="1"/>
  <c r="BB949" i="1"/>
  <c r="O490" i="1"/>
  <c r="V490" i="1"/>
  <c r="AY490" i="1"/>
  <c r="AQ490" i="1"/>
  <c r="U402" i="1"/>
  <c r="U410" i="1"/>
  <c r="U394" i="1"/>
  <c r="J949" i="1"/>
  <c r="L950" i="1"/>
  <c r="A970" i="7"/>
  <c r="B969" i="7"/>
  <c r="S950" i="1"/>
  <c r="Z952" i="1" s="1"/>
  <c r="K950" i="1"/>
  <c r="AU950" i="1"/>
  <c r="G948" i="1"/>
  <c r="H948" i="1" s="1"/>
  <c r="AC949" i="1"/>
  <c r="M948" i="1"/>
  <c r="AA950" i="1"/>
  <c r="B951" i="1"/>
  <c r="C950" i="1"/>
  <c r="AK949" i="1"/>
  <c r="AW949" i="1"/>
  <c r="AI949" i="1" s="1"/>
  <c r="AJ949" i="1" s="1"/>
  <c r="A950" i="1"/>
  <c r="E949" i="1"/>
  <c r="F949" i="1" s="1"/>
  <c r="D949" i="1"/>
  <c r="BC949" i="1" l="1"/>
  <c r="BD949" i="1" s="1"/>
  <c r="AE949" i="1" s="1"/>
  <c r="BF951" i="1"/>
  <c r="AX490" i="1"/>
  <c r="U490" i="1" s="1"/>
  <c r="AL490" i="1" s="1"/>
  <c r="AN490" i="1" s="1"/>
  <c r="AO490" i="1" s="1"/>
  <c r="AP490" i="1" s="1"/>
  <c r="BB950" i="1"/>
  <c r="AF490" i="1"/>
  <c r="AG490" i="1" s="1"/>
  <c r="BA490" i="1" s="1"/>
  <c r="AM491" i="1"/>
  <c r="I491" i="1"/>
  <c r="Q491" i="1" s="1"/>
  <c r="N491" i="1"/>
  <c r="P491" i="1"/>
  <c r="BE491" i="1" s="1"/>
  <c r="AT491" i="1"/>
  <c r="AS491" i="1" s="1"/>
  <c r="AL410" i="1"/>
  <c r="AL394" i="1"/>
  <c r="AL402" i="1"/>
  <c r="J950" i="1"/>
  <c r="L951" i="1"/>
  <c r="A971" i="7"/>
  <c r="B970" i="7"/>
  <c r="S951" i="1"/>
  <c r="Z953" i="1" s="1"/>
  <c r="K951" i="1"/>
  <c r="AU951" i="1"/>
  <c r="G949" i="1"/>
  <c r="H949" i="1" s="1"/>
  <c r="AK950" i="1"/>
  <c r="A951" i="1"/>
  <c r="AW950" i="1"/>
  <c r="AI950" i="1" s="1"/>
  <c r="AJ950" i="1" s="1"/>
  <c r="B952" i="1"/>
  <c r="C951" i="1"/>
  <c r="AA951" i="1"/>
  <c r="AC950" i="1"/>
  <c r="D950" i="1"/>
  <c r="E950" i="1"/>
  <c r="F950" i="1" s="1"/>
  <c r="M949" i="1"/>
  <c r="BC950" i="1" l="1"/>
  <c r="BD950" i="1" s="1"/>
  <c r="AE950" i="1" s="1"/>
  <c r="BF952" i="1"/>
  <c r="Y491" i="1"/>
  <c r="X491" i="1" s="1"/>
  <c r="AH490" i="1"/>
  <c r="BB951" i="1"/>
  <c r="O491" i="1"/>
  <c r="P492" i="1" s="1"/>
  <c r="BE492" i="1" s="1"/>
  <c r="V491" i="1"/>
  <c r="AQ491" i="1"/>
  <c r="AY491" i="1"/>
  <c r="AN402" i="1"/>
  <c r="AN410" i="1"/>
  <c r="AN394" i="1"/>
  <c r="J951" i="1"/>
  <c r="L952" i="1"/>
  <c r="A972" i="7"/>
  <c r="B971" i="7"/>
  <c r="S952" i="1"/>
  <c r="Z954" i="1" s="1"/>
  <c r="K952" i="1"/>
  <c r="AU952" i="1"/>
  <c r="D951" i="1"/>
  <c r="E951" i="1"/>
  <c r="F951" i="1" s="1"/>
  <c r="AK951" i="1"/>
  <c r="A952" i="1"/>
  <c r="AW951" i="1"/>
  <c r="AI951" i="1" s="1"/>
  <c r="AJ951" i="1" s="1"/>
  <c r="AC951" i="1"/>
  <c r="B953" i="1"/>
  <c r="AA952" i="1"/>
  <c r="C952" i="1"/>
  <c r="G950" i="1"/>
  <c r="H950" i="1" s="1"/>
  <c r="M950" i="1"/>
  <c r="BC951" i="1" l="1"/>
  <c r="BD951" i="1" s="1"/>
  <c r="AE951" i="1" s="1"/>
  <c r="BF953" i="1"/>
  <c r="AX491" i="1"/>
  <c r="U491" i="1" s="1"/>
  <c r="AL491" i="1" s="1"/>
  <c r="AN491" i="1" s="1"/>
  <c r="AO491" i="1" s="1"/>
  <c r="AP491" i="1" s="1"/>
  <c r="Y492" i="1"/>
  <c r="X492" i="1" s="1"/>
  <c r="AF492" i="1" s="1"/>
  <c r="BB952" i="1"/>
  <c r="AF491" i="1"/>
  <c r="AG491" i="1" s="1"/>
  <c r="BA491" i="1" s="1"/>
  <c r="AT492" i="1"/>
  <c r="AS492" i="1" s="1"/>
  <c r="AQ492" i="1" s="1"/>
  <c r="AM492" i="1"/>
  <c r="N492" i="1"/>
  <c r="I492" i="1"/>
  <c r="Q492" i="1" s="1"/>
  <c r="V492" i="1"/>
  <c r="AY492" i="1"/>
  <c r="AO410" i="1"/>
  <c r="AO402" i="1"/>
  <c r="AO394" i="1"/>
  <c r="J952" i="1"/>
  <c r="L953" i="1"/>
  <c r="A973" i="7"/>
  <c r="B972" i="7"/>
  <c r="S953" i="1"/>
  <c r="Z955" i="1" s="1"/>
  <c r="K953" i="1"/>
  <c r="AU953" i="1"/>
  <c r="M951" i="1"/>
  <c r="AK952" i="1"/>
  <c r="A953" i="1"/>
  <c r="AW952" i="1"/>
  <c r="AI952" i="1" s="1"/>
  <c r="AJ952" i="1" s="1"/>
  <c r="AA953" i="1"/>
  <c r="C953" i="1"/>
  <c r="B954" i="1"/>
  <c r="E952" i="1"/>
  <c r="F952" i="1" s="1"/>
  <c r="D952" i="1"/>
  <c r="G951" i="1"/>
  <c r="H951" i="1" s="1"/>
  <c r="AC952" i="1"/>
  <c r="BC952" i="1" l="1"/>
  <c r="BD952" i="1" s="1"/>
  <c r="AE952" i="1" s="1"/>
  <c r="BF954" i="1"/>
  <c r="BB953" i="1"/>
  <c r="AH491" i="1"/>
  <c r="O492" i="1"/>
  <c r="I493" i="1" s="1"/>
  <c r="Q493" i="1" s="1"/>
  <c r="AG492" i="1"/>
  <c r="BA492" i="1" s="1"/>
  <c r="AP394" i="1"/>
  <c r="AX395" i="1" s="1"/>
  <c r="AP410" i="1"/>
  <c r="AX411" i="1" s="1"/>
  <c r="AP402" i="1"/>
  <c r="AX403" i="1" s="1"/>
  <c r="J953" i="1"/>
  <c r="L954" i="1"/>
  <c r="A974" i="7"/>
  <c r="B973" i="7"/>
  <c r="S954" i="1"/>
  <c r="Z956" i="1" s="1"/>
  <c r="K954" i="1"/>
  <c r="AU954" i="1"/>
  <c r="AA954" i="1"/>
  <c r="B955" i="1"/>
  <c r="C954" i="1"/>
  <c r="G952" i="1"/>
  <c r="H952" i="1" s="1"/>
  <c r="E953" i="1"/>
  <c r="F953" i="1" s="1"/>
  <c r="D953" i="1"/>
  <c r="M952" i="1"/>
  <c r="AC953" i="1"/>
  <c r="AK953" i="1"/>
  <c r="AW953" i="1"/>
  <c r="AI953" i="1" s="1"/>
  <c r="AJ953" i="1" s="1"/>
  <c r="A954" i="1"/>
  <c r="BC953" i="1" l="1"/>
  <c r="BD953" i="1" s="1"/>
  <c r="AE953" i="1" s="1"/>
  <c r="BF955" i="1"/>
  <c r="AX492" i="1"/>
  <c r="U492" i="1" s="1"/>
  <c r="AL492" i="1" s="1"/>
  <c r="AN492" i="1" s="1"/>
  <c r="AO492" i="1" s="1"/>
  <c r="BB954" i="1"/>
  <c r="P493" i="1"/>
  <c r="BE493" i="1" s="1"/>
  <c r="AT493" i="1"/>
  <c r="AS493" i="1" s="1"/>
  <c r="AH492" i="1"/>
  <c r="N493" i="1"/>
  <c r="O493" i="1" s="1"/>
  <c r="AM493" i="1"/>
  <c r="J954" i="1"/>
  <c r="L955" i="1"/>
  <c r="A975" i="7"/>
  <c r="B974" i="7"/>
  <c r="S955" i="1"/>
  <c r="Z957" i="1" s="1"/>
  <c r="K955" i="1"/>
  <c r="AU955" i="1"/>
  <c r="G953" i="1"/>
  <c r="H953" i="1" s="1"/>
  <c r="AC954" i="1"/>
  <c r="D954" i="1"/>
  <c r="E954" i="1"/>
  <c r="F954" i="1" s="1"/>
  <c r="AK954" i="1"/>
  <c r="A955" i="1"/>
  <c r="AW954" i="1"/>
  <c r="AI954" i="1" s="1"/>
  <c r="AJ954" i="1" s="1"/>
  <c r="M953" i="1"/>
  <c r="B956" i="1"/>
  <c r="C955" i="1"/>
  <c r="AA955" i="1"/>
  <c r="BC954" i="1" l="1"/>
  <c r="BD954" i="1" s="1"/>
  <c r="AE954" i="1" s="1"/>
  <c r="BF956" i="1"/>
  <c r="AC955" i="1"/>
  <c r="BB955" i="1"/>
  <c r="V493" i="1"/>
  <c r="Y493" i="1"/>
  <c r="X493" i="1" s="1"/>
  <c r="AQ493" i="1"/>
  <c r="AY493" i="1"/>
  <c r="AM494" i="1"/>
  <c r="N494" i="1"/>
  <c r="P494" i="1"/>
  <c r="BE494" i="1" s="1"/>
  <c r="I494" i="1"/>
  <c r="Q494" i="1" s="1"/>
  <c r="AT494" i="1"/>
  <c r="AS494" i="1" s="1"/>
  <c r="U395" i="1"/>
  <c r="U403" i="1"/>
  <c r="U411" i="1"/>
  <c r="J955" i="1"/>
  <c r="L956" i="1"/>
  <c r="A976" i="7"/>
  <c r="B975" i="7"/>
  <c r="S956" i="1"/>
  <c r="Z958" i="1" s="1"/>
  <c r="K956" i="1"/>
  <c r="AU956" i="1"/>
  <c r="D955" i="1"/>
  <c r="E955" i="1"/>
  <c r="F955" i="1" s="1"/>
  <c r="AK955" i="1"/>
  <c r="AW955" i="1"/>
  <c r="AI955" i="1" s="1"/>
  <c r="AJ955" i="1" s="1"/>
  <c r="A956" i="1"/>
  <c r="B957" i="1"/>
  <c r="C956" i="1"/>
  <c r="AA956" i="1"/>
  <c r="M954" i="1"/>
  <c r="G954" i="1"/>
  <c r="H954" i="1" s="1"/>
  <c r="BC955" i="1" l="1"/>
  <c r="BD955" i="1" s="1"/>
  <c r="AE955" i="1" s="1"/>
  <c r="AX493" i="1"/>
  <c r="U493" i="1" s="1"/>
  <c r="AL493" i="1" s="1"/>
  <c r="AN493" i="1" s="1"/>
  <c r="AO493" i="1" s="1"/>
  <c r="AP493" i="1" s="1"/>
  <c r="BF957" i="1"/>
  <c r="Y494" i="1"/>
  <c r="X494" i="1" s="1"/>
  <c r="BB956" i="1"/>
  <c r="AF493" i="1"/>
  <c r="AG493" i="1" s="1"/>
  <c r="BA493" i="1" s="1"/>
  <c r="AQ494" i="1"/>
  <c r="V494" i="1"/>
  <c r="AY494" i="1"/>
  <c r="O494" i="1"/>
  <c r="N495" i="1" s="1"/>
  <c r="AL403" i="1"/>
  <c r="AL411" i="1"/>
  <c r="AL395" i="1"/>
  <c r="J956" i="1"/>
  <c r="L957" i="1"/>
  <c r="A977" i="7"/>
  <c r="B976" i="7"/>
  <c r="S957" i="1"/>
  <c r="Z959" i="1" s="1"/>
  <c r="K957" i="1"/>
  <c r="AU957" i="1"/>
  <c r="M955" i="1"/>
  <c r="B958" i="1"/>
  <c r="AA957" i="1"/>
  <c r="C957" i="1"/>
  <c r="A957" i="1"/>
  <c r="AW956" i="1"/>
  <c r="AI956" i="1" s="1"/>
  <c r="AJ956" i="1" s="1"/>
  <c r="AK956" i="1"/>
  <c r="G955" i="1"/>
  <c r="H955" i="1" s="1"/>
  <c r="AC956" i="1"/>
  <c r="E956" i="1"/>
  <c r="F956" i="1" s="1"/>
  <c r="D956" i="1"/>
  <c r="BC956" i="1" l="1"/>
  <c r="BD956" i="1" s="1"/>
  <c r="AE956" i="1" s="1"/>
  <c r="BF958" i="1"/>
  <c r="BB957" i="1"/>
  <c r="AF494" i="1"/>
  <c r="AG494" i="1" s="1"/>
  <c r="BA494" i="1" s="1"/>
  <c r="AH493" i="1"/>
  <c r="AT495" i="1"/>
  <c r="AS495" i="1" s="1"/>
  <c r="AM495" i="1"/>
  <c r="I495" i="1"/>
  <c r="Q495" i="1" s="1"/>
  <c r="P495" i="1"/>
  <c r="BE495" i="1" s="1"/>
  <c r="AN395" i="1"/>
  <c r="AN403" i="1"/>
  <c r="AN411" i="1"/>
  <c r="J957" i="1"/>
  <c r="L958" i="1"/>
  <c r="A978" i="7"/>
  <c r="B977" i="7"/>
  <c r="S958" i="1"/>
  <c r="Z960" i="1" s="1"/>
  <c r="K958" i="1"/>
  <c r="AU958" i="1"/>
  <c r="AA958" i="1"/>
  <c r="B959" i="1"/>
  <c r="C958" i="1"/>
  <c r="G956" i="1"/>
  <c r="H956" i="1" s="1"/>
  <c r="A958" i="1"/>
  <c r="AK957" i="1"/>
  <c r="AW957" i="1"/>
  <c r="AI957" i="1" s="1"/>
  <c r="AJ957" i="1" s="1"/>
  <c r="D957" i="1"/>
  <c r="E957" i="1"/>
  <c r="F957" i="1" s="1"/>
  <c r="AC957" i="1"/>
  <c r="M956" i="1"/>
  <c r="BC957" i="1" l="1"/>
  <c r="BD957" i="1" s="1"/>
  <c r="AE957" i="1" s="1"/>
  <c r="BF959" i="1"/>
  <c r="AX494" i="1"/>
  <c r="U494" i="1" s="1"/>
  <c r="AL494" i="1" s="1"/>
  <c r="AN494" i="1" s="1"/>
  <c r="AO494" i="1" s="1"/>
  <c r="AP494" i="1" s="1"/>
  <c r="BB958" i="1"/>
  <c r="AH494" i="1"/>
  <c r="AY495" i="1"/>
  <c r="Y495" i="1"/>
  <c r="X495" i="1" s="1"/>
  <c r="V495" i="1"/>
  <c r="AQ495" i="1"/>
  <c r="O495" i="1"/>
  <c r="N496" i="1" s="1"/>
  <c r="AO411" i="1"/>
  <c r="AO403" i="1"/>
  <c r="AO395" i="1"/>
  <c r="J958" i="1"/>
  <c r="L959" i="1"/>
  <c r="A979" i="7"/>
  <c r="B978" i="7"/>
  <c r="S959" i="1"/>
  <c r="Z961" i="1" s="1"/>
  <c r="K959" i="1"/>
  <c r="AU959" i="1"/>
  <c r="M957" i="1"/>
  <c r="AC958" i="1"/>
  <c r="G957" i="1"/>
  <c r="H957" i="1" s="1"/>
  <c r="E958" i="1"/>
  <c r="F958" i="1" s="1"/>
  <c r="D958" i="1"/>
  <c r="AW958" i="1"/>
  <c r="AI958" i="1" s="1"/>
  <c r="AJ958" i="1" s="1"/>
  <c r="A959" i="1"/>
  <c r="AK958" i="1"/>
  <c r="C959" i="1"/>
  <c r="AA959" i="1"/>
  <c r="B960" i="1"/>
  <c r="BC958" i="1" l="1"/>
  <c r="BD958" i="1" s="1"/>
  <c r="AE958" i="1" s="1"/>
  <c r="AX495" i="1"/>
  <c r="U495" i="1" s="1"/>
  <c r="AL495" i="1" s="1"/>
  <c r="AN495" i="1" s="1"/>
  <c r="AO495" i="1" s="1"/>
  <c r="AP495" i="1" s="1"/>
  <c r="BF960" i="1"/>
  <c r="BB959" i="1"/>
  <c r="AF495" i="1"/>
  <c r="AG495" i="1" s="1"/>
  <c r="BA495" i="1" s="1"/>
  <c r="AM496" i="1"/>
  <c r="P496" i="1"/>
  <c r="BE496" i="1" s="1"/>
  <c r="AT496" i="1"/>
  <c r="AS496" i="1" s="1"/>
  <c r="I496" i="1"/>
  <c r="Q496" i="1" s="1"/>
  <c r="AP395" i="1"/>
  <c r="AX396" i="1" s="1"/>
  <c r="AP411" i="1"/>
  <c r="AX412" i="1" s="1"/>
  <c r="AP403" i="1"/>
  <c r="AX404" i="1" s="1"/>
  <c r="J959" i="1"/>
  <c r="L960" i="1"/>
  <c r="A980" i="7"/>
  <c r="B979" i="7"/>
  <c r="S960" i="1"/>
  <c r="Z962" i="1" s="1"/>
  <c r="K960" i="1"/>
  <c r="AU960" i="1"/>
  <c r="D959" i="1"/>
  <c r="E959" i="1"/>
  <c r="F959" i="1" s="1"/>
  <c r="C960" i="1"/>
  <c r="AA960" i="1"/>
  <c r="B961" i="1"/>
  <c r="M958" i="1"/>
  <c r="G958" i="1"/>
  <c r="H958" i="1" s="1"/>
  <c r="AC959" i="1"/>
  <c r="AK959" i="1"/>
  <c r="A960" i="1"/>
  <c r="AW959" i="1"/>
  <c r="AI959" i="1" s="1"/>
  <c r="AJ959" i="1" s="1"/>
  <c r="BC959" i="1" l="1"/>
  <c r="BD959" i="1" s="1"/>
  <c r="AE959" i="1" s="1"/>
  <c r="BF961" i="1"/>
  <c r="Y496" i="1"/>
  <c r="X496" i="1" s="1"/>
  <c r="AF496" i="1" s="1"/>
  <c r="AH495" i="1"/>
  <c r="BB960" i="1"/>
  <c r="O496" i="1"/>
  <c r="V496" i="1"/>
  <c r="AY496" i="1"/>
  <c r="AQ496" i="1"/>
  <c r="J960" i="1"/>
  <c r="L961" i="1"/>
  <c r="A981" i="7"/>
  <c r="B980" i="7"/>
  <c r="S961" i="1"/>
  <c r="Z963" i="1" s="1"/>
  <c r="K961" i="1"/>
  <c r="AU961" i="1"/>
  <c r="AC960" i="1"/>
  <c r="E960" i="1"/>
  <c r="F960" i="1" s="1"/>
  <c r="D960" i="1"/>
  <c r="G959" i="1"/>
  <c r="H959" i="1" s="1"/>
  <c r="M959" i="1"/>
  <c r="A961" i="1"/>
  <c r="AK960" i="1"/>
  <c r="AP960" i="1"/>
  <c r="AW960" i="1"/>
  <c r="AI960" i="1" s="1"/>
  <c r="AJ960" i="1" s="1"/>
  <c r="B962" i="1"/>
  <c r="C961" i="1"/>
  <c r="AA961" i="1"/>
  <c r="BC960" i="1" l="1"/>
  <c r="BD960" i="1" s="1"/>
  <c r="AE960" i="1" s="1"/>
  <c r="AX496" i="1"/>
  <c r="U496" i="1" s="1"/>
  <c r="AL496" i="1" s="1"/>
  <c r="AN496" i="1" s="1"/>
  <c r="AO496" i="1" s="1"/>
  <c r="AP496" i="1" s="1"/>
  <c r="BF962" i="1"/>
  <c r="BB961" i="1"/>
  <c r="I497" i="1"/>
  <c r="Q497" i="1" s="1"/>
  <c r="AM497" i="1"/>
  <c r="N497" i="1"/>
  <c r="AT497" i="1"/>
  <c r="AS497" i="1" s="1"/>
  <c r="P497" i="1"/>
  <c r="BE497" i="1" s="1"/>
  <c r="AG496" i="1"/>
  <c r="BA496" i="1" s="1"/>
  <c r="AH496" i="1"/>
  <c r="U412" i="1"/>
  <c r="U396" i="1"/>
  <c r="U404" i="1"/>
  <c r="J961" i="1"/>
  <c r="L962" i="1"/>
  <c r="A982" i="7"/>
  <c r="B981" i="7"/>
  <c r="S962" i="1"/>
  <c r="Z964" i="1" s="1"/>
  <c r="K962" i="1"/>
  <c r="AU962" i="1"/>
  <c r="D961" i="1"/>
  <c r="E961" i="1"/>
  <c r="F961" i="1" s="1"/>
  <c r="AC961" i="1"/>
  <c r="AA962" i="1"/>
  <c r="B963" i="1"/>
  <c r="C962" i="1"/>
  <c r="AW961" i="1"/>
  <c r="AI961" i="1" s="1"/>
  <c r="AJ961" i="1" s="1"/>
  <c r="A962" i="1"/>
  <c r="AK961" i="1"/>
  <c r="M960" i="1"/>
  <c r="G960" i="1"/>
  <c r="H960" i="1" s="1"/>
  <c r="BC961" i="1" l="1"/>
  <c r="BD961" i="1" s="1"/>
  <c r="AE961" i="1" s="1"/>
  <c r="BF963" i="1"/>
  <c r="Y497" i="1"/>
  <c r="X497" i="1" s="1"/>
  <c r="AF497" i="1" s="1"/>
  <c r="BB962" i="1"/>
  <c r="O497" i="1"/>
  <c r="AM498" i="1" s="1"/>
  <c r="V497" i="1"/>
  <c r="AQ497" i="1"/>
  <c r="AY497" i="1"/>
  <c r="AL396" i="1"/>
  <c r="AL404" i="1"/>
  <c r="AL412" i="1"/>
  <c r="J962" i="1"/>
  <c r="L963" i="1"/>
  <c r="A983" i="7"/>
  <c r="B982" i="7"/>
  <c r="S963" i="1"/>
  <c r="Z965" i="1" s="1"/>
  <c r="K963" i="1"/>
  <c r="AU963" i="1"/>
  <c r="E962" i="1"/>
  <c r="F962" i="1" s="1"/>
  <c r="D962" i="1"/>
  <c r="G961" i="1"/>
  <c r="H961" i="1" s="1"/>
  <c r="B964" i="1"/>
  <c r="C963" i="1"/>
  <c r="AA963" i="1"/>
  <c r="AK962" i="1"/>
  <c r="A963" i="1"/>
  <c r="AW962" i="1"/>
  <c r="AI962" i="1" s="1"/>
  <c r="AJ962" i="1" s="1"/>
  <c r="AC962" i="1"/>
  <c r="M961" i="1"/>
  <c r="BC962" i="1" l="1"/>
  <c r="BD962" i="1" s="1"/>
  <c r="AE962" i="1" s="1"/>
  <c r="AX497" i="1"/>
  <c r="U497" i="1" s="1"/>
  <c r="AL497" i="1" s="1"/>
  <c r="AN497" i="1" s="1"/>
  <c r="AO497" i="1" s="1"/>
  <c r="AP497" i="1" s="1"/>
  <c r="BF964" i="1"/>
  <c r="BB963" i="1"/>
  <c r="P498" i="1"/>
  <c r="BE498" i="1" s="1"/>
  <c r="AT498" i="1"/>
  <c r="AS498" i="1" s="1"/>
  <c r="I498" i="1"/>
  <c r="Q498" i="1" s="1"/>
  <c r="N498" i="1"/>
  <c r="AG497" i="1"/>
  <c r="BA497" i="1" s="1"/>
  <c r="AH497" i="1"/>
  <c r="AN412" i="1"/>
  <c r="AN396" i="1"/>
  <c r="AN404" i="1"/>
  <c r="J963" i="1"/>
  <c r="L964" i="1"/>
  <c r="A984" i="7"/>
  <c r="B983" i="7"/>
  <c r="S964" i="1"/>
  <c r="Z966" i="1" s="1"/>
  <c r="K964" i="1"/>
  <c r="AU964" i="1"/>
  <c r="M962" i="1"/>
  <c r="AA964" i="1"/>
  <c r="B965" i="1"/>
  <c r="C964" i="1"/>
  <c r="AC963" i="1"/>
  <c r="G962" i="1"/>
  <c r="H962" i="1" s="1"/>
  <c r="AW963" i="1"/>
  <c r="AI963" i="1" s="1"/>
  <c r="AJ963" i="1" s="1"/>
  <c r="AK963" i="1"/>
  <c r="A964" i="1"/>
  <c r="E963" i="1"/>
  <c r="F963" i="1" s="1"/>
  <c r="D963" i="1"/>
  <c r="BC963" i="1" l="1"/>
  <c r="BD963" i="1" s="1"/>
  <c r="AE963" i="1" s="1"/>
  <c r="BF965" i="1"/>
  <c r="BB964" i="1"/>
  <c r="AC964" i="1"/>
  <c r="V498" i="1"/>
  <c r="Y498" i="1"/>
  <c r="X498" i="1" s="1"/>
  <c r="O498" i="1"/>
  <c r="I499" i="1" s="1"/>
  <c r="Q499" i="1" s="1"/>
  <c r="AY498" i="1"/>
  <c r="AQ498" i="1"/>
  <c r="AO412" i="1"/>
  <c r="AO404" i="1"/>
  <c r="AO396" i="1"/>
  <c r="J964" i="1"/>
  <c r="L965" i="1"/>
  <c r="A985" i="7"/>
  <c r="B984" i="7"/>
  <c r="S965" i="1"/>
  <c r="Z967" i="1" s="1"/>
  <c r="K965" i="1"/>
  <c r="AU965" i="1"/>
  <c r="AW964" i="1"/>
  <c r="AI964" i="1" s="1"/>
  <c r="AJ964" i="1" s="1"/>
  <c r="AK964" i="1"/>
  <c r="A965" i="1"/>
  <c r="M963" i="1"/>
  <c r="G963" i="1"/>
  <c r="H963" i="1" s="1"/>
  <c r="D964" i="1"/>
  <c r="E964" i="1"/>
  <c r="F964" i="1" s="1"/>
  <c r="AA965" i="1"/>
  <c r="C965" i="1"/>
  <c r="B966" i="1"/>
  <c r="BC964" i="1" l="1"/>
  <c r="BD964" i="1" s="1"/>
  <c r="AE964" i="1" s="1"/>
  <c r="AX498" i="1"/>
  <c r="U498" i="1" s="1"/>
  <c r="AL498" i="1" s="1"/>
  <c r="AN498" i="1" s="1"/>
  <c r="AO498" i="1" s="1"/>
  <c r="AP498" i="1" s="1"/>
  <c r="BF966" i="1"/>
  <c r="AC965" i="1"/>
  <c r="BB965" i="1"/>
  <c r="AF498" i="1"/>
  <c r="AG498" i="1" s="1"/>
  <c r="BA498" i="1" s="1"/>
  <c r="N499" i="1"/>
  <c r="O499" i="1" s="1"/>
  <c r="AM499" i="1"/>
  <c r="P499" i="1"/>
  <c r="BE499" i="1" s="1"/>
  <c r="AT499" i="1"/>
  <c r="AS499" i="1" s="1"/>
  <c r="AP412" i="1"/>
  <c r="AX413" i="1" s="1"/>
  <c r="AP404" i="1"/>
  <c r="AX405" i="1" s="1"/>
  <c r="J965" i="1"/>
  <c r="L966" i="1"/>
  <c r="A986" i="7"/>
  <c r="B985" i="7"/>
  <c r="S966" i="1"/>
  <c r="Z968" i="1" s="1"/>
  <c r="K966" i="1"/>
  <c r="AU966" i="1"/>
  <c r="D965" i="1"/>
  <c r="E965" i="1"/>
  <c r="F965" i="1" s="1"/>
  <c r="AW965" i="1"/>
  <c r="AI965" i="1" s="1"/>
  <c r="AJ965" i="1" s="1"/>
  <c r="AK965" i="1"/>
  <c r="A966" i="1"/>
  <c r="M964" i="1"/>
  <c r="G964" i="1"/>
  <c r="H964" i="1" s="1"/>
  <c r="AA966" i="1"/>
  <c r="B967" i="1"/>
  <c r="C966" i="1"/>
  <c r="BC965" i="1" l="1"/>
  <c r="BD965" i="1" s="1"/>
  <c r="AE965" i="1" s="1"/>
  <c r="BF967" i="1"/>
  <c r="BB966" i="1"/>
  <c r="AH498" i="1"/>
  <c r="AY499" i="1"/>
  <c r="Y499" i="1"/>
  <c r="X499" i="1" s="1"/>
  <c r="V499" i="1"/>
  <c r="AQ499" i="1"/>
  <c r="AT500" i="1"/>
  <c r="AS500" i="1" s="1"/>
  <c r="I500" i="1"/>
  <c r="Q500" i="1" s="1"/>
  <c r="AM500" i="1"/>
  <c r="P500" i="1"/>
  <c r="BE500" i="1" s="1"/>
  <c r="N500" i="1"/>
  <c r="J966" i="1"/>
  <c r="L967" i="1"/>
  <c r="A987" i="7"/>
  <c r="B986" i="7"/>
  <c r="S967" i="1"/>
  <c r="Z969" i="1" s="1"/>
  <c r="K967" i="1"/>
  <c r="AU967" i="1"/>
  <c r="C967" i="1"/>
  <c r="AA967" i="1"/>
  <c r="B968" i="1"/>
  <c r="M965" i="1"/>
  <c r="G965" i="1"/>
  <c r="H965" i="1" s="1"/>
  <c r="AC966" i="1"/>
  <c r="AK966" i="1"/>
  <c r="A967" i="1"/>
  <c r="AW966" i="1"/>
  <c r="AI966" i="1" s="1"/>
  <c r="AJ966" i="1" s="1"/>
  <c r="D966" i="1"/>
  <c r="E966" i="1"/>
  <c r="F966" i="1" s="1"/>
  <c r="U421" i="1"/>
  <c r="AL421" i="1" s="1"/>
  <c r="AN421" i="1" s="1"/>
  <c r="AO421" i="1" s="1"/>
  <c r="AP421" i="1" s="1"/>
  <c r="AX422" i="1" s="1"/>
  <c r="BC966" i="1" l="1"/>
  <c r="BD966" i="1" s="1"/>
  <c r="AE966" i="1" s="1"/>
  <c r="BF968" i="1"/>
  <c r="AX499" i="1"/>
  <c r="U499" i="1" s="1"/>
  <c r="AL499" i="1" s="1"/>
  <c r="AN499" i="1" s="1"/>
  <c r="AO499" i="1" s="1"/>
  <c r="AP499" i="1" s="1"/>
  <c r="Y500" i="1"/>
  <c r="X500" i="1" s="1"/>
  <c r="BB967" i="1"/>
  <c r="AF499" i="1"/>
  <c r="O500" i="1"/>
  <c r="V500" i="1"/>
  <c r="AY500" i="1"/>
  <c r="AQ500" i="1"/>
  <c r="U413" i="1"/>
  <c r="U405" i="1"/>
  <c r="J967" i="1"/>
  <c r="L968" i="1"/>
  <c r="A988" i="7"/>
  <c r="B987" i="7"/>
  <c r="S968" i="1"/>
  <c r="Z970" i="1" s="1"/>
  <c r="K968" i="1"/>
  <c r="AU968" i="1"/>
  <c r="M966" i="1"/>
  <c r="AA968" i="1"/>
  <c r="B969" i="1"/>
  <c r="C968" i="1"/>
  <c r="AC967" i="1"/>
  <c r="G966" i="1"/>
  <c r="H966" i="1" s="1"/>
  <c r="AK967" i="1"/>
  <c r="A968" i="1"/>
  <c r="AW967" i="1"/>
  <c r="AI967" i="1" s="1"/>
  <c r="AJ967" i="1" s="1"/>
  <c r="E967" i="1"/>
  <c r="F967" i="1" s="1"/>
  <c r="D967" i="1"/>
  <c r="U422" i="1"/>
  <c r="AL422" i="1" s="1"/>
  <c r="AN422" i="1" s="1"/>
  <c r="AO422" i="1" s="1"/>
  <c r="AP422" i="1" s="1"/>
  <c r="AX423" i="1" s="1"/>
  <c r="CY421" i="1"/>
  <c r="DR421" i="1"/>
  <c r="BC967" i="1" l="1"/>
  <c r="BD967" i="1" s="1"/>
  <c r="AE967" i="1" s="1"/>
  <c r="BF969" i="1"/>
  <c r="AC968" i="1"/>
  <c r="AH499" i="1"/>
  <c r="BB968" i="1"/>
  <c r="AF500" i="1"/>
  <c r="AG500" i="1" s="1"/>
  <c r="BA500" i="1" s="1"/>
  <c r="AG499" i="1"/>
  <c r="BA499" i="1" s="1"/>
  <c r="N501" i="1"/>
  <c r="AM501" i="1"/>
  <c r="I501" i="1"/>
  <c r="Q501" i="1" s="1"/>
  <c r="AT501" i="1"/>
  <c r="AS501" i="1" s="1"/>
  <c r="P501" i="1"/>
  <c r="BE501" i="1" s="1"/>
  <c r="AL405" i="1"/>
  <c r="AL413" i="1"/>
  <c r="J968" i="1"/>
  <c r="L969" i="1"/>
  <c r="A989" i="7"/>
  <c r="B988" i="7"/>
  <c r="S969" i="1"/>
  <c r="Z971" i="1" s="1"/>
  <c r="K969" i="1"/>
  <c r="AU969" i="1"/>
  <c r="AK968" i="1"/>
  <c r="A969" i="1"/>
  <c r="AW968" i="1"/>
  <c r="AI968" i="1" s="1"/>
  <c r="AJ968" i="1" s="1"/>
  <c r="M967" i="1"/>
  <c r="D968" i="1"/>
  <c r="E968" i="1"/>
  <c r="F968" i="1" s="1"/>
  <c r="G967" i="1"/>
  <c r="H967" i="1" s="1"/>
  <c r="B970" i="1"/>
  <c r="AA969" i="1"/>
  <c r="C969" i="1"/>
  <c r="U423" i="1"/>
  <c r="AL423" i="1" s="1"/>
  <c r="AN423" i="1" s="1"/>
  <c r="AO423" i="1" s="1"/>
  <c r="AP423" i="1" s="1"/>
  <c r="AX424" i="1" s="1"/>
  <c r="CZ421" i="1"/>
  <c r="BC968" i="1" l="1"/>
  <c r="BD968" i="1" s="1"/>
  <c r="AE968" i="1" s="1"/>
  <c r="BF970" i="1"/>
  <c r="AX500" i="1"/>
  <c r="U500" i="1" s="1"/>
  <c r="AL500" i="1" s="1"/>
  <c r="AN500" i="1" s="1"/>
  <c r="AO500" i="1" s="1"/>
  <c r="AP500" i="1" s="1"/>
  <c r="Y501" i="1"/>
  <c r="X501" i="1" s="1"/>
  <c r="AH500" i="1"/>
  <c r="BB969" i="1"/>
  <c r="O501" i="1"/>
  <c r="V501" i="1"/>
  <c r="AQ501" i="1"/>
  <c r="AY501" i="1"/>
  <c r="AN405" i="1"/>
  <c r="AN413" i="1"/>
  <c r="J969" i="1"/>
  <c r="L970" i="1"/>
  <c r="A990" i="7"/>
  <c r="B989" i="7"/>
  <c r="S970" i="1"/>
  <c r="Z972" i="1" s="1"/>
  <c r="K970" i="1"/>
  <c r="AU970" i="1"/>
  <c r="M968" i="1"/>
  <c r="AK969" i="1"/>
  <c r="A970" i="1"/>
  <c r="AW969" i="1"/>
  <c r="AI969" i="1" s="1"/>
  <c r="AJ969" i="1" s="1"/>
  <c r="E969" i="1"/>
  <c r="F969" i="1" s="1"/>
  <c r="D969" i="1"/>
  <c r="G968" i="1"/>
  <c r="H968" i="1" s="1"/>
  <c r="AC969" i="1"/>
  <c r="C970" i="1"/>
  <c r="AA970" i="1"/>
  <c r="B971" i="1"/>
  <c r="U424" i="1"/>
  <c r="AL424" i="1" s="1"/>
  <c r="AN424" i="1" s="1"/>
  <c r="AO424" i="1" s="1"/>
  <c r="AP424" i="1" s="1"/>
  <c r="AX425" i="1" s="1"/>
  <c r="BC969" i="1" l="1"/>
  <c r="BD969" i="1" s="1"/>
  <c r="AE969" i="1" s="1"/>
  <c r="AX501" i="1"/>
  <c r="U501" i="1" s="1"/>
  <c r="AL501" i="1" s="1"/>
  <c r="AN501" i="1" s="1"/>
  <c r="AO501" i="1" s="1"/>
  <c r="AP501" i="1" s="1"/>
  <c r="BF971" i="1"/>
  <c r="BB970" i="1"/>
  <c r="AF501" i="1"/>
  <c r="AG501" i="1" s="1"/>
  <c r="BA501" i="1" s="1"/>
  <c r="P502" i="1"/>
  <c r="BE502" i="1" s="1"/>
  <c r="I502" i="1"/>
  <c r="Q502" i="1" s="1"/>
  <c r="AT502" i="1"/>
  <c r="AS502" i="1" s="1"/>
  <c r="N502" i="1"/>
  <c r="AM502" i="1"/>
  <c r="AO405" i="1"/>
  <c r="AO413" i="1"/>
  <c r="J970" i="1"/>
  <c r="L971" i="1"/>
  <c r="A991" i="7"/>
  <c r="B990" i="7"/>
  <c r="S971" i="1"/>
  <c r="Z973" i="1" s="1"/>
  <c r="K971" i="1"/>
  <c r="AU971" i="1"/>
  <c r="C971" i="1"/>
  <c r="AA971" i="1"/>
  <c r="B972" i="1"/>
  <c r="M969" i="1"/>
  <c r="AC970" i="1"/>
  <c r="E970" i="1"/>
  <c r="F970" i="1" s="1"/>
  <c r="D970" i="1"/>
  <c r="G969" i="1"/>
  <c r="H969" i="1" s="1"/>
  <c r="AK970" i="1"/>
  <c r="AW970" i="1"/>
  <c r="AI970" i="1" s="1"/>
  <c r="AJ970" i="1" s="1"/>
  <c r="A971" i="1"/>
  <c r="U425" i="1"/>
  <c r="AL425" i="1" s="1"/>
  <c r="AN425" i="1" s="1"/>
  <c r="AO425" i="1" s="1"/>
  <c r="AP425" i="1" s="1"/>
  <c r="AX426" i="1" s="1"/>
  <c r="BC970" i="1" l="1"/>
  <c r="BD970" i="1" s="1"/>
  <c r="AE970" i="1" s="1"/>
  <c r="BF972" i="1"/>
  <c r="Y502" i="1"/>
  <c r="X502" i="1" s="1"/>
  <c r="AF502" i="1" s="1"/>
  <c r="BB971" i="1"/>
  <c r="AH501" i="1"/>
  <c r="AQ502" i="1"/>
  <c r="O502" i="1"/>
  <c r="V502" i="1"/>
  <c r="AY502" i="1"/>
  <c r="AP405" i="1"/>
  <c r="AX406" i="1" s="1"/>
  <c r="AP413" i="1"/>
  <c r="AX414" i="1" s="1"/>
  <c r="J971" i="1"/>
  <c r="L972" i="1"/>
  <c r="A992" i="7"/>
  <c r="B991" i="7"/>
  <c r="S972" i="1"/>
  <c r="Z974" i="1" s="1"/>
  <c r="K972" i="1"/>
  <c r="AU972" i="1"/>
  <c r="M970" i="1"/>
  <c r="A972" i="1"/>
  <c r="AW971" i="1"/>
  <c r="AI971" i="1" s="1"/>
  <c r="AJ971" i="1" s="1"/>
  <c r="AK971" i="1"/>
  <c r="G970" i="1"/>
  <c r="H970" i="1" s="1"/>
  <c r="AA972" i="1"/>
  <c r="B973" i="1"/>
  <c r="C972" i="1"/>
  <c r="D971" i="1"/>
  <c r="E971" i="1"/>
  <c r="F971" i="1" s="1"/>
  <c r="AC971" i="1"/>
  <c r="U426" i="1"/>
  <c r="AL426" i="1" s="1"/>
  <c r="AN426" i="1" s="1"/>
  <c r="AO426" i="1" s="1"/>
  <c r="AP426" i="1" s="1"/>
  <c r="AX427" i="1" s="1"/>
  <c r="BC971" i="1" l="1"/>
  <c r="BD971" i="1" s="1"/>
  <c r="AE971" i="1" s="1"/>
  <c r="BF973" i="1"/>
  <c r="AX502" i="1"/>
  <c r="U502" i="1" s="1"/>
  <c r="AL502" i="1" s="1"/>
  <c r="AN502" i="1" s="1"/>
  <c r="AO502" i="1" s="1"/>
  <c r="AP502" i="1" s="1"/>
  <c r="BB972" i="1"/>
  <c r="AG502" i="1"/>
  <c r="BA502" i="1" s="1"/>
  <c r="AH502" i="1"/>
  <c r="P503" i="1"/>
  <c r="BE503" i="1" s="1"/>
  <c r="AM503" i="1"/>
  <c r="AT503" i="1"/>
  <c r="AS503" i="1" s="1"/>
  <c r="N503" i="1"/>
  <c r="I503" i="1"/>
  <c r="Q503" i="1" s="1"/>
  <c r="J972" i="1"/>
  <c r="L973" i="1"/>
  <c r="A993" i="7"/>
  <c r="B992" i="7"/>
  <c r="S973" i="1"/>
  <c r="Z975" i="1" s="1"/>
  <c r="K973" i="1"/>
  <c r="AU973" i="1"/>
  <c r="AW972" i="1"/>
  <c r="AI972" i="1" s="1"/>
  <c r="AJ972" i="1" s="1"/>
  <c r="AK972" i="1"/>
  <c r="AP972" i="1"/>
  <c r="A973" i="1"/>
  <c r="D972" i="1"/>
  <c r="E972" i="1"/>
  <c r="F972" i="1" s="1"/>
  <c r="AC972" i="1"/>
  <c r="AA973" i="1"/>
  <c r="B974" i="1"/>
  <c r="C973" i="1"/>
  <c r="G971" i="1"/>
  <c r="H971" i="1" s="1"/>
  <c r="M971" i="1"/>
  <c r="U427" i="1"/>
  <c r="AL427" i="1" s="1"/>
  <c r="AN427" i="1" s="1"/>
  <c r="AO427" i="1" s="1"/>
  <c r="AP427" i="1" s="1"/>
  <c r="AX428" i="1" s="1"/>
  <c r="BC972" i="1" l="1"/>
  <c r="BD972" i="1" s="1"/>
  <c r="AE972" i="1" s="1"/>
  <c r="BF974" i="1"/>
  <c r="Y503" i="1"/>
  <c r="X503" i="1" s="1"/>
  <c r="AF503" i="1" s="1"/>
  <c r="BB973" i="1"/>
  <c r="O503" i="1"/>
  <c r="P504" i="1" s="1"/>
  <c r="BE504" i="1" s="1"/>
  <c r="V503" i="1"/>
  <c r="AQ503" i="1"/>
  <c r="AY503" i="1"/>
  <c r="U406" i="1"/>
  <c r="U414" i="1"/>
  <c r="J973" i="1"/>
  <c r="L974" i="1"/>
  <c r="A994" i="7"/>
  <c r="B993" i="7"/>
  <c r="S974" i="1"/>
  <c r="Z976" i="1" s="1"/>
  <c r="K974" i="1"/>
  <c r="AU974" i="1"/>
  <c r="M972" i="1"/>
  <c r="C974" i="1"/>
  <c r="AA974" i="1"/>
  <c r="B975" i="1"/>
  <c r="AC973" i="1"/>
  <c r="G972" i="1"/>
  <c r="H972" i="1" s="1"/>
  <c r="AK973" i="1"/>
  <c r="A974" i="1"/>
  <c r="AW973" i="1"/>
  <c r="AI973" i="1" s="1"/>
  <c r="AJ973" i="1" s="1"/>
  <c r="E973" i="1"/>
  <c r="F973" i="1" s="1"/>
  <c r="D973" i="1"/>
  <c r="U428" i="1"/>
  <c r="AL428" i="1" s="1"/>
  <c r="AN428" i="1" s="1"/>
  <c r="AO428" i="1" s="1"/>
  <c r="AP428" i="1" s="1"/>
  <c r="AX429" i="1" s="1"/>
  <c r="BC973" i="1" l="1"/>
  <c r="BD973" i="1" s="1"/>
  <c r="AE973" i="1" s="1"/>
  <c r="AX503" i="1"/>
  <c r="U503" i="1" s="1"/>
  <c r="AL503" i="1" s="1"/>
  <c r="AN503" i="1" s="1"/>
  <c r="AO503" i="1" s="1"/>
  <c r="AP503" i="1" s="1"/>
  <c r="BF975" i="1"/>
  <c r="Y504" i="1"/>
  <c r="X504" i="1" s="1"/>
  <c r="AF504" i="1" s="1"/>
  <c r="BB974" i="1"/>
  <c r="AT504" i="1"/>
  <c r="AS504" i="1" s="1"/>
  <c r="AQ504" i="1" s="1"/>
  <c r="N504" i="1"/>
  <c r="AM504" i="1"/>
  <c r="I504" i="1"/>
  <c r="Q504" i="1" s="1"/>
  <c r="AH503" i="1"/>
  <c r="AG503" i="1"/>
  <c r="BA503" i="1" s="1"/>
  <c r="V504" i="1"/>
  <c r="AY504" i="1"/>
  <c r="AL414" i="1"/>
  <c r="AL406" i="1"/>
  <c r="J974" i="1"/>
  <c r="L975" i="1"/>
  <c r="A995" i="7"/>
  <c r="B994" i="7"/>
  <c r="S975" i="1"/>
  <c r="Z977" i="1" s="1"/>
  <c r="K975" i="1"/>
  <c r="AU975" i="1"/>
  <c r="AC974" i="1"/>
  <c r="D974" i="1"/>
  <c r="E974" i="1"/>
  <c r="F974" i="1" s="1"/>
  <c r="G973" i="1"/>
  <c r="H973" i="1" s="1"/>
  <c r="AW974" i="1"/>
  <c r="AI974" i="1" s="1"/>
  <c r="AJ974" i="1" s="1"/>
  <c r="A975" i="1"/>
  <c r="AK974" i="1"/>
  <c r="M973" i="1"/>
  <c r="AA975" i="1"/>
  <c r="B976" i="1"/>
  <c r="C975" i="1"/>
  <c r="U429" i="1"/>
  <c r="AL429" i="1" s="1"/>
  <c r="AN429" i="1" s="1"/>
  <c r="AO429" i="1" s="1"/>
  <c r="AP429" i="1" s="1"/>
  <c r="AX430" i="1" s="1"/>
  <c r="BC974" i="1" l="1"/>
  <c r="BD974" i="1" s="1"/>
  <c r="AE974" i="1" s="1"/>
  <c r="BF976" i="1"/>
  <c r="AX504" i="1"/>
  <c r="U504" i="1" s="1"/>
  <c r="AL504" i="1" s="1"/>
  <c r="AN504" i="1" s="1"/>
  <c r="AO504" i="1" s="1"/>
  <c r="BB975" i="1"/>
  <c r="O504" i="1"/>
  <c r="N505" i="1" s="1"/>
  <c r="AG504" i="1"/>
  <c r="BA504" i="1" s="1"/>
  <c r="AN414" i="1"/>
  <c r="AN406" i="1"/>
  <c r="J975" i="1"/>
  <c r="L976" i="1"/>
  <c r="A996" i="7"/>
  <c r="B995" i="7"/>
  <c r="S976" i="1"/>
  <c r="Z978" i="1" s="1"/>
  <c r="K976" i="1"/>
  <c r="AU976" i="1"/>
  <c r="G974" i="1"/>
  <c r="H974" i="1" s="1"/>
  <c r="AC975" i="1"/>
  <c r="D975" i="1"/>
  <c r="E975" i="1"/>
  <c r="F975" i="1" s="1"/>
  <c r="M974" i="1"/>
  <c r="A976" i="1"/>
  <c r="AK975" i="1"/>
  <c r="AW975" i="1"/>
  <c r="AI975" i="1" s="1"/>
  <c r="AJ975" i="1" s="1"/>
  <c r="AA976" i="1"/>
  <c r="C976" i="1"/>
  <c r="B977" i="1"/>
  <c r="U430" i="1"/>
  <c r="AL430" i="1" s="1"/>
  <c r="AN430" i="1" s="1"/>
  <c r="AO430" i="1" s="1"/>
  <c r="AP430" i="1" s="1"/>
  <c r="AX431" i="1" s="1"/>
  <c r="BC975" i="1" l="1"/>
  <c r="BD975" i="1" s="1"/>
  <c r="AE975" i="1" s="1"/>
  <c r="BF977" i="1"/>
  <c r="BB976" i="1"/>
  <c r="P505" i="1"/>
  <c r="BE505" i="1" s="1"/>
  <c r="I505" i="1"/>
  <c r="Q505" i="1" s="1"/>
  <c r="AM505" i="1"/>
  <c r="AH504" i="1"/>
  <c r="AT505" i="1"/>
  <c r="AS505" i="1" s="1"/>
  <c r="AO406" i="1"/>
  <c r="AO414" i="1"/>
  <c r="J976" i="1"/>
  <c r="L977" i="1"/>
  <c r="A997" i="7"/>
  <c r="B996" i="7"/>
  <c r="S977" i="1"/>
  <c r="Z979" i="1" s="1"/>
  <c r="K977" i="1"/>
  <c r="AU977" i="1"/>
  <c r="AC976" i="1"/>
  <c r="AW976" i="1"/>
  <c r="AI976" i="1" s="1"/>
  <c r="AJ976" i="1" s="1"/>
  <c r="A977" i="1"/>
  <c r="AK976" i="1"/>
  <c r="AA977" i="1"/>
  <c r="C977" i="1"/>
  <c r="B978" i="1"/>
  <c r="M975" i="1"/>
  <c r="E976" i="1"/>
  <c r="F976" i="1" s="1"/>
  <c r="D976" i="1"/>
  <c r="G975" i="1"/>
  <c r="H975" i="1" s="1"/>
  <c r="U431" i="1"/>
  <c r="AL431" i="1" s="1"/>
  <c r="AN431" i="1" s="1"/>
  <c r="AO431" i="1" s="1"/>
  <c r="AP431" i="1" s="1"/>
  <c r="AX432" i="1" s="1"/>
  <c r="BC976" i="1" l="1"/>
  <c r="BD976" i="1" s="1"/>
  <c r="AE976" i="1" s="1"/>
  <c r="BF978" i="1"/>
  <c r="BB977" i="1"/>
  <c r="AQ505" i="1"/>
  <c r="O505" i="1"/>
  <c r="P506" i="1" s="1"/>
  <c r="BE506" i="1" s="1"/>
  <c r="AY505" i="1"/>
  <c r="Y505" i="1"/>
  <c r="X505" i="1" s="1"/>
  <c r="V505" i="1"/>
  <c r="AP414" i="1"/>
  <c r="AX415" i="1" s="1"/>
  <c r="AP406" i="1"/>
  <c r="AX407" i="1" s="1"/>
  <c r="J977" i="1"/>
  <c r="L978" i="1"/>
  <c r="A998" i="7"/>
  <c r="B997" i="7"/>
  <c r="S978" i="1"/>
  <c r="Z980" i="1" s="1"/>
  <c r="K978" i="1"/>
  <c r="AU978" i="1"/>
  <c r="G976" i="1"/>
  <c r="H976" i="1" s="1"/>
  <c r="M976" i="1"/>
  <c r="E977" i="1"/>
  <c r="F977" i="1" s="1"/>
  <c r="D977" i="1"/>
  <c r="AK977" i="1"/>
  <c r="A978" i="1"/>
  <c r="AW977" i="1"/>
  <c r="AI977" i="1" s="1"/>
  <c r="AJ977" i="1" s="1"/>
  <c r="B979" i="1"/>
  <c r="AA978" i="1"/>
  <c r="C978" i="1"/>
  <c r="AC977" i="1"/>
  <c r="U432" i="1"/>
  <c r="AL432" i="1" s="1"/>
  <c r="AN432" i="1" s="1"/>
  <c r="AO432" i="1" s="1"/>
  <c r="BC977" i="1" l="1"/>
  <c r="BD977" i="1" s="1"/>
  <c r="AE977" i="1" s="1"/>
  <c r="BF979" i="1"/>
  <c r="AX505" i="1"/>
  <c r="U505" i="1" s="1"/>
  <c r="AL505" i="1" s="1"/>
  <c r="AN505" i="1" s="1"/>
  <c r="AO505" i="1" s="1"/>
  <c r="AP505" i="1" s="1"/>
  <c r="V506" i="1"/>
  <c r="BB978" i="1"/>
  <c r="AF505" i="1"/>
  <c r="AY506" i="1"/>
  <c r="N506" i="1"/>
  <c r="I506" i="1"/>
  <c r="Q506" i="1" s="1"/>
  <c r="AT506" i="1"/>
  <c r="AS506" i="1" s="1"/>
  <c r="AQ506" i="1" s="1"/>
  <c r="AM506" i="1"/>
  <c r="Y506" i="1"/>
  <c r="X506" i="1" s="1"/>
  <c r="AF506" i="1" s="1"/>
  <c r="J978" i="1"/>
  <c r="L979" i="1"/>
  <c r="A999" i="7"/>
  <c r="B998" i="7"/>
  <c r="S979" i="1"/>
  <c r="Z981" i="1" s="1"/>
  <c r="K979" i="1"/>
  <c r="AU979" i="1"/>
  <c r="M977" i="1"/>
  <c r="AC978" i="1"/>
  <c r="D978" i="1"/>
  <c r="E978" i="1"/>
  <c r="F978" i="1" s="1"/>
  <c r="AK978" i="1"/>
  <c r="AW978" i="1"/>
  <c r="AI978" i="1" s="1"/>
  <c r="AJ978" i="1" s="1"/>
  <c r="A979" i="1"/>
  <c r="G977" i="1"/>
  <c r="H977" i="1" s="1"/>
  <c r="B980" i="1"/>
  <c r="AA979" i="1"/>
  <c r="C979" i="1"/>
  <c r="BC978" i="1" l="1"/>
  <c r="BD978" i="1" s="1"/>
  <c r="AE978" i="1" s="1"/>
  <c r="BF980" i="1"/>
  <c r="AH505" i="1"/>
  <c r="AG505" i="1"/>
  <c r="BA505" i="1" s="1"/>
  <c r="BB979" i="1"/>
  <c r="O506" i="1"/>
  <c r="P507" i="1" s="1"/>
  <c r="BE507" i="1" s="1"/>
  <c r="AG506" i="1"/>
  <c r="BA506" i="1" s="1"/>
  <c r="U415" i="1"/>
  <c r="U407" i="1"/>
  <c r="J979" i="1"/>
  <c r="L980" i="1"/>
  <c r="A1000" i="7"/>
  <c r="B999" i="7"/>
  <c r="S980" i="1"/>
  <c r="Z982" i="1" s="1"/>
  <c r="K980" i="1"/>
  <c r="AU980" i="1"/>
  <c r="E979" i="1"/>
  <c r="F979" i="1" s="1"/>
  <c r="D979" i="1"/>
  <c r="M978" i="1"/>
  <c r="AC979" i="1"/>
  <c r="AW979" i="1"/>
  <c r="AI979" i="1" s="1"/>
  <c r="AJ979" i="1" s="1"/>
  <c r="AK979" i="1"/>
  <c r="A980" i="1"/>
  <c r="G978" i="1"/>
  <c r="H978" i="1" s="1"/>
  <c r="C980" i="1"/>
  <c r="B981" i="1"/>
  <c r="AA980" i="1"/>
  <c r="BC979" i="1" l="1"/>
  <c r="BD979" i="1" s="1"/>
  <c r="AE979" i="1" s="1"/>
  <c r="BF981" i="1"/>
  <c r="AX506" i="1"/>
  <c r="U506" i="1" s="1"/>
  <c r="AL506" i="1" s="1"/>
  <c r="AN506" i="1" s="1"/>
  <c r="AO506" i="1" s="1"/>
  <c r="AP506" i="1" s="1"/>
  <c r="Y507" i="1"/>
  <c r="X507" i="1" s="1"/>
  <c r="AF507" i="1" s="1"/>
  <c r="AC980" i="1"/>
  <c r="BB980" i="1"/>
  <c r="AT507" i="1"/>
  <c r="AS507" i="1" s="1"/>
  <c r="AQ507" i="1" s="1"/>
  <c r="AM507" i="1"/>
  <c r="N507" i="1"/>
  <c r="AH506" i="1"/>
  <c r="I507" i="1"/>
  <c r="Q507" i="1" s="1"/>
  <c r="AY507" i="1"/>
  <c r="V507" i="1"/>
  <c r="AL407" i="1"/>
  <c r="AL415" i="1"/>
  <c r="J980" i="1"/>
  <c r="L981" i="1"/>
  <c r="A1001" i="7"/>
  <c r="B1000" i="7"/>
  <c r="S981" i="1"/>
  <c r="Z983" i="1" s="1"/>
  <c r="K981" i="1"/>
  <c r="AU981" i="1"/>
  <c r="B982" i="1"/>
  <c r="AA981" i="1"/>
  <c r="C981" i="1"/>
  <c r="A981" i="1"/>
  <c r="AK980" i="1"/>
  <c r="AW980" i="1"/>
  <c r="AI980" i="1" s="1"/>
  <c r="AJ980" i="1" s="1"/>
  <c r="M979" i="1"/>
  <c r="G979" i="1"/>
  <c r="H979" i="1" s="1"/>
  <c r="E980" i="1"/>
  <c r="F980" i="1" s="1"/>
  <c r="D980" i="1"/>
  <c r="BC980" i="1" l="1"/>
  <c r="BD980" i="1" s="1"/>
  <c r="AE980" i="1" s="1"/>
  <c r="AX507" i="1"/>
  <c r="U507" i="1" s="1"/>
  <c r="AL507" i="1" s="1"/>
  <c r="AN507" i="1" s="1"/>
  <c r="AO507" i="1" s="1"/>
  <c r="AP507" i="1" s="1"/>
  <c r="BF982" i="1"/>
  <c r="AG507" i="1"/>
  <c r="BA507" i="1" s="1"/>
  <c r="BB981" i="1"/>
  <c r="O507" i="1"/>
  <c r="P508" i="1" s="1"/>
  <c r="BE508" i="1" s="1"/>
  <c r="AN415" i="1"/>
  <c r="AN407" i="1"/>
  <c r="J981" i="1"/>
  <c r="L982" i="1"/>
  <c r="A1002" i="7"/>
  <c r="B1001" i="7"/>
  <c r="S982" i="1"/>
  <c r="Z984" i="1" s="1"/>
  <c r="K982" i="1"/>
  <c r="AU982" i="1"/>
  <c r="A982" i="1"/>
  <c r="AW981" i="1"/>
  <c r="AI981" i="1" s="1"/>
  <c r="AJ981" i="1" s="1"/>
  <c r="AK981" i="1"/>
  <c r="E981" i="1"/>
  <c r="F981" i="1" s="1"/>
  <c r="D981" i="1"/>
  <c r="G980" i="1"/>
  <c r="H980" i="1" s="1"/>
  <c r="AC981" i="1"/>
  <c r="M980" i="1"/>
  <c r="B983" i="1"/>
  <c r="AA982" i="1"/>
  <c r="C982" i="1"/>
  <c r="BC981" i="1" l="1"/>
  <c r="BD981" i="1" s="1"/>
  <c r="AE981" i="1" s="1"/>
  <c r="BF983" i="1"/>
  <c r="Y508" i="1"/>
  <c r="X508" i="1" s="1"/>
  <c r="AF508" i="1" s="1"/>
  <c r="BB982" i="1"/>
  <c r="AY508" i="1"/>
  <c r="N508" i="1"/>
  <c r="AH507" i="1"/>
  <c r="AM508" i="1"/>
  <c r="AT508" i="1"/>
  <c r="AS508" i="1" s="1"/>
  <c r="AQ508" i="1" s="1"/>
  <c r="I508" i="1"/>
  <c r="Q508" i="1" s="1"/>
  <c r="V508" i="1"/>
  <c r="AO415" i="1"/>
  <c r="AO407" i="1"/>
  <c r="J982" i="1"/>
  <c r="L983" i="1"/>
  <c r="A1003" i="7"/>
  <c r="B1002" i="7"/>
  <c r="S983" i="1"/>
  <c r="Z985" i="1" s="1"/>
  <c r="K983" i="1"/>
  <c r="AU983" i="1"/>
  <c r="G981" i="1"/>
  <c r="H981" i="1" s="1"/>
  <c r="AA983" i="1"/>
  <c r="B984" i="1"/>
  <c r="C983" i="1"/>
  <c r="M981" i="1"/>
  <c r="E982" i="1"/>
  <c r="F982" i="1" s="1"/>
  <c r="D982" i="1"/>
  <c r="AC982" i="1"/>
  <c r="AW982" i="1"/>
  <c r="AI982" i="1" s="1"/>
  <c r="AJ982" i="1" s="1"/>
  <c r="A983" i="1"/>
  <c r="AK982" i="1"/>
  <c r="BC982" i="1" l="1"/>
  <c r="BD982" i="1" s="1"/>
  <c r="AE982" i="1" s="1"/>
  <c r="BF984" i="1"/>
  <c r="AX508" i="1"/>
  <c r="U508" i="1" s="1"/>
  <c r="AL508" i="1" s="1"/>
  <c r="AN508" i="1" s="1"/>
  <c r="AO508" i="1" s="1"/>
  <c r="AP508" i="1" s="1"/>
  <c r="AG508" i="1"/>
  <c r="BA508" i="1" s="1"/>
  <c r="BB983" i="1"/>
  <c r="O508" i="1"/>
  <c r="AH508" i="1" s="1"/>
  <c r="AP407" i="1"/>
  <c r="AX408" i="1" s="1"/>
  <c r="AP415" i="1"/>
  <c r="AX416" i="1" s="1"/>
  <c r="J983" i="1"/>
  <c r="L984" i="1"/>
  <c r="A1004" i="7"/>
  <c r="B1003" i="7"/>
  <c r="S984" i="1"/>
  <c r="Z986" i="1" s="1"/>
  <c r="K984" i="1"/>
  <c r="AU984" i="1"/>
  <c r="G982" i="1"/>
  <c r="H982" i="1" s="1"/>
  <c r="AC983" i="1"/>
  <c r="D983" i="1"/>
  <c r="E983" i="1"/>
  <c r="F983" i="1" s="1"/>
  <c r="AW983" i="1"/>
  <c r="AI983" i="1" s="1"/>
  <c r="AJ983" i="1" s="1"/>
  <c r="A984" i="1"/>
  <c r="AK983" i="1"/>
  <c r="M982" i="1"/>
  <c r="B985" i="1"/>
  <c r="AA984" i="1"/>
  <c r="C984" i="1"/>
  <c r="BC983" i="1" l="1"/>
  <c r="BD983" i="1" s="1"/>
  <c r="AE983" i="1" s="1"/>
  <c r="BF985" i="1"/>
  <c r="BB984" i="1"/>
  <c r="AM509" i="1"/>
  <c r="AT509" i="1"/>
  <c r="AS509" i="1" s="1"/>
  <c r="P509" i="1"/>
  <c r="BE509" i="1" s="1"/>
  <c r="N509" i="1"/>
  <c r="I509" i="1"/>
  <c r="Q509" i="1" s="1"/>
  <c r="J984" i="1"/>
  <c r="L985" i="1"/>
  <c r="A1005" i="7"/>
  <c r="B1004" i="7"/>
  <c r="S985" i="1"/>
  <c r="Z987" i="1" s="1"/>
  <c r="K985" i="1"/>
  <c r="AU985" i="1"/>
  <c r="M983" i="1"/>
  <c r="B986" i="1"/>
  <c r="C985" i="1"/>
  <c r="AA985" i="1"/>
  <c r="E984" i="1"/>
  <c r="F984" i="1" s="1"/>
  <c r="D984" i="1"/>
  <c r="G983" i="1"/>
  <c r="H983" i="1" s="1"/>
  <c r="AC984" i="1"/>
  <c r="AW984" i="1"/>
  <c r="AI984" i="1" s="1"/>
  <c r="AJ984" i="1" s="1"/>
  <c r="AP984" i="1"/>
  <c r="A985" i="1"/>
  <c r="AK984" i="1"/>
  <c r="BC984" i="1" l="1"/>
  <c r="BD984" i="1" s="1"/>
  <c r="AE984" i="1" s="1"/>
  <c r="BF986" i="1"/>
  <c r="Y509" i="1"/>
  <c r="X509" i="1" s="1"/>
  <c r="AF509" i="1" s="1"/>
  <c r="BB985" i="1"/>
  <c r="V509" i="1"/>
  <c r="O509" i="1"/>
  <c r="I510" i="1" s="1"/>
  <c r="Q510" i="1" s="1"/>
  <c r="AQ509" i="1"/>
  <c r="AY509" i="1"/>
  <c r="U408" i="1"/>
  <c r="U416" i="1"/>
  <c r="J985" i="1"/>
  <c r="L986" i="1"/>
  <c r="A1006" i="7"/>
  <c r="B1005" i="7"/>
  <c r="S986" i="1"/>
  <c r="Z988" i="1" s="1"/>
  <c r="K986" i="1"/>
  <c r="AU986" i="1"/>
  <c r="AC985" i="1"/>
  <c r="M984" i="1"/>
  <c r="AK985" i="1"/>
  <c r="A986" i="1"/>
  <c r="AW985" i="1"/>
  <c r="AI985" i="1" s="1"/>
  <c r="AJ985" i="1" s="1"/>
  <c r="G984" i="1"/>
  <c r="H984" i="1" s="1"/>
  <c r="D985" i="1"/>
  <c r="E985" i="1"/>
  <c r="F985" i="1" s="1"/>
  <c r="B987" i="1"/>
  <c r="AA986" i="1"/>
  <c r="C986" i="1"/>
  <c r="BC985" i="1" l="1"/>
  <c r="BD985" i="1" s="1"/>
  <c r="AE985" i="1" s="1"/>
  <c r="AX509" i="1"/>
  <c r="U509" i="1" s="1"/>
  <c r="AL509" i="1" s="1"/>
  <c r="AN509" i="1" s="1"/>
  <c r="AO509" i="1" s="1"/>
  <c r="AP509" i="1" s="1"/>
  <c r="BF987" i="1"/>
  <c r="AG509" i="1"/>
  <c r="BA509" i="1" s="1"/>
  <c r="BB986" i="1"/>
  <c r="P510" i="1"/>
  <c r="BE510" i="1" s="1"/>
  <c r="AH509" i="1"/>
  <c r="AM510" i="1"/>
  <c r="AT510" i="1"/>
  <c r="AS510" i="1" s="1"/>
  <c r="N510" i="1"/>
  <c r="O510" i="1" s="1"/>
  <c r="AL416" i="1"/>
  <c r="AL408" i="1"/>
  <c r="J986" i="1"/>
  <c r="L987" i="1"/>
  <c r="A1007" i="7"/>
  <c r="B1006" i="7"/>
  <c r="S987" i="1"/>
  <c r="Z989" i="1" s="1"/>
  <c r="K987" i="1"/>
  <c r="AU987" i="1"/>
  <c r="D986" i="1"/>
  <c r="E986" i="1"/>
  <c r="F986" i="1" s="1"/>
  <c r="AC986" i="1"/>
  <c r="M985" i="1"/>
  <c r="C987" i="1"/>
  <c r="B988" i="1"/>
  <c r="AA987" i="1"/>
  <c r="A987" i="1"/>
  <c r="AK986" i="1"/>
  <c r="AW986" i="1"/>
  <c r="AI986" i="1" s="1"/>
  <c r="AJ986" i="1" s="1"/>
  <c r="G985" i="1"/>
  <c r="H985" i="1" s="1"/>
  <c r="BC986" i="1" l="1"/>
  <c r="BD986" i="1" s="1"/>
  <c r="AE986" i="1" s="1"/>
  <c r="AQ510" i="1"/>
  <c r="BF988" i="1"/>
  <c r="Y510" i="1"/>
  <c r="X510" i="1" s="1"/>
  <c r="AF510" i="1" s="1"/>
  <c r="BB987" i="1"/>
  <c r="AY510" i="1"/>
  <c r="V510" i="1"/>
  <c r="P511" i="1"/>
  <c r="BE511" i="1" s="1"/>
  <c r="N511" i="1"/>
  <c r="AM511" i="1"/>
  <c r="I511" i="1"/>
  <c r="Q511" i="1" s="1"/>
  <c r="AT511" i="1"/>
  <c r="AS511" i="1" s="1"/>
  <c r="AN416" i="1"/>
  <c r="AN408" i="1"/>
  <c r="J987" i="1"/>
  <c r="L988" i="1"/>
  <c r="A1008" i="7"/>
  <c r="B1007" i="7"/>
  <c r="S988" i="1"/>
  <c r="Z990" i="1" s="1"/>
  <c r="K988" i="1"/>
  <c r="AU988" i="1"/>
  <c r="G986" i="1"/>
  <c r="H986" i="1" s="1"/>
  <c r="AK987" i="1"/>
  <c r="AW987" i="1"/>
  <c r="AI987" i="1" s="1"/>
  <c r="AJ987" i="1" s="1"/>
  <c r="A988" i="1"/>
  <c r="M986" i="1"/>
  <c r="AC987" i="1"/>
  <c r="B989" i="1"/>
  <c r="C988" i="1"/>
  <c r="AA988" i="1"/>
  <c r="E987" i="1"/>
  <c r="F987" i="1" s="1"/>
  <c r="D987" i="1"/>
  <c r="BC987" i="1" l="1"/>
  <c r="BD987" i="1" s="1"/>
  <c r="AE987" i="1" s="1"/>
  <c r="AX510" i="1"/>
  <c r="U510" i="1" s="1"/>
  <c r="AL510" i="1" s="1"/>
  <c r="AN510" i="1" s="1"/>
  <c r="AO510" i="1" s="1"/>
  <c r="AP510" i="1" s="1"/>
  <c r="BF989" i="1"/>
  <c r="AH510" i="1"/>
  <c r="AG510" i="1"/>
  <c r="BA510" i="1" s="1"/>
  <c r="Y511" i="1"/>
  <c r="X511" i="1" s="1"/>
  <c r="AF511" i="1" s="1"/>
  <c r="BB988" i="1"/>
  <c r="O511" i="1"/>
  <c r="V511" i="1"/>
  <c r="AQ511" i="1"/>
  <c r="AY511" i="1"/>
  <c r="AO416" i="1"/>
  <c r="AO408" i="1"/>
  <c r="J988" i="1"/>
  <c r="L989" i="1"/>
  <c r="A1009" i="7"/>
  <c r="B1008" i="7"/>
  <c r="S989" i="1"/>
  <c r="Z991" i="1" s="1"/>
  <c r="K989" i="1"/>
  <c r="AU989" i="1"/>
  <c r="G987" i="1"/>
  <c r="H987" i="1" s="1"/>
  <c r="M987" i="1"/>
  <c r="D988" i="1"/>
  <c r="E988" i="1"/>
  <c r="F988" i="1" s="1"/>
  <c r="C989" i="1"/>
  <c r="B990" i="1"/>
  <c r="AA989" i="1"/>
  <c r="AW988" i="1"/>
  <c r="AI988" i="1" s="1"/>
  <c r="AJ988" i="1" s="1"/>
  <c r="A989" i="1"/>
  <c r="AK988" i="1"/>
  <c r="AC988" i="1"/>
  <c r="BC988" i="1" l="1"/>
  <c r="BD988" i="1" s="1"/>
  <c r="AE988" i="1" s="1"/>
  <c r="AX511" i="1"/>
  <c r="U511" i="1" s="1"/>
  <c r="AL511" i="1" s="1"/>
  <c r="AN511" i="1" s="1"/>
  <c r="AO511" i="1" s="1"/>
  <c r="AP511" i="1" s="1"/>
  <c r="BF990" i="1"/>
  <c r="BB989" i="1"/>
  <c r="AH511" i="1"/>
  <c r="AG511" i="1"/>
  <c r="BA511" i="1" s="1"/>
  <c r="P512" i="1"/>
  <c r="BE512" i="1" s="1"/>
  <c r="N512" i="1"/>
  <c r="AT512" i="1"/>
  <c r="AS512" i="1" s="1"/>
  <c r="AM512" i="1"/>
  <c r="I512" i="1"/>
  <c r="Q512" i="1" s="1"/>
  <c r="AP416" i="1"/>
  <c r="AX417" i="1" s="1"/>
  <c r="J989" i="1"/>
  <c r="L990" i="1"/>
  <c r="A1010" i="7"/>
  <c r="B1009" i="7"/>
  <c r="S990" i="1"/>
  <c r="Z992" i="1" s="1"/>
  <c r="K990" i="1"/>
  <c r="AU990" i="1"/>
  <c r="AC989" i="1"/>
  <c r="D989" i="1"/>
  <c r="E989" i="1"/>
  <c r="F989" i="1" s="1"/>
  <c r="C990" i="1"/>
  <c r="B991" i="1"/>
  <c r="AA990" i="1"/>
  <c r="G988" i="1"/>
  <c r="H988" i="1" s="1"/>
  <c r="M988" i="1"/>
  <c r="AK989" i="1"/>
  <c r="A990" i="1"/>
  <c r="AW989" i="1"/>
  <c r="AI989" i="1" s="1"/>
  <c r="AJ989" i="1" s="1"/>
  <c r="BC989" i="1" l="1"/>
  <c r="BD989" i="1" s="1"/>
  <c r="AE989" i="1" s="1"/>
  <c r="BF991" i="1"/>
  <c r="Y512" i="1"/>
  <c r="X512" i="1" s="1"/>
  <c r="BB990" i="1"/>
  <c r="O512" i="1"/>
  <c r="V512" i="1"/>
  <c r="AQ512" i="1"/>
  <c r="AY512" i="1"/>
  <c r="J990" i="1"/>
  <c r="L991" i="1"/>
  <c r="A1011" i="7"/>
  <c r="B1010" i="7"/>
  <c r="S991" i="1"/>
  <c r="Z993" i="1" s="1"/>
  <c r="K991" i="1"/>
  <c r="AU991" i="1"/>
  <c r="C991" i="1"/>
  <c r="B992" i="1"/>
  <c r="AA991" i="1"/>
  <c r="AW990" i="1"/>
  <c r="AI990" i="1" s="1"/>
  <c r="AJ990" i="1" s="1"/>
  <c r="AK990" i="1"/>
  <c r="A991" i="1"/>
  <c r="AC990" i="1"/>
  <c r="E990" i="1"/>
  <c r="F990" i="1" s="1"/>
  <c r="D990" i="1"/>
  <c r="M989" i="1"/>
  <c r="G989" i="1"/>
  <c r="H989" i="1" s="1"/>
  <c r="BC990" i="1" l="1"/>
  <c r="BD990" i="1" s="1"/>
  <c r="AE990" i="1" s="1"/>
  <c r="AX512" i="1"/>
  <c r="U512" i="1" s="1"/>
  <c r="AL512" i="1" s="1"/>
  <c r="AN512" i="1" s="1"/>
  <c r="AO512" i="1" s="1"/>
  <c r="AP512" i="1" s="1"/>
  <c r="BF992" i="1"/>
  <c r="BB991" i="1"/>
  <c r="AF512" i="1"/>
  <c r="P513" i="1"/>
  <c r="BE513" i="1" s="1"/>
  <c r="N513" i="1"/>
  <c r="I513" i="1"/>
  <c r="Q513" i="1" s="1"/>
  <c r="AM513" i="1"/>
  <c r="AT513" i="1"/>
  <c r="AS513" i="1" s="1"/>
  <c r="U417" i="1"/>
  <c r="J991" i="1"/>
  <c r="L992" i="1"/>
  <c r="A1012" i="7"/>
  <c r="B1011" i="7"/>
  <c r="S992" i="1"/>
  <c r="Z994" i="1" s="1"/>
  <c r="K992" i="1"/>
  <c r="AU992" i="1"/>
  <c r="AC991" i="1"/>
  <c r="G990" i="1"/>
  <c r="H990" i="1" s="1"/>
  <c r="E991" i="1"/>
  <c r="F991" i="1" s="1"/>
  <c r="D991" i="1"/>
  <c r="A992" i="1"/>
  <c r="AW991" i="1"/>
  <c r="AI991" i="1" s="1"/>
  <c r="AJ991" i="1" s="1"/>
  <c r="AK991" i="1"/>
  <c r="AA992" i="1"/>
  <c r="B993" i="1"/>
  <c r="C992" i="1"/>
  <c r="M990" i="1"/>
  <c r="BC991" i="1" l="1"/>
  <c r="BD991" i="1" s="1"/>
  <c r="AE991" i="1" s="1"/>
  <c r="BF993" i="1"/>
  <c r="Y513" i="1"/>
  <c r="X513" i="1" s="1"/>
  <c r="AG512" i="1"/>
  <c r="BA512" i="1" s="1"/>
  <c r="BB992" i="1"/>
  <c r="AC992" i="1"/>
  <c r="AH512" i="1"/>
  <c r="O513" i="1"/>
  <c r="V513" i="1"/>
  <c r="AQ513" i="1"/>
  <c r="AY513" i="1"/>
  <c r="AL417" i="1"/>
  <c r="J992" i="1"/>
  <c r="L993" i="1"/>
  <c r="A1013" i="7"/>
  <c r="B1012" i="7"/>
  <c r="S993" i="1"/>
  <c r="Z995" i="1" s="1"/>
  <c r="K993" i="1"/>
  <c r="AU993" i="1"/>
  <c r="M991" i="1"/>
  <c r="D992" i="1"/>
  <c r="E992" i="1"/>
  <c r="F992" i="1" s="1"/>
  <c r="AK992" i="1"/>
  <c r="A993" i="1"/>
  <c r="AW992" i="1"/>
  <c r="AI992" i="1" s="1"/>
  <c r="AJ992" i="1" s="1"/>
  <c r="G991" i="1"/>
  <c r="H991" i="1" s="1"/>
  <c r="C993" i="1"/>
  <c r="B994" i="1"/>
  <c r="AA993" i="1"/>
  <c r="BC992" i="1" l="1"/>
  <c r="BD992" i="1" s="1"/>
  <c r="AE992" i="1" s="1"/>
  <c r="BF994" i="1"/>
  <c r="AX513" i="1"/>
  <c r="U513" i="1" s="1"/>
  <c r="AL513" i="1" s="1"/>
  <c r="AN513" i="1" s="1"/>
  <c r="AO513" i="1" s="1"/>
  <c r="AP513" i="1" s="1"/>
  <c r="BB993" i="1"/>
  <c r="AF513" i="1"/>
  <c r="AG513" i="1" s="1"/>
  <c r="BA513" i="1" s="1"/>
  <c r="P514" i="1"/>
  <c r="BE514" i="1" s="1"/>
  <c r="N514" i="1"/>
  <c r="AM514" i="1"/>
  <c r="I514" i="1"/>
  <c r="Q514" i="1" s="1"/>
  <c r="AT514" i="1"/>
  <c r="AS514" i="1" s="1"/>
  <c r="AN417" i="1"/>
  <c r="J993" i="1"/>
  <c r="L994" i="1"/>
  <c r="A1014" i="7"/>
  <c r="B1013" i="7"/>
  <c r="S994" i="1"/>
  <c r="Z996" i="1" s="1"/>
  <c r="K994" i="1"/>
  <c r="AU994" i="1"/>
  <c r="M992" i="1"/>
  <c r="AW993" i="1"/>
  <c r="AI993" i="1" s="1"/>
  <c r="AJ993" i="1" s="1"/>
  <c r="AK993" i="1"/>
  <c r="A994" i="1"/>
  <c r="C994" i="1"/>
  <c r="B995" i="1"/>
  <c r="AA994" i="1"/>
  <c r="E993" i="1"/>
  <c r="F993" i="1" s="1"/>
  <c r="D993" i="1"/>
  <c r="AC993" i="1"/>
  <c r="G992" i="1"/>
  <c r="H992" i="1" s="1"/>
  <c r="BC993" i="1" l="1"/>
  <c r="BD993" i="1" s="1"/>
  <c r="AE993" i="1" s="1"/>
  <c r="BF995" i="1"/>
  <c r="Y514" i="1"/>
  <c r="X514" i="1" s="1"/>
  <c r="AH513" i="1"/>
  <c r="BB994" i="1"/>
  <c r="O514" i="1"/>
  <c r="P515" i="1" s="1"/>
  <c r="BE515" i="1" s="1"/>
  <c r="V514" i="1"/>
  <c r="AY514" i="1"/>
  <c r="AQ514" i="1"/>
  <c r="AO417" i="1"/>
  <c r="J994" i="1"/>
  <c r="L995" i="1"/>
  <c r="A1015" i="7"/>
  <c r="B1014" i="7"/>
  <c r="S995" i="1"/>
  <c r="Z997" i="1" s="1"/>
  <c r="K995" i="1"/>
  <c r="AU995" i="1"/>
  <c r="G993" i="1"/>
  <c r="H993" i="1" s="1"/>
  <c r="AC994" i="1"/>
  <c r="E994" i="1"/>
  <c r="F994" i="1" s="1"/>
  <c r="D994" i="1"/>
  <c r="B996" i="1"/>
  <c r="AA995" i="1"/>
  <c r="C995" i="1"/>
  <c r="M993" i="1"/>
  <c r="AW994" i="1"/>
  <c r="AI994" i="1" s="1"/>
  <c r="AJ994" i="1" s="1"/>
  <c r="AK994" i="1"/>
  <c r="A995" i="1"/>
  <c r="BC994" i="1" l="1"/>
  <c r="BD994" i="1" s="1"/>
  <c r="AE994" i="1" s="1"/>
  <c r="BF996" i="1"/>
  <c r="AX514" i="1"/>
  <c r="U514" i="1" s="1"/>
  <c r="AL514" i="1" s="1"/>
  <c r="AN514" i="1" s="1"/>
  <c r="AO514" i="1" s="1"/>
  <c r="AP514" i="1" s="1"/>
  <c r="BB995" i="1"/>
  <c r="AF514" i="1"/>
  <c r="AG514" i="1" s="1"/>
  <c r="BA514" i="1" s="1"/>
  <c r="V515" i="1"/>
  <c r="Y515" i="1"/>
  <c r="X515" i="1" s="1"/>
  <c r="AF515" i="1" s="1"/>
  <c r="AT515" i="1"/>
  <c r="AS515" i="1" s="1"/>
  <c r="AQ515" i="1" s="1"/>
  <c r="I515" i="1"/>
  <c r="Q515" i="1" s="1"/>
  <c r="N515" i="1"/>
  <c r="AM515" i="1"/>
  <c r="AY515" i="1"/>
  <c r="AP417" i="1"/>
  <c r="AX418" i="1" s="1"/>
  <c r="J995" i="1"/>
  <c r="L996" i="1"/>
  <c r="A1016" i="7"/>
  <c r="B1015" i="7"/>
  <c r="S996" i="1"/>
  <c r="Z998" i="1" s="1"/>
  <c r="K996" i="1"/>
  <c r="AU996" i="1"/>
  <c r="D995" i="1"/>
  <c r="E995" i="1"/>
  <c r="F995" i="1" s="1"/>
  <c r="AA996" i="1"/>
  <c r="C996" i="1"/>
  <c r="B997" i="1"/>
  <c r="M994" i="1"/>
  <c r="G994" i="1"/>
  <c r="H994" i="1" s="1"/>
  <c r="A996" i="1"/>
  <c r="AW995" i="1"/>
  <c r="AI995" i="1" s="1"/>
  <c r="AJ995" i="1" s="1"/>
  <c r="AK995" i="1"/>
  <c r="AC995" i="1"/>
  <c r="BC995" i="1" l="1"/>
  <c r="BD995" i="1" s="1"/>
  <c r="AE995" i="1" s="1"/>
  <c r="BF997" i="1"/>
  <c r="BB996" i="1"/>
  <c r="AH514" i="1"/>
  <c r="AG515" i="1"/>
  <c r="BA515" i="1" s="1"/>
  <c r="O515" i="1"/>
  <c r="P516" i="1" s="1"/>
  <c r="BE516" i="1" s="1"/>
  <c r="J996" i="1"/>
  <c r="L997" i="1"/>
  <c r="A1017" i="7"/>
  <c r="B1016" i="7"/>
  <c r="S997" i="1"/>
  <c r="Z999" i="1" s="1"/>
  <c r="K997" i="1"/>
  <c r="AU997" i="1"/>
  <c r="M995" i="1"/>
  <c r="AC996" i="1"/>
  <c r="AK996" i="1"/>
  <c r="AW996" i="1"/>
  <c r="AI996" i="1" s="1"/>
  <c r="AJ996" i="1" s="1"/>
  <c r="A997" i="1"/>
  <c r="AP996" i="1"/>
  <c r="AA997" i="1"/>
  <c r="C997" i="1"/>
  <c r="B998" i="1"/>
  <c r="G995" i="1"/>
  <c r="H995" i="1" s="1"/>
  <c r="E996" i="1"/>
  <c r="F996" i="1" s="1"/>
  <c r="D996" i="1"/>
  <c r="BC996" i="1" l="1"/>
  <c r="BD996" i="1" s="1"/>
  <c r="AE996" i="1" s="1"/>
  <c r="BF998" i="1"/>
  <c r="AX515" i="1"/>
  <c r="U515" i="1" s="1"/>
  <c r="AL515" i="1" s="1"/>
  <c r="AN515" i="1" s="1"/>
  <c r="AO515" i="1" s="1"/>
  <c r="AP515" i="1" s="1"/>
  <c r="AY516" i="1"/>
  <c r="BB997" i="1"/>
  <c r="AH515" i="1"/>
  <c r="AT516" i="1"/>
  <c r="AS516" i="1" s="1"/>
  <c r="AQ516" i="1" s="1"/>
  <c r="AM516" i="1"/>
  <c r="N516" i="1"/>
  <c r="I516" i="1"/>
  <c r="Q516" i="1" s="1"/>
  <c r="V516" i="1"/>
  <c r="Y516" i="1"/>
  <c r="X516" i="1" s="1"/>
  <c r="AF516" i="1" s="1"/>
  <c r="U418" i="1"/>
  <c r="J997" i="1"/>
  <c r="L998" i="1"/>
  <c r="A1018" i="7"/>
  <c r="B1017" i="7"/>
  <c r="S998" i="1"/>
  <c r="Z1000" i="1" s="1"/>
  <c r="K998" i="1"/>
  <c r="AU998" i="1"/>
  <c r="E997" i="1"/>
  <c r="F997" i="1" s="1"/>
  <c r="D997" i="1"/>
  <c r="B999" i="1"/>
  <c r="C998" i="1"/>
  <c r="AA998" i="1"/>
  <c r="G996" i="1"/>
  <c r="H996" i="1" s="1"/>
  <c r="M996" i="1"/>
  <c r="AC997" i="1"/>
  <c r="AK997" i="1"/>
  <c r="A998" i="1"/>
  <c r="AW997" i="1"/>
  <c r="AI997" i="1" s="1"/>
  <c r="AJ997" i="1" s="1"/>
  <c r="BC997" i="1" l="1"/>
  <c r="BD997" i="1" s="1"/>
  <c r="AE997" i="1" s="1"/>
  <c r="AX516" i="1"/>
  <c r="U516" i="1" s="1"/>
  <c r="AL516" i="1" s="1"/>
  <c r="AN516" i="1" s="1"/>
  <c r="AO516" i="1" s="1"/>
  <c r="BF999" i="1"/>
  <c r="BB998" i="1"/>
  <c r="O516" i="1"/>
  <c r="P517" i="1" s="1"/>
  <c r="BE517" i="1" s="1"/>
  <c r="AL418" i="1"/>
  <c r="J998" i="1"/>
  <c r="L999" i="1"/>
  <c r="AG516" i="1"/>
  <c r="BA516" i="1" s="1"/>
  <c r="A1019" i="7"/>
  <c r="B1018" i="7"/>
  <c r="S999" i="1"/>
  <c r="Z1001" i="1" s="1"/>
  <c r="K999" i="1"/>
  <c r="AU999" i="1"/>
  <c r="A999" i="1"/>
  <c r="AW998" i="1"/>
  <c r="AI998" i="1" s="1"/>
  <c r="AJ998" i="1" s="1"/>
  <c r="AK998" i="1"/>
  <c r="E998" i="1"/>
  <c r="F998" i="1" s="1"/>
  <c r="D998" i="1"/>
  <c r="G997" i="1"/>
  <c r="H997" i="1" s="1"/>
  <c r="M997" i="1"/>
  <c r="C999" i="1"/>
  <c r="B1000" i="1"/>
  <c r="AA999" i="1"/>
  <c r="AC998" i="1"/>
  <c r="BC998" i="1" l="1"/>
  <c r="BD998" i="1" s="1"/>
  <c r="AE998" i="1" s="1"/>
  <c r="BF1000" i="1"/>
  <c r="V517" i="1"/>
  <c r="BB999" i="1"/>
  <c r="AM517" i="1"/>
  <c r="AY517" i="1"/>
  <c r="I517" i="1"/>
  <c r="Q517" i="1" s="1"/>
  <c r="Y517" i="1"/>
  <c r="X517" i="1" s="1"/>
  <c r="AF517" i="1" s="1"/>
  <c r="AH516" i="1"/>
  <c r="AT517" i="1"/>
  <c r="AS517" i="1" s="1"/>
  <c r="AQ517" i="1" s="1"/>
  <c r="N517" i="1"/>
  <c r="AN418" i="1"/>
  <c r="J999" i="1"/>
  <c r="L1000" i="1"/>
  <c r="A1020" i="7"/>
  <c r="B1019" i="7"/>
  <c r="S1000" i="1"/>
  <c r="Z1002" i="1" s="1"/>
  <c r="K1000" i="1"/>
  <c r="AU1000" i="1"/>
  <c r="M998" i="1"/>
  <c r="G998" i="1"/>
  <c r="H998" i="1" s="1"/>
  <c r="AC999" i="1"/>
  <c r="C1000" i="1"/>
  <c r="AA1000" i="1"/>
  <c r="B1001" i="1"/>
  <c r="A1000" i="1"/>
  <c r="AW999" i="1"/>
  <c r="AI999" i="1" s="1"/>
  <c r="AJ999" i="1" s="1"/>
  <c r="AK999" i="1"/>
  <c r="E999" i="1"/>
  <c r="F999" i="1" s="1"/>
  <c r="D999" i="1"/>
  <c r="BC999" i="1" l="1"/>
  <c r="BD999" i="1" s="1"/>
  <c r="AE999" i="1" s="1"/>
  <c r="AX517" i="1"/>
  <c r="U517" i="1" s="1"/>
  <c r="AL517" i="1" s="1"/>
  <c r="AN517" i="1" s="1"/>
  <c r="AO517" i="1" s="1"/>
  <c r="AP517" i="1" s="1"/>
  <c r="BF1001" i="1"/>
  <c r="AC1000" i="1"/>
  <c r="BB1000" i="1"/>
  <c r="O517" i="1"/>
  <c r="N518" i="1" s="1"/>
  <c r="AG517" i="1"/>
  <c r="BA517" i="1" s="1"/>
  <c r="AO418" i="1"/>
  <c r="J1000" i="1"/>
  <c r="L1001" i="1"/>
  <c r="A1021" i="7"/>
  <c r="B1020" i="7"/>
  <c r="S1001" i="1"/>
  <c r="Z1003" i="1" s="1"/>
  <c r="K1001" i="1"/>
  <c r="AU1001" i="1"/>
  <c r="G999" i="1"/>
  <c r="H999" i="1" s="1"/>
  <c r="AA1001" i="1"/>
  <c r="C1001" i="1"/>
  <c r="B1002" i="1"/>
  <c r="AK1000" i="1"/>
  <c r="A1001" i="1"/>
  <c r="AW1000" i="1"/>
  <c r="AI1000" i="1" s="1"/>
  <c r="AJ1000" i="1" s="1"/>
  <c r="D1000" i="1"/>
  <c r="E1000" i="1"/>
  <c r="F1000" i="1" s="1"/>
  <c r="M999" i="1"/>
  <c r="BC1000" i="1" l="1"/>
  <c r="BD1000" i="1" s="1"/>
  <c r="AE1000" i="1" s="1"/>
  <c r="BF1002" i="1"/>
  <c r="BB1001" i="1"/>
  <c r="I518" i="1"/>
  <c r="Q518" i="1" s="1"/>
  <c r="P518" i="1"/>
  <c r="BE518" i="1" s="1"/>
  <c r="AT518" i="1"/>
  <c r="AS518" i="1" s="1"/>
  <c r="AM518" i="1"/>
  <c r="AH517" i="1"/>
  <c r="AP418" i="1"/>
  <c r="AX419" i="1" s="1"/>
  <c r="J1001" i="1"/>
  <c r="L1002" i="1"/>
  <c r="A1022" i="7"/>
  <c r="B1021" i="7"/>
  <c r="S1002" i="1"/>
  <c r="Z1004" i="1" s="1"/>
  <c r="K1002" i="1"/>
  <c r="AU1002" i="1"/>
  <c r="E1001" i="1"/>
  <c r="F1001" i="1" s="1"/>
  <c r="D1001" i="1"/>
  <c r="AK1001" i="1"/>
  <c r="A1002" i="1"/>
  <c r="AW1001" i="1"/>
  <c r="AI1001" i="1" s="1"/>
  <c r="AJ1001" i="1" s="1"/>
  <c r="AC1001" i="1"/>
  <c r="M1000" i="1"/>
  <c r="G1000" i="1"/>
  <c r="H1000" i="1" s="1"/>
  <c r="AA1002" i="1"/>
  <c r="B1003" i="1"/>
  <c r="C1002" i="1"/>
  <c r="BC1001" i="1" l="1"/>
  <c r="BD1001" i="1" s="1"/>
  <c r="AE1001" i="1" s="1"/>
  <c r="BF1003" i="1"/>
  <c r="Y518" i="1"/>
  <c r="X518" i="1" s="1"/>
  <c r="AF518" i="1" s="1"/>
  <c r="BB1002" i="1"/>
  <c r="O518" i="1"/>
  <c r="P519" i="1" s="1"/>
  <c r="BE519" i="1" s="1"/>
  <c r="AY518" i="1"/>
  <c r="V518" i="1"/>
  <c r="AQ518" i="1"/>
  <c r="J1002" i="1"/>
  <c r="L1003" i="1"/>
  <c r="A1023" i="7"/>
  <c r="B1022" i="7"/>
  <c r="S1003" i="1"/>
  <c r="Z1005" i="1" s="1"/>
  <c r="K1003" i="1"/>
  <c r="AU1003" i="1"/>
  <c r="AK1002" i="1"/>
  <c r="A1003" i="1"/>
  <c r="AW1002" i="1"/>
  <c r="AI1002" i="1" s="1"/>
  <c r="AJ1002" i="1" s="1"/>
  <c r="G1001" i="1"/>
  <c r="H1001" i="1" s="1"/>
  <c r="AA1003" i="1"/>
  <c r="B1004" i="1"/>
  <c r="C1003" i="1"/>
  <c r="M1001" i="1"/>
  <c r="AC1002" i="1"/>
  <c r="D1002" i="1"/>
  <c r="E1002" i="1"/>
  <c r="F1002" i="1" s="1"/>
  <c r="BC1002" i="1" l="1"/>
  <c r="BD1002" i="1" s="1"/>
  <c r="AE1002" i="1" s="1"/>
  <c r="BF1004" i="1"/>
  <c r="AX518" i="1"/>
  <c r="U518" i="1" s="1"/>
  <c r="AL518" i="1" s="1"/>
  <c r="AN518" i="1" s="1"/>
  <c r="AO518" i="1" s="1"/>
  <c r="AP518" i="1" s="1"/>
  <c r="AG518" i="1"/>
  <c r="BA518" i="1" s="1"/>
  <c r="AY519" i="1"/>
  <c r="BB1003" i="1"/>
  <c r="AM519" i="1"/>
  <c r="AH518" i="1"/>
  <c r="Y519" i="1"/>
  <c r="X519" i="1" s="1"/>
  <c r="AF519" i="1" s="1"/>
  <c r="V519" i="1"/>
  <c r="I519" i="1"/>
  <c r="Q519" i="1" s="1"/>
  <c r="AT519" i="1"/>
  <c r="AS519" i="1" s="1"/>
  <c r="AQ519" i="1" s="1"/>
  <c r="N519" i="1"/>
  <c r="U419" i="1"/>
  <c r="J1003" i="1"/>
  <c r="L1004" i="1"/>
  <c r="A1024" i="7"/>
  <c r="B1023" i="7"/>
  <c r="S1004" i="1"/>
  <c r="Z1006" i="1" s="1"/>
  <c r="K1004" i="1"/>
  <c r="AU1004" i="1"/>
  <c r="M1002" i="1"/>
  <c r="AW1003" i="1"/>
  <c r="AI1003" i="1" s="1"/>
  <c r="AJ1003" i="1" s="1"/>
  <c r="AK1003" i="1"/>
  <c r="A1004" i="1"/>
  <c r="B1005" i="1"/>
  <c r="C1004" i="1"/>
  <c r="AA1004" i="1"/>
  <c r="AC1003" i="1"/>
  <c r="G1002" i="1"/>
  <c r="H1002" i="1" s="1"/>
  <c r="E1003" i="1"/>
  <c r="F1003" i="1" s="1"/>
  <c r="D1003" i="1"/>
  <c r="BC1003" i="1" l="1"/>
  <c r="BD1003" i="1" s="1"/>
  <c r="AE1003" i="1" s="1"/>
  <c r="AX519" i="1"/>
  <c r="U519" i="1" s="1"/>
  <c r="AL519" i="1" s="1"/>
  <c r="AN519" i="1" s="1"/>
  <c r="AO519" i="1" s="1"/>
  <c r="AP519" i="1" s="1"/>
  <c r="BF1005" i="1"/>
  <c r="AC1004" i="1"/>
  <c r="BB1004" i="1"/>
  <c r="O519" i="1"/>
  <c r="AT520" i="1" s="1"/>
  <c r="AS520" i="1" s="1"/>
  <c r="AG519" i="1"/>
  <c r="BA519" i="1" s="1"/>
  <c r="AL419" i="1"/>
  <c r="J1004" i="1"/>
  <c r="L1005" i="1"/>
  <c r="A1025" i="7"/>
  <c r="B1024" i="7"/>
  <c r="S1005" i="1"/>
  <c r="Z1007" i="1" s="1"/>
  <c r="K1005" i="1"/>
  <c r="AU1005" i="1"/>
  <c r="D1004" i="1"/>
  <c r="E1004" i="1"/>
  <c r="F1004" i="1" s="1"/>
  <c r="B1006" i="1"/>
  <c r="AA1005" i="1"/>
  <c r="C1005" i="1"/>
  <c r="AK1004" i="1"/>
  <c r="A1005" i="1"/>
  <c r="AW1004" i="1"/>
  <c r="AI1004" i="1" s="1"/>
  <c r="AJ1004" i="1" s="1"/>
  <c r="G1003" i="1"/>
  <c r="H1003" i="1" s="1"/>
  <c r="M1003" i="1"/>
  <c r="BC1004" i="1" l="1"/>
  <c r="BD1004" i="1" s="1"/>
  <c r="AE1004" i="1" s="1"/>
  <c r="BF1006" i="1"/>
  <c r="BB1005" i="1"/>
  <c r="P520" i="1"/>
  <c r="BE520" i="1" s="1"/>
  <c r="I520" i="1"/>
  <c r="Q520" i="1" s="1"/>
  <c r="AH519" i="1"/>
  <c r="N520" i="1"/>
  <c r="AM520" i="1"/>
  <c r="AN419" i="1"/>
  <c r="J1005" i="1"/>
  <c r="L1006" i="1"/>
  <c r="A1026" i="7"/>
  <c r="B1025" i="7"/>
  <c r="S1006" i="1"/>
  <c r="Z1008" i="1" s="1"/>
  <c r="K1006" i="1"/>
  <c r="AU1006" i="1"/>
  <c r="D1005" i="1"/>
  <c r="E1005" i="1"/>
  <c r="F1005" i="1" s="1"/>
  <c r="B1007" i="1"/>
  <c r="C1006" i="1"/>
  <c r="AA1006" i="1"/>
  <c r="G1004" i="1"/>
  <c r="H1004" i="1" s="1"/>
  <c r="M1004" i="1"/>
  <c r="A1006" i="1"/>
  <c r="AW1005" i="1"/>
  <c r="AI1005" i="1" s="1"/>
  <c r="AJ1005" i="1" s="1"/>
  <c r="AK1005" i="1"/>
  <c r="AC1005" i="1"/>
  <c r="BC1005" i="1" l="1"/>
  <c r="BD1005" i="1" s="1"/>
  <c r="AE1005" i="1" s="1"/>
  <c r="BF1007" i="1"/>
  <c r="V520" i="1"/>
  <c r="BB1006" i="1"/>
  <c r="O520" i="1"/>
  <c r="AM521" i="1" s="1"/>
  <c r="AY520" i="1"/>
  <c r="AQ520" i="1"/>
  <c r="Y520" i="1"/>
  <c r="X520" i="1" s="1"/>
  <c r="AF520" i="1" s="1"/>
  <c r="AO419" i="1"/>
  <c r="J1006" i="1"/>
  <c r="L1007" i="1"/>
  <c r="A1027" i="7"/>
  <c r="B1026" i="7"/>
  <c r="S1007" i="1"/>
  <c r="Z1009" i="1" s="1"/>
  <c r="K1007" i="1"/>
  <c r="AU1007" i="1"/>
  <c r="M1005" i="1"/>
  <c r="G1005" i="1"/>
  <c r="H1005" i="1" s="1"/>
  <c r="AC1006" i="1"/>
  <c r="A1007" i="1"/>
  <c r="AK1006" i="1"/>
  <c r="AW1006" i="1"/>
  <c r="AI1006" i="1" s="1"/>
  <c r="AJ1006" i="1" s="1"/>
  <c r="E1006" i="1"/>
  <c r="F1006" i="1" s="1"/>
  <c r="D1006" i="1"/>
  <c r="AA1007" i="1"/>
  <c r="C1007" i="1"/>
  <c r="B1008" i="1"/>
  <c r="BC1006" i="1" l="1"/>
  <c r="BD1006" i="1" s="1"/>
  <c r="AE1006" i="1" s="1"/>
  <c r="AX520" i="1"/>
  <c r="U520" i="1" s="1"/>
  <c r="AL520" i="1" s="1"/>
  <c r="AN520" i="1" s="1"/>
  <c r="AO520" i="1" s="1"/>
  <c r="AP520" i="1" s="1"/>
  <c r="BF1008" i="1"/>
  <c r="BB1007" i="1"/>
  <c r="P521" i="1"/>
  <c r="BE521" i="1" s="1"/>
  <c r="I521" i="1"/>
  <c r="Q521" i="1" s="1"/>
  <c r="N521" i="1"/>
  <c r="AH520" i="1"/>
  <c r="AT521" i="1"/>
  <c r="AS521" i="1" s="1"/>
  <c r="AG520" i="1"/>
  <c r="BA520" i="1" s="1"/>
  <c r="AP419" i="1"/>
  <c r="AX420" i="1" s="1"/>
  <c r="J1007" i="1"/>
  <c r="L1008" i="1"/>
  <c r="A1028" i="7"/>
  <c r="B1027" i="7"/>
  <c r="S1008" i="1"/>
  <c r="Z1010" i="1" s="1"/>
  <c r="K1008" i="1"/>
  <c r="AU1008" i="1"/>
  <c r="AK1007" i="1"/>
  <c r="AW1007" i="1"/>
  <c r="AI1007" i="1" s="1"/>
  <c r="AJ1007" i="1" s="1"/>
  <c r="A1008" i="1"/>
  <c r="M1006" i="1"/>
  <c r="G1006" i="1"/>
  <c r="H1006" i="1" s="1"/>
  <c r="AC1007" i="1"/>
  <c r="C1008" i="1"/>
  <c r="AA1008" i="1"/>
  <c r="B1009" i="1"/>
  <c r="D1007" i="1"/>
  <c r="E1007" i="1"/>
  <c r="F1007" i="1" s="1"/>
  <c r="BC1007" i="1" l="1"/>
  <c r="BD1007" i="1" s="1"/>
  <c r="AE1007" i="1" s="1"/>
  <c r="BF1009" i="1"/>
  <c r="AY521" i="1"/>
  <c r="AQ521" i="1"/>
  <c r="BB1008" i="1"/>
  <c r="V521" i="1"/>
  <c r="O521" i="1"/>
  <c r="P522" i="1" s="1"/>
  <c r="BE522" i="1" s="1"/>
  <c r="Y521" i="1"/>
  <c r="X521" i="1" s="1"/>
  <c r="AF521" i="1" s="1"/>
  <c r="J1008" i="1"/>
  <c r="L1009" i="1"/>
  <c r="A1029" i="7"/>
  <c r="B1028" i="7"/>
  <c r="S1009" i="1"/>
  <c r="Z1011" i="1" s="1"/>
  <c r="K1009" i="1"/>
  <c r="AU1009" i="1"/>
  <c r="AP1008" i="1"/>
  <c r="A1009" i="1"/>
  <c r="AW1008" i="1"/>
  <c r="AI1008" i="1" s="1"/>
  <c r="AJ1008" i="1" s="1"/>
  <c r="AK1008" i="1"/>
  <c r="B1010" i="1"/>
  <c r="AA1009" i="1"/>
  <c r="C1009" i="1"/>
  <c r="M1007" i="1"/>
  <c r="AC1008" i="1"/>
  <c r="G1007" i="1"/>
  <c r="H1007" i="1" s="1"/>
  <c r="D1008" i="1"/>
  <c r="E1008" i="1"/>
  <c r="F1008" i="1" s="1"/>
  <c r="BC1008" i="1" l="1"/>
  <c r="BD1008" i="1" s="1"/>
  <c r="AE1008" i="1" s="1"/>
  <c r="AX521" i="1"/>
  <c r="U521" i="1" s="1"/>
  <c r="AL521" i="1" s="1"/>
  <c r="AN521" i="1" s="1"/>
  <c r="AO521" i="1" s="1"/>
  <c r="AP521" i="1" s="1"/>
  <c r="BF1010" i="1"/>
  <c r="V522" i="1"/>
  <c r="BB1009" i="1"/>
  <c r="N522" i="1"/>
  <c r="AT522" i="1"/>
  <c r="AS522" i="1" s="1"/>
  <c r="AQ522" i="1" s="1"/>
  <c r="AY522" i="1"/>
  <c r="Y522" i="1"/>
  <c r="X522" i="1" s="1"/>
  <c r="AF522" i="1" s="1"/>
  <c r="AM522" i="1"/>
  <c r="I522" i="1"/>
  <c r="Q522" i="1" s="1"/>
  <c r="AH521" i="1"/>
  <c r="AG521" i="1"/>
  <c r="BA521" i="1" s="1"/>
  <c r="U420" i="1"/>
  <c r="J1009" i="1"/>
  <c r="L1010" i="1"/>
  <c r="A1030" i="7"/>
  <c r="B1029" i="7"/>
  <c r="S1010" i="1"/>
  <c r="Z1012" i="1" s="1"/>
  <c r="K1010" i="1"/>
  <c r="AU1010" i="1"/>
  <c r="AC1009" i="1"/>
  <c r="M1008" i="1"/>
  <c r="B1011" i="1"/>
  <c r="AA1010" i="1"/>
  <c r="C1010" i="1"/>
  <c r="E1009" i="1"/>
  <c r="F1009" i="1" s="1"/>
  <c r="D1009" i="1"/>
  <c r="AW1009" i="1"/>
  <c r="AI1009" i="1" s="1"/>
  <c r="AJ1009" i="1" s="1"/>
  <c r="A1010" i="1"/>
  <c r="AK1009" i="1"/>
  <c r="G1008" i="1"/>
  <c r="H1008" i="1" s="1"/>
  <c r="BC1009" i="1" l="1"/>
  <c r="BD1009" i="1" s="1"/>
  <c r="AE1009" i="1" s="1"/>
  <c r="BF1011" i="1"/>
  <c r="AX522" i="1"/>
  <c r="U522" i="1" s="1"/>
  <c r="AL522" i="1" s="1"/>
  <c r="AN522" i="1" s="1"/>
  <c r="AO522" i="1" s="1"/>
  <c r="AP522" i="1" s="1"/>
  <c r="BB1010" i="1"/>
  <c r="O522" i="1"/>
  <c r="P523" i="1" s="1"/>
  <c r="BE523" i="1" s="1"/>
  <c r="AL420" i="1"/>
  <c r="J1010" i="1"/>
  <c r="G1009" i="1"/>
  <c r="H1009" i="1" s="1"/>
  <c r="AG522" i="1"/>
  <c r="BA522" i="1" s="1"/>
  <c r="L1011" i="1"/>
  <c r="A1031" i="7"/>
  <c r="B1030" i="7"/>
  <c r="S1011" i="1"/>
  <c r="Z1013" i="1" s="1"/>
  <c r="K1011" i="1"/>
  <c r="AU1011" i="1"/>
  <c r="AC1010" i="1"/>
  <c r="AK1010" i="1"/>
  <c r="A1011" i="1"/>
  <c r="AW1010" i="1"/>
  <c r="AI1010" i="1" s="1"/>
  <c r="AJ1010" i="1" s="1"/>
  <c r="D1010" i="1"/>
  <c r="E1010" i="1"/>
  <c r="F1010" i="1" s="1"/>
  <c r="M1009" i="1"/>
  <c r="C1011" i="1"/>
  <c r="B1012" i="1"/>
  <c r="AA1011" i="1"/>
  <c r="BC1010" i="1" l="1"/>
  <c r="BD1010" i="1" s="1"/>
  <c r="AE1010" i="1" s="1"/>
  <c r="BF1012" i="1"/>
  <c r="AY523" i="1"/>
  <c r="BB1011" i="1"/>
  <c r="AH522" i="1"/>
  <c r="AM523" i="1"/>
  <c r="Y523" i="1"/>
  <c r="X523" i="1" s="1"/>
  <c r="AF523" i="1" s="1"/>
  <c r="AT523" i="1"/>
  <c r="AS523" i="1" s="1"/>
  <c r="AQ523" i="1" s="1"/>
  <c r="V523" i="1"/>
  <c r="I523" i="1"/>
  <c r="Q523" i="1" s="1"/>
  <c r="N523" i="1"/>
  <c r="AN420" i="1"/>
  <c r="J1011" i="1"/>
  <c r="L1012" i="1"/>
  <c r="A1032" i="7"/>
  <c r="B1031" i="7"/>
  <c r="S1012" i="1"/>
  <c r="Z1014" i="1" s="1"/>
  <c r="K1012" i="1"/>
  <c r="AU1012" i="1"/>
  <c r="M1010" i="1"/>
  <c r="AA1012" i="1"/>
  <c r="B1013" i="1"/>
  <c r="C1012" i="1"/>
  <c r="AK1011" i="1"/>
  <c r="AW1011" i="1"/>
  <c r="AI1011" i="1" s="1"/>
  <c r="AJ1011" i="1" s="1"/>
  <c r="A1012" i="1"/>
  <c r="AC1011" i="1"/>
  <c r="D1011" i="1"/>
  <c r="E1011" i="1"/>
  <c r="F1011" i="1" s="1"/>
  <c r="G1010" i="1"/>
  <c r="H1010" i="1" s="1"/>
  <c r="BC1011" i="1" l="1"/>
  <c r="BD1011" i="1" s="1"/>
  <c r="AE1011" i="1" s="1"/>
  <c r="BF1013" i="1"/>
  <c r="AX523" i="1"/>
  <c r="U523" i="1" s="1"/>
  <c r="AL523" i="1" s="1"/>
  <c r="AN523" i="1" s="1"/>
  <c r="AO523" i="1" s="1"/>
  <c r="AP523" i="1" s="1"/>
  <c r="BB1012" i="1"/>
  <c r="AG523" i="1"/>
  <c r="BA523" i="1" s="1"/>
  <c r="O523" i="1"/>
  <c r="N524" i="1" s="1"/>
  <c r="AO420" i="1"/>
  <c r="J1012" i="1"/>
  <c r="L1013" i="1"/>
  <c r="A1033" i="7"/>
  <c r="B1032" i="7"/>
  <c r="S1013" i="1"/>
  <c r="Z1015" i="1" s="1"/>
  <c r="K1013" i="1"/>
  <c r="AU1013" i="1"/>
  <c r="AW1012" i="1"/>
  <c r="AI1012" i="1" s="1"/>
  <c r="AJ1012" i="1" s="1"/>
  <c r="AK1012" i="1"/>
  <c r="A1013" i="1"/>
  <c r="C1013" i="1"/>
  <c r="AA1013" i="1"/>
  <c r="B1014" i="1"/>
  <c r="M1011" i="1"/>
  <c r="AC1012" i="1"/>
  <c r="G1011" i="1"/>
  <c r="H1011" i="1" s="1"/>
  <c r="D1012" i="1"/>
  <c r="E1012" i="1"/>
  <c r="F1012" i="1" s="1"/>
  <c r="BC1012" i="1" l="1"/>
  <c r="BD1012" i="1" s="1"/>
  <c r="AE1012" i="1" s="1"/>
  <c r="BF1014" i="1"/>
  <c r="BB1013" i="1"/>
  <c r="P524" i="1"/>
  <c r="BE524" i="1" s="1"/>
  <c r="AH523" i="1"/>
  <c r="AM524" i="1"/>
  <c r="I524" i="1"/>
  <c r="Q524" i="1" s="1"/>
  <c r="AT524" i="1"/>
  <c r="AS524" i="1" s="1"/>
  <c r="J1013" i="1"/>
  <c r="L1014" i="1"/>
  <c r="A1034" i="7"/>
  <c r="B1033" i="7"/>
  <c r="S1014" i="1"/>
  <c r="Z1016" i="1" s="1"/>
  <c r="K1014" i="1"/>
  <c r="AU1014" i="1"/>
  <c r="M1012" i="1"/>
  <c r="B1015" i="1"/>
  <c r="AA1014" i="1"/>
  <c r="C1014" i="1"/>
  <c r="AC1013" i="1"/>
  <c r="G1012" i="1"/>
  <c r="H1012" i="1" s="1"/>
  <c r="D1013" i="1"/>
  <c r="E1013" i="1"/>
  <c r="F1013" i="1" s="1"/>
  <c r="AK1013" i="1"/>
  <c r="AW1013" i="1"/>
  <c r="AI1013" i="1" s="1"/>
  <c r="AJ1013" i="1" s="1"/>
  <c r="A1014" i="1"/>
  <c r="BC1013" i="1" l="1"/>
  <c r="BD1013" i="1" s="1"/>
  <c r="AE1013" i="1" s="1"/>
  <c r="BF1015" i="1"/>
  <c r="BB1014" i="1"/>
  <c r="V524" i="1"/>
  <c r="Y524" i="1"/>
  <c r="X524" i="1" s="1"/>
  <c r="AY524" i="1"/>
  <c r="AQ524" i="1"/>
  <c r="O524" i="1"/>
  <c r="J1014" i="1"/>
  <c r="L1015" i="1"/>
  <c r="A1035" i="7"/>
  <c r="B1034" i="7"/>
  <c r="S1015" i="1"/>
  <c r="Z1017" i="1" s="1"/>
  <c r="K1015" i="1"/>
  <c r="AU1015" i="1"/>
  <c r="G1013" i="1"/>
  <c r="H1013" i="1" s="1"/>
  <c r="E1014" i="1"/>
  <c r="F1014" i="1" s="1"/>
  <c r="D1014" i="1"/>
  <c r="AW1014" i="1"/>
  <c r="AI1014" i="1" s="1"/>
  <c r="AJ1014" i="1" s="1"/>
  <c r="AK1014" i="1"/>
  <c r="A1015" i="1"/>
  <c r="AC1014" i="1"/>
  <c r="C1015" i="1"/>
  <c r="B1016" i="1"/>
  <c r="AA1015" i="1"/>
  <c r="M1013" i="1"/>
  <c r="BC1014" i="1" l="1"/>
  <c r="BD1014" i="1" s="1"/>
  <c r="AE1014" i="1" s="1"/>
  <c r="BF1016" i="1"/>
  <c r="AX524" i="1"/>
  <c r="U524" i="1" s="1"/>
  <c r="AL524" i="1" s="1"/>
  <c r="AN524" i="1" s="1"/>
  <c r="AO524" i="1" s="1"/>
  <c r="AP524" i="1" s="1"/>
  <c r="BB1015" i="1"/>
  <c r="AF524" i="1"/>
  <c r="AG524" i="1" s="1"/>
  <c r="BA524" i="1" s="1"/>
  <c r="P525" i="1"/>
  <c r="BE525" i="1" s="1"/>
  <c r="AM525" i="1"/>
  <c r="AT525" i="1"/>
  <c r="AS525" i="1" s="1"/>
  <c r="N525" i="1"/>
  <c r="I525" i="1"/>
  <c r="Q525" i="1" s="1"/>
  <c r="J1015" i="1"/>
  <c r="L1016" i="1"/>
  <c r="A1036" i="7"/>
  <c r="B1035" i="7"/>
  <c r="S1016" i="1"/>
  <c r="Z1018" i="1" s="1"/>
  <c r="K1016" i="1"/>
  <c r="AU1016" i="1"/>
  <c r="G1014" i="1"/>
  <c r="H1014" i="1" s="1"/>
  <c r="AC1015" i="1"/>
  <c r="C1016" i="1"/>
  <c r="B1017" i="1"/>
  <c r="AA1016" i="1"/>
  <c r="E1015" i="1"/>
  <c r="F1015" i="1" s="1"/>
  <c r="D1015" i="1"/>
  <c r="AW1015" i="1"/>
  <c r="AI1015" i="1" s="1"/>
  <c r="AJ1015" i="1" s="1"/>
  <c r="AK1015" i="1"/>
  <c r="A1016" i="1"/>
  <c r="M1014" i="1"/>
  <c r="BC1015" i="1" l="1"/>
  <c r="BD1015" i="1" s="1"/>
  <c r="AE1015" i="1" s="1"/>
  <c r="BF1017" i="1"/>
  <c r="BB1016" i="1"/>
  <c r="AH524" i="1"/>
  <c r="O525" i="1"/>
  <c r="V525" i="1"/>
  <c r="Y525" i="1"/>
  <c r="X525" i="1" s="1"/>
  <c r="AQ525" i="1"/>
  <c r="AY525" i="1"/>
  <c r="J1016" i="1"/>
  <c r="L1017" i="1"/>
  <c r="A1037" i="7"/>
  <c r="B1036" i="7"/>
  <c r="S1017" i="1"/>
  <c r="Z1019" i="1" s="1"/>
  <c r="K1017" i="1"/>
  <c r="AU1017" i="1"/>
  <c r="AW1016" i="1"/>
  <c r="AI1016" i="1" s="1"/>
  <c r="AJ1016" i="1" s="1"/>
  <c r="AK1016" i="1"/>
  <c r="A1017" i="1"/>
  <c r="M1015" i="1"/>
  <c r="E1016" i="1"/>
  <c r="F1016" i="1" s="1"/>
  <c r="D1016" i="1"/>
  <c r="B1018" i="1"/>
  <c r="AA1017" i="1"/>
  <c r="C1017" i="1"/>
  <c r="G1015" i="1"/>
  <c r="H1015" i="1" s="1"/>
  <c r="AC1016" i="1"/>
  <c r="BC1016" i="1" l="1"/>
  <c r="BD1016" i="1" s="1"/>
  <c r="AE1016" i="1" s="1"/>
  <c r="BF1018" i="1"/>
  <c r="AX525" i="1"/>
  <c r="U525" i="1" s="1"/>
  <c r="AL525" i="1" s="1"/>
  <c r="AN525" i="1" s="1"/>
  <c r="AO525" i="1" s="1"/>
  <c r="AP525" i="1" s="1"/>
  <c r="BB1017" i="1"/>
  <c r="AF525" i="1"/>
  <c r="AG525" i="1" s="1"/>
  <c r="BA525" i="1" s="1"/>
  <c r="P526" i="1"/>
  <c r="BE526" i="1" s="1"/>
  <c r="AM526" i="1"/>
  <c r="I526" i="1"/>
  <c r="Q526" i="1" s="1"/>
  <c r="AT526" i="1"/>
  <c r="AS526" i="1" s="1"/>
  <c r="N526" i="1"/>
  <c r="J1017" i="1"/>
  <c r="L1018" i="1"/>
  <c r="A1038" i="7"/>
  <c r="B1037" i="7"/>
  <c r="S1018" i="1"/>
  <c r="Z1020" i="1" s="1"/>
  <c r="K1018" i="1"/>
  <c r="AU1018" i="1"/>
  <c r="G1016" i="1"/>
  <c r="H1016" i="1" s="1"/>
  <c r="M1016" i="1"/>
  <c r="E1017" i="1"/>
  <c r="F1017" i="1" s="1"/>
  <c r="D1017" i="1"/>
  <c r="AA1018" i="1"/>
  <c r="C1018" i="1"/>
  <c r="B1019" i="1"/>
  <c r="AW1017" i="1"/>
  <c r="AI1017" i="1" s="1"/>
  <c r="AJ1017" i="1" s="1"/>
  <c r="AK1017" i="1"/>
  <c r="A1018" i="1"/>
  <c r="AC1017" i="1"/>
  <c r="BC1017" i="1" l="1"/>
  <c r="BD1017" i="1" s="1"/>
  <c r="AE1017" i="1" s="1"/>
  <c r="BF1019" i="1"/>
  <c r="AH525" i="1"/>
  <c r="BB1018" i="1"/>
  <c r="O526" i="1"/>
  <c r="V526" i="1"/>
  <c r="Y526" i="1"/>
  <c r="X526" i="1" s="1"/>
  <c r="AF526" i="1" s="1"/>
  <c r="AY526" i="1"/>
  <c r="AQ526" i="1"/>
  <c r="J1018" i="1"/>
  <c r="L1019" i="1"/>
  <c r="A1039" i="7"/>
  <c r="B1038" i="7"/>
  <c r="S1019" i="1"/>
  <c r="Z1021" i="1" s="1"/>
  <c r="K1019" i="1"/>
  <c r="AU1019" i="1"/>
  <c r="AK1018" i="1"/>
  <c r="A1019" i="1"/>
  <c r="AW1018" i="1"/>
  <c r="AI1018" i="1" s="1"/>
  <c r="AJ1018" i="1" s="1"/>
  <c r="AC1018" i="1"/>
  <c r="D1018" i="1"/>
  <c r="E1018" i="1"/>
  <c r="F1018" i="1" s="1"/>
  <c r="M1017" i="1"/>
  <c r="G1017" i="1"/>
  <c r="H1017" i="1" s="1"/>
  <c r="C1019" i="1"/>
  <c r="AA1019" i="1"/>
  <c r="B1020" i="1"/>
  <c r="BC1018" i="1" l="1"/>
  <c r="BD1018" i="1" s="1"/>
  <c r="AE1018" i="1" s="1"/>
  <c r="AX526" i="1"/>
  <c r="U526" i="1" s="1"/>
  <c r="AL526" i="1" s="1"/>
  <c r="AN526" i="1" s="1"/>
  <c r="AO526" i="1" s="1"/>
  <c r="AP526" i="1" s="1"/>
  <c r="BF1020" i="1"/>
  <c r="BB1019" i="1"/>
  <c r="AH526" i="1"/>
  <c r="AG526" i="1"/>
  <c r="BA526" i="1" s="1"/>
  <c r="P527" i="1"/>
  <c r="BE527" i="1" s="1"/>
  <c r="AM527" i="1"/>
  <c r="I527" i="1"/>
  <c r="Q527" i="1" s="1"/>
  <c r="N527" i="1"/>
  <c r="AT527" i="1"/>
  <c r="AS527" i="1" s="1"/>
  <c r="J1019" i="1"/>
  <c r="L1020" i="1"/>
  <c r="A1040" i="7"/>
  <c r="B1039" i="7"/>
  <c r="S1020" i="1"/>
  <c r="Z1022" i="1" s="1"/>
  <c r="K1020" i="1"/>
  <c r="AU1020" i="1"/>
  <c r="AA1020" i="1"/>
  <c r="C1020" i="1"/>
  <c r="B1021" i="1"/>
  <c r="A1020" i="1"/>
  <c r="AW1019" i="1"/>
  <c r="AI1019" i="1" s="1"/>
  <c r="AJ1019" i="1" s="1"/>
  <c r="AK1019" i="1"/>
  <c r="M1018" i="1"/>
  <c r="E1019" i="1"/>
  <c r="F1019" i="1" s="1"/>
  <c r="D1019" i="1"/>
  <c r="AC1019" i="1"/>
  <c r="G1018" i="1"/>
  <c r="H1018" i="1" s="1"/>
  <c r="BC1019" i="1" l="1"/>
  <c r="BD1019" i="1" s="1"/>
  <c r="AE1019" i="1" s="1"/>
  <c r="BF1021" i="1"/>
  <c r="BB1020" i="1"/>
  <c r="V527" i="1"/>
  <c r="Y527" i="1"/>
  <c r="X527" i="1" s="1"/>
  <c r="AY527" i="1"/>
  <c r="AQ527" i="1"/>
  <c r="O527" i="1"/>
  <c r="J1020" i="1"/>
  <c r="L1021" i="1"/>
  <c r="A1041" i="7"/>
  <c r="B1040" i="7"/>
  <c r="S1021" i="1"/>
  <c r="Z1023" i="1" s="1"/>
  <c r="K1021" i="1"/>
  <c r="AU1021" i="1"/>
  <c r="G1019" i="1"/>
  <c r="H1019" i="1" s="1"/>
  <c r="M1019" i="1"/>
  <c r="AC1020" i="1"/>
  <c r="AP1020" i="1"/>
  <c r="AK1020" i="1"/>
  <c r="AW1020" i="1"/>
  <c r="AI1020" i="1" s="1"/>
  <c r="AJ1020" i="1" s="1"/>
  <c r="A1021" i="1"/>
  <c r="AA1021" i="1"/>
  <c r="C1021" i="1"/>
  <c r="B1022" i="1"/>
  <c r="D1020" i="1"/>
  <c r="E1020" i="1"/>
  <c r="F1020" i="1" s="1"/>
  <c r="BC1020" i="1" l="1"/>
  <c r="BD1020" i="1" s="1"/>
  <c r="AE1020" i="1" s="1"/>
  <c r="BF1022" i="1"/>
  <c r="AX527" i="1"/>
  <c r="U527" i="1" s="1"/>
  <c r="AL527" i="1" s="1"/>
  <c r="AN527" i="1" s="1"/>
  <c r="AO527" i="1" s="1"/>
  <c r="AP527" i="1" s="1"/>
  <c r="BB1021" i="1"/>
  <c r="AF527" i="1"/>
  <c r="AG527" i="1" s="1"/>
  <c r="BA527" i="1" s="1"/>
  <c r="P528" i="1"/>
  <c r="BE528" i="1" s="1"/>
  <c r="I528" i="1"/>
  <c r="Q528" i="1" s="1"/>
  <c r="AT528" i="1"/>
  <c r="AS528" i="1" s="1"/>
  <c r="AM528" i="1"/>
  <c r="N528" i="1"/>
  <c r="J1021" i="1"/>
  <c r="L1022" i="1"/>
  <c r="A1042" i="7"/>
  <c r="B1041" i="7"/>
  <c r="S1022" i="1"/>
  <c r="Z1024" i="1" s="1"/>
  <c r="K1022" i="1"/>
  <c r="AU1022" i="1"/>
  <c r="D1021" i="1"/>
  <c r="E1021" i="1"/>
  <c r="F1021" i="1" s="1"/>
  <c r="M1020" i="1"/>
  <c r="AC1021" i="1"/>
  <c r="AK1021" i="1"/>
  <c r="A1022" i="1"/>
  <c r="AW1021" i="1"/>
  <c r="AI1021" i="1" s="1"/>
  <c r="AJ1021" i="1" s="1"/>
  <c r="G1020" i="1"/>
  <c r="H1020" i="1" s="1"/>
  <c r="AA1022" i="1"/>
  <c r="B1023" i="1"/>
  <c r="C1022" i="1"/>
  <c r="BC1021" i="1" l="1"/>
  <c r="BD1021" i="1" s="1"/>
  <c r="AE1021" i="1" s="1"/>
  <c r="BF1023" i="1"/>
  <c r="BB1022" i="1"/>
  <c r="AH527" i="1"/>
  <c r="O528" i="1"/>
  <c r="Y528" i="1"/>
  <c r="X528" i="1" s="1"/>
  <c r="V528" i="1"/>
  <c r="AQ528" i="1"/>
  <c r="AY528" i="1"/>
  <c r="J1022" i="1"/>
  <c r="L1023" i="1"/>
  <c r="A1043" i="7"/>
  <c r="B1042" i="7"/>
  <c r="S1023" i="1"/>
  <c r="Z1025" i="1" s="1"/>
  <c r="K1023" i="1"/>
  <c r="AU1023" i="1"/>
  <c r="AK1022" i="1"/>
  <c r="A1023" i="1"/>
  <c r="AW1022" i="1"/>
  <c r="AI1022" i="1" s="1"/>
  <c r="AJ1022" i="1" s="1"/>
  <c r="D1022" i="1"/>
  <c r="E1022" i="1"/>
  <c r="F1022" i="1" s="1"/>
  <c r="AC1022" i="1"/>
  <c r="M1021" i="1"/>
  <c r="G1021" i="1"/>
  <c r="H1021" i="1" s="1"/>
  <c r="C1023" i="1"/>
  <c r="AA1023" i="1"/>
  <c r="B1024" i="1"/>
  <c r="BC1022" i="1" l="1"/>
  <c r="BD1022" i="1" s="1"/>
  <c r="AE1022" i="1" s="1"/>
  <c r="BF1024" i="1"/>
  <c r="AX528" i="1"/>
  <c r="U528" i="1" s="1"/>
  <c r="AL528" i="1" s="1"/>
  <c r="AN528" i="1" s="1"/>
  <c r="AO528" i="1" s="1"/>
  <c r="BB1023" i="1"/>
  <c r="AF528" i="1"/>
  <c r="P529" i="1"/>
  <c r="BE529" i="1" s="1"/>
  <c r="I529" i="1"/>
  <c r="Q529" i="1" s="1"/>
  <c r="AT529" i="1"/>
  <c r="AS529" i="1" s="1"/>
  <c r="N529" i="1"/>
  <c r="AM529" i="1"/>
  <c r="J1023" i="1"/>
  <c r="L1024" i="1"/>
  <c r="A1044" i="7"/>
  <c r="B1043" i="7"/>
  <c r="S1024" i="1"/>
  <c r="Z1026" i="1" s="1"/>
  <c r="K1024" i="1"/>
  <c r="AU1024" i="1"/>
  <c r="E1023" i="1"/>
  <c r="F1023" i="1" s="1"/>
  <c r="D1023" i="1"/>
  <c r="AC1023" i="1"/>
  <c r="M1022" i="1"/>
  <c r="G1022" i="1"/>
  <c r="H1022" i="1" s="1"/>
  <c r="AA1024" i="1"/>
  <c r="B1025" i="1"/>
  <c r="C1024" i="1"/>
  <c r="AK1023" i="1"/>
  <c r="AW1023" i="1"/>
  <c r="AI1023" i="1" s="1"/>
  <c r="AJ1023" i="1" s="1"/>
  <c r="A1024" i="1"/>
  <c r="BC1023" i="1" l="1"/>
  <c r="BD1023" i="1" s="1"/>
  <c r="AE1023" i="1" s="1"/>
  <c r="BF1025" i="1"/>
  <c r="AG528" i="1"/>
  <c r="BA528" i="1" s="1"/>
  <c r="BB1024" i="1"/>
  <c r="AH528" i="1"/>
  <c r="O529" i="1"/>
  <c r="Y529" i="1"/>
  <c r="X529" i="1" s="1"/>
  <c r="AF529" i="1" s="1"/>
  <c r="V529" i="1"/>
  <c r="AY529" i="1"/>
  <c r="AQ529" i="1"/>
  <c r="J1024" i="1"/>
  <c r="L1025" i="1"/>
  <c r="A1045" i="7"/>
  <c r="B1044" i="7"/>
  <c r="S1025" i="1"/>
  <c r="Z1027" i="1" s="1"/>
  <c r="K1025" i="1"/>
  <c r="AU1025" i="1"/>
  <c r="M1023" i="1"/>
  <c r="G1023" i="1"/>
  <c r="H1023" i="1" s="1"/>
  <c r="B1026" i="1"/>
  <c r="C1025" i="1"/>
  <c r="AA1025" i="1"/>
  <c r="AK1024" i="1"/>
  <c r="A1025" i="1"/>
  <c r="AW1024" i="1"/>
  <c r="AI1024" i="1" s="1"/>
  <c r="AJ1024" i="1" s="1"/>
  <c r="D1024" i="1"/>
  <c r="E1024" i="1"/>
  <c r="F1024" i="1" s="1"/>
  <c r="AC1024" i="1"/>
  <c r="BC1024" i="1" l="1"/>
  <c r="BD1024" i="1" s="1"/>
  <c r="AE1024" i="1" s="1"/>
  <c r="BF1026" i="1"/>
  <c r="AX529" i="1"/>
  <c r="U529" i="1" s="1"/>
  <c r="AL529" i="1" s="1"/>
  <c r="AN529" i="1" s="1"/>
  <c r="AO529" i="1" s="1"/>
  <c r="AP529" i="1" s="1"/>
  <c r="BB1025" i="1"/>
  <c r="AH529" i="1"/>
  <c r="P530" i="1"/>
  <c r="BE530" i="1" s="1"/>
  <c r="N530" i="1"/>
  <c r="I530" i="1"/>
  <c r="Q530" i="1" s="1"/>
  <c r="AT530" i="1"/>
  <c r="AS530" i="1" s="1"/>
  <c r="AM530" i="1"/>
  <c r="J1025" i="1"/>
  <c r="L1026" i="1"/>
  <c r="A1046" i="7"/>
  <c r="B1045" i="7"/>
  <c r="S1026" i="1"/>
  <c r="Z1028" i="1" s="1"/>
  <c r="K1026" i="1"/>
  <c r="AU1026" i="1"/>
  <c r="M1024" i="1"/>
  <c r="D1025" i="1"/>
  <c r="E1025" i="1"/>
  <c r="F1025" i="1" s="1"/>
  <c r="C1026" i="1"/>
  <c r="AA1026" i="1"/>
  <c r="B1027" i="1"/>
  <c r="AC1025" i="1"/>
  <c r="G1024" i="1"/>
  <c r="H1024" i="1" s="1"/>
  <c r="AW1025" i="1"/>
  <c r="AI1025" i="1" s="1"/>
  <c r="AJ1025" i="1" s="1"/>
  <c r="A1026" i="1"/>
  <c r="AK1025" i="1"/>
  <c r="BC1025" i="1" l="1"/>
  <c r="BD1025" i="1" s="1"/>
  <c r="AE1025" i="1" s="1"/>
  <c r="BF1027" i="1"/>
  <c r="BB1026" i="1"/>
  <c r="AG529" i="1"/>
  <c r="BA529" i="1" s="1"/>
  <c r="O530" i="1"/>
  <c r="V530" i="1"/>
  <c r="Y530" i="1"/>
  <c r="X530" i="1" s="1"/>
  <c r="AQ530" i="1"/>
  <c r="AY530" i="1"/>
  <c r="J1026" i="1"/>
  <c r="L1027" i="1"/>
  <c r="A1047" i="7"/>
  <c r="B1046" i="7"/>
  <c r="S1027" i="1"/>
  <c r="Z1029" i="1" s="1"/>
  <c r="K1027" i="1"/>
  <c r="AU1027" i="1"/>
  <c r="G1025" i="1"/>
  <c r="H1025" i="1" s="1"/>
  <c r="D1026" i="1"/>
  <c r="E1026" i="1"/>
  <c r="F1026" i="1" s="1"/>
  <c r="AK1026" i="1"/>
  <c r="AW1026" i="1"/>
  <c r="AI1026" i="1" s="1"/>
  <c r="AJ1026" i="1" s="1"/>
  <c r="A1027" i="1"/>
  <c r="AC1026" i="1"/>
  <c r="AA1027" i="1"/>
  <c r="B1028" i="1"/>
  <c r="C1027" i="1"/>
  <c r="M1025" i="1"/>
  <c r="BC1026" i="1" l="1"/>
  <c r="BD1026" i="1" s="1"/>
  <c r="AE1026" i="1" s="1"/>
  <c r="AX530" i="1"/>
  <c r="U530" i="1" s="1"/>
  <c r="AL530" i="1" s="1"/>
  <c r="AN530" i="1" s="1"/>
  <c r="AO530" i="1" s="1"/>
  <c r="AP530" i="1" s="1"/>
  <c r="BF1028" i="1"/>
  <c r="BB1027" i="1"/>
  <c r="AF530" i="1"/>
  <c r="P531" i="1"/>
  <c r="BE531" i="1" s="1"/>
  <c r="N531" i="1"/>
  <c r="I531" i="1"/>
  <c r="Q531" i="1" s="1"/>
  <c r="AM531" i="1"/>
  <c r="AT531" i="1"/>
  <c r="AS531" i="1" s="1"/>
  <c r="J1027" i="1"/>
  <c r="L1028" i="1"/>
  <c r="A1048" i="7"/>
  <c r="B1047" i="7"/>
  <c r="S1028" i="1"/>
  <c r="Z1030" i="1" s="1"/>
  <c r="K1028" i="1"/>
  <c r="AU1028" i="1"/>
  <c r="G1026" i="1"/>
  <c r="H1026" i="1" s="1"/>
  <c r="A1028" i="1"/>
  <c r="AW1027" i="1"/>
  <c r="AI1027" i="1" s="1"/>
  <c r="AJ1027" i="1" s="1"/>
  <c r="AK1027" i="1"/>
  <c r="D1027" i="1"/>
  <c r="E1027" i="1"/>
  <c r="F1027" i="1" s="1"/>
  <c r="M1026" i="1"/>
  <c r="AA1028" i="1"/>
  <c r="C1028" i="1"/>
  <c r="B1029" i="1"/>
  <c r="AC1027" i="1"/>
  <c r="BC1027" i="1" l="1"/>
  <c r="BD1027" i="1" s="1"/>
  <c r="AE1027" i="1" s="1"/>
  <c r="BF1029" i="1"/>
  <c r="AH530" i="1"/>
  <c r="AG530" i="1"/>
  <c r="BA530" i="1" s="1"/>
  <c r="BB1028" i="1"/>
  <c r="O531" i="1"/>
  <c r="Y531" i="1"/>
  <c r="X531" i="1" s="1"/>
  <c r="V531" i="1"/>
  <c r="AY531" i="1"/>
  <c r="AQ531" i="1"/>
  <c r="J1028" i="1"/>
  <c r="L1029" i="1"/>
  <c r="A1049" i="7"/>
  <c r="B1048" i="7"/>
  <c r="S1029" i="1"/>
  <c r="Z1031" i="1" s="1"/>
  <c r="K1029" i="1"/>
  <c r="AU1029" i="1"/>
  <c r="D1028" i="1"/>
  <c r="E1028" i="1"/>
  <c r="F1028" i="1" s="1"/>
  <c r="G1027" i="1"/>
  <c r="H1027" i="1" s="1"/>
  <c r="M1027" i="1"/>
  <c r="A1029" i="1"/>
  <c r="AW1028" i="1"/>
  <c r="AI1028" i="1" s="1"/>
  <c r="AJ1028" i="1" s="1"/>
  <c r="AK1028" i="1"/>
  <c r="AA1029" i="1"/>
  <c r="B1030" i="1"/>
  <c r="C1029" i="1"/>
  <c r="AC1028" i="1"/>
  <c r="BC1028" i="1" l="1"/>
  <c r="BD1028" i="1" s="1"/>
  <c r="AE1028" i="1" s="1"/>
  <c r="AX531" i="1"/>
  <c r="U531" i="1" s="1"/>
  <c r="AL531" i="1" s="1"/>
  <c r="AN531" i="1" s="1"/>
  <c r="AO531" i="1" s="1"/>
  <c r="AP531" i="1" s="1"/>
  <c r="BF1030" i="1"/>
  <c r="BB1029" i="1"/>
  <c r="AF531" i="1"/>
  <c r="P532" i="1"/>
  <c r="BE532" i="1" s="1"/>
  <c r="AM532" i="1"/>
  <c r="N532" i="1"/>
  <c r="AT532" i="1"/>
  <c r="AS532" i="1" s="1"/>
  <c r="I532" i="1"/>
  <c r="Q532" i="1" s="1"/>
  <c r="J1029" i="1"/>
  <c r="L1030" i="1"/>
  <c r="A1050" i="7"/>
  <c r="B1049" i="7"/>
  <c r="S1030" i="1"/>
  <c r="Z1032" i="1" s="1"/>
  <c r="K1030" i="1"/>
  <c r="AU1030" i="1"/>
  <c r="G1028" i="1"/>
  <c r="H1028" i="1" s="1"/>
  <c r="E1029" i="1"/>
  <c r="F1029" i="1" s="1"/>
  <c r="D1029" i="1"/>
  <c r="M1028" i="1"/>
  <c r="C1030" i="1"/>
  <c r="AA1030" i="1"/>
  <c r="B1031" i="1"/>
  <c r="AC1029" i="1"/>
  <c r="AW1029" i="1"/>
  <c r="AI1029" i="1" s="1"/>
  <c r="AJ1029" i="1" s="1"/>
  <c r="A1030" i="1"/>
  <c r="AK1029" i="1"/>
  <c r="BC1029" i="1" l="1"/>
  <c r="BD1029" i="1" s="1"/>
  <c r="AE1029" i="1" s="1"/>
  <c r="BF1031" i="1"/>
  <c r="BB1030" i="1"/>
  <c r="AG531" i="1"/>
  <c r="BA531" i="1" s="1"/>
  <c r="AH531" i="1"/>
  <c r="O532" i="1"/>
  <c r="Y532" i="1"/>
  <c r="X532" i="1" s="1"/>
  <c r="V532" i="1"/>
  <c r="AY532" i="1"/>
  <c r="AQ532" i="1"/>
  <c r="J1030" i="1"/>
  <c r="L1031" i="1"/>
  <c r="A1051" i="7"/>
  <c r="B1050" i="7"/>
  <c r="S1031" i="1"/>
  <c r="Z1033" i="1" s="1"/>
  <c r="K1031" i="1"/>
  <c r="AU1031" i="1"/>
  <c r="G1029" i="1"/>
  <c r="H1029" i="1" s="1"/>
  <c r="AA1031" i="1"/>
  <c r="C1031" i="1"/>
  <c r="B1032" i="1"/>
  <c r="M1029" i="1"/>
  <c r="A1031" i="1"/>
  <c r="AW1030" i="1"/>
  <c r="AI1030" i="1" s="1"/>
  <c r="AJ1030" i="1" s="1"/>
  <c r="AK1030" i="1"/>
  <c r="AC1030" i="1"/>
  <c r="D1030" i="1"/>
  <c r="E1030" i="1"/>
  <c r="F1030" i="1" s="1"/>
  <c r="BC1030" i="1" l="1"/>
  <c r="BD1030" i="1" s="1"/>
  <c r="AE1030" i="1" s="1"/>
  <c r="BF1032" i="1"/>
  <c r="AX532" i="1"/>
  <c r="U532" i="1" s="1"/>
  <c r="AL532" i="1" s="1"/>
  <c r="AN532" i="1" s="1"/>
  <c r="AO532" i="1" s="1"/>
  <c r="AP532" i="1" s="1"/>
  <c r="BB1031" i="1"/>
  <c r="AF532" i="1"/>
  <c r="AG532" i="1" s="1"/>
  <c r="BA532" i="1" s="1"/>
  <c r="P533" i="1"/>
  <c r="BE533" i="1" s="1"/>
  <c r="AT533" i="1"/>
  <c r="AS533" i="1" s="1"/>
  <c r="AM533" i="1"/>
  <c r="I533" i="1"/>
  <c r="Q533" i="1" s="1"/>
  <c r="N533" i="1"/>
  <c r="J1031" i="1"/>
  <c r="L1032" i="1"/>
  <c r="A1052" i="7"/>
  <c r="B1051" i="7"/>
  <c r="S1032" i="1"/>
  <c r="Z1034" i="1" s="1"/>
  <c r="K1032" i="1"/>
  <c r="AU1032" i="1"/>
  <c r="A1032" i="1"/>
  <c r="AK1031" i="1"/>
  <c r="AW1031" i="1"/>
  <c r="AI1031" i="1" s="1"/>
  <c r="AJ1031" i="1" s="1"/>
  <c r="B1033" i="1"/>
  <c r="AA1032" i="1"/>
  <c r="C1032" i="1"/>
  <c r="AC1031" i="1"/>
  <c r="D1031" i="1"/>
  <c r="E1031" i="1"/>
  <c r="F1031" i="1" s="1"/>
  <c r="G1030" i="1"/>
  <c r="H1030" i="1" s="1"/>
  <c r="M1030" i="1"/>
  <c r="BC1031" i="1" l="1"/>
  <c r="BD1031" i="1" s="1"/>
  <c r="AE1031" i="1" s="1"/>
  <c r="BF1033" i="1"/>
  <c r="AH532" i="1"/>
  <c r="BB1032" i="1"/>
  <c r="O533" i="1"/>
  <c r="V533" i="1"/>
  <c r="Y533" i="1"/>
  <c r="X533" i="1" s="1"/>
  <c r="AY533" i="1"/>
  <c r="AQ533" i="1"/>
  <c r="J1032" i="1"/>
  <c r="L1033" i="1"/>
  <c r="A1053" i="7"/>
  <c r="B1052" i="7"/>
  <c r="S1033" i="1"/>
  <c r="Z1035" i="1" s="1"/>
  <c r="K1033" i="1"/>
  <c r="AU1033" i="1"/>
  <c r="G1031" i="1"/>
  <c r="H1031" i="1" s="1"/>
  <c r="AC1032" i="1"/>
  <c r="E1032" i="1"/>
  <c r="F1032" i="1" s="1"/>
  <c r="D1032" i="1"/>
  <c r="B1034" i="1"/>
  <c r="AA1033" i="1"/>
  <c r="C1033" i="1"/>
  <c r="M1031" i="1"/>
  <c r="AW1032" i="1"/>
  <c r="AI1032" i="1" s="1"/>
  <c r="AJ1032" i="1" s="1"/>
  <c r="AK1032" i="1"/>
  <c r="A1033" i="1"/>
  <c r="AP1032" i="1"/>
  <c r="BC1032" i="1" l="1"/>
  <c r="BD1032" i="1" s="1"/>
  <c r="AE1032" i="1" s="1"/>
  <c r="BF1034" i="1"/>
  <c r="AX533" i="1"/>
  <c r="U533" i="1" s="1"/>
  <c r="AL533" i="1" s="1"/>
  <c r="AN533" i="1" s="1"/>
  <c r="AO533" i="1" s="1"/>
  <c r="AP533" i="1" s="1"/>
  <c r="BB1033" i="1"/>
  <c r="AF533" i="1"/>
  <c r="AG533" i="1" s="1"/>
  <c r="BA533" i="1" s="1"/>
  <c r="P534" i="1"/>
  <c r="BE534" i="1" s="1"/>
  <c r="N534" i="1"/>
  <c r="I534" i="1"/>
  <c r="Q534" i="1" s="1"/>
  <c r="AT534" i="1"/>
  <c r="AS534" i="1" s="1"/>
  <c r="AM534" i="1"/>
  <c r="J1033" i="1"/>
  <c r="L1034" i="1"/>
  <c r="A1054" i="7"/>
  <c r="B1053" i="7"/>
  <c r="S1034" i="1"/>
  <c r="Z1036" i="1" s="1"/>
  <c r="K1034" i="1"/>
  <c r="AU1034" i="1"/>
  <c r="D1033" i="1"/>
  <c r="E1033" i="1"/>
  <c r="F1033" i="1" s="1"/>
  <c r="B1035" i="1"/>
  <c r="C1034" i="1"/>
  <c r="AA1034" i="1"/>
  <c r="M1032" i="1"/>
  <c r="AK1033" i="1"/>
  <c r="A1034" i="1"/>
  <c r="AW1033" i="1"/>
  <c r="AI1033" i="1" s="1"/>
  <c r="AJ1033" i="1" s="1"/>
  <c r="G1032" i="1"/>
  <c r="H1032" i="1" s="1"/>
  <c r="AC1033" i="1"/>
  <c r="BC1033" i="1" l="1"/>
  <c r="BD1033" i="1" s="1"/>
  <c r="AE1033" i="1" s="1"/>
  <c r="BF1035" i="1"/>
  <c r="AC1034" i="1"/>
  <c r="AH533" i="1"/>
  <c r="BB1034" i="1"/>
  <c r="O534" i="1"/>
  <c r="Y534" i="1"/>
  <c r="X534" i="1" s="1"/>
  <c r="AF534" i="1" s="1"/>
  <c r="V534" i="1"/>
  <c r="AY534" i="1"/>
  <c r="AQ534" i="1"/>
  <c r="J1034" i="1"/>
  <c r="L1035" i="1"/>
  <c r="A1055" i="7"/>
  <c r="B1054" i="7"/>
  <c r="S1035" i="1"/>
  <c r="Z1037" i="1" s="1"/>
  <c r="K1035" i="1"/>
  <c r="AU1035" i="1"/>
  <c r="AK1034" i="1"/>
  <c r="A1035" i="1"/>
  <c r="AW1034" i="1"/>
  <c r="AI1034" i="1" s="1"/>
  <c r="AJ1034" i="1" s="1"/>
  <c r="D1034" i="1"/>
  <c r="E1034" i="1"/>
  <c r="F1034" i="1" s="1"/>
  <c r="M1033" i="1"/>
  <c r="B1036" i="1"/>
  <c r="AA1035" i="1"/>
  <c r="C1035" i="1"/>
  <c r="G1033" i="1"/>
  <c r="H1033" i="1" s="1"/>
  <c r="BC1034" i="1" l="1"/>
  <c r="BD1034" i="1" s="1"/>
  <c r="AE1034" i="1" s="1"/>
  <c r="BF1036" i="1"/>
  <c r="AX534" i="1"/>
  <c r="U534" i="1" s="1"/>
  <c r="AL534" i="1" s="1"/>
  <c r="AN534" i="1" s="1"/>
  <c r="AO534" i="1" s="1"/>
  <c r="AP534" i="1" s="1"/>
  <c r="BB1035" i="1"/>
  <c r="AH534" i="1"/>
  <c r="AG534" i="1"/>
  <c r="BA534" i="1" s="1"/>
  <c r="P535" i="1"/>
  <c r="BE535" i="1" s="1"/>
  <c r="AM535" i="1"/>
  <c r="AT535" i="1"/>
  <c r="AS535" i="1" s="1"/>
  <c r="I535" i="1"/>
  <c r="Q535" i="1" s="1"/>
  <c r="N535" i="1"/>
  <c r="J1035" i="1"/>
  <c r="L1036" i="1"/>
  <c r="A1056" i="7"/>
  <c r="B1055" i="7"/>
  <c r="S1036" i="1"/>
  <c r="Z1038" i="1" s="1"/>
  <c r="K1036" i="1"/>
  <c r="AU1036" i="1"/>
  <c r="AC1035" i="1"/>
  <c r="G1034" i="1"/>
  <c r="H1034" i="1" s="1"/>
  <c r="E1035" i="1"/>
  <c r="F1035" i="1" s="1"/>
  <c r="D1035" i="1"/>
  <c r="C1036" i="1"/>
  <c r="AA1036" i="1"/>
  <c r="B1037" i="1"/>
  <c r="AK1035" i="1"/>
  <c r="AW1035" i="1"/>
  <c r="AI1035" i="1" s="1"/>
  <c r="AJ1035" i="1" s="1"/>
  <c r="A1036" i="1"/>
  <c r="M1034" i="1"/>
  <c r="BC1035" i="1" l="1"/>
  <c r="BD1035" i="1" s="1"/>
  <c r="AE1035" i="1" s="1"/>
  <c r="BF1037" i="1"/>
  <c r="BB1036" i="1"/>
  <c r="V535" i="1"/>
  <c r="Y535" i="1"/>
  <c r="X535" i="1" s="1"/>
  <c r="AQ535" i="1"/>
  <c r="AY535" i="1"/>
  <c r="O535" i="1"/>
  <c r="J1036" i="1"/>
  <c r="L1037" i="1"/>
  <c r="A1057" i="7"/>
  <c r="B1056" i="7"/>
  <c r="S1037" i="1"/>
  <c r="Z1039" i="1" s="1"/>
  <c r="K1037" i="1"/>
  <c r="AU1037" i="1"/>
  <c r="M1035" i="1"/>
  <c r="AC1036" i="1"/>
  <c r="D1036" i="1"/>
  <c r="E1036" i="1"/>
  <c r="F1036" i="1" s="1"/>
  <c r="G1035" i="1"/>
  <c r="H1035" i="1" s="1"/>
  <c r="AW1036" i="1"/>
  <c r="AI1036" i="1" s="1"/>
  <c r="AJ1036" i="1" s="1"/>
  <c r="A1037" i="1"/>
  <c r="AK1036" i="1"/>
  <c r="B1038" i="1"/>
  <c r="C1037" i="1"/>
  <c r="AA1037" i="1"/>
  <c r="BC1036" i="1" l="1"/>
  <c r="BD1036" i="1" s="1"/>
  <c r="AE1036" i="1" s="1"/>
  <c r="BF1038" i="1"/>
  <c r="AX535" i="1"/>
  <c r="U535" i="1" s="1"/>
  <c r="AL535" i="1" s="1"/>
  <c r="AN535" i="1" s="1"/>
  <c r="AO535" i="1" s="1"/>
  <c r="AP535" i="1" s="1"/>
  <c r="BB1037" i="1"/>
  <c r="AF535" i="1"/>
  <c r="P536" i="1"/>
  <c r="BE536" i="1" s="1"/>
  <c r="AM536" i="1"/>
  <c r="N536" i="1"/>
  <c r="AT536" i="1"/>
  <c r="AS536" i="1" s="1"/>
  <c r="I536" i="1"/>
  <c r="Q536" i="1" s="1"/>
  <c r="J1037" i="1"/>
  <c r="L1038" i="1"/>
  <c r="A1058" i="7"/>
  <c r="B1057" i="7"/>
  <c r="S1038" i="1"/>
  <c r="Z1040" i="1" s="1"/>
  <c r="K1038" i="1"/>
  <c r="AU1038" i="1"/>
  <c r="AC1037" i="1"/>
  <c r="C1038" i="1"/>
  <c r="AA1038" i="1"/>
  <c r="B1039" i="1"/>
  <c r="M1036" i="1"/>
  <c r="G1036" i="1"/>
  <c r="H1036" i="1" s="1"/>
  <c r="D1037" i="1"/>
  <c r="E1037" i="1"/>
  <c r="F1037" i="1" s="1"/>
  <c r="AK1037" i="1"/>
  <c r="A1038" i="1"/>
  <c r="AW1037" i="1"/>
  <c r="AI1037" i="1" s="1"/>
  <c r="AJ1037" i="1" s="1"/>
  <c r="BC1037" i="1" l="1"/>
  <c r="BD1037" i="1" s="1"/>
  <c r="AE1037" i="1" s="1"/>
  <c r="BF1039" i="1"/>
  <c r="BB1038" i="1"/>
  <c r="AH535" i="1"/>
  <c r="AG535" i="1"/>
  <c r="BA535" i="1" s="1"/>
  <c r="O536" i="1"/>
  <c r="Y536" i="1"/>
  <c r="X536" i="1" s="1"/>
  <c r="V536" i="1"/>
  <c r="AY536" i="1"/>
  <c r="AQ536" i="1"/>
  <c r="J1038" i="1"/>
  <c r="L1039" i="1"/>
  <c r="A1059" i="7"/>
  <c r="B1058" i="7"/>
  <c r="S1039" i="1"/>
  <c r="Z1041" i="1" s="1"/>
  <c r="K1039" i="1"/>
  <c r="AU1039" i="1"/>
  <c r="G1037" i="1"/>
  <c r="H1037" i="1" s="1"/>
  <c r="AC1038" i="1"/>
  <c r="D1038" i="1"/>
  <c r="E1038" i="1"/>
  <c r="F1038" i="1" s="1"/>
  <c r="A1039" i="1"/>
  <c r="AK1038" i="1"/>
  <c r="AW1038" i="1"/>
  <c r="AI1038" i="1" s="1"/>
  <c r="AJ1038" i="1" s="1"/>
  <c r="C1039" i="1"/>
  <c r="AA1039" i="1"/>
  <c r="B1040" i="1"/>
  <c r="M1037" i="1"/>
  <c r="BC1038" i="1" l="1"/>
  <c r="BD1038" i="1" s="1"/>
  <c r="AE1038" i="1" s="1"/>
  <c r="BF1040" i="1"/>
  <c r="AX536" i="1"/>
  <c r="U536" i="1" s="1"/>
  <c r="AL536" i="1" s="1"/>
  <c r="AN536" i="1" s="1"/>
  <c r="AO536" i="1" s="1"/>
  <c r="AP536" i="1" s="1"/>
  <c r="BB1039" i="1"/>
  <c r="AF536" i="1"/>
  <c r="AG536" i="1" s="1"/>
  <c r="BA536" i="1" s="1"/>
  <c r="AT537" i="1"/>
  <c r="AS537" i="1" s="1"/>
  <c r="N537" i="1"/>
  <c r="I537" i="1"/>
  <c r="Q537" i="1" s="1"/>
  <c r="AM537" i="1"/>
  <c r="P537" i="1"/>
  <c r="BE537" i="1" s="1"/>
  <c r="J1039" i="1"/>
  <c r="L1040" i="1"/>
  <c r="A1060" i="7"/>
  <c r="B1059" i="7"/>
  <c r="S1040" i="1"/>
  <c r="Z1042" i="1" s="1"/>
  <c r="K1040" i="1"/>
  <c r="AU1040" i="1"/>
  <c r="D1039" i="1"/>
  <c r="E1039" i="1"/>
  <c r="F1039" i="1" s="1"/>
  <c r="B1041" i="1"/>
  <c r="C1040" i="1"/>
  <c r="AA1040" i="1"/>
  <c r="AC1039" i="1"/>
  <c r="M1038" i="1"/>
  <c r="AW1039" i="1"/>
  <c r="AI1039" i="1" s="1"/>
  <c r="AJ1039" i="1" s="1"/>
  <c r="A1040" i="1"/>
  <c r="AK1039" i="1"/>
  <c r="G1038" i="1"/>
  <c r="H1038" i="1" s="1"/>
  <c r="BC1039" i="1" l="1"/>
  <c r="BD1039" i="1" s="1"/>
  <c r="AE1039" i="1" s="1"/>
  <c r="BF1041" i="1"/>
  <c r="AH536" i="1"/>
  <c r="BB1040" i="1"/>
  <c r="O537" i="1"/>
  <c r="AQ537" i="1"/>
  <c r="V537" i="1"/>
  <c r="Y537" i="1"/>
  <c r="X537" i="1" s="1"/>
  <c r="AY537" i="1"/>
  <c r="J1040" i="1"/>
  <c r="L1041" i="1"/>
  <c r="A1061" i="7"/>
  <c r="B1060" i="7"/>
  <c r="S1041" i="1"/>
  <c r="Z1043" i="1" s="1"/>
  <c r="K1041" i="1"/>
  <c r="AU1041" i="1"/>
  <c r="AW1040" i="1"/>
  <c r="AI1040" i="1" s="1"/>
  <c r="AJ1040" i="1" s="1"/>
  <c r="AK1040" i="1"/>
  <c r="A1041" i="1"/>
  <c r="AC1040" i="1"/>
  <c r="D1040" i="1"/>
  <c r="E1040" i="1"/>
  <c r="F1040" i="1" s="1"/>
  <c r="B1042" i="1"/>
  <c r="AA1041" i="1"/>
  <c r="C1041" i="1"/>
  <c r="G1039" i="1"/>
  <c r="H1039" i="1" s="1"/>
  <c r="M1039" i="1"/>
  <c r="BC1040" i="1" l="1"/>
  <c r="BD1040" i="1" s="1"/>
  <c r="AE1040" i="1" s="1"/>
  <c r="BF1042" i="1"/>
  <c r="AX537" i="1"/>
  <c r="U537" i="1" s="1"/>
  <c r="AL537" i="1" s="1"/>
  <c r="AN537" i="1" s="1"/>
  <c r="AO537" i="1" s="1"/>
  <c r="AP537" i="1" s="1"/>
  <c r="BB1041" i="1"/>
  <c r="AF537" i="1"/>
  <c r="AG537" i="1" s="1"/>
  <c r="BA537" i="1" s="1"/>
  <c r="P538" i="1"/>
  <c r="BE538" i="1" s="1"/>
  <c r="I538" i="1"/>
  <c r="Q538" i="1" s="1"/>
  <c r="N538" i="1"/>
  <c r="AT538" i="1"/>
  <c r="AS538" i="1" s="1"/>
  <c r="AM538" i="1"/>
  <c r="J1041" i="1"/>
  <c r="L1042" i="1"/>
  <c r="A1062" i="7"/>
  <c r="B1061" i="7"/>
  <c r="S1042" i="1"/>
  <c r="Z1044" i="1" s="1"/>
  <c r="K1042" i="1"/>
  <c r="AU1042" i="1"/>
  <c r="G1040" i="1"/>
  <c r="H1040" i="1" s="1"/>
  <c r="M1040" i="1"/>
  <c r="AC1041" i="1"/>
  <c r="E1041" i="1"/>
  <c r="F1041" i="1" s="1"/>
  <c r="D1041" i="1"/>
  <c r="C1042" i="1"/>
  <c r="AA1042" i="1"/>
  <c r="B1043" i="1"/>
  <c r="A1042" i="1"/>
  <c r="AW1041" i="1"/>
  <c r="AI1041" i="1" s="1"/>
  <c r="AJ1041" i="1" s="1"/>
  <c r="AK1041" i="1"/>
  <c r="BC1041" i="1" l="1"/>
  <c r="BD1041" i="1" s="1"/>
  <c r="AE1041" i="1" s="1"/>
  <c r="BF1043" i="1"/>
  <c r="BB1042" i="1"/>
  <c r="AH537" i="1"/>
  <c r="O538" i="1"/>
  <c r="AQ538" i="1"/>
  <c r="V538" i="1"/>
  <c r="AY538" i="1"/>
  <c r="Y538" i="1"/>
  <c r="X538" i="1" s="1"/>
  <c r="J1042" i="1"/>
  <c r="L1043" i="1"/>
  <c r="A1063" i="7"/>
  <c r="B1062" i="7"/>
  <c r="S1043" i="1"/>
  <c r="Z1045" i="1" s="1"/>
  <c r="K1043" i="1"/>
  <c r="AU1043" i="1"/>
  <c r="B1044" i="1"/>
  <c r="C1043" i="1"/>
  <c r="AA1043" i="1"/>
  <c r="G1041" i="1"/>
  <c r="H1041" i="1" s="1"/>
  <c r="AC1042" i="1"/>
  <c r="AK1042" i="1"/>
  <c r="A1043" i="1"/>
  <c r="AW1042" i="1"/>
  <c r="AI1042" i="1" s="1"/>
  <c r="AJ1042" i="1" s="1"/>
  <c r="M1041" i="1"/>
  <c r="E1042" i="1"/>
  <c r="F1042" i="1" s="1"/>
  <c r="D1042" i="1"/>
  <c r="BC1042" i="1" l="1"/>
  <c r="BD1042" i="1" s="1"/>
  <c r="AE1042" i="1" s="1"/>
  <c r="AX538" i="1"/>
  <c r="U538" i="1" s="1"/>
  <c r="AL538" i="1" s="1"/>
  <c r="AN538" i="1" s="1"/>
  <c r="AO538" i="1" s="1"/>
  <c r="AP538" i="1" s="1"/>
  <c r="BF1044" i="1"/>
  <c r="BB1043" i="1"/>
  <c r="AF538" i="1"/>
  <c r="AG538" i="1" s="1"/>
  <c r="BA538" i="1" s="1"/>
  <c r="AT539" i="1"/>
  <c r="AS539" i="1" s="1"/>
  <c r="I539" i="1"/>
  <c r="Q539" i="1" s="1"/>
  <c r="N539" i="1"/>
  <c r="AM539" i="1"/>
  <c r="P539" i="1"/>
  <c r="BE539" i="1" s="1"/>
  <c r="J1043" i="1"/>
  <c r="L1044" i="1"/>
  <c r="A1064" i="7"/>
  <c r="B1063" i="7"/>
  <c r="S1044" i="1"/>
  <c r="Z1046" i="1" s="1"/>
  <c r="K1044" i="1"/>
  <c r="AU1044" i="1"/>
  <c r="AC1043" i="1"/>
  <c r="M1042" i="1"/>
  <c r="AW1043" i="1"/>
  <c r="AI1043" i="1" s="1"/>
  <c r="AJ1043" i="1" s="1"/>
  <c r="AK1043" i="1"/>
  <c r="A1044" i="1"/>
  <c r="AA1044" i="1"/>
  <c r="C1044" i="1"/>
  <c r="B1045" i="1"/>
  <c r="G1042" i="1"/>
  <c r="H1042" i="1" s="1"/>
  <c r="E1043" i="1"/>
  <c r="F1043" i="1" s="1"/>
  <c r="D1043" i="1"/>
  <c r="BC1043" i="1" l="1"/>
  <c r="BD1043" i="1" s="1"/>
  <c r="AE1043" i="1" s="1"/>
  <c r="BF1045" i="1"/>
  <c r="BB1044" i="1"/>
  <c r="AH538" i="1"/>
  <c r="O539" i="1"/>
  <c r="AQ539" i="1"/>
  <c r="AY539" i="1"/>
  <c r="V539" i="1"/>
  <c r="Y539" i="1"/>
  <c r="X539" i="1" s="1"/>
  <c r="J1044" i="1"/>
  <c r="L1045" i="1"/>
  <c r="A1065" i="7"/>
  <c r="B1064" i="7"/>
  <c r="S1045" i="1"/>
  <c r="Z1047" i="1" s="1"/>
  <c r="K1045" i="1"/>
  <c r="AU1045" i="1"/>
  <c r="D1044" i="1"/>
  <c r="E1044" i="1"/>
  <c r="F1044" i="1" s="1"/>
  <c r="C1045" i="1"/>
  <c r="B1046" i="1"/>
  <c r="AA1045" i="1"/>
  <c r="G1043" i="1"/>
  <c r="H1043" i="1" s="1"/>
  <c r="M1043" i="1"/>
  <c r="AC1044" i="1"/>
  <c r="A1045" i="1"/>
  <c r="AW1044" i="1"/>
  <c r="AI1044" i="1" s="1"/>
  <c r="AJ1044" i="1" s="1"/>
  <c r="AP1044" i="1"/>
  <c r="AK1044" i="1"/>
  <c r="BC1044" i="1" l="1"/>
  <c r="BD1044" i="1" s="1"/>
  <c r="AE1044" i="1" s="1"/>
  <c r="AX539" i="1"/>
  <c r="U539" i="1" s="1"/>
  <c r="AL539" i="1" s="1"/>
  <c r="AN539" i="1" s="1"/>
  <c r="AO539" i="1" s="1"/>
  <c r="AP539" i="1" s="1"/>
  <c r="BF1046" i="1"/>
  <c r="BB1045" i="1"/>
  <c r="AF539" i="1"/>
  <c r="AG539" i="1" s="1"/>
  <c r="BA539" i="1" s="1"/>
  <c r="N540" i="1"/>
  <c r="I540" i="1"/>
  <c r="Q540" i="1" s="1"/>
  <c r="AM540" i="1"/>
  <c r="AT540" i="1"/>
  <c r="AS540" i="1" s="1"/>
  <c r="P540" i="1"/>
  <c r="BE540" i="1" s="1"/>
  <c r="J1045" i="1"/>
  <c r="L1046" i="1"/>
  <c r="A1066" i="7"/>
  <c r="B1065" i="7"/>
  <c r="S1046" i="1"/>
  <c r="Z1048" i="1" s="1"/>
  <c r="K1046" i="1"/>
  <c r="AU1046" i="1"/>
  <c r="M1044" i="1"/>
  <c r="B1047" i="1"/>
  <c r="AA1046" i="1"/>
  <c r="C1046" i="1"/>
  <c r="G1044" i="1"/>
  <c r="H1044" i="1" s="1"/>
  <c r="AC1045" i="1"/>
  <c r="D1045" i="1"/>
  <c r="E1045" i="1"/>
  <c r="F1045" i="1" s="1"/>
  <c r="AK1045" i="1"/>
  <c r="A1046" i="1"/>
  <c r="AW1045" i="1"/>
  <c r="AI1045" i="1" s="1"/>
  <c r="AJ1045" i="1" s="1"/>
  <c r="BC1045" i="1" l="1"/>
  <c r="BD1045" i="1" s="1"/>
  <c r="AE1045" i="1" s="1"/>
  <c r="BF1047" i="1"/>
  <c r="AC1046" i="1"/>
  <c r="BB1046" i="1"/>
  <c r="AH539" i="1"/>
  <c r="O540" i="1"/>
  <c r="AQ540" i="1"/>
  <c r="AY540" i="1"/>
  <c r="V540" i="1"/>
  <c r="Y540" i="1"/>
  <c r="X540" i="1" s="1"/>
  <c r="AF540" i="1" s="1"/>
  <c r="J1046" i="1"/>
  <c r="L1047" i="1"/>
  <c r="A1067" i="7"/>
  <c r="B1066" i="7"/>
  <c r="S1047" i="1"/>
  <c r="Z1049" i="1" s="1"/>
  <c r="K1047" i="1"/>
  <c r="AU1047" i="1"/>
  <c r="D1046" i="1"/>
  <c r="E1046" i="1"/>
  <c r="F1046" i="1" s="1"/>
  <c r="AK1046" i="1"/>
  <c r="A1047" i="1"/>
  <c r="AW1046" i="1"/>
  <c r="AI1046" i="1" s="1"/>
  <c r="AJ1046" i="1" s="1"/>
  <c r="M1045" i="1"/>
  <c r="AA1047" i="1"/>
  <c r="B1048" i="1"/>
  <c r="C1047" i="1"/>
  <c r="G1045" i="1"/>
  <c r="H1045" i="1" s="1"/>
  <c r="BC1046" i="1" l="1"/>
  <c r="BD1046" i="1" s="1"/>
  <c r="AE1046" i="1" s="1"/>
  <c r="BF1048" i="1"/>
  <c r="AX540" i="1"/>
  <c r="U540" i="1" s="1"/>
  <c r="AL540" i="1" s="1"/>
  <c r="AN540" i="1" s="1"/>
  <c r="AO540" i="1" s="1"/>
  <c r="BB1047" i="1"/>
  <c r="P541" i="1"/>
  <c r="BE541" i="1" s="1"/>
  <c r="AT541" i="1"/>
  <c r="AS541" i="1" s="1"/>
  <c r="AM541" i="1"/>
  <c r="I541" i="1"/>
  <c r="Q541" i="1" s="1"/>
  <c r="N541" i="1"/>
  <c r="AG540" i="1"/>
  <c r="BA540" i="1" s="1"/>
  <c r="AH540" i="1"/>
  <c r="J1047" i="1"/>
  <c r="L1048" i="1"/>
  <c r="A1068" i="7"/>
  <c r="B1067" i="7"/>
  <c r="S1048" i="1"/>
  <c r="Z1050" i="1" s="1"/>
  <c r="K1048" i="1"/>
  <c r="AU1048" i="1"/>
  <c r="C1048" i="1"/>
  <c r="AA1048" i="1"/>
  <c r="B1049" i="1"/>
  <c r="AC1047" i="1"/>
  <c r="G1046" i="1"/>
  <c r="H1046" i="1" s="1"/>
  <c r="D1047" i="1"/>
  <c r="E1047" i="1"/>
  <c r="F1047" i="1" s="1"/>
  <c r="M1046" i="1"/>
  <c r="AK1047" i="1"/>
  <c r="AW1047" i="1"/>
  <c r="AI1047" i="1" s="1"/>
  <c r="AJ1047" i="1" s="1"/>
  <c r="A1048" i="1"/>
  <c r="BC1047" i="1" l="1"/>
  <c r="BD1047" i="1" s="1"/>
  <c r="AE1047" i="1" s="1"/>
  <c r="BF1049" i="1"/>
  <c r="BB1048" i="1"/>
  <c r="O541" i="1"/>
  <c r="V541" i="1"/>
  <c r="Y541" i="1"/>
  <c r="X541" i="1" s="1"/>
  <c r="AY541" i="1"/>
  <c r="AQ541" i="1"/>
  <c r="J1048" i="1"/>
  <c r="L1049" i="1"/>
  <c r="A1069" i="7"/>
  <c r="B1068" i="7"/>
  <c r="S1049" i="1"/>
  <c r="Z1051" i="1" s="1"/>
  <c r="K1049" i="1"/>
  <c r="AU1049" i="1"/>
  <c r="C1049" i="1"/>
  <c r="B1050" i="1"/>
  <c r="AA1049" i="1"/>
  <c r="G1047" i="1"/>
  <c r="H1047" i="1" s="1"/>
  <c r="AC1048" i="1"/>
  <c r="M1047" i="1"/>
  <c r="A1049" i="1"/>
  <c r="AW1048" i="1"/>
  <c r="AI1048" i="1" s="1"/>
  <c r="AJ1048" i="1" s="1"/>
  <c r="AK1048" i="1"/>
  <c r="D1048" i="1"/>
  <c r="E1048" i="1"/>
  <c r="F1048" i="1" s="1"/>
  <c r="BC1048" i="1" l="1"/>
  <c r="BD1048" i="1" s="1"/>
  <c r="AE1048" i="1" s="1"/>
  <c r="AX541" i="1"/>
  <c r="U541" i="1" s="1"/>
  <c r="AL541" i="1" s="1"/>
  <c r="AN541" i="1" s="1"/>
  <c r="AO541" i="1" s="1"/>
  <c r="AP541" i="1" s="1"/>
  <c r="BF1050" i="1"/>
  <c r="BB1049" i="1"/>
  <c r="AF541" i="1"/>
  <c r="AG541" i="1" s="1"/>
  <c r="BA541" i="1" s="1"/>
  <c r="I542" i="1"/>
  <c r="Q542" i="1" s="1"/>
  <c r="AM542" i="1"/>
  <c r="P542" i="1"/>
  <c r="BE542" i="1" s="1"/>
  <c r="N542" i="1"/>
  <c r="AT542" i="1"/>
  <c r="AS542" i="1" s="1"/>
  <c r="J1049" i="1"/>
  <c r="L1050" i="1"/>
  <c r="A1070" i="7"/>
  <c r="B1069" i="7"/>
  <c r="S1050" i="1"/>
  <c r="Z1052" i="1" s="1"/>
  <c r="K1050" i="1"/>
  <c r="AU1050" i="1"/>
  <c r="G1048" i="1"/>
  <c r="H1048" i="1" s="1"/>
  <c r="AC1049" i="1"/>
  <c r="AK1049" i="1"/>
  <c r="A1050" i="1"/>
  <c r="AW1049" i="1"/>
  <c r="AI1049" i="1" s="1"/>
  <c r="AJ1049" i="1" s="1"/>
  <c r="E1049" i="1"/>
  <c r="F1049" i="1" s="1"/>
  <c r="D1049" i="1"/>
  <c r="C1050" i="1"/>
  <c r="AA1050" i="1"/>
  <c r="B1051" i="1"/>
  <c r="M1048" i="1"/>
  <c r="BC1049" i="1" l="1"/>
  <c r="BD1049" i="1" s="1"/>
  <c r="AE1049" i="1" s="1"/>
  <c r="BF1051" i="1"/>
  <c r="AH541" i="1"/>
  <c r="BB1050" i="1"/>
  <c r="O542" i="1"/>
  <c r="P543" i="1" s="1"/>
  <c r="BE543" i="1" s="1"/>
  <c r="Y542" i="1"/>
  <c r="X542" i="1" s="1"/>
  <c r="AQ542" i="1"/>
  <c r="V542" i="1"/>
  <c r="AY542" i="1"/>
  <c r="J1050" i="1"/>
  <c r="L1051" i="1"/>
  <c r="A1071" i="7"/>
  <c r="B1070" i="7"/>
  <c r="S1051" i="1"/>
  <c r="Z1053" i="1" s="1"/>
  <c r="K1051" i="1"/>
  <c r="AU1051" i="1"/>
  <c r="M1049" i="1"/>
  <c r="AC1050" i="1"/>
  <c r="D1050" i="1"/>
  <c r="E1050" i="1"/>
  <c r="F1050" i="1" s="1"/>
  <c r="AW1050" i="1"/>
  <c r="AI1050" i="1" s="1"/>
  <c r="AJ1050" i="1" s="1"/>
  <c r="A1051" i="1"/>
  <c r="AK1050" i="1"/>
  <c r="B1052" i="1"/>
  <c r="AA1051" i="1"/>
  <c r="C1051" i="1"/>
  <c r="G1049" i="1"/>
  <c r="H1049" i="1" s="1"/>
  <c r="BC1050" i="1" l="1"/>
  <c r="BD1050" i="1" s="1"/>
  <c r="AE1050" i="1" s="1"/>
  <c r="AX542" i="1"/>
  <c r="U542" i="1" s="1"/>
  <c r="AL542" i="1" s="1"/>
  <c r="AN542" i="1" s="1"/>
  <c r="AO542" i="1" s="1"/>
  <c r="AP542" i="1" s="1"/>
  <c r="BF1052" i="1"/>
  <c r="BB1051" i="1"/>
  <c r="AF542" i="1"/>
  <c r="AT543" i="1"/>
  <c r="AS543" i="1" s="1"/>
  <c r="AQ543" i="1" s="1"/>
  <c r="N543" i="1"/>
  <c r="I543" i="1"/>
  <c r="Q543" i="1" s="1"/>
  <c r="AM543" i="1"/>
  <c r="V543" i="1"/>
  <c r="AY543" i="1"/>
  <c r="Y543" i="1"/>
  <c r="X543" i="1" s="1"/>
  <c r="AF543" i="1" s="1"/>
  <c r="J1051" i="1"/>
  <c r="L1052" i="1"/>
  <c r="A1072" i="7"/>
  <c r="B1071" i="7"/>
  <c r="S1052" i="1"/>
  <c r="Z1054" i="1" s="1"/>
  <c r="K1052" i="1"/>
  <c r="AU1052" i="1"/>
  <c r="M1050" i="1"/>
  <c r="A1052" i="1"/>
  <c r="AW1051" i="1"/>
  <c r="AI1051" i="1" s="1"/>
  <c r="AJ1051" i="1" s="1"/>
  <c r="AK1051" i="1"/>
  <c r="AA1052" i="1"/>
  <c r="C1052" i="1"/>
  <c r="B1053" i="1"/>
  <c r="AC1051" i="1"/>
  <c r="D1051" i="1"/>
  <c r="E1051" i="1"/>
  <c r="F1051" i="1" s="1"/>
  <c r="G1050" i="1"/>
  <c r="H1050" i="1" s="1"/>
  <c r="BC1051" i="1" l="1"/>
  <c r="BD1051" i="1" s="1"/>
  <c r="AE1051" i="1" s="1"/>
  <c r="BF1053" i="1"/>
  <c r="AG542" i="1"/>
  <c r="BA542" i="1" s="1"/>
  <c r="BB1052" i="1"/>
  <c r="AH542" i="1"/>
  <c r="O543" i="1"/>
  <c r="AH543" i="1" s="1"/>
  <c r="J1052" i="1"/>
  <c r="AG543" i="1"/>
  <c r="L1053" i="1"/>
  <c r="A1073" i="7"/>
  <c r="B1072" i="7"/>
  <c r="S1053" i="1"/>
  <c r="Z1055" i="1" s="1"/>
  <c r="K1053" i="1"/>
  <c r="AU1053" i="1"/>
  <c r="M1051" i="1"/>
  <c r="AK1052" i="1"/>
  <c r="A1053" i="1"/>
  <c r="AW1052" i="1"/>
  <c r="AI1052" i="1" s="1"/>
  <c r="AJ1052" i="1" s="1"/>
  <c r="G1051" i="1"/>
  <c r="H1051" i="1" s="1"/>
  <c r="E1052" i="1"/>
  <c r="F1052" i="1" s="1"/>
  <c r="D1052" i="1"/>
  <c r="B1054" i="1"/>
  <c r="AA1053" i="1"/>
  <c r="C1053" i="1"/>
  <c r="AC1052" i="1"/>
  <c r="BC1052" i="1" l="1"/>
  <c r="BD1052" i="1" s="1"/>
  <c r="AE1052" i="1" s="1"/>
  <c r="BF1054" i="1"/>
  <c r="AX543" i="1"/>
  <c r="U543" i="1" s="1"/>
  <c r="AL543" i="1" s="1"/>
  <c r="AN543" i="1" s="1"/>
  <c r="AO543" i="1" s="1"/>
  <c r="AP543" i="1" s="1"/>
  <c r="AC1053" i="1"/>
  <c r="BB1053" i="1"/>
  <c r="BA543" i="1"/>
  <c r="I544" i="1"/>
  <c r="Q544" i="1" s="1"/>
  <c r="AM544" i="1"/>
  <c r="AT544" i="1"/>
  <c r="AS544" i="1" s="1"/>
  <c r="P544" i="1"/>
  <c r="BE544" i="1" s="1"/>
  <c r="N544" i="1"/>
  <c r="J1053" i="1"/>
  <c r="L1054" i="1"/>
  <c r="A1074" i="7"/>
  <c r="B1073" i="7"/>
  <c r="S1054" i="1"/>
  <c r="Z1056" i="1" s="1"/>
  <c r="K1054" i="1"/>
  <c r="AU1054" i="1"/>
  <c r="D1053" i="1"/>
  <c r="E1053" i="1"/>
  <c r="F1053" i="1" s="1"/>
  <c r="B1055" i="1"/>
  <c r="AA1054" i="1"/>
  <c r="C1054" i="1"/>
  <c r="A1054" i="1"/>
  <c r="AW1053" i="1"/>
  <c r="AI1053" i="1" s="1"/>
  <c r="AJ1053" i="1" s="1"/>
  <c r="AK1053" i="1"/>
  <c r="M1052" i="1"/>
  <c r="G1052" i="1"/>
  <c r="H1052" i="1" s="1"/>
  <c r="BC1053" i="1" l="1"/>
  <c r="BD1053" i="1" s="1"/>
  <c r="AE1053" i="1" s="1"/>
  <c r="BF1055" i="1"/>
  <c r="BB1054" i="1"/>
  <c r="AQ544" i="1"/>
  <c r="V544" i="1"/>
  <c r="AY544" i="1"/>
  <c r="Y544" i="1"/>
  <c r="X544" i="1" s="1"/>
  <c r="O544" i="1"/>
  <c r="J1054" i="1"/>
  <c r="L1055" i="1"/>
  <c r="A1075" i="7"/>
  <c r="B1074" i="7"/>
  <c r="S1055" i="1"/>
  <c r="Z1057" i="1" s="1"/>
  <c r="K1055" i="1"/>
  <c r="AU1055" i="1"/>
  <c r="G1053" i="1"/>
  <c r="H1053" i="1" s="1"/>
  <c r="D1054" i="1"/>
  <c r="E1054" i="1"/>
  <c r="F1054" i="1" s="1"/>
  <c r="C1055" i="1"/>
  <c r="AA1055" i="1"/>
  <c r="B1056" i="1"/>
  <c r="A1055" i="1"/>
  <c r="AW1054" i="1"/>
  <c r="AI1054" i="1" s="1"/>
  <c r="AJ1054" i="1" s="1"/>
  <c r="AK1054" i="1"/>
  <c r="M1053" i="1"/>
  <c r="AC1054" i="1"/>
  <c r="BC1054" i="1" l="1"/>
  <c r="BD1054" i="1" s="1"/>
  <c r="AE1054" i="1" s="1"/>
  <c r="BF1056" i="1"/>
  <c r="AX544" i="1"/>
  <c r="U544" i="1" s="1"/>
  <c r="AL544" i="1" s="1"/>
  <c r="AN544" i="1" s="1"/>
  <c r="AO544" i="1" s="1"/>
  <c r="AP544" i="1" s="1"/>
  <c r="BB1055" i="1"/>
  <c r="AF544" i="1"/>
  <c r="AG544" i="1" s="1"/>
  <c r="BA544" i="1" s="1"/>
  <c r="I545" i="1"/>
  <c r="Q545" i="1" s="1"/>
  <c r="N545" i="1"/>
  <c r="AM545" i="1"/>
  <c r="AT545" i="1"/>
  <c r="AS545" i="1" s="1"/>
  <c r="P545" i="1"/>
  <c r="BE545" i="1" s="1"/>
  <c r="J1055" i="1"/>
  <c r="L1056" i="1"/>
  <c r="A1076" i="7"/>
  <c r="B1075" i="7"/>
  <c r="S1056" i="1"/>
  <c r="Z1058" i="1" s="1"/>
  <c r="K1056" i="1"/>
  <c r="AU1056" i="1"/>
  <c r="AW1055" i="1"/>
  <c r="AI1055" i="1" s="1"/>
  <c r="AJ1055" i="1" s="1"/>
  <c r="A1056" i="1"/>
  <c r="AK1055" i="1"/>
  <c r="AC1055" i="1"/>
  <c r="AA1056" i="1"/>
  <c r="C1056" i="1"/>
  <c r="B1057" i="1"/>
  <c r="E1055" i="1"/>
  <c r="F1055" i="1" s="1"/>
  <c r="D1055" i="1"/>
  <c r="M1054" i="1"/>
  <c r="G1054" i="1"/>
  <c r="H1054" i="1" s="1"/>
  <c r="BC1055" i="1" l="1"/>
  <c r="BD1055" i="1" s="1"/>
  <c r="AE1055" i="1" s="1"/>
  <c r="BF1057" i="1"/>
  <c r="BB1056" i="1"/>
  <c r="AH544" i="1"/>
  <c r="AQ545" i="1"/>
  <c r="V545" i="1"/>
  <c r="AY545" i="1"/>
  <c r="Y545" i="1"/>
  <c r="X545" i="1" s="1"/>
  <c r="AF545" i="1" s="1"/>
  <c r="O545" i="1"/>
  <c r="J1056" i="1"/>
  <c r="L1057" i="1"/>
  <c r="A1077" i="7"/>
  <c r="B1076" i="7"/>
  <c r="S1057" i="1"/>
  <c r="Z1059" i="1" s="1"/>
  <c r="K1057" i="1"/>
  <c r="AU1057" i="1"/>
  <c r="D1056" i="1"/>
  <c r="E1056" i="1"/>
  <c r="F1056" i="1" s="1"/>
  <c r="M1055" i="1"/>
  <c r="AC1056" i="1"/>
  <c r="G1055" i="1"/>
  <c r="H1055" i="1" s="1"/>
  <c r="B1058" i="1"/>
  <c r="C1057" i="1"/>
  <c r="AA1057" i="1"/>
  <c r="AW1056" i="1"/>
  <c r="AI1056" i="1" s="1"/>
  <c r="AJ1056" i="1" s="1"/>
  <c r="AP1056" i="1"/>
  <c r="AK1056" i="1"/>
  <c r="A1057" i="1"/>
  <c r="BC1056" i="1" l="1"/>
  <c r="BD1056" i="1" s="1"/>
  <c r="AE1056" i="1" s="1"/>
  <c r="BF1058" i="1"/>
  <c r="AX545" i="1"/>
  <c r="U545" i="1" s="1"/>
  <c r="AL545" i="1" s="1"/>
  <c r="AN545" i="1" s="1"/>
  <c r="AO545" i="1" s="1"/>
  <c r="AP545" i="1" s="1"/>
  <c r="AC1057" i="1"/>
  <c r="BB1057" i="1"/>
  <c r="P546" i="1"/>
  <c r="BE546" i="1" s="1"/>
  <c r="I546" i="1"/>
  <c r="Q546" i="1" s="1"/>
  <c r="AT546" i="1"/>
  <c r="AS546" i="1" s="1"/>
  <c r="N546" i="1"/>
  <c r="AM546" i="1"/>
  <c r="J1057" i="1"/>
  <c r="L1058" i="1"/>
  <c r="A1078" i="7"/>
  <c r="B1077" i="7"/>
  <c r="S1058" i="1"/>
  <c r="Z1060" i="1" s="1"/>
  <c r="K1058" i="1"/>
  <c r="AU1058" i="1"/>
  <c r="G1056" i="1"/>
  <c r="H1056" i="1" s="1"/>
  <c r="AW1057" i="1"/>
  <c r="AI1057" i="1" s="1"/>
  <c r="AJ1057" i="1" s="1"/>
  <c r="AK1057" i="1"/>
  <c r="A1058" i="1"/>
  <c r="D1057" i="1"/>
  <c r="E1057" i="1"/>
  <c r="F1057" i="1" s="1"/>
  <c r="AA1058" i="1"/>
  <c r="C1058" i="1"/>
  <c r="B1059" i="1"/>
  <c r="M1056" i="1"/>
  <c r="BC1057" i="1" l="1"/>
  <c r="BD1057" i="1" s="1"/>
  <c r="AE1057" i="1" s="1"/>
  <c r="BF1059" i="1"/>
  <c r="BB1058" i="1"/>
  <c r="AH545" i="1"/>
  <c r="AG545" i="1"/>
  <c r="BA545" i="1" s="1"/>
  <c r="O546" i="1"/>
  <c r="Y546" i="1"/>
  <c r="X546" i="1" s="1"/>
  <c r="V546" i="1"/>
  <c r="AQ546" i="1"/>
  <c r="AY546" i="1"/>
  <c r="J1058" i="1"/>
  <c r="L1059" i="1"/>
  <c r="A1079" i="7"/>
  <c r="B1078" i="7"/>
  <c r="S1059" i="1"/>
  <c r="Z1061" i="1" s="1"/>
  <c r="K1059" i="1"/>
  <c r="AU1059" i="1"/>
  <c r="AC1058" i="1"/>
  <c r="AK1058" i="1"/>
  <c r="AW1058" i="1"/>
  <c r="AI1058" i="1" s="1"/>
  <c r="AJ1058" i="1" s="1"/>
  <c r="A1059" i="1"/>
  <c r="G1057" i="1"/>
  <c r="H1057" i="1" s="1"/>
  <c r="M1057" i="1"/>
  <c r="C1059" i="1"/>
  <c r="AA1059" i="1"/>
  <c r="B1060" i="1"/>
  <c r="E1058" i="1"/>
  <c r="F1058" i="1" s="1"/>
  <c r="D1058" i="1"/>
  <c r="BC1058" i="1" l="1"/>
  <c r="BD1058" i="1" s="1"/>
  <c r="AE1058" i="1" s="1"/>
  <c r="BF1060" i="1"/>
  <c r="AX546" i="1"/>
  <c r="U546" i="1" s="1"/>
  <c r="AL546" i="1" s="1"/>
  <c r="AN546" i="1" s="1"/>
  <c r="AO546" i="1" s="1"/>
  <c r="AP546" i="1" s="1"/>
  <c r="AC1059" i="1"/>
  <c r="BB1059" i="1"/>
  <c r="AF546" i="1"/>
  <c r="P547" i="1"/>
  <c r="BE547" i="1" s="1"/>
  <c r="I547" i="1"/>
  <c r="Q547" i="1" s="1"/>
  <c r="N547" i="1"/>
  <c r="AM547" i="1"/>
  <c r="AT547" i="1"/>
  <c r="AS547" i="1" s="1"/>
  <c r="J1059" i="1"/>
  <c r="L1060" i="1"/>
  <c r="A1080" i="7"/>
  <c r="B1079" i="7"/>
  <c r="S1060" i="1"/>
  <c r="Z1062" i="1" s="1"/>
  <c r="K1060" i="1"/>
  <c r="AU1060" i="1"/>
  <c r="AA1060" i="1"/>
  <c r="B1061" i="1"/>
  <c r="C1060" i="1"/>
  <c r="D1059" i="1"/>
  <c r="E1059" i="1"/>
  <c r="F1059" i="1" s="1"/>
  <c r="G1058" i="1"/>
  <c r="H1058" i="1" s="1"/>
  <c r="M1058" i="1"/>
  <c r="AW1059" i="1"/>
  <c r="AI1059" i="1" s="1"/>
  <c r="AJ1059" i="1" s="1"/>
  <c r="AK1059" i="1"/>
  <c r="A1060" i="1"/>
  <c r="BC1059" i="1" l="1"/>
  <c r="BD1059" i="1" s="1"/>
  <c r="AE1059" i="1" s="1"/>
  <c r="BF1061" i="1"/>
  <c r="AH546" i="1"/>
  <c r="AG546" i="1"/>
  <c r="BA546" i="1" s="1"/>
  <c r="BB1060" i="1"/>
  <c r="AC1060" i="1"/>
  <c r="O547" i="1"/>
  <c r="V547" i="1"/>
  <c r="Y547" i="1"/>
  <c r="X547" i="1" s="1"/>
  <c r="AY547" i="1"/>
  <c r="AQ547" i="1"/>
  <c r="J1060" i="1"/>
  <c r="L1061" i="1"/>
  <c r="A1081" i="7"/>
  <c r="B1080" i="7"/>
  <c r="S1061" i="1"/>
  <c r="Z1063" i="1" s="1"/>
  <c r="K1061" i="1"/>
  <c r="AU1061" i="1"/>
  <c r="G1059" i="1"/>
  <c r="H1059" i="1" s="1"/>
  <c r="D1060" i="1"/>
  <c r="E1060" i="1"/>
  <c r="F1060" i="1" s="1"/>
  <c r="AW1060" i="1"/>
  <c r="AI1060" i="1" s="1"/>
  <c r="AJ1060" i="1" s="1"/>
  <c r="A1061" i="1"/>
  <c r="AK1060" i="1"/>
  <c r="C1061" i="1"/>
  <c r="AA1061" i="1"/>
  <c r="B1062" i="1"/>
  <c r="M1059" i="1"/>
  <c r="BC1060" i="1" l="1"/>
  <c r="BD1060" i="1" s="1"/>
  <c r="AE1060" i="1" s="1"/>
  <c r="AX547" i="1"/>
  <c r="U547" i="1" s="1"/>
  <c r="AL547" i="1" s="1"/>
  <c r="AN547" i="1" s="1"/>
  <c r="AO547" i="1" s="1"/>
  <c r="AP547" i="1" s="1"/>
  <c r="BF1062" i="1"/>
  <c r="BB1061" i="1"/>
  <c r="AF547" i="1"/>
  <c r="AG547" i="1" s="1"/>
  <c r="BA547" i="1" s="1"/>
  <c r="I548" i="1"/>
  <c r="Q548" i="1" s="1"/>
  <c r="AT548" i="1"/>
  <c r="AS548" i="1" s="1"/>
  <c r="AM548" i="1"/>
  <c r="N548" i="1"/>
  <c r="P548" i="1"/>
  <c r="BE548" i="1" s="1"/>
  <c r="J1061" i="1"/>
  <c r="L1062" i="1"/>
  <c r="A1082" i="7"/>
  <c r="B1081" i="7"/>
  <c r="S1062" i="1"/>
  <c r="Z1064" i="1" s="1"/>
  <c r="K1062" i="1"/>
  <c r="AU1062" i="1"/>
  <c r="G1060" i="1"/>
  <c r="H1060" i="1" s="1"/>
  <c r="AC1061" i="1"/>
  <c r="C1062" i="1"/>
  <c r="AA1062" i="1"/>
  <c r="B1063" i="1"/>
  <c r="M1060" i="1"/>
  <c r="AW1061" i="1"/>
  <c r="AI1061" i="1" s="1"/>
  <c r="AJ1061" i="1" s="1"/>
  <c r="A1062" i="1"/>
  <c r="AK1061" i="1"/>
  <c r="D1061" i="1"/>
  <c r="E1061" i="1"/>
  <c r="F1061" i="1" s="1"/>
  <c r="BC1061" i="1" l="1"/>
  <c r="BD1061" i="1" s="1"/>
  <c r="AE1061" i="1" s="1"/>
  <c r="BF1063" i="1"/>
  <c r="AH547" i="1"/>
  <c r="BB1062" i="1"/>
  <c r="O548" i="1"/>
  <c r="P549" i="1" s="1"/>
  <c r="BE549" i="1" s="1"/>
  <c r="Y548" i="1"/>
  <c r="X548" i="1" s="1"/>
  <c r="AF548" i="1" s="1"/>
  <c r="AY548" i="1"/>
  <c r="V548" i="1"/>
  <c r="AQ548" i="1"/>
  <c r="J1062" i="1"/>
  <c r="L1063" i="1"/>
  <c r="A1083" i="7"/>
  <c r="B1082" i="7"/>
  <c r="S1063" i="1"/>
  <c r="Z1065" i="1" s="1"/>
  <c r="K1063" i="1"/>
  <c r="AU1063" i="1"/>
  <c r="AW1062" i="1"/>
  <c r="AI1062" i="1" s="1"/>
  <c r="AJ1062" i="1" s="1"/>
  <c r="AK1062" i="1"/>
  <c r="A1063" i="1"/>
  <c r="AC1062" i="1"/>
  <c r="E1062" i="1"/>
  <c r="F1062" i="1" s="1"/>
  <c r="D1062" i="1"/>
  <c r="G1061" i="1"/>
  <c r="H1061" i="1" s="1"/>
  <c r="AA1063" i="1"/>
  <c r="B1064" i="1"/>
  <c r="C1063" i="1"/>
  <c r="M1061" i="1"/>
  <c r="BC1062" i="1" l="1"/>
  <c r="BD1062" i="1" s="1"/>
  <c r="AE1062" i="1" s="1"/>
  <c r="AX548" i="1"/>
  <c r="U548" i="1" s="1"/>
  <c r="AL548" i="1" s="1"/>
  <c r="AN548" i="1" s="1"/>
  <c r="AO548" i="1" s="1"/>
  <c r="AP548" i="1" s="1"/>
  <c r="BF1064" i="1"/>
  <c r="V549" i="1"/>
  <c r="BB1063" i="1"/>
  <c r="AT549" i="1"/>
  <c r="AS549" i="1" s="1"/>
  <c r="AQ549" i="1" s="1"/>
  <c r="N549" i="1"/>
  <c r="AM549" i="1"/>
  <c r="AH548" i="1"/>
  <c r="I549" i="1"/>
  <c r="Q549" i="1" s="1"/>
  <c r="Y549" i="1"/>
  <c r="X549" i="1" s="1"/>
  <c r="AF549" i="1" s="1"/>
  <c r="AY549" i="1"/>
  <c r="AG548" i="1"/>
  <c r="BA548" i="1" s="1"/>
  <c r="J1063" i="1"/>
  <c r="L1064" i="1"/>
  <c r="A1084" i="7"/>
  <c r="B1083" i="7"/>
  <c r="S1064" i="1"/>
  <c r="Z1066" i="1" s="1"/>
  <c r="K1064" i="1"/>
  <c r="AU1064" i="1"/>
  <c r="AC1063" i="1"/>
  <c r="M1062" i="1"/>
  <c r="G1062" i="1"/>
  <c r="H1062" i="1" s="1"/>
  <c r="D1063" i="1"/>
  <c r="E1063" i="1"/>
  <c r="F1063" i="1" s="1"/>
  <c r="C1064" i="1"/>
  <c r="AA1064" i="1"/>
  <c r="B1065" i="1"/>
  <c r="AK1063" i="1"/>
  <c r="AW1063" i="1"/>
  <c r="AI1063" i="1" s="1"/>
  <c r="AJ1063" i="1" s="1"/>
  <c r="A1064" i="1"/>
  <c r="BC1063" i="1" l="1"/>
  <c r="BD1063" i="1" s="1"/>
  <c r="AE1063" i="1" s="1"/>
  <c r="BF1065" i="1"/>
  <c r="AX549" i="1"/>
  <c r="U549" i="1" s="1"/>
  <c r="AL549" i="1" s="1"/>
  <c r="AN549" i="1" s="1"/>
  <c r="AO549" i="1" s="1"/>
  <c r="AP549" i="1" s="1"/>
  <c r="BB1064" i="1"/>
  <c r="O549" i="1"/>
  <c r="AH549" i="1" s="1"/>
  <c r="AG549" i="1"/>
  <c r="BA549" i="1" s="1"/>
  <c r="J1064" i="1"/>
  <c r="L1065" i="1"/>
  <c r="A1085" i="7"/>
  <c r="B1084" i="7"/>
  <c r="S1065" i="1"/>
  <c r="Z1067" i="1" s="1"/>
  <c r="K1065" i="1"/>
  <c r="AU1065" i="1"/>
  <c r="G1063" i="1"/>
  <c r="H1063" i="1" s="1"/>
  <c r="AK1064" i="1"/>
  <c r="A1065" i="1"/>
  <c r="AW1064" i="1"/>
  <c r="AI1064" i="1" s="1"/>
  <c r="AJ1064" i="1" s="1"/>
  <c r="M1063" i="1"/>
  <c r="AA1065" i="1"/>
  <c r="B1066" i="1"/>
  <c r="C1065" i="1"/>
  <c r="AC1064" i="1"/>
  <c r="D1064" i="1"/>
  <c r="E1064" i="1"/>
  <c r="F1064" i="1" s="1"/>
  <c r="BC1064" i="1" l="1"/>
  <c r="BD1064" i="1" s="1"/>
  <c r="AE1064" i="1" s="1"/>
  <c r="BF1066" i="1"/>
  <c r="BB1065" i="1"/>
  <c r="AT550" i="1"/>
  <c r="AS550" i="1" s="1"/>
  <c r="P550" i="1"/>
  <c r="BE550" i="1" s="1"/>
  <c r="I550" i="1"/>
  <c r="Q550" i="1" s="1"/>
  <c r="N550" i="1"/>
  <c r="AM550" i="1"/>
  <c r="J1065" i="1"/>
  <c r="L1066" i="1"/>
  <c r="A1086" i="7"/>
  <c r="B1085" i="7"/>
  <c r="S1066" i="1"/>
  <c r="Z1068" i="1" s="1"/>
  <c r="K1066" i="1"/>
  <c r="AU1066" i="1"/>
  <c r="E1065" i="1"/>
  <c r="F1065" i="1" s="1"/>
  <c r="D1065" i="1"/>
  <c r="G1064" i="1"/>
  <c r="H1064" i="1" s="1"/>
  <c r="AA1066" i="1"/>
  <c r="C1066" i="1"/>
  <c r="B1067" i="1"/>
  <c r="AC1065" i="1"/>
  <c r="M1064" i="1"/>
  <c r="AK1065" i="1"/>
  <c r="A1066" i="1"/>
  <c r="AW1065" i="1"/>
  <c r="AI1065" i="1" s="1"/>
  <c r="AJ1065" i="1" s="1"/>
  <c r="BC1065" i="1" l="1"/>
  <c r="BD1065" i="1" s="1"/>
  <c r="AE1065" i="1" s="1"/>
  <c r="BF1067" i="1"/>
  <c r="V550" i="1"/>
  <c r="BB1066" i="1"/>
  <c r="AQ550" i="1"/>
  <c r="Y550" i="1"/>
  <c r="X550" i="1" s="1"/>
  <c r="AF550" i="1" s="1"/>
  <c r="O550" i="1"/>
  <c r="P551" i="1" s="1"/>
  <c r="BE551" i="1" s="1"/>
  <c r="AY550" i="1"/>
  <c r="J1066" i="1"/>
  <c r="L1067" i="1"/>
  <c r="A1087" i="7"/>
  <c r="B1086" i="7"/>
  <c r="S1067" i="1"/>
  <c r="Z1069" i="1" s="1"/>
  <c r="K1067" i="1"/>
  <c r="AU1067" i="1"/>
  <c r="AC1066" i="1"/>
  <c r="G1065" i="1"/>
  <c r="H1065" i="1" s="1"/>
  <c r="AW1066" i="1"/>
  <c r="AI1066" i="1" s="1"/>
  <c r="AJ1066" i="1" s="1"/>
  <c r="AK1066" i="1"/>
  <c r="A1067" i="1"/>
  <c r="C1067" i="1"/>
  <c r="B1068" i="1"/>
  <c r="AA1067" i="1"/>
  <c r="M1065" i="1"/>
  <c r="D1066" i="1"/>
  <c r="E1066" i="1"/>
  <c r="F1066" i="1" s="1"/>
  <c r="BC1066" i="1" l="1"/>
  <c r="BD1066" i="1" s="1"/>
  <c r="AE1066" i="1" s="1"/>
  <c r="BF1068" i="1"/>
  <c r="AX550" i="1"/>
  <c r="U550" i="1" s="1"/>
  <c r="AL550" i="1" s="1"/>
  <c r="AN550" i="1" s="1"/>
  <c r="AO550" i="1" s="1"/>
  <c r="AP550" i="1" s="1"/>
  <c r="V551" i="1"/>
  <c r="BB1067" i="1"/>
  <c r="AH550" i="1"/>
  <c r="AY551" i="1"/>
  <c r="AG550" i="1"/>
  <c r="BA550" i="1" s="1"/>
  <c r="Y551" i="1"/>
  <c r="X551" i="1" s="1"/>
  <c r="AF551" i="1" s="1"/>
  <c r="I551" i="1"/>
  <c r="Q551" i="1" s="1"/>
  <c r="AT551" i="1"/>
  <c r="AS551" i="1" s="1"/>
  <c r="AQ551" i="1" s="1"/>
  <c r="N551" i="1"/>
  <c r="AM551" i="1"/>
  <c r="J1067" i="1"/>
  <c r="L1068" i="1"/>
  <c r="A1088" i="7"/>
  <c r="B1087" i="7"/>
  <c r="S1068" i="1"/>
  <c r="Z1070" i="1" s="1"/>
  <c r="K1068" i="1"/>
  <c r="AU1068" i="1"/>
  <c r="E1067" i="1"/>
  <c r="F1067" i="1" s="1"/>
  <c r="D1067" i="1"/>
  <c r="M1066" i="1"/>
  <c r="G1066" i="1"/>
  <c r="H1066" i="1" s="1"/>
  <c r="AC1067" i="1"/>
  <c r="B1069" i="1"/>
  <c r="C1068" i="1"/>
  <c r="AA1068" i="1"/>
  <c r="A1068" i="1"/>
  <c r="AK1067" i="1"/>
  <c r="AW1067" i="1"/>
  <c r="AI1067" i="1" s="1"/>
  <c r="AJ1067" i="1" s="1"/>
  <c r="BC1067" i="1" l="1"/>
  <c r="BD1067" i="1" s="1"/>
  <c r="AE1067" i="1" s="1"/>
  <c r="AX551" i="1"/>
  <c r="U551" i="1" s="1"/>
  <c r="AL551" i="1" s="1"/>
  <c r="AN551" i="1" s="1"/>
  <c r="AO551" i="1" s="1"/>
  <c r="AP551" i="1" s="1"/>
  <c r="BF1069" i="1"/>
  <c r="BB1068" i="1"/>
  <c r="O551" i="1"/>
  <c r="AT552" i="1" s="1"/>
  <c r="AS552" i="1" s="1"/>
  <c r="J1068" i="1"/>
  <c r="L1069" i="1"/>
  <c r="AG551" i="1"/>
  <c r="BA551" i="1" s="1"/>
  <c r="A1089" i="7"/>
  <c r="B1088" i="7"/>
  <c r="S1069" i="1"/>
  <c r="Z1071" i="1" s="1"/>
  <c r="K1069" i="1"/>
  <c r="AU1069" i="1"/>
  <c r="D1068" i="1"/>
  <c r="E1068" i="1"/>
  <c r="F1068" i="1" s="1"/>
  <c r="AW1068" i="1"/>
  <c r="AI1068" i="1" s="1"/>
  <c r="AJ1068" i="1" s="1"/>
  <c r="AK1068" i="1"/>
  <c r="AP1068" i="1"/>
  <c r="A1069" i="1"/>
  <c r="M1067" i="1"/>
  <c r="B1070" i="1"/>
  <c r="AA1069" i="1"/>
  <c r="C1069" i="1"/>
  <c r="AC1068" i="1"/>
  <c r="G1067" i="1"/>
  <c r="H1067" i="1" s="1"/>
  <c r="BC1068" i="1" l="1"/>
  <c r="BD1068" i="1" s="1"/>
  <c r="AE1068" i="1" s="1"/>
  <c r="BF1070" i="1"/>
  <c r="BB1069" i="1"/>
  <c r="AH551" i="1"/>
  <c r="N552" i="1"/>
  <c r="P552" i="1"/>
  <c r="BE552" i="1" s="1"/>
  <c r="AM552" i="1"/>
  <c r="I552" i="1"/>
  <c r="Q552" i="1" s="1"/>
  <c r="J1069" i="1"/>
  <c r="L1070" i="1"/>
  <c r="A1090" i="7"/>
  <c r="B1089" i="7"/>
  <c r="S1070" i="1"/>
  <c r="Z1072" i="1" s="1"/>
  <c r="K1070" i="1"/>
  <c r="AU1070" i="1"/>
  <c r="G1068" i="1"/>
  <c r="H1068" i="1" s="1"/>
  <c r="M1068" i="1"/>
  <c r="D1069" i="1"/>
  <c r="E1069" i="1"/>
  <c r="F1069" i="1" s="1"/>
  <c r="B1071" i="1"/>
  <c r="AA1070" i="1"/>
  <c r="C1070" i="1"/>
  <c r="AK1069" i="1"/>
  <c r="A1070" i="1"/>
  <c r="AW1069" i="1"/>
  <c r="AI1069" i="1" s="1"/>
  <c r="AJ1069" i="1" s="1"/>
  <c r="AC1069" i="1"/>
  <c r="BC1069" i="1" l="1"/>
  <c r="BD1069" i="1" s="1"/>
  <c r="AE1069" i="1" s="1"/>
  <c r="BF1071" i="1"/>
  <c r="BB1070" i="1"/>
  <c r="V552" i="1"/>
  <c r="AQ552" i="1"/>
  <c r="Y552" i="1"/>
  <c r="X552" i="1" s="1"/>
  <c r="AY552" i="1"/>
  <c r="O552" i="1"/>
  <c r="J1070" i="1"/>
  <c r="L1071" i="1"/>
  <c r="A1091" i="7"/>
  <c r="B1090" i="7"/>
  <c r="S1071" i="1"/>
  <c r="Z1073" i="1" s="1"/>
  <c r="K1071" i="1"/>
  <c r="AU1071" i="1"/>
  <c r="B1072" i="1"/>
  <c r="C1071" i="1"/>
  <c r="AA1071" i="1"/>
  <c r="AC1070" i="1"/>
  <c r="G1069" i="1"/>
  <c r="H1069" i="1" s="1"/>
  <c r="M1069" i="1"/>
  <c r="A1071" i="1"/>
  <c r="AK1070" i="1"/>
  <c r="AW1070" i="1"/>
  <c r="AI1070" i="1" s="1"/>
  <c r="AJ1070" i="1" s="1"/>
  <c r="D1070" i="1"/>
  <c r="E1070" i="1"/>
  <c r="F1070" i="1" s="1"/>
  <c r="BC1070" i="1" l="1"/>
  <c r="BD1070" i="1" s="1"/>
  <c r="AE1070" i="1" s="1"/>
  <c r="BF1072" i="1"/>
  <c r="AX552" i="1"/>
  <c r="U552" i="1" s="1"/>
  <c r="AL552" i="1" s="1"/>
  <c r="AN552" i="1" s="1"/>
  <c r="AO552" i="1" s="1"/>
  <c r="BB1071" i="1"/>
  <c r="AC1071" i="1"/>
  <c r="AF552" i="1"/>
  <c r="AG552" i="1" s="1"/>
  <c r="BA552" i="1" s="1"/>
  <c r="P553" i="1"/>
  <c r="BE553" i="1" s="1"/>
  <c r="AM553" i="1"/>
  <c r="N553" i="1"/>
  <c r="AT553" i="1"/>
  <c r="AS553" i="1" s="1"/>
  <c r="I553" i="1"/>
  <c r="Q553" i="1" s="1"/>
  <c r="J1071" i="1"/>
  <c r="L1072" i="1"/>
  <c r="A1092" i="7"/>
  <c r="B1091" i="7"/>
  <c r="S1072" i="1"/>
  <c r="Z1074" i="1" s="1"/>
  <c r="K1072" i="1"/>
  <c r="AU1072" i="1"/>
  <c r="G1070" i="1"/>
  <c r="H1070" i="1" s="1"/>
  <c r="D1071" i="1"/>
  <c r="E1071" i="1"/>
  <c r="F1071" i="1" s="1"/>
  <c r="A1072" i="1"/>
  <c r="AW1071" i="1"/>
  <c r="AI1071" i="1" s="1"/>
  <c r="AJ1071" i="1" s="1"/>
  <c r="AK1071" i="1"/>
  <c r="C1072" i="1"/>
  <c r="B1073" i="1"/>
  <c r="AA1072" i="1"/>
  <c r="M1070" i="1"/>
  <c r="BC1071" i="1" l="1"/>
  <c r="BD1071" i="1" s="1"/>
  <c r="AE1071" i="1" s="1"/>
  <c r="BF1073" i="1"/>
  <c r="AH552" i="1"/>
  <c r="BB1072" i="1"/>
  <c r="O553" i="1"/>
  <c r="V553" i="1"/>
  <c r="Y553" i="1"/>
  <c r="X553" i="1" s="1"/>
  <c r="AF553" i="1" s="1"/>
  <c r="AY553" i="1"/>
  <c r="AQ553" i="1"/>
  <c r="J1072" i="1"/>
  <c r="L1073" i="1"/>
  <c r="A1093" i="7"/>
  <c r="B1092" i="7"/>
  <c r="S1073" i="1"/>
  <c r="Z1075" i="1" s="1"/>
  <c r="K1073" i="1"/>
  <c r="AU1073" i="1"/>
  <c r="M1071" i="1"/>
  <c r="AC1072" i="1"/>
  <c r="C1073" i="1"/>
  <c r="AA1073" i="1"/>
  <c r="B1074" i="1"/>
  <c r="G1071" i="1"/>
  <c r="H1071" i="1" s="1"/>
  <c r="D1072" i="1"/>
  <c r="E1072" i="1"/>
  <c r="F1072" i="1" s="1"/>
  <c r="A1073" i="1"/>
  <c r="AK1072" i="1"/>
  <c r="AW1072" i="1"/>
  <c r="AI1072" i="1" s="1"/>
  <c r="AJ1072" i="1" s="1"/>
  <c r="BC1072" i="1" l="1"/>
  <c r="BD1072" i="1" s="1"/>
  <c r="AE1072" i="1" s="1"/>
  <c r="BF1074" i="1"/>
  <c r="AX553" i="1"/>
  <c r="U553" i="1" s="1"/>
  <c r="AL553" i="1" s="1"/>
  <c r="AN553" i="1" s="1"/>
  <c r="AO553" i="1" s="1"/>
  <c r="AP553" i="1" s="1"/>
  <c r="BB1073" i="1"/>
  <c r="P554" i="1"/>
  <c r="BE554" i="1" s="1"/>
  <c r="AM554" i="1"/>
  <c r="AT554" i="1"/>
  <c r="AS554" i="1" s="1"/>
  <c r="N554" i="1"/>
  <c r="I554" i="1"/>
  <c r="Q554" i="1" s="1"/>
  <c r="J1073" i="1"/>
  <c r="L1074" i="1"/>
  <c r="A1094" i="7"/>
  <c r="B1093" i="7"/>
  <c r="S1074" i="1"/>
  <c r="Z1076" i="1" s="1"/>
  <c r="K1074" i="1"/>
  <c r="AU1074" i="1"/>
  <c r="G1072" i="1"/>
  <c r="H1072" i="1" s="1"/>
  <c r="B1075" i="1"/>
  <c r="AA1074" i="1"/>
  <c r="C1074" i="1"/>
  <c r="M1072" i="1"/>
  <c r="AC1073" i="1"/>
  <c r="A1074" i="1"/>
  <c r="AW1073" i="1"/>
  <c r="AI1073" i="1" s="1"/>
  <c r="AJ1073" i="1" s="1"/>
  <c r="AK1073" i="1"/>
  <c r="E1073" i="1"/>
  <c r="F1073" i="1" s="1"/>
  <c r="D1073" i="1"/>
  <c r="BC1073" i="1" l="1"/>
  <c r="BD1073" i="1" s="1"/>
  <c r="AE1073" i="1" s="1"/>
  <c r="BF1075" i="1"/>
  <c r="BB1074" i="1"/>
  <c r="O554" i="1"/>
  <c r="V554" i="1"/>
  <c r="Y554" i="1"/>
  <c r="X554" i="1" s="1"/>
  <c r="AQ554" i="1"/>
  <c r="AY554" i="1"/>
  <c r="AG553" i="1"/>
  <c r="BA553" i="1" s="1"/>
  <c r="AH553" i="1"/>
  <c r="J1074" i="1"/>
  <c r="L1075" i="1"/>
  <c r="A1095" i="7"/>
  <c r="B1094" i="7"/>
  <c r="S1075" i="1"/>
  <c r="Z1077" i="1" s="1"/>
  <c r="K1075" i="1"/>
  <c r="AU1075" i="1"/>
  <c r="M1073" i="1"/>
  <c r="G1073" i="1"/>
  <c r="H1073" i="1" s="1"/>
  <c r="E1074" i="1"/>
  <c r="F1074" i="1" s="1"/>
  <c r="D1074" i="1"/>
  <c r="AC1074" i="1"/>
  <c r="AW1074" i="1"/>
  <c r="AI1074" i="1" s="1"/>
  <c r="AJ1074" i="1" s="1"/>
  <c r="A1075" i="1"/>
  <c r="AK1074" i="1"/>
  <c r="B1076" i="1"/>
  <c r="C1075" i="1"/>
  <c r="AA1075" i="1"/>
  <c r="BC1074" i="1" l="1"/>
  <c r="BD1074" i="1" s="1"/>
  <c r="AE1074" i="1" s="1"/>
  <c r="AX554" i="1"/>
  <c r="U554" i="1" s="1"/>
  <c r="AL554" i="1" s="1"/>
  <c r="AN554" i="1" s="1"/>
  <c r="AO554" i="1" s="1"/>
  <c r="AP554" i="1" s="1"/>
  <c r="BF1076" i="1"/>
  <c r="BB1075" i="1"/>
  <c r="AF554" i="1"/>
  <c r="AG554" i="1" s="1"/>
  <c r="BA554" i="1" s="1"/>
  <c r="P555" i="1"/>
  <c r="BE555" i="1" s="1"/>
  <c r="I555" i="1"/>
  <c r="Q555" i="1" s="1"/>
  <c r="AM555" i="1"/>
  <c r="AT555" i="1"/>
  <c r="AS555" i="1" s="1"/>
  <c r="N555" i="1"/>
  <c r="J1075" i="1"/>
  <c r="L1076" i="1"/>
  <c r="A1096" i="7"/>
  <c r="B1095" i="7"/>
  <c r="S1076" i="1"/>
  <c r="Z1078" i="1" s="1"/>
  <c r="K1076" i="1"/>
  <c r="AU1076" i="1"/>
  <c r="M1074" i="1"/>
  <c r="AC1075" i="1"/>
  <c r="C1076" i="1"/>
  <c r="B1077" i="1"/>
  <c r="AA1076" i="1"/>
  <c r="A1076" i="1"/>
  <c r="AK1075" i="1"/>
  <c r="AW1075" i="1"/>
  <c r="AI1075" i="1" s="1"/>
  <c r="AJ1075" i="1" s="1"/>
  <c r="E1075" i="1"/>
  <c r="F1075" i="1" s="1"/>
  <c r="D1075" i="1"/>
  <c r="G1074" i="1"/>
  <c r="H1074" i="1" s="1"/>
  <c r="BC1075" i="1" l="1"/>
  <c r="BD1075" i="1" s="1"/>
  <c r="AE1075" i="1" s="1"/>
  <c r="BF1077" i="1"/>
  <c r="BB1076" i="1"/>
  <c r="AH554" i="1"/>
  <c r="O555" i="1"/>
  <c r="Y555" i="1"/>
  <c r="X555" i="1" s="1"/>
  <c r="V555" i="1"/>
  <c r="AY555" i="1"/>
  <c r="AQ555" i="1"/>
  <c r="J1076" i="1"/>
  <c r="L1077" i="1"/>
  <c r="A1097" i="7"/>
  <c r="B1096" i="7"/>
  <c r="S1077" i="1"/>
  <c r="Z1079" i="1" s="1"/>
  <c r="K1077" i="1"/>
  <c r="AU1077" i="1"/>
  <c r="G1075" i="1"/>
  <c r="H1075" i="1" s="1"/>
  <c r="A1077" i="1"/>
  <c r="AK1076" i="1"/>
  <c r="AW1076" i="1"/>
  <c r="AI1076" i="1" s="1"/>
  <c r="AJ1076" i="1" s="1"/>
  <c r="AA1077" i="1"/>
  <c r="B1078" i="1"/>
  <c r="C1077" i="1"/>
  <c r="AC1076" i="1"/>
  <c r="D1076" i="1"/>
  <c r="E1076" i="1"/>
  <c r="F1076" i="1" s="1"/>
  <c r="M1075" i="1"/>
  <c r="BC1076" i="1" l="1"/>
  <c r="BD1076" i="1" s="1"/>
  <c r="AE1076" i="1" s="1"/>
  <c r="BF1078" i="1"/>
  <c r="AX555" i="1"/>
  <c r="U555" i="1" s="1"/>
  <c r="AL555" i="1" s="1"/>
  <c r="AN555" i="1" s="1"/>
  <c r="AO555" i="1" s="1"/>
  <c r="AP555" i="1" s="1"/>
  <c r="BB1077" i="1"/>
  <c r="AF555" i="1"/>
  <c r="P556" i="1"/>
  <c r="BE556" i="1" s="1"/>
  <c r="AM556" i="1"/>
  <c r="AT556" i="1"/>
  <c r="AS556" i="1" s="1"/>
  <c r="I556" i="1"/>
  <c r="Q556" i="1" s="1"/>
  <c r="N556" i="1"/>
  <c r="J1077" i="1"/>
  <c r="L1078" i="1"/>
  <c r="A1098" i="7"/>
  <c r="B1097" i="7"/>
  <c r="S1078" i="1"/>
  <c r="Z1080" i="1" s="1"/>
  <c r="K1078" i="1"/>
  <c r="AU1078" i="1"/>
  <c r="G1076" i="1"/>
  <c r="H1076" i="1" s="1"/>
  <c r="C1078" i="1"/>
  <c r="AA1078" i="1"/>
  <c r="B1079" i="1"/>
  <c r="E1077" i="1"/>
  <c r="F1077" i="1" s="1"/>
  <c r="D1077" i="1"/>
  <c r="AC1077" i="1"/>
  <c r="M1076" i="1"/>
  <c r="AK1077" i="1"/>
  <c r="AW1077" i="1"/>
  <c r="AI1077" i="1" s="1"/>
  <c r="AJ1077" i="1" s="1"/>
  <c r="A1078" i="1"/>
  <c r="BC1077" i="1" l="1"/>
  <c r="BD1077" i="1" s="1"/>
  <c r="AE1077" i="1" s="1"/>
  <c r="BF1079" i="1"/>
  <c r="AG555" i="1"/>
  <c r="BA555" i="1" s="1"/>
  <c r="BB1078" i="1"/>
  <c r="AH555" i="1"/>
  <c r="O556" i="1"/>
  <c r="Y556" i="1"/>
  <c r="X556" i="1" s="1"/>
  <c r="V556" i="1"/>
  <c r="AY556" i="1"/>
  <c r="AQ556" i="1"/>
  <c r="J1078" i="1"/>
  <c r="L1079" i="1"/>
  <c r="A1099" i="7"/>
  <c r="B1098" i="7"/>
  <c r="S1079" i="1"/>
  <c r="Z1081" i="1" s="1"/>
  <c r="K1079" i="1"/>
  <c r="AU1079" i="1"/>
  <c r="AC1078" i="1"/>
  <c r="G1077" i="1"/>
  <c r="H1077" i="1" s="1"/>
  <c r="E1078" i="1"/>
  <c r="F1078" i="1" s="1"/>
  <c r="D1078" i="1"/>
  <c r="AW1078" i="1"/>
  <c r="AI1078" i="1" s="1"/>
  <c r="AJ1078" i="1" s="1"/>
  <c r="AK1078" i="1"/>
  <c r="A1079" i="1"/>
  <c r="C1079" i="1"/>
  <c r="AA1079" i="1"/>
  <c r="B1080" i="1"/>
  <c r="M1077" i="1"/>
  <c r="BC1078" i="1" l="1"/>
  <c r="BD1078" i="1" s="1"/>
  <c r="AE1078" i="1" s="1"/>
  <c r="BF1080" i="1"/>
  <c r="AX556" i="1"/>
  <c r="U556" i="1" s="1"/>
  <c r="AL556" i="1" s="1"/>
  <c r="AN556" i="1" s="1"/>
  <c r="AO556" i="1" s="1"/>
  <c r="AP556" i="1" s="1"/>
  <c r="BB1079" i="1"/>
  <c r="AF556" i="1"/>
  <c r="AG556" i="1" s="1"/>
  <c r="BA556" i="1" s="1"/>
  <c r="I557" i="1"/>
  <c r="Q557" i="1" s="1"/>
  <c r="N557" i="1"/>
  <c r="AT557" i="1"/>
  <c r="AS557" i="1" s="1"/>
  <c r="AM557" i="1"/>
  <c r="P557" i="1"/>
  <c r="BE557" i="1" s="1"/>
  <c r="J1079" i="1"/>
  <c r="L1080" i="1"/>
  <c r="A1100" i="7"/>
  <c r="B1099" i="7"/>
  <c r="S1080" i="1"/>
  <c r="Z1082" i="1" s="1"/>
  <c r="K1080" i="1"/>
  <c r="AU1080" i="1"/>
  <c r="E1079" i="1"/>
  <c r="F1079" i="1" s="1"/>
  <c r="D1079" i="1"/>
  <c r="M1078" i="1"/>
  <c r="G1078" i="1"/>
  <c r="H1078" i="1" s="1"/>
  <c r="AA1080" i="1"/>
  <c r="B1081" i="1"/>
  <c r="C1080" i="1"/>
  <c r="AW1079" i="1"/>
  <c r="AI1079" i="1" s="1"/>
  <c r="AJ1079" i="1" s="1"/>
  <c r="AK1079" i="1"/>
  <c r="A1080" i="1"/>
  <c r="AC1079" i="1"/>
  <c r="BC1079" i="1" l="1"/>
  <c r="BD1079" i="1" s="1"/>
  <c r="AE1079" i="1" s="1"/>
  <c r="BF1081" i="1"/>
  <c r="BB1080" i="1"/>
  <c r="AH556" i="1"/>
  <c r="AQ557" i="1"/>
  <c r="Y557" i="1"/>
  <c r="X557" i="1" s="1"/>
  <c r="AY557" i="1"/>
  <c r="V557" i="1"/>
  <c r="O557" i="1"/>
  <c r="J1080" i="1"/>
  <c r="L1081" i="1"/>
  <c r="A1101" i="7"/>
  <c r="B1100" i="7"/>
  <c r="S1081" i="1"/>
  <c r="Z1083" i="1" s="1"/>
  <c r="K1081" i="1"/>
  <c r="AU1081" i="1"/>
  <c r="G1079" i="1"/>
  <c r="H1079" i="1" s="1"/>
  <c r="M1079" i="1"/>
  <c r="AW1080" i="1"/>
  <c r="AI1080" i="1" s="1"/>
  <c r="AJ1080" i="1" s="1"/>
  <c r="AP1080" i="1"/>
  <c r="AK1080" i="1"/>
  <c r="A1081" i="1"/>
  <c r="D1080" i="1"/>
  <c r="E1080" i="1"/>
  <c r="F1080" i="1" s="1"/>
  <c r="AC1080" i="1"/>
  <c r="C1081" i="1"/>
  <c r="AA1081" i="1"/>
  <c r="B1082" i="1"/>
  <c r="BC1080" i="1" l="1"/>
  <c r="BD1080" i="1" s="1"/>
  <c r="AE1080" i="1" s="1"/>
  <c r="AX557" i="1"/>
  <c r="U557" i="1" s="1"/>
  <c r="AL557" i="1" s="1"/>
  <c r="AN557" i="1" s="1"/>
  <c r="AO557" i="1" s="1"/>
  <c r="AP557" i="1" s="1"/>
  <c r="BF1082" i="1"/>
  <c r="BB1081" i="1"/>
  <c r="AF557" i="1"/>
  <c r="AG557" i="1" s="1"/>
  <c r="BA557" i="1" s="1"/>
  <c r="I558" i="1"/>
  <c r="Q558" i="1" s="1"/>
  <c r="AT558" i="1"/>
  <c r="AS558" i="1" s="1"/>
  <c r="P558" i="1"/>
  <c r="BE558" i="1" s="1"/>
  <c r="N558" i="1"/>
  <c r="AM558" i="1"/>
  <c r="J1081" i="1"/>
  <c r="L1082" i="1"/>
  <c r="A1102" i="7"/>
  <c r="B1101" i="7"/>
  <c r="S1082" i="1"/>
  <c r="Z1084" i="1" s="1"/>
  <c r="K1082" i="1"/>
  <c r="AU1082" i="1"/>
  <c r="G1080" i="1"/>
  <c r="H1080" i="1" s="1"/>
  <c r="AA1082" i="1"/>
  <c r="B1083" i="1"/>
  <c r="C1082" i="1"/>
  <c r="AC1081" i="1"/>
  <c r="A1082" i="1"/>
  <c r="AW1081" i="1"/>
  <c r="AI1081" i="1" s="1"/>
  <c r="AJ1081" i="1" s="1"/>
  <c r="AK1081" i="1"/>
  <c r="M1080" i="1"/>
  <c r="D1081" i="1"/>
  <c r="E1081" i="1"/>
  <c r="F1081" i="1" s="1"/>
  <c r="BC1081" i="1" l="1"/>
  <c r="BD1081" i="1" s="1"/>
  <c r="AE1081" i="1" s="1"/>
  <c r="BF1083" i="1"/>
  <c r="BB1082" i="1"/>
  <c r="AH557" i="1"/>
  <c r="AQ558" i="1"/>
  <c r="AY558" i="1"/>
  <c r="V558" i="1"/>
  <c r="Y558" i="1"/>
  <c r="X558" i="1" s="1"/>
  <c r="AF558" i="1" s="1"/>
  <c r="O558" i="1"/>
  <c r="J1082" i="1"/>
  <c r="L1083" i="1"/>
  <c r="A1103" i="7"/>
  <c r="B1102" i="7"/>
  <c r="S1083" i="1"/>
  <c r="Z1085" i="1" s="1"/>
  <c r="K1083" i="1"/>
  <c r="AU1083" i="1"/>
  <c r="D1082" i="1"/>
  <c r="E1082" i="1"/>
  <c r="F1082" i="1" s="1"/>
  <c r="G1081" i="1"/>
  <c r="H1081" i="1" s="1"/>
  <c r="C1083" i="1"/>
  <c r="B1084" i="1"/>
  <c r="AA1083" i="1"/>
  <c r="AW1082" i="1"/>
  <c r="AI1082" i="1" s="1"/>
  <c r="AJ1082" i="1" s="1"/>
  <c r="AK1082" i="1"/>
  <c r="A1083" i="1"/>
  <c r="M1081" i="1"/>
  <c r="AC1082" i="1"/>
  <c r="BC1082" i="1" l="1"/>
  <c r="BD1082" i="1" s="1"/>
  <c r="AE1082" i="1" s="1"/>
  <c r="BF1084" i="1"/>
  <c r="AX558" i="1"/>
  <c r="U558" i="1" s="1"/>
  <c r="AL558" i="1" s="1"/>
  <c r="AN558" i="1" s="1"/>
  <c r="AO558" i="1" s="1"/>
  <c r="AP558" i="1" s="1"/>
  <c r="BB1083" i="1"/>
  <c r="P559" i="1"/>
  <c r="BE559" i="1" s="1"/>
  <c r="I559" i="1"/>
  <c r="Q559" i="1" s="1"/>
  <c r="N559" i="1"/>
  <c r="AT559" i="1"/>
  <c r="AS559" i="1" s="1"/>
  <c r="AM559" i="1"/>
  <c r="J1083" i="1"/>
  <c r="L1084" i="1"/>
  <c r="A1104" i="7"/>
  <c r="B1103" i="7"/>
  <c r="S1084" i="1"/>
  <c r="Z1086" i="1" s="1"/>
  <c r="K1084" i="1"/>
  <c r="AU1084" i="1"/>
  <c r="C1084" i="1"/>
  <c r="B1085" i="1"/>
  <c r="AA1084" i="1"/>
  <c r="G1082" i="1"/>
  <c r="H1082" i="1" s="1"/>
  <c r="E1083" i="1"/>
  <c r="F1083" i="1" s="1"/>
  <c r="D1083" i="1"/>
  <c r="AK1083" i="1"/>
  <c r="A1084" i="1"/>
  <c r="AW1083" i="1"/>
  <c r="AI1083" i="1" s="1"/>
  <c r="AJ1083" i="1" s="1"/>
  <c r="AC1083" i="1"/>
  <c r="M1082" i="1"/>
  <c r="BC1083" i="1" l="1"/>
  <c r="BD1083" i="1" s="1"/>
  <c r="AE1083" i="1" s="1"/>
  <c r="BF1085" i="1"/>
  <c r="BB1084" i="1"/>
  <c r="O559" i="1"/>
  <c r="V559" i="1"/>
  <c r="Y559" i="1"/>
  <c r="X559" i="1" s="1"/>
  <c r="AQ559" i="1"/>
  <c r="AY559" i="1"/>
  <c r="AG558" i="1"/>
  <c r="BA558" i="1" s="1"/>
  <c r="AH558" i="1"/>
  <c r="J1084" i="1"/>
  <c r="L1085" i="1"/>
  <c r="A1105" i="7"/>
  <c r="B1104" i="7"/>
  <c r="S1085" i="1"/>
  <c r="Z1087" i="1" s="1"/>
  <c r="K1085" i="1"/>
  <c r="AU1085" i="1"/>
  <c r="G1083" i="1"/>
  <c r="H1083" i="1" s="1"/>
  <c r="M1083" i="1"/>
  <c r="D1084" i="1"/>
  <c r="E1084" i="1"/>
  <c r="F1084" i="1" s="1"/>
  <c r="AK1084" i="1"/>
  <c r="A1085" i="1"/>
  <c r="AW1084" i="1"/>
  <c r="AI1084" i="1" s="1"/>
  <c r="AJ1084" i="1" s="1"/>
  <c r="AC1084" i="1"/>
  <c r="C1085" i="1"/>
  <c r="AA1085" i="1"/>
  <c r="B1086" i="1"/>
  <c r="BC1084" i="1" l="1"/>
  <c r="BD1084" i="1" s="1"/>
  <c r="AE1084" i="1" s="1"/>
  <c r="AX559" i="1"/>
  <c r="U559" i="1" s="1"/>
  <c r="AL559" i="1" s="1"/>
  <c r="AN559" i="1" s="1"/>
  <c r="AO559" i="1" s="1"/>
  <c r="AP559" i="1" s="1"/>
  <c r="BF1086" i="1"/>
  <c r="BB1085" i="1"/>
  <c r="AF559" i="1"/>
  <c r="P560" i="1"/>
  <c r="BE560" i="1" s="1"/>
  <c r="N560" i="1"/>
  <c r="AT560" i="1"/>
  <c r="AS560" i="1" s="1"/>
  <c r="AM560" i="1"/>
  <c r="I560" i="1"/>
  <c r="Q560" i="1" s="1"/>
  <c r="J1085" i="1"/>
  <c r="L1086" i="1"/>
  <c r="A1106" i="7"/>
  <c r="B1105" i="7"/>
  <c r="S1086" i="1"/>
  <c r="Z1088" i="1" s="1"/>
  <c r="K1086" i="1"/>
  <c r="AU1086" i="1"/>
  <c r="G1084" i="1"/>
  <c r="H1084" i="1" s="1"/>
  <c r="M1084" i="1"/>
  <c r="AC1085" i="1"/>
  <c r="D1085" i="1"/>
  <c r="E1085" i="1"/>
  <c r="F1085" i="1" s="1"/>
  <c r="AA1086" i="1"/>
  <c r="B1087" i="1"/>
  <c r="C1086" i="1"/>
  <c r="AK1085" i="1"/>
  <c r="A1086" i="1"/>
  <c r="AW1085" i="1"/>
  <c r="AI1085" i="1" s="1"/>
  <c r="AJ1085" i="1" s="1"/>
  <c r="BC1085" i="1" l="1"/>
  <c r="BD1085" i="1" s="1"/>
  <c r="AE1085" i="1" s="1"/>
  <c r="BF1087" i="1"/>
  <c r="AH559" i="1"/>
  <c r="AG559" i="1"/>
  <c r="BA559" i="1" s="1"/>
  <c r="BB1086" i="1"/>
  <c r="O560" i="1"/>
  <c r="Y560" i="1"/>
  <c r="X560" i="1" s="1"/>
  <c r="AF560" i="1" s="1"/>
  <c r="V560" i="1"/>
  <c r="AQ560" i="1"/>
  <c r="AY560" i="1"/>
  <c r="J1086" i="1"/>
  <c r="L1087" i="1"/>
  <c r="A1107" i="7"/>
  <c r="B1106" i="7"/>
  <c r="S1087" i="1"/>
  <c r="Z1089" i="1" s="1"/>
  <c r="K1087" i="1"/>
  <c r="AU1087" i="1"/>
  <c r="AK1086" i="1"/>
  <c r="AW1086" i="1"/>
  <c r="AI1086" i="1" s="1"/>
  <c r="AJ1086" i="1" s="1"/>
  <c r="A1087" i="1"/>
  <c r="M1085" i="1"/>
  <c r="C1087" i="1"/>
  <c r="B1088" i="1"/>
  <c r="AA1087" i="1"/>
  <c r="D1086" i="1"/>
  <c r="E1086" i="1"/>
  <c r="F1086" i="1" s="1"/>
  <c r="AC1086" i="1"/>
  <c r="G1085" i="1"/>
  <c r="H1085" i="1" s="1"/>
  <c r="BC1086" i="1" l="1"/>
  <c r="BD1086" i="1" s="1"/>
  <c r="AE1086" i="1" s="1"/>
  <c r="AX560" i="1"/>
  <c r="U560" i="1" s="1"/>
  <c r="AL560" i="1" s="1"/>
  <c r="AN560" i="1" s="1"/>
  <c r="AO560" i="1" s="1"/>
  <c r="AP560" i="1" s="1"/>
  <c r="BF1088" i="1"/>
  <c r="BB1087" i="1"/>
  <c r="P561" i="1"/>
  <c r="BE561" i="1" s="1"/>
  <c r="N561" i="1"/>
  <c r="AM561" i="1"/>
  <c r="AT561" i="1"/>
  <c r="AS561" i="1" s="1"/>
  <c r="I561" i="1"/>
  <c r="Q561" i="1" s="1"/>
  <c r="J1087" i="1"/>
  <c r="L1088" i="1"/>
  <c r="A1108" i="7"/>
  <c r="B1107" i="7"/>
  <c r="S1088" i="1"/>
  <c r="Z1090" i="1" s="1"/>
  <c r="K1088" i="1"/>
  <c r="AU1088" i="1"/>
  <c r="G1086" i="1"/>
  <c r="H1086" i="1" s="1"/>
  <c r="AC1087" i="1"/>
  <c r="D1087" i="1"/>
  <c r="E1087" i="1"/>
  <c r="F1087" i="1" s="1"/>
  <c r="AA1088" i="1"/>
  <c r="B1089" i="1"/>
  <c r="C1088" i="1"/>
  <c r="A1088" i="1"/>
  <c r="AK1087" i="1"/>
  <c r="AW1087" i="1"/>
  <c r="AI1087" i="1" s="1"/>
  <c r="AJ1087" i="1" s="1"/>
  <c r="M1086" i="1"/>
  <c r="BC1087" i="1" l="1"/>
  <c r="BD1087" i="1" s="1"/>
  <c r="AE1087" i="1" s="1"/>
  <c r="BF1089" i="1"/>
  <c r="BB1088" i="1"/>
  <c r="AC1088" i="1"/>
  <c r="O561" i="1"/>
  <c r="V561" i="1"/>
  <c r="Y561" i="1"/>
  <c r="X561" i="1" s="1"/>
  <c r="AY561" i="1"/>
  <c r="AQ561" i="1"/>
  <c r="AH560" i="1"/>
  <c r="AG560" i="1"/>
  <c r="BA560" i="1" s="1"/>
  <c r="J1088" i="1"/>
  <c r="L1089" i="1"/>
  <c r="A1109" i="7"/>
  <c r="B1108" i="7"/>
  <c r="S1089" i="1"/>
  <c r="Z1091" i="1" s="1"/>
  <c r="K1089" i="1"/>
  <c r="AU1089" i="1"/>
  <c r="G1087" i="1"/>
  <c r="H1087" i="1" s="1"/>
  <c r="A1089" i="1"/>
  <c r="AW1088" i="1"/>
  <c r="AI1088" i="1" s="1"/>
  <c r="AJ1088" i="1" s="1"/>
  <c r="AK1088" i="1"/>
  <c r="B1090" i="1"/>
  <c r="C1089" i="1"/>
  <c r="AA1089" i="1"/>
  <c r="M1087" i="1"/>
  <c r="D1088" i="1"/>
  <c r="E1088" i="1"/>
  <c r="F1088" i="1" s="1"/>
  <c r="BC1088" i="1" l="1"/>
  <c r="BD1088" i="1" s="1"/>
  <c r="AE1088" i="1" s="1"/>
  <c r="AX561" i="1"/>
  <c r="U561" i="1" s="1"/>
  <c r="AL561" i="1" s="1"/>
  <c r="AN561" i="1" s="1"/>
  <c r="AO561" i="1" s="1"/>
  <c r="AP561" i="1" s="1"/>
  <c r="BF1090" i="1"/>
  <c r="BB1089" i="1"/>
  <c r="AF561" i="1"/>
  <c r="AG561" i="1" s="1"/>
  <c r="BA561" i="1" s="1"/>
  <c r="P562" i="1"/>
  <c r="BE562" i="1" s="1"/>
  <c r="N562" i="1"/>
  <c r="AT562" i="1"/>
  <c r="AS562" i="1" s="1"/>
  <c r="AM562" i="1"/>
  <c r="I562" i="1"/>
  <c r="Q562" i="1" s="1"/>
  <c r="J1089" i="1"/>
  <c r="L1090" i="1"/>
  <c r="A1110" i="7"/>
  <c r="B1109" i="7"/>
  <c r="S1090" i="1"/>
  <c r="Z1092" i="1" s="1"/>
  <c r="K1090" i="1"/>
  <c r="AU1090" i="1"/>
  <c r="G1088" i="1"/>
  <c r="H1088" i="1" s="1"/>
  <c r="D1089" i="1"/>
  <c r="E1089" i="1"/>
  <c r="F1089" i="1" s="1"/>
  <c r="AA1090" i="1"/>
  <c r="B1091" i="1"/>
  <c r="C1090" i="1"/>
  <c r="M1088" i="1"/>
  <c r="A1090" i="1"/>
  <c r="AW1089" i="1"/>
  <c r="AI1089" i="1" s="1"/>
  <c r="AJ1089" i="1" s="1"/>
  <c r="AK1089" i="1"/>
  <c r="AC1089" i="1"/>
  <c r="BC1089" i="1" l="1"/>
  <c r="BD1089" i="1" s="1"/>
  <c r="AE1089" i="1" s="1"/>
  <c r="BF1091" i="1"/>
  <c r="BB1090" i="1"/>
  <c r="AH561" i="1"/>
  <c r="O562" i="1"/>
  <c r="Y562" i="1"/>
  <c r="X562" i="1" s="1"/>
  <c r="AF562" i="1" s="1"/>
  <c r="V562" i="1"/>
  <c r="AQ562" i="1"/>
  <c r="AY562" i="1"/>
  <c r="J1090" i="1"/>
  <c r="L1091" i="1"/>
  <c r="A1111" i="7"/>
  <c r="B1110" i="7"/>
  <c r="S1091" i="1"/>
  <c r="Z1093" i="1" s="1"/>
  <c r="K1091" i="1"/>
  <c r="AU1091" i="1"/>
  <c r="G1089" i="1"/>
  <c r="H1089" i="1" s="1"/>
  <c r="D1090" i="1"/>
  <c r="E1090" i="1"/>
  <c r="F1090" i="1" s="1"/>
  <c r="AA1091" i="1"/>
  <c r="C1091" i="1"/>
  <c r="B1092" i="1"/>
  <c r="M1089" i="1"/>
  <c r="AK1090" i="1"/>
  <c r="A1091" i="1"/>
  <c r="AW1090" i="1"/>
  <c r="AI1090" i="1" s="1"/>
  <c r="AJ1090" i="1" s="1"/>
  <c r="AC1090" i="1"/>
  <c r="BC1090" i="1" l="1"/>
  <c r="BD1090" i="1" s="1"/>
  <c r="AE1090" i="1" s="1"/>
  <c r="BF1092" i="1"/>
  <c r="AX562" i="1"/>
  <c r="U562" i="1" s="1"/>
  <c r="AL562" i="1" s="1"/>
  <c r="AN562" i="1" s="1"/>
  <c r="AO562" i="1" s="1"/>
  <c r="AP562" i="1" s="1"/>
  <c r="BB1091" i="1"/>
  <c r="P563" i="1"/>
  <c r="BE563" i="1" s="1"/>
  <c r="AM563" i="1"/>
  <c r="I563" i="1"/>
  <c r="Q563" i="1" s="1"/>
  <c r="N563" i="1"/>
  <c r="AT563" i="1"/>
  <c r="AS563" i="1" s="1"/>
  <c r="J1091" i="1"/>
  <c r="L1092" i="1"/>
  <c r="A1112" i="7"/>
  <c r="B1111" i="7"/>
  <c r="S1092" i="1"/>
  <c r="Z1094" i="1" s="1"/>
  <c r="K1092" i="1"/>
  <c r="AU1092" i="1"/>
  <c r="G1090" i="1"/>
  <c r="H1090" i="1" s="1"/>
  <c r="B1093" i="1"/>
  <c r="AA1092" i="1"/>
  <c r="C1092" i="1"/>
  <c r="AC1091" i="1"/>
  <c r="A1092" i="1"/>
  <c r="AW1091" i="1"/>
  <c r="AI1091" i="1" s="1"/>
  <c r="AJ1091" i="1" s="1"/>
  <c r="AK1091" i="1"/>
  <c r="M1090" i="1"/>
  <c r="D1091" i="1"/>
  <c r="E1091" i="1"/>
  <c r="F1091" i="1" s="1"/>
  <c r="BC1091" i="1" l="1"/>
  <c r="BD1091" i="1" s="1"/>
  <c r="AE1091" i="1" s="1"/>
  <c r="BF1093" i="1"/>
  <c r="BB1092" i="1"/>
  <c r="Y563" i="1"/>
  <c r="X563" i="1" s="1"/>
  <c r="V563" i="1"/>
  <c r="AY563" i="1"/>
  <c r="AQ563" i="1"/>
  <c r="O563" i="1"/>
  <c r="AH562" i="1"/>
  <c r="AG562" i="1"/>
  <c r="BA562" i="1" s="1"/>
  <c r="J1092" i="1"/>
  <c r="L1093" i="1"/>
  <c r="A1113" i="7"/>
  <c r="B1112" i="7"/>
  <c r="S1093" i="1"/>
  <c r="Z1095" i="1" s="1"/>
  <c r="K1093" i="1"/>
  <c r="AU1093" i="1"/>
  <c r="AC1092" i="1"/>
  <c r="G1091" i="1"/>
  <c r="H1091" i="1" s="1"/>
  <c r="A1093" i="1"/>
  <c r="AP1092" i="1"/>
  <c r="AW1092" i="1"/>
  <c r="AI1092" i="1" s="1"/>
  <c r="AJ1092" i="1" s="1"/>
  <c r="AK1092" i="1"/>
  <c r="M1091" i="1"/>
  <c r="AA1093" i="1"/>
  <c r="B1094" i="1"/>
  <c r="C1093" i="1"/>
  <c r="D1092" i="1"/>
  <c r="E1092" i="1"/>
  <c r="F1092" i="1" s="1"/>
  <c r="BC1092" i="1" l="1"/>
  <c r="BD1092" i="1" s="1"/>
  <c r="AE1092" i="1" s="1"/>
  <c r="BF1094" i="1"/>
  <c r="AX563" i="1"/>
  <c r="U563" i="1" s="1"/>
  <c r="AL563" i="1" s="1"/>
  <c r="AN563" i="1" s="1"/>
  <c r="AO563" i="1" s="1"/>
  <c r="AP563" i="1" s="1"/>
  <c r="BB1093" i="1"/>
  <c r="AF563" i="1"/>
  <c r="AG563" i="1" s="1"/>
  <c r="BA563" i="1" s="1"/>
  <c r="P564" i="1"/>
  <c r="BE564" i="1" s="1"/>
  <c r="AT564" i="1"/>
  <c r="AS564" i="1" s="1"/>
  <c r="N564" i="1"/>
  <c r="I564" i="1"/>
  <c r="Q564" i="1" s="1"/>
  <c r="AM564" i="1"/>
  <c r="J1093" i="1"/>
  <c r="L1094" i="1"/>
  <c r="A1114" i="7"/>
  <c r="B1113" i="7"/>
  <c r="S1094" i="1"/>
  <c r="Z1096" i="1" s="1"/>
  <c r="K1094" i="1"/>
  <c r="AU1094" i="1"/>
  <c r="G1092" i="1"/>
  <c r="H1092" i="1" s="1"/>
  <c r="AK1093" i="1"/>
  <c r="A1094" i="1"/>
  <c r="AW1093" i="1"/>
  <c r="AI1093" i="1" s="1"/>
  <c r="AJ1093" i="1" s="1"/>
  <c r="B1095" i="1"/>
  <c r="C1094" i="1"/>
  <c r="AA1094" i="1"/>
  <c r="M1092" i="1"/>
  <c r="AC1093" i="1"/>
  <c r="D1093" i="1"/>
  <c r="E1093" i="1"/>
  <c r="F1093" i="1" s="1"/>
  <c r="BC1093" i="1" l="1"/>
  <c r="BD1093" i="1" s="1"/>
  <c r="AE1093" i="1" s="1"/>
  <c r="BF1095" i="1"/>
  <c r="BB1094" i="1"/>
  <c r="AH563" i="1"/>
  <c r="Y564" i="1"/>
  <c r="X564" i="1" s="1"/>
  <c r="V564" i="1"/>
  <c r="AQ564" i="1"/>
  <c r="AY564" i="1"/>
  <c r="O564" i="1"/>
  <c r="J1094" i="1"/>
  <c r="L1095" i="1"/>
  <c r="A1115" i="7"/>
  <c r="B1114" i="7"/>
  <c r="S1095" i="1"/>
  <c r="Z1097" i="1" s="1"/>
  <c r="K1095" i="1"/>
  <c r="AU1095" i="1"/>
  <c r="AC1094" i="1"/>
  <c r="C1095" i="1"/>
  <c r="AA1095" i="1"/>
  <c r="B1096" i="1"/>
  <c r="G1093" i="1"/>
  <c r="H1093" i="1" s="1"/>
  <c r="AW1094" i="1"/>
  <c r="AI1094" i="1" s="1"/>
  <c r="AJ1094" i="1" s="1"/>
  <c r="AK1094" i="1"/>
  <c r="A1095" i="1"/>
  <c r="M1093" i="1"/>
  <c r="D1094" i="1"/>
  <c r="E1094" i="1"/>
  <c r="F1094" i="1" s="1"/>
  <c r="BC1094" i="1" l="1"/>
  <c r="BD1094" i="1" s="1"/>
  <c r="AE1094" i="1" s="1"/>
  <c r="BF1096" i="1"/>
  <c r="AX564" i="1"/>
  <c r="U564" i="1" s="1"/>
  <c r="AL564" i="1" s="1"/>
  <c r="AN564" i="1" s="1"/>
  <c r="AO564" i="1" s="1"/>
  <c r="BB1095" i="1"/>
  <c r="AF564" i="1"/>
  <c r="AG564" i="1" s="1"/>
  <c r="BA564" i="1" s="1"/>
  <c r="P565" i="1"/>
  <c r="BE565" i="1" s="1"/>
  <c r="N565" i="1"/>
  <c r="AT565" i="1"/>
  <c r="AS565" i="1" s="1"/>
  <c r="I565" i="1"/>
  <c r="Q565" i="1" s="1"/>
  <c r="AM565" i="1"/>
  <c r="J1095" i="1"/>
  <c r="L1096" i="1"/>
  <c r="A1116" i="7"/>
  <c r="B1115" i="7"/>
  <c r="S1096" i="1"/>
  <c r="Z1098" i="1" s="1"/>
  <c r="K1096" i="1"/>
  <c r="AU1096" i="1"/>
  <c r="G1094" i="1"/>
  <c r="H1094" i="1" s="1"/>
  <c r="AW1095" i="1"/>
  <c r="AI1095" i="1" s="1"/>
  <c r="AJ1095" i="1" s="1"/>
  <c r="AK1095" i="1"/>
  <c r="A1096" i="1"/>
  <c r="E1095" i="1"/>
  <c r="F1095" i="1" s="1"/>
  <c r="D1095" i="1"/>
  <c r="AA1096" i="1"/>
  <c r="C1096" i="1"/>
  <c r="B1097" i="1"/>
  <c r="AC1095" i="1"/>
  <c r="M1094" i="1"/>
  <c r="BC1095" i="1" l="1"/>
  <c r="BD1095" i="1" s="1"/>
  <c r="AE1095" i="1" s="1"/>
  <c r="BF1097" i="1"/>
  <c r="BB1096" i="1"/>
  <c r="AH564" i="1"/>
  <c r="O565" i="1"/>
  <c r="Y565" i="1"/>
  <c r="X565" i="1" s="1"/>
  <c r="V565" i="1"/>
  <c r="AY565" i="1"/>
  <c r="AQ565" i="1"/>
  <c r="J1096" i="1"/>
  <c r="L1097" i="1"/>
  <c r="A1117" i="7"/>
  <c r="B1116" i="7"/>
  <c r="S1097" i="1"/>
  <c r="Z1099" i="1" s="1"/>
  <c r="K1097" i="1"/>
  <c r="AU1097" i="1"/>
  <c r="G1095" i="1"/>
  <c r="H1095" i="1" s="1"/>
  <c r="AA1097" i="1"/>
  <c r="C1097" i="1"/>
  <c r="B1098" i="1"/>
  <c r="M1095" i="1"/>
  <c r="AC1096" i="1"/>
  <c r="E1096" i="1"/>
  <c r="F1096" i="1" s="1"/>
  <c r="D1096" i="1"/>
  <c r="AW1096" i="1"/>
  <c r="AI1096" i="1" s="1"/>
  <c r="AJ1096" i="1" s="1"/>
  <c r="AK1096" i="1"/>
  <c r="A1097" i="1"/>
  <c r="BC1096" i="1" l="1"/>
  <c r="BD1096" i="1" s="1"/>
  <c r="AE1096" i="1" s="1"/>
  <c r="BF1098" i="1"/>
  <c r="AX565" i="1"/>
  <c r="U565" i="1" s="1"/>
  <c r="AL565" i="1" s="1"/>
  <c r="AN565" i="1" s="1"/>
  <c r="AO565" i="1" s="1"/>
  <c r="AP565" i="1" s="1"/>
  <c r="BB1097" i="1"/>
  <c r="AF565" i="1"/>
  <c r="AG565" i="1" s="1"/>
  <c r="BA565" i="1" s="1"/>
  <c r="I566" i="1"/>
  <c r="Q566" i="1" s="1"/>
  <c r="AM566" i="1"/>
  <c r="N566" i="1"/>
  <c r="AT566" i="1"/>
  <c r="AS566" i="1" s="1"/>
  <c r="P566" i="1"/>
  <c r="BE566" i="1" s="1"/>
  <c r="J1097" i="1"/>
  <c r="L1098" i="1"/>
  <c r="A1118" i="7"/>
  <c r="B1117" i="7"/>
  <c r="S1098" i="1"/>
  <c r="Z1100" i="1" s="1"/>
  <c r="K1098" i="1"/>
  <c r="AU1098" i="1"/>
  <c r="C1098" i="1"/>
  <c r="B1099" i="1"/>
  <c r="AA1098" i="1"/>
  <c r="AC1097" i="1"/>
  <c r="G1096" i="1"/>
  <c r="H1096" i="1" s="1"/>
  <c r="M1096" i="1"/>
  <c r="AW1097" i="1"/>
  <c r="AI1097" i="1" s="1"/>
  <c r="AJ1097" i="1" s="1"/>
  <c r="AK1097" i="1"/>
  <c r="A1098" i="1"/>
  <c r="D1097" i="1"/>
  <c r="E1097" i="1"/>
  <c r="F1097" i="1" s="1"/>
  <c r="BC1097" i="1" l="1"/>
  <c r="BD1097" i="1" s="1"/>
  <c r="AE1097" i="1" s="1"/>
  <c r="BF1099" i="1"/>
  <c r="BB1098" i="1"/>
  <c r="AH565" i="1"/>
  <c r="AQ566" i="1"/>
  <c r="V566" i="1"/>
  <c r="AY566" i="1"/>
  <c r="Y566" i="1"/>
  <c r="X566" i="1" s="1"/>
  <c r="O566" i="1"/>
  <c r="J1098" i="1"/>
  <c r="L1099" i="1"/>
  <c r="A1119" i="7"/>
  <c r="B1118" i="7"/>
  <c r="S1099" i="1"/>
  <c r="Z1101" i="1" s="1"/>
  <c r="K1099" i="1"/>
  <c r="AU1099" i="1"/>
  <c r="G1097" i="1"/>
  <c r="H1097" i="1" s="1"/>
  <c r="M1097" i="1"/>
  <c r="AC1098" i="1"/>
  <c r="AK1098" i="1"/>
  <c r="A1099" i="1"/>
  <c r="AW1098" i="1"/>
  <c r="AI1098" i="1" s="1"/>
  <c r="AJ1098" i="1" s="1"/>
  <c r="B1100" i="1"/>
  <c r="C1099" i="1"/>
  <c r="AA1099" i="1"/>
  <c r="D1098" i="1"/>
  <c r="E1098" i="1"/>
  <c r="F1098" i="1" s="1"/>
  <c r="BC1098" i="1" l="1"/>
  <c r="BD1098" i="1" s="1"/>
  <c r="AE1098" i="1" s="1"/>
  <c r="BF1100" i="1"/>
  <c r="AX566" i="1"/>
  <c r="U566" i="1" s="1"/>
  <c r="AL566" i="1" s="1"/>
  <c r="AN566" i="1" s="1"/>
  <c r="AO566" i="1" s="1"/>
  <c r="AP566" i="1" s="1"/>
  <c r="AC1099" i="1"/>
  <c r="BB1099" i="1"/>
  <c r="AF566" i="1"/>
  <c r="AG566" i="1" s="1"/>
  <c r="BA566" i="1" s="1"/>
  <c r="P567" i="1"/>
  <c r="BE567" i="1" s="1"/>
  <c r="AT567" i="1"/>
  <c r="AS567" i="1" s="1"/>
  <c r="AM567" i="1"/>
  <c r="I567" i="1"/>
  <c r="Q567" i="1" s="1"/>
  <c r="N567" i="1"/>
  <c r="J1099" i="1"/>
  <c r="L1100" i="1"/>
  <c r="A1120" i="7"/>
  <c r="B1119" i="7"/>
  <c r="S1100" i="1"/>
  <c r="Z1102" i="1" s="1"/>
  <c r="K1100" i="1"/>
  <c r="AU1100" i="1"/>
  <c r="G1098" i="1"/>
  <c r="H1098" i="1" s="1"/>
  <c r="A1100" i="1"/>
  <c r="AW1099" i="1"/>
  <c r="AI1099" i="1" s="1"/>
  <c r="AJ1099" i="1" s="1"/>
  <c r="AK1099" i="1"/>
  <c r="C1100" i="1"/>
  <c r="AA1100" i="1"/>
  <c r="B1101" i="1"/>
  <c r="M1098" i="1"/>
  <c r="D1099" i="1"/>
  <c r="E1099" i="1"/>
  <c r="F1099" i="1" s="1"/>
  <c r="BC1099" i="1" l="1"/>
  <c r="BD1099" i="1" s="1"/>
  <c r="AE1099" i="1" s="1"/>
  <c r="BF1101" i="1"/>
  <c r="AH566" i="1"/>
  <c r="BB1100" i="1"/>
  <c r="O567" i="1"/>
  <c r="P568" i="1" s="1"/>
  <c r="BE568" i="1" s="1"/>
  <c r="AQ567" i="1"/>
  <c r="V567" i="1"/>
  <c r="Y567" i="1"/>
  <c r="X567" i="1" s="1"/>
  <c r="AY567" i="1"/>
  <c r="J1100" i="1"/>
  <c r="L1101" i="1"/>
  <c r="A1121" i="7"/>
  <c r="B1120" i="7"/>
  <c r="S1101" i="1"/>
  <c r="Z1103" i="1" s="1"/>
  <c r="K1101" i="1"/>
  <c r="AU1101" i="1"/>
  <c r="G1099" i="1"/>
  <c r="H1099" i="1" s="1"/>
  <c r="M1099" i="1"/>
  <c r="C1101" i="1"/>
  <c r="AA1101" i="1"/>
  <c r="B1102" i="1"/>
  <c r="E1100" i="1"/>
  <c r="F1100" i="1" s="1"/>
  <c r="D1100" i="1"/>
  <c r="AK1100" i="1"/>
  <c r="A1101" i="1"/>
  <c r="AW1100" i="1"/>
  <c r="AI1100" i="1" s="1"/>
  <c r="AJ1100" i="1" s="1"/>
  <c r="AC1100" i="1"/>
  <c r="BC1100" i="1" l="1"/>
  <c r="BD1100" i="1" s="1"/>
  <c r="AE1100" i="1" s="1"/>
  <c r="AX567" i="1"/>
  <c r="U567" i="1" s="1"/>
  <c r="AL567" i="1" s="1"/>
  <c r="AN567" i="1" s="1"/>
  <c r="AO567" i="1" s="1"/>
  <c r="AP567" i="1" s="1"/>
  <c r="BF1102" i="1"/>
  <c r="BB1101" i="1"/>
  <c r="AF567" i="1"/>
  <c r="AG567" i="1" s="1"/>
  <c r="BA567" i="1" s="1"/>
  <c r="AT568" i="1"/>
  <c r="AS568" i="1" s="1"/>
  <c r="AQ568" i="1" s="1"/>
  <c r="AM568" i="1"/>
  <c r="N568" i="1"/>
  <c r="I568" i="1"/>
  <c r="Q568" i="1" s="1"/>
  <c r="Y568" i="1"/>
  <c r="X568" i="1" s="1"/>
  <c r="AF568" i="1" s="1"/>
  <c r="V568" i="1"/>
  <c r="AY568" i="1"/>
  <c r="J1101" i="1"/>
  <c r="L1102" i="1"/>
  <c r="A1122" i="7"/>
  <c r="B1121" i="7"/>
  <c r="S1102" i="1"/>
  <c r="Z1104" i="1" s="1"/>
  <c r="K1102" i="1"/>
  <c r="AU1102" i="1"/>
  <c r="G1100" i="1"/>
  <c r="H1100" i="1" s="1"/>
  <c r="B1103" i="1"/>
  <c r="C1102" i="1"/>
  <c r="AA1102" i="1"/>
  <c r="M1100" i="1"/>
  <c r="AC1101" i="1"/>
  <c r="AK1101" i="1"/>
  <c r="AW1101" i="1"/>
  <c r="AI1101" i="1" s="1"/>
  <c r="AJ1101" i="1" s="1"/>
  <c r="A1102" i="1"/>
  <c r="D1101" i="1"/>
  <c r="E1101" i="1"/>
  <c r="F1101" i="1" s="1"/>
  <c r="BC1101" i="1" l="1"/>
  <c r="BD1101" i="1" s="1"/>
  <c r="AE1101" i="1" s="1"/>
  <c r="BF1103" i="1"/>
  <c r="BB1102" i="1"/>
  <c r="AH567" i="1"/>
  <c r="O568" i="1"/>
  <c r="P569" i="1" s="1"/>
  <c r="BE569" i="1" s="1"/>
  <c r="AG568" i="1"/>
  <c r="BA568" i="1" s="1"/>
  <c r="J1102" i="1"/>
  <c r="L1103" i="1"/>
  <c r="A1123" i="7"/>
  <c r="B1122" i="7"/>
  <c r="S1103" i="1"/>
  <c r="Z1105" i="1" s="1"/>
  <c r="K1103" i="1"/>
  <c r="AU1103" i="1"/>
  <c r="AC1102" i="1"/>
  <c r="M1101" i="1"/>
  <c r="D1102" i="1"/>
  <c r="E1102" i="1"/>
  <c r="F1102" i="1" s="1"/>
  <c r="G1101" i="1"/>
  <c r="H1101" i="1" s="1"/>
  <c r="A1103" i="1"/>
  <c r="AW1102" i="1"/>
  <c r="AI1102" i="1" s="1"/>
  <c r="AJ1102" i="1" s="1"/>
  <c r="AK1102" i="1"/>
  <c r="AA1103" i="1"/>
  <c r="C1103" i="1"/>
  <c r="B1104" i="1"/>
  <c r="BC1102" i="1" l="1"/>
  <c r="BD1102" i="1" s="1"/>
  <c r="AE1102" i="1" s="1"/>
  <c r="BF1104" i="1"/>
  <c r="AX568" i="1"/>
  <c r="U568" i="1" s="1"/>
  <c r="AL568" i="1" s="1"/>
  <c r="AN568" i="1" s="1"/>
  <c r="AO568" i="1" s="1"/>
  <c r="AP568" i="1" s="1"/>
  <c r="BB1103" i="1"/>
  <c r="N569" i="1"/>
  <c r="AT569" i="1"/>
  <c r="AS569" i="1" s="1"/>
  <c r="AQ569" i="1" s="1"/>
  <c r="AM569" i="1"/>
  <c r="I569" i="1"/>
  <c r="Q569" i="1" s="1"/>
  <c r="AH568" i="1"/>
  <c r="V569" i="1"/>
  <c r="Y569" i="1"/>
  <c r="X569" i="1" s="1"/>
  <c r="AF569" i="1" s="1"/>
  <c r="AY569" i="1"/>
  <c r="J1103" i="1"/>
  <c r="L1104" i="1"/>
  <c r="A1124" i="7"/>
  <c r="B1123" i="7"/>
  <c r="S1104" i="1"/>
  <c r="Z1106" i="1" s="1"/>
  <c r="K1104" i="1"/>
  <c r="AU1104" i="1"/>
  <c r="AA1104" i="1"/>
  <c r="B1105" i="1"/>
  <c r="C1104" i="1"/>
  <c r="M1102" i="1"/>
  <c r="E1103" i="1"/>
  <c r="F1103" i="1" s="1"/>
  <c r="D1103" i="1"/>
  <c r="AC1103" i="1"/>
  <c r="G1102" i="1"/>
  <c r="H1102" i="1" s="1"/>
  <c r="AK1103" i="1"/>
  <c r="A1104" i="1"/>
  <c r="AW1103" i="1"/>
  <c r="AI1103" i="1" s="1"/>
  <c r="AJ1103" i="1" s="1"/>
  <c r="BC1103" i="1" l="1"/>
  <c r="BD1103" i="1" s="1"/>
  <c r="AE1103" i="1" s="1"/>
  <c r="AX569" i="1"/>
  <c r="U569" i="1" s="1"/>
  <c r="AL569" i="1" s="1"/>
  <c r="AN569" i="1" s="1"/>
  <c r="AO569" i="1" s="1"/>
  <c r="AP569" i="1" s="1"/>
  <c r="BF1105" i="1"/>
  <c r="BB1104" i="1"/>
  <c r="O569" i="1"/>
  <c r="AT570" i="1" s="1"/>
  <c r="AS570" i="1" s="1"/>
  <c r="J1104" i="1"/>
  <c r="L1105" i="1"/>
  <c r="A1125" i="7"/>
  <c r="B1124" i="7"/>
  <c r="S1105" i="1"/>
  <c r="Z1107" i="1" s="1"/>
  <c r="K1105" i="1"/>
  <c r="AU1105" i="1"/>
  <c r="G1103" i="1"/>
  <c r="H1103" i="1" s="1"/>
  <c r="A1105" i="1"/>
  <c r="AP1104" i="1"/>
  <c r="AK1104" i="1"/>
  <c r="AW1104" i="1"/>
  <c r="AI1104" i="1" s="1"/>
  <c r="AJ1104" i="1" s="1"/>
  <c r="D1104" i="1"/>
  <c r="E1104" i="1"/>
  <c r="F1104" i="1" s="1"/>
  <c r="AC1104" i="1"/>
  <c r="AA1105" i="1"/>
  <c r="B1106" i="1"/>
  <c r="C1105" i="1"/>
  <c r="M1103" i="1"/>
  <c r="BC1104" i="1" l="1"/>
  <c r="BD1104" i="1" s="1"/>
  <c r="AE1104" i="1" s="1"/>
  <c r="BF1106" i="1"/>
  <c r="BB1105" i="1"/>
  <c r="P570" i="1"/>
  <c r="BE570" i="1" s="1"/>
  <c r="I570" i="1"/>
  <c r="Q570" i="1" s="1"/>
  <c r="N570" i="1"/>
  <c r="AM570" i="1"/>
  <c r="AH569" i="1"/>
  <c r="AG569" i="1"/>
  <c r="BA569" i="1" s="1"/>
  <c r="J1105" i="1"/>
  <c r="L1106" i="1"/>
  <c r="A1126" i="7"/>
  <c r="B1125" i="7"/>
  <c r="S1106" i="1"/>
  <c r="Z1108" i="1" s="1"/>
  <c r="K1106" i="1"/>
  <c r="AU1106" i="1"/>
  <c r="AC1105" i="1"/>
  <c r="E1105" i="1"/>
  <c r="F1105" i="1" s="1"/>
  <c r="D1105" i="1"/>
  <c r="M1104" i="1"/>
  <c r="AA1106" i="1"/>
  <c r="B1107" i="1"/>
  <c r="C1106" i="1"/>
  <c r="G1104" i="1"/>
  <c r="H1104" i="1" s="1"/>
  <c r="AK1105" i="1"/>
  <c r="AW1105" i="1"/>
  <c r="AI1105" i="1" s="1"/>
  <c r="AJ1105" i="1" s="1"/>
  <c r="A1106" i="1"/>
  <c r="BC1105" i="1" l="1"/>
  <c r="BD1105" i="1" s="1"/>
  <c r="AE1105" i="1" s="1"/>
  <c r="BF1107" i="1"/>
  <c r="Y570" i="1"/>
  <c r="X570" i="1" s="1"/>
  <c r="AF570" i="1" s="1"/>
  <c r="BB1106" i="1"/>
  <c r="V570" i="1"/>
  <c r="AQ570" i="1"/>
  <c r="AY570" i="1"/>
  <c r="O570" i="1"/>
  <c r="AM571" i="1" s="1"/>
  <c r="J1106" i="1"/>
  <c r="L1107" i="1"/>
  <c r="A1127" i="7"/>
  <c r="B1126" i="7"/>
  <c r="S1107" i="1"/>
  <c r="Z1109" i="1" s="1"/>
  <c r="K1107" i="1"/>
  <c r="AU1107" i="1"/>
  <c r="G1105" i="1"/>
  <c r="H1105" i="1" s="1"/>
  <c r="AW1106" i="1"/>
  <c r="AI1106" i="1" s="1"/>
  <c r="AJ1106" i="1" s="1"/>
  <c r="AK1106" i="1"/>
  <c r="A1107" i="1"/>
  <c r="D1106" i="1"/>
  <c r="E1106" i="1"/>
  <c r="F1106" i="1" s="1"/>
  <c r="C1107" i="1"/>
  <c r="B1108" i="1"/>
  <c r="AA1107" i="1"/>
  <c r="M1105" i="1"/>
  <c r="AC1106" i="1"/>
  <c r="BC1106" i="1" l="1"/>
  <c r="BD1106" i="1" s="1"/>
  <c r="AE1106" i="1" s="1"/>
  <c r="AX570" i="1"/>
  <c r="U570" i="1" s="1"/>
  <c r="AL570" i="1" s="1"/>
  <c r="AN570" i="1" s="1"/>
  <c r="AO570" i="1" s="1"/>
  <c r="AP570" i="1" s="1"/>
  <c r="BF1108" i="1"/>
  <c r="AG570" i="1"/>
  <c r="BA570" i="1" s="1"/>
  <c r="AC1107" i="1"/>
  <c r="BB1107" i="1"/>
  <c r="AH570" i="1"/>
  <c r="AT571" i="1"/>
  <c r="AS571" i="1" s="1"/>
  <c r="I571" i="1"/>
  <c r="Q571" i="1" s="1"/>
  <c r="P571" i="1"/>
  <c r="BE571" i="1" s="1"/>
  <c r="N571" i="1"/>
  <c r="J1107" i="1"/>
  <c r="L1108" i="1"/>
  <c r="A1128" i="7"/>
  <c r="B1127" i="7"/>
  <c r="S1108" i="1"/>
  <c r="Z1110" i="1" s="1"/>
  <c r="K1108" i="1"/>
  <c r="AU1108" i="1"/>
  <c r="G1106" i="1"/>
  <c r="H1106" i="1" s="1"/>
  <c r="D1107" i="1"/>
  <c r="E1107" i="1"/>
  <c r="F1107" i="1" s="1"/>
  <c r="M1106" i="1"/>
  <c r="AA1108" i="1"/>
  <c r="B1109" i="1"/>
  <c r="C1108" i="1"/>
  <c r="A1108" i="1"/>
  <c r="AW1107" i="1"/>
  <c r="AI1107" i="1" s="1"/>
  <c r="AJ1107" i="1" s="1"/>
  <c r="AK1107" i="1"/>
  <c r="BC1107" i="1" l="1"/>
  <c r="BD1107" i="1" s="1"/>
  <c r="AE1107" i="1" s="1"/>
  <c r="BF1109" i="1"/>
  <c r="BB1108" i="1"/>
  <c r="O571" i="1"/>
  <c r="P572" i="1" s="1"/>
  <c r="BE572" i="1" s="1"/>
  <c r="AQ571" i="1"/>
  <c r="AY571" i="1"/>
  <c r="V571" i="1"/>
  <c r="Y571" i="1"/>
  <c r="X571" i="1" s="1"/>
  <c r="J1108" i="1"/>
  <c r="L1109" i="1"/>
  <c r="A1129" i="7"/>
  <c r="B1128" i="7"/>
  <c r="S1109" i="1"/>
  <c r="Z1111" i="1" s="1"/>
  <c r="K1109" i="1"/>
  <c r="AU1109" i="1"/>
  <c r="AC1108" i="1"/>
  <c r="AW1108" i="1"/>
  <c r="AI1108" i="1" s="1"/>
  <c r="AJ1108" i="1" s="1"/>
  <c r="AK1108" i="1"/>
  <c r="A1109" i="1"/>
  <c r="D1108" i="1"/>
  <c r="E1108" i="1"/>
  <c r="F1108" i="1" s="1"/>
  <c r="G1107" i="1"/>
  <c r="H1107" i="1" s="1"/>
  <c r="M1107" i="1"/>
  <c r="AA1109" i="1"/>
  <c r="B1110" i="1"/>
  <c r="C1109" i="1"/>
  <c r="BC1108" i="1" l="1"/>
  <c r="BD1108" i="1" s="1"/>
  <c r="AE1108" i="1" s="1"/>
  <c r="AX571" i="1"/>
  <c r="U571" i="1" s="1"/>
  <c r="AL571" i="1" s="1"/>
  <c r="AN571" i="1" s="1"/>
  <c r="AO571" i="1" s="1"/>
  <c r="AP571" i="1" s="1"/>
  <c r="BF1110" i="1"/>
  <c r="AC1109" i="1"/>
  <c r="BB1109" i="1"/>
  <c r="AF571" i="1"/>
  <c r="AG571" i="1" s="1"/>
  <c r="BA571" i="1" s="1"/>
  <c r="I572" i="1"/>
  <c r="Q572" i="1" s="1"/>
  <c r="AM572" i="1"/>
  <c r="AT572" i="1"/>
  <c r="AS572" i="1" s="1"/>
  <c r="AQ572" i="1" s="1"/>
  <c r="N572" i="1"/>
  <c r="Y572" i="1"/>
  <c r="X572" i="1" s="1"/>
  <c r="AF572" i="1" s="1"/>
  <c r="V572" i="1"/>
  <c r="AY572" i="1"/>
  <c r="J1109" i="1"/>
  <c r="L1110" i="1"/>
  <c r="A1130" i="7"/>
  <c r="B1129" i="7"/>
  <c r="S1110" i="1"/>
  <c r="Z1112" i="1" s="1"/>
  <c r="K1110" i="1"/>
  <c r="AU1110" i="1"/>
  <c r="G1108" i="1"/>
  <c r="H1108" i="1" s="1"/>
  <c r="AA1110" i="1"/>
  <c r="C1110" i="1"/>
  <c r="B1111" i="1"/>
  <c r="AK1109" i="1"/>
  <c r="AW1109" i="1"/>
  <c r="AI1109" i="1" s="1"/>
  <c r="AJ1109" i="1" s="1"/>
  <c r="A1110" i="1"/>
  <c r="E1109" i="1"/>
  <c r="F1109" i="1" s="1"/>
  <c r="D1109" i="1"/>
  <c r="M1108" i="1"/>
  <c r="BC1109" i="1" l="1"/>
  <c r="BD1109" i="1" s="1"/>
  <c r="AE1109" i="1" s="1"/>
  <c r="BF1111" i="1"/>
  <c r="AH571" i="1"/>
  <c r="BB1110" i="1"/>
  <c r="O572" i="1"/>
  <c r="N573" i="1" s="1"/>
  <c r="AG572" i="1"/>
  <c r="BA572" i="1" s="1"/>
  <c r="J1110" i="1"/>
  <c r="L1111" i="1"/>
  <c r="A1131" i="7"/>
  <c r="B1130" i="7"/>
  <c r="S1111" i="1"/>
  <c r="Z1113" i="1" s="1"/>
  <c r="K1111" i="1"/>
  <c r="AU1111" i="1"/>
  <c r="G1109" i="1"/>
  <c r="H1109" i="1" s="1"/>
  <c r="M1109" i="1"/>
  <c r="AC1110" i="1"/>
  <c r="AW1110" i="1"/>
  <c r="AI1110" i="1" s="1"/>
  <c r="AJ1110" i="1" s="1"/>
  <c r="AK1110" i="1"/>
  <c r="A1111" i="1"/>
  <c r="B1112" i="1"/>
  <c r="AA1111" i="1"/>
  <c r="C1111" i="1"/>
  <c r="D1110" i="1"/>
  <c r="E1110" i="1"/>
  <c r="F1110" i="1" s="1"/>
  <c r="BC1110" i="1" l="1"/>
  <c r="BD1110" i="1" s="1"/>
  <c r="AE1110" i="1" s="1"/>
  <c r="BF1112" i="1"/>
  <c r="AX572" i="1"/>
  <c r="U572" i="1" s="1"/>
  <c r="AL572" i="1" s="1"/>
  <c r="AN572" i="1" s="1"/>
  <c r="AO572" i="1" s="1"/>
  <c r="AP572" i="1" s="1"/>
  <c r="BB1111" i="1"/>
  <c r="AT573" i="1"/>
  <c r="AS573" i="1" s="1"/>
  <c r="I573" i="1"/>
  <c r="Q573" i="1" s="1"/>
  <c r="P573" i="1"/>
  <c r="BE573" i="1" s="1"/>
  <c r="AM573" i="1"/>
  <c r="AH572" i="1"/>
  <c r="J1111" i="1"/>
  <c r="L1112" i="1"/>
  <c r="A1132" i="7"/>
  <c r="B1131" i="7"/>
  <c r="S1112" i="1"/>
  <c r="Z1114" i="1" s="1"/>
  <c r="K1112" i="1"/>
  <c r="AU1112" i="1"/>
  <c r="G1110" i="1"/>
  <c r="H1110" i="1" s="1"/>
  <c r="AA1112" i="1"/>
  <c r="C1112" i="1"/>
  <c r="B1113" i="1"/>
  <c r="D1111" i="1"/>
  <c r="E1111" i="1"/>
  <c r="F1111" i="1" s="1"/>
  <c r="AC1111" i="1"/>
  <c r="AK1111" i="1"/>
  <c r="A1112" i="1"/>
  <c r="AW1111" i="1"/>
  <c r="AI1111" i="1" s="1"/>
  <c r="AJ1111" i="1" s="1"/>
  <c r="M1110" i="1"/>
  <c r="BC1111" i="1" l="1"/>
  <c r="BD1111" i="1" s="1"/>
  <c r="AE1111" i="1" s="1"/>
  <c r="BF1113" i="1"/>
  <c r="AY573" i="1"/>
  <c r="BB1112" i="1"/>
  <c r="O573" i="1"/>
  <c r="N574" i="1" s="1"/>
  <c r="Y573" i="1"/>
  <c r="X573" i="1" s="1"/>
  <c r="AQ573" i="1"/>
  <c r="V573" i="1"/>
  <c r="J1112" i="1"/>
  <c r="L1113" i="1"/>
  <c r="A1133" i="7"/>
  <c r="B1132" i="7"/>
  <c r="S1113" i="1"/>
  <c r="Z1115" i="1" s="1"/>
  <c r="K1113" i="1"/>
  <c r="AU1113" i="1"/>
  <c r="G1111" i="1"/>
  <c r="H1111" i="1" s="1"/>
  <c r="D1112" i="1"/>
  <c r="E1112" i="1"/>
  <c r="F1112" i="1" s="1"/>
  <c r="AC1112" i="1"/>
  <c r="M1111" i="1"/>
  <c r="AW1112" i="1"/>
  <c r="AI1112" i="1" s="1"/>
  <c r="AJ1112" i="1" s="1"/>
  <c r="AK1112" i="1"/>
  <c r="A1113" i="1"/>
  <c r="AA1113" i="1"/>
  <c r="C1113" i="1"/>
  <c r="B1114" i="1"/>
  <c r="BC1112" i="1" l="1"/>
  <c r="BD1112" i="1" s="1"/>
  <c r="AE1112" i="1" s="1"/>
  <c r="AX573" i="1"/>
  <c r="U573" i="1" s="1"/>
  <c r="AL573" i="1" s="1"/>
  <c r="AN573" i="1" s="1"/>
  <c r="AO573" i="1" s="1"/>
  <c r="AP573" i="1" s="1"/>
  <c r="BF1114" i="1"/>
  <c r="AC1113" i="1"/>
  <c r="BB1113" i="1"/>
  <c r="AF573" i="1"/>
  <c r="AG573" i="1" s="1"/>
  <c r="BA573" i="1" s="1"/>
  <c r="AM574" i="1"/>
  <c r="I574" i="1"/>
  <c r="Q574" i="1" s="1"/>
  <c r="AT574" i="1"/>
  <c r="AS574" i="1" s="1"/>
  <c r="P574" i="1"/>
  <c r="BE574" i="1" s="1"/>
  <c r="J1113" i="1"/>
  <c r="L1114" i="1"/>
  <c r="A1134" i="7"/>
  <c r="B1133" i="7"/>
  <c r="S1114" i="1"/>
  <c r="Z1116" i="1" s="1"/>
  <c r="K1114" i="1"/>
  <c r="AU1114" i="1"/>
  <c r="E1113" i="1"/>
  <c r="F1113" i="1" s="1"/>
  <c r="D1113" i="1"/>
  <c r="M1112" i="1"/>
  <c r="A1114" i="1"/>
  <c r="AW1113" i="1"/>
  <c r="AI1113" i="1" s="1"/>
  <c r="AJ1113" i="1" s="1"/>
  <c r="AK1113" i="1"/>
  <c r="C1114" i="1"/>
  <c r="B1115" i="1"/>
  <c r="AA1114" i="1"/>
  <c r="G1112" i="1"/>
  <c r="H1112" i="1" s="1"/>
  <c r="BC1113" i="1" l="1"/>
  <c r="BD1113" i="1" s="1"/>
  <c r="AE1113" i="1" s="1"/>
  <c r="BF1115" i="1"/>
  <c r="Y574" i="1"/>
  <c r="X574" i="1" s="1"/>
  <c r="AF574" i="1" s="1"/>
  <c r="AG574" i="1" s="1"/>
  <c r="BB1114" i="1"/>
  <c r="AH573" i="1"/>
  <c r="O574" i="1"/>
  <c r="P575" i="1" s="1"/>
  <c r="BE575" i="1" s="1"/>
  <c r="AQ574" i="1"/>
  <c r="AY574" i="1"/>
  <c r="V574" i="1"/>
  <c r="J1114" i="1"/>
  <c r="L1115" i="1"/>
  <c r="A1135" i="7"/>
  <c r="B1134" i="7"/>
  <c r="S1115" i="1"/>
  <c r="Z1117" i="1" s="1"/>
  <c r="K1115" i="1"/>
  <c r="AU1115" i="1"/>
  <c r="C1115" i="1"/>
  <c r="B1116" i="1"/>
  <c r="AA1115" i="1"/>
  <c r="D1114" i="1"/>
  <c r="E1114" i="1"/>
  <c r="F1114" i="1" s="1"/>
  <c r="A1115" i="1"/>
  <c r="AW1114" i="1"/>
  <c r="AI1114" i="1" s="1"/>
  <c r="AJ1114" i="1" s="1"/>
  <c r="AK1114" i="1"/>
  <c r="M1113" i="1"/>
  <c r="G1113" i="1"/>
  <c r="H1113" i="1" s="1"/>
  <c r="AC1114" i="1"/>
  <c r="BC1114" i="1" l="1"/>
  <c r="BD1114" i="1" s="1"/>
  <c r="AE1114" i="1" s="1"/>
  <c r="AX574" i="1"/>
  <c r="U574" i="1" s="1"/>
  <c r="AL574" i="1" s="1"/>
  <c r="AN574" i="1" s="1"/>
  <c r="AO574" i="1" s="1"/>
  <c r="AP574" i="1" s="1"/>
  <c r="BF1116" i="1"/>
  <c r="BB1115" i="1"/>
  <c r="BA574" i="1"/>
  <c r="AH574" i="1"/>
  <c r="N575" i="1"/>
  <c r="I575" i="1"/>
  <c r="Q575" i="1" s="1"/>
  <c r="AT575" i="1"/>
  <c r="AS575" i="1" s="1"/>
  <c r="AQ575" i="1" s="1"/>
  <c r="AM575" i="1"/>
  <c r="V575" i="1"/>
  <c r="Y575" i="1"/>
  <c r="X575" i="1" s="1"/>
  <c r="AF575" i="1" s="1"/>
  <c r="AY575" i="1"/>
  <c r="J1115" i="1"/>
  <c r="L1116" i="1"/>
  <c r="A1136" i="7"/>
  <c r="B1135" i="7"/>
  <c r="S1116" i="1"/>
  <c r="Z1118" i="1" s="1"/>
  <c r="K1116" i="1"/>
  <c r="AU1116" i="1"/>
  <c r="G1114" i="1"/>
  <c r="H1114" i="1" s="1"/>
  <c r="AW1115" i="1"/>
  <c r="AI1115" i="1" s="1"/>
  <c r="AJ1115" i="1" s="1"/>
  <c r="AK1115" i="1"/>
  <c r="A1116" i="1"/>
  <c r="AA1116" i="1"/>
  <c r="B1117" i="1"/>
  <c r="C1116" i="1"/>
  <c r="AC1115" i="1"/>
  <c r="D1115" i="1"/>
  <c r="E1115" i="1"/>
  <c r="F1115" i="1" s="1"/>
  <c r="M1114" i="1"/>
  <c r="BC1115" i="1" l="1"/>
  <c r="BD1115" i="1" s="1"/>
  <c r="AE1115" i="1" s="1"/>
  <c r="BF1117" i="1"/>
  <c r="AX575" i="1"/>
  <c r="U575" i="1" s="1"/>
  <c r="AL575" i="1" s="1"/>
  <c r="AN575" i="1" s="1"/>
  <c r="AO575" i="1" s="1"/>
  <c r="AP575" i="1" s="1"/>
  <c r="BB1116" i="1"/>
  <c r="O575" i="1"/>
  <c r="AH575" i="1" s="1"/>
  <c r="AG575" i="1"/>
  <c r="BA575" i="1" s="1"/>
  <c r="J1116" i="1"/>
  <c r="L1117" i="1"/>
  <c r="A1137" i="7"/>
  <c r="B1136" i="7"/>
  <c r="S1117" i="1"/>
  <c r="Z1119" i="1" s="1"/>
  <c r="K1117" i="1"/>
  <c r="AU1117" i="1"/>
  <c r="D1116" i="1"/>
  <c r="E1116" i="1"/>
  <c r="F1116" i="1" s="1"/>
  <c r="AK1116" i="1"/>
  <c r="AW1116" i="1"/>
  <c r="AI1116" i="1" s="1"/>
  <c r="AJ1116" i="1" s="1"/>
  <c r="A1117" i="1"/>
  <c r="AP1116" i="1"/>
  <c r="C1117" i="1"/>
  <c r="B1118" i="1"/>
  <c r="AA1117" i="1"/>
  <c r="G1115" i="1"/>
  <c r="H1115" i="1" s="1"/>
  <c r="M1115" i="1"/>
  <c r="AC1116" i="1"/>
  <c r="BC1116" i="1" l="1"/>
  <c r="BD1116" i="1" s="1"/>
  <c r="AE1116" i="1" s="1"/>
  <c r="BF1118" i="1"/>
  <c r="BB1117" i="1"/>
  <c r="P576" i="1"/>
  <c r="BE576" i="1" s="1"/>
  <c r="AM576" i="1"/>
  <c r="AT576" i="1"/>
  <c r="AS576" i="1" s="1"/>
  <c r="N576" i="1"/>
  <c r="I576" i="1"/>
  <c r="Q576" i="1" s="1"/>
  <c r="J1117" i="1"/>
  <c r="L1118" i="1"/>
  <c r="A1138" i="7"/>
  <c r="B1137" i="7"/>
  <c r="S1118" i="1"/>
  <c r="Z1120" i="1" s="1"/>
  <c r="K1118" i="1"/>
  <c r="AU1118" i="1"/>
  <c r="G1116" i="1"/>
  <c r="H1116" i="1" s="1"/>
  <c r="AC1117" i="1"/>
  <c r="M1116" i="1"/>
  <c r="E1117" i="1"/>
  <c r="F1117" i="1" s="1"/>
  <c r="D1117" i="1"/>
  <c r="AW1117" i="1"/>
  <c r="AI1117" i="1" s="1"/>
  <c r="AJ1117" i="1" s="1"/>
  <c r="A1118" i="1"/>
  <c r="AK1117" i="1"/>
  <c r="B1119" i="1"/>
  <c r="AA1118" i="1"/>
  <c r="C1118" i="1"/>
  <c r="BC1117" i="1" l="1"/>
  <c r="BD1117" i="1" s="1"/>
  <c r="AE1117" i="1" s="1"/>
  <c r="BF1119" i="1"/>
  <c r="V576" i="1"/>
  <c r="BB1118" i="1"/>
  <c r="AQ576" i="1"/>
  <c r="Y576" i="1"/>
  <c r="X576" i="1" s="1"/>
  <c r="AF576" i="1" s="1"/>
  <c r="AY576" i="1"/>
  <c r="O576" i="1"/>
  <c r="AT577" i="1" s="1"/>
  <c r="AS577" i="1" s="1"/>
  <c r="J1118" i="1"/>
  <c r="L1119" i="1"/>
  <c r="A1139" i="7"/>
  <c r="B1138" i="7"/>
  <c r="S1119" i="1"/>
  <c r="Z1121" i="1" s="1"/>
  <c r="K1119" i="1"/>
  <c r="AU1119" i="1"/>
  <c r="G1117" i="1"/>
  <c r="H1117" i="1" s="1"/>
  <c r="D1118" i="1"/>
  <c r="E1118" i="1"/>
  <c r="F1118" i="1" s="1"/>
  <c r="AC1118" i="1"/>
  <c r="M1117" i="1"/>
  <c r="C1119" i="1"/>
  <c r="AA1119" i="1"/>
  <c r="B1120" i="1"/>
  <c r="A1119" i="1"/>
  <c r="AW1118" i="1"/>
  <c r="AI1118" i="1" s="1"/>
  <c r="AJ1118" i="1" s="1"/>
  <c r="AK1118" i="1"/>
  <c r="BC1118" i="1" l="1"/>
  <c r="BD1118" i="1" s="1"/>
  <c r="AE1118" i="1" s="1"/>
  <c r="BF1120" i="1"/>
  <c r="AX576" i="1"/>
  <c r="U576" i="1" s="1"/>
  <c r="AL576" i="1" s="1"/>
  <c r="AN576" i="1" s="1"/>
  <c r="AO576" i="1" s="1"/>
  <c r="BB1119" i="1"/>
  <c r="I577" i="1"/>
  <c r="Q577" i="1" s="1"/>
  <c r="N577" i="1"/>
  <c r="P577" i="1"/>
  <c r="BE577" i="1" s="1"/>
  <c r="AM577" i="1"/>
  <c r="AH576" i="1"/>
  <c r="AG576" i="1"/>
  <c r="BA576" i="1" s="1"/>
  <c r="J1119" i="1"/>
  <c r="L1120" i="1"/>
  <c r="A1140" i="7"/>
  <c r="B1139" i="7"/>
  <c r="S1120" i="1"/>
  <c r="Z1122" i="1" s="1"/>
  <c r="K1120" i="1"/>
  <c r="AU1120" i="1"/>
  <c r="AK1119" i="1"/>
  <c r="A1120" i="1"/>
  <c r="AW1119" i="1"/>
  <c r="AI1119" i="1" s="1"/>
  <c r="AJ1119" i="1" s="1"/>
  <c r="M1118" i="1"/>
  <c r="AA1120" i="1"/>
  <c r="B1121" i="1"/>
  <c r="C1120" i="1"/>
  <c r="E1119" i="1"/>
  <c r="F1119" i="1" s="1"/>
  <c r="D1119" i="1"/>
  <c r="AC1119" i="1"/>
  <c r="G1118" i="1"/>
  <c r="H1118" i="1" s="1"/>
  <c r="BC1119" i="1" l="1"/>
  <c r="BD1119" i="1" s="1"/>
  <c r="AE1119" i="1" s="1"/>
  <c r="BF1121" i="1"/>
  <c r="V577" i="1"/>
  <c r="BB1120" i="1"/>
  <c r="O577" i="1"/>
  <c r="AT578" i="1" s="1"/>
  <c r="AS578" i="1" s="1"/>
  <c r="AY577" i="1"/>
  <c r="AQ577" i="1"/>
  <c r="Y577" i="1"/>
  <c r="X577" i="1" s="1"/>
  <c r="J1120" i="1"/>
  <c r="L1121" i="1"/>
  <c r="A1141" i="7"/>
  <c r="B1140" i="7"/>
  <c r="S1121" i="1"/>
  <c r="Z1123" i="1" s="1"/>
  <c r="K1121" i="1"/>
  <c r="AU1121" i="1"/>
  <c r="G1119" i="1"/>
  <c r="H1119" i="1" s="1"/>
  <c r="AC1120" i="1"/>
  <c r="E1120" i="1"/>
  <c r="F1120" i="1" s="1"/>
  <c r="D1120" i="1"/>
  <c r="M1119" i="1"/>
  <c r="A1121" i="1"/>
  <c r="AW1120" i="1"/>
  <c r="AI1120" i="1" s="1"/>
  <c r="AJ1120" i="1" s="1"/>
  <c r="AK1120" i="1"/>
  <c r="C1121" i="1"/>
  <c r="AA1121" i="1"/>
  <c r="B1122" i="1"/>
  <c r="BC1120" i="1" l="1"/>
  <c r="BD1120" i="1" s="1"/>
  <c r="AE1120" i="1" s="1"/>
  <c r="BF1122" i="1"/>
  <c r="AX577" i="1"/>
  <c r="U577" i="1" s="1"/>
  <c r="AL577" i="1" s="1"/>
  <c r="AN577" i="1" s="1"/>
  <c r="AO577" i="1" s="1"/>
  <c r="AP577" i="1" s="1"/>
  <c r="BB1121" i="1"/>
  <c r="AF577" i="1"/>
  <c r="P578" i="1"/>
  <c r="BE578" i="1" s="1"/>
  <c r="AM578" i="1"/>
  <c r="N578" i="1"/>
  <c r="I578" i="1"/>
  <c r="Q578" i="1" s="1"/>
  <c r="J1121" i="1"/>
  <c r="L1122" i="1"/>
  <c r="A1142" i="7"/>
  <c r="B1141" i="7"/>
  <c r="S1122" i="1"/>
  <c r="Z1124" i="1" s="1"/>
  <c r="K1122" i="1"/>
  <c r="AU1122" i="1"/>
  <c r="A1122" i="1"/>
  <c r="AW1121" i="1"/>
  <c r="AI1121" i="1" s="1"/>
  <c r="AJ1121" i="1" s="1"/>
  <c r="AK1121" i="1"/>
  <c r="E1121" i="1"/>
  <c r="F1121" i="1" s="1"/>
  <c r="D1121" i="1"/>
  <c r="M1120" i="1"/>
  <c r="G1120" i="1"/>
  <c r="H1120" i="1" s="1"/>
  <c r="C1122" i="1"/>
  <c r="B1123" i="1"/>
  <c r="AA1122" i="1"/>
  <c r="AC1121" i="1"/>
  <c r="BC1121" i="1" l="1"/>
  <c r="BD1121" i="1" s="1"/>
  <c r="AE1121" i="1" s="1"/>
  <c r="BF1123" i="1"/>
  <c r="AY578" i="1"/>
  <c r="AG577" i="1"/>
  <c r="BA577" i="1" s="1"/>
  <c r="BB1122" i="1"/>
  <c r="AH577" i="1"/>
  <c r="V578" i="1"/>
  <c r="Y578" i="1"/>
  <c r="X578" i="1" s="1"/>
  <c r="AQ578" i="1"/>
  <c r="O578" i="1"/>
  <c r="AT579" i="1" s="1"/>
  <c r="AS579" i="1" s="1"/>
  <c r="J1122" i="1"/>
  <c r="L1123" i="1"/>
  <c r="A1143" i="7"/>
  <c r="B1142" i="7"/>
  <c r="S1123" i="1"/>
  <c r="Z1125" i="1" s="1"/>
  <c r="K1123" i="1"/>
  <c r="AU1123" i="1"/>
  <c r="G1121" i="1"/>
  <c r="H1121" i="1" s="1"/>
  <c r="AA1123" i="1"/>
  <c r="C1123" i="1"/>
  <c r="B1124" i="1"/>
  <c r="A1123" i="1"/>
  <c r="AK1122" i="1"/>
  <c r="AW1122" i="1"/>
  <c r="AI1122" i="1" s="1"/>
  <c r="AJ1122" i="1" s="1"/>
  <c r="M1121" i="1"/>
  <c r="D1122" i="1"/>
  <c r="E1122" i="1"/>
  <c r="F1122" i="1" s="1"/>
  <c r="AC1122" i="1"/>
  <c r="BC1122" i="1" l="1"/>
  <c r="BD1122" i="1" s="1"/>
  <c r="AE1122" i="1" s="1"/>
  <c r="AX578" i="1"/>
  <c r="U578" i="1" s="1"/>
  <c r="AL578" i="1" s="1"/>
  <c r="AN578" i="1" s="1"/>
  <c r="AO578" i="1" s="1"/>
  <c r="AP578" i="1" s="1"/>
  <c r="BF1124" i="1"/>
  <c r="BB1123" i="1"/>
  <c r="AF578" i="1"/>
  <c r="N579" i="1"/>
  <c r="P579" i="1"/>
  <c r="BE579" i="1" s="1"/>
  <c r="AM579" i="1"/>
  <c r="I579" i="1"/>
  <c r="Q579" i="1" s="1"/>
  <c r="J1123" i="1"/>
  <c r="L1124" i="1"/>
  <c r="A1144" i="7"/>
  <c r="B1143" i="7"/>
  <c r="S1124" i="1"/>
  <c r="Z1126" i="1" s="1"/>
  <c r="K1124" i="1"/>
  <c r="AU1124" i="1"/>
  <c r="G1122" i="1"/>
  <c r="H1122" i="1" s="1"/>
  <c r="E1123" i="1"/>
  <c r="F1123" i="1" s="1"/>
  <c r="D1123" i="1"/>
  <c r="AW1123" i="1"/>
  <c r="AI1123" i="1" s="1"/>
  <c r="AJ1123" i="1" s="1"/>
  <c r="A1124" i="1"/>
  <c r="AK1123" i="1"/>
  <c r="AC1123" i="1"/>
  <c r="M1122" i="1"/>
  <c r="B1125" i="1"/>
  <c r="AA1124" i="1"/>
  <c r="C1124" i="1"/>
  <c r="BC1123" i="1" l="1"/>
  <c r="BD1123" i="1" s="1"/>
  <c r="AE1123" i="1" s="1"/>
  <c r="BF1125" i="1"/>
  <c r="Y579" i="1"/>
  <c r="X579" i="1" s="1"/>
  <c r="AF579" i="1" s="1"/>
  <c r="AG579" i="1" s="1"/>
  <c r="AH578" i="1"/>
  <c r="AG578" i="1"/>
  <c r="BA578" i="1" s="1"/>
  <c r="BB1124" i="1"/>
  <c r="AY579" i="1"/>
  <c r="O579" i="1"/>
  <c r="P580" i="1" s="1"/>
  <c r="BE580" i="1" s="1"/>
  <c r="AQ579" i="1"/>
  <c r="V579" i="1"/>
  <c r="J1124" i="1"/>
  <c r="L1125" i="1"/>
  <c r="A1145" i="7"/>
  <c r="B1144" i="7"/>
  <c r="S1125" i="1"/>
  <c r="Z1127" i="1" s="1"/>
  <c r="K1125" i="1"/>
  <c r="AU1125" i="1"/>
  <c r="D1124" i="1"/>
  <c r="E1124" i="1"/>
  <c r="F1124" i="1" s="1"/>
  <c r="B1126" i="1"/>
  <c r="AA1125" i="1"/>
  <c r="C1125" i="1"/>
  <c r="M1123" i="1"/>
  <c r="A1125" i="1"/>
  <c r="AW1124" i="1"/>
  <c r="AI1124" i="1" s="1"/>
  <c r="AJ1124" i="1" s="1"/>
  <c r="AK1124" i="1"/>
  <c r="AC1124" i="1"/>
  <c r="G1123" i="1"/>
  <c r="H1123" i="1" s="1"/>
  <c r="BC1124" i="1" l="1"/>
  <c r="BD1124" i="1" s="1"/>
  <c r="AE1124" i="1" s="1"/>
  <c r="BF1126" i="1"/>
  <c r="AX579" i="1"/>
  <c r="U579" i="1" s="1"/>
  <c r="AL579" i="1" s="1"/>
  <c r="AN579" i="1" s="1"/>
  <c r="AO579" i="1" s="1"/>
  <c r="AP579" i="1" s="1"/>
  <c r="BB1125" i="1"/>
  <c r="AT580" i="1"/>
  <c r="AS580" i="1" s="1"/>
  <c r="AQ580" i="1" s="1"/>
  <c r="AM580" i="1"/>
  <c r="N580" i="1"/>
  <c r="AH579" i="1"/>
  <c r="I580" i="1"/>
  <c r="Q580" i="1" s="1"/>
  <c r="BA579" i="1"/>
  <c r="Y580" i="1"/>
  <c r="X580" i="1" s="1"/>
  <c r="AF580" i="1" s="1"/>
  <c r="V580" i="1"/>
  <c r="AY580" i="1"/>
  <c r="J1125" i="1"/>
  <c r="L1126" i="1"/>
  <c r="A1146" i="7"/>
  <c r="B1145" i="7"/>
  <c r="S1126" i="1"/>
  <c r="Z1128" i="1" s="1"/>
  <c r="K1126" i="1"/>
  <c r="AU1126" i="1"/>
  <c r="G1124" i="1"/>
  <c r="H1124" i="1" s="1"/>
  <c r="AC1125" i="1"/>
  <c r="M1124" i="1"/>
  <c r="D1125" i="1"/>
  <c r="E1125" i="1"/>
  <c r="F1125" i="1" s="1"/>
  <c r="B1127" i="1"/>
  <c r="AA1126" i="1"/>
  <c r="C1126" i="1"/>
  <c r="A1126" i="1"/>
  <c r="AK1125" i="1"/>
  <c r="AW1125" i="1"/>
  <c r="AI1125" i="1" s="1"/>
  <c r="AJ1125" i="1" s="1"/>
  <c r="BC1125" i="1" l="1"/>
  <c r="BD1125" i="1" s="1"/>
  <c r="AE1125" i="1" s="1"/>
  <c r="BF1127" i="1"/>
  <c r="AX580" i="1"/>
  <c r="U580" i="1" s="1"/>
  <c r="AL580" i="1" s="1"/>
  <c r="AN580" i="1" s="1"/>
  <c r="AO580" i="1" s="1"/>
  <c r="AP580" i="1" s="1"/>
  <c r="BB1126" i="1"/>
  <c r="O580" i="1"/>
  <c r="AM581" i="1" s="1"/>
  <c r="J1126" i="1"/>
  <c r="L1127" i="1"/>
  <c r="A1147" i="7"/>
  <c r="B1146" i="7"/>
  <c r="S1127" i="1"/>
  <c r="Z1129" i="1" s="1"/>
  <c r="K1127" i="1"/>
  <c r="AU1127" i="1"/>
  <c r="G1125" i="1"/>
  <c r="H1125" i="1" s="1"/>
  <c r="C1127" i="1"/>
  <c r="AA1127" i="1"/>
  <c r="B1128" i="1"/>
  <c r="D1126" i="1"/>
  <c r="E1126" i="1"/>
  <c r="F1126" i="1" s="1"/>
  <c r="M1125" i="1"/>
  <c r="AK1126" i="1"/>
  <c r="A1127" i="1"/>
  <c r="AW1126" i="1"/>
  <c r="AI1126" i="1" s="1"/>
  <c r="AJ1126" i="1" s="1"/>
  <c r="AC1126" i="1"/>
  <c r="BC1126" i="1" l="1"/>
  <c r="BD1126" i="1" s="1"/>
  <c r="AE1126" i="1" s="1"/>
  <c r="BF1128" i="1"/>
  <c r="AC1127" i="1"/>
  <c r="BB1127" i="1"/>
  <c r="AT581" i="1"/>
  <c r="AS581" i="1" s="1"/>
  <c r="I581" i="1"/>
  <c r="Q581" i="1" s="1"/>
  <c r="P581" i="1"/>
  <c r="BE581" i="1" s="1"/>
  <c r="N581" i="1"/>
  <c r="AG580" i="1"/>
  <c r="BA580" i="1" s="1"/>
  <c r="AH580" i="1"/>
  <c r="J1127" i="1"/>
  <c r="L1128" i="1"/>
  <c r="A1148" i="7"/>
  <c r="B1147" i="7"/>
  <c r="S1128" i="1"/>
  <c r="Z1130" i="1" s="1"/>
  <c r="K1128" i="1"/>
  <c r="AU1128" i="1"/>
  <c r="G1126" i="1"/>
  <c r="H1126" i="1" s="1"/>
  <c r="AW1127" i="1"/>
  <c r="AI1127" i="1" s="1"/>
  <c r="AJ1127" i="1" s="1"/>
  <c r="AK1127" i="1"/>
  <c r="A1128" i="1"/>
  <c r="D1127" i="1"/>
  <c r="E1127" i="1"/>
  <c r="F1127" i="1" s="1"/>
  <c r="C1128" i="1"/>
  <c r="AA1128" i="1"/>
  <c r="B1129" i="1"/>
  <c r="M1126" i="1"/>
  <c r="BC1127" i="1" l="1"/>
  <c r="BD1127" i="1" s="1"/>
  <c r="AE1127" i="1" s="1"/>
  <c r="BF1129" i="1"/>
  <c r="Y581" i="1"/>
  <c r="X581" i="1" s="1"/>
  <c r="AF581" i="1" s="1"/>
  <c r="AG581" i="1" s="1"/>
  <c r="BB1128" i="1"/>
  <c r="O581" i="1"/>
  <c r="AM582" i="1" s="1"/>
  <c r="AQ581" i="1"/>
  <c r="AY581" i="1"/>
  <c r="V581" i="1"/>
  <c r="J1128" i="1"/>
  <c r="L1129" i="1"/>
  <c r="A1149" i="7"/>
  <c r="B1148" i="7"/>
  <c r="S1129" i="1"/>
  <c r="Z1131" i="1" s="1"/>
  <c r="K1129" i="1"/>
  <c r="AU1129" i="1"/>
  <c r="AA1129" i="1"/>
  <c r="C1129" i="1"/>
  <c r="B1130" i="1"/>
  <c r="M1127" i="1"/>
  <c r="G1127" i="1"/>
  <c r="H1127" i="1" s="1"/>
  <c r="AK1128" i="1"/>
  <c r="AW1128" i="1"/>
  <c r="AI1128" i="1" s="1"/>
  <c r="AJ1128" i="1" s="1"/>
  <c r="AP1128" i="1"/>
  <c r="A1129" i="1"/>
  <c r="AC1128" i="1"/>
  <c r="E1128" i="1"/>
  <c r="F1128" i="1" s="1"/>
  <c r="D1128" i="1"/>
  <c r="BC1128" i="1" l="1"/>
  <c r="BD1128" i="1" s="1"/>
  <c r="AE1128" i="1" s="1"/>
  <c r="AX581" i="1"/>
  <c r="U581" i="1" s="1"/>
  <c r="AL581" i="1" s="1"/>
  <c r="AN581" i="1" s="1"/>
  <c r="AO581" i="1" s="1"/>
  <c r="AP581" i="1" s="1"/>
  <c r="BF1130" i="1"/>
  <c r="BB1129" i="1"/>
  <c r="N582" i="1"/>
  <c r="I582" i="1"/>
  <c r="Q582" i="1" s="1"/>
  <c r="P582" i="1"/>
  <c r="BE582" i="1" s="1"/>
  <c r="AT582" i="1"/>
  <c r="AS582" i="1" s="1"/>
  <c r="AH581" i="1"/>
  <c r="BA581" i="1"/>
  <c r="J1129" i="1"/>
  <c r="L1130" i="1"/>
  <c r="A1150" i="7"/>
  <c r="B1149" i="7"/>
  <c r="S1130" i="1"/>
  <c r="Z1132" i="1" s="1"/>
  <c r="K1130" i="1"/>
  <c r="AU1130" i="1"/>
  <c r="G1128" i="1"/>
  <c r="H1128" i="1" s="1"/>
  <c r="AC1129" i="1"/>
  <c r="B1131" i="1"/>
  <c r="AA1130" i="1"/>
  <c r="C1130" i="1"/>
  <c r="M1128" i="1"/>
  <c r="D1129" i="1"/>
  <c r="E1129" i="1"/>
  <c r="F1129" i="1" s="1"/>
  <c r="A1130" i="1"/>
  <c r="AW1129" i="1"/>
  <c r="AI1129" i="1" s="1"/>
  <c r="AJ1129" i="1" s="1"/>
  <c r="AK1129" i="1"/>
  <c r="BC1129" i="1" l="1"/>
  <c r="BD1129" i="1" s="1"/>
  <c r="AE1129" i="1" s="1"/>
  <c r="BF1131" i="1"/>
  <c r="Y582" i="1"/>
  <c r="X582" i="1" s="1"/>
  <c r="AF582" i="1" s="1"/>
  <c r="BB1130" i="1"/>
  <c r="O582" i="1"/>
  <c r="AQ582" i="1"/>
  <c r="AY582" i="1"/>
  <c r="V582" i="1"/>
  <c r="J1130" i="1"/>
  <c r="L1131" i="1"/>
  <c r="A1151" i="7"/>
  <c r="B1150" i="7"/>
  <c r="S1131" i="1"/>
  <c r="Z1133" i="1" s="1"/>
  <c r="K1131" i="1"/>
  <c r="AU1131" i="1"/>
  <c r="G1129" i="1"/>
  <c r="H1129" i="1" s="1"/>
  <c r="M1129" i="1"/>
  <c r="D1130" i="1"/>
  <c r="E1130" i="1"/>
  <c r="F1130" i="1" s="1"/>
  <c r="AK1130" i="1"/>
  <c r="AW1130" i="1"/>
  <c r="AI1130" i="1" s="1"/>
  <c r="AJ1130" i="1" s="1"/>
  <c r="A1131" i="1"/>
  <c r="AC1130" i="1"/>
  <c r="AA1131" i="1"/>
  <c r="B1132" i="1"/>
  <c r="C1131" i="1"/>
  <c r="BC1130" i="1" l="1"/>
  <c r="BD1130" i="1" s="1"/>
  <c r="AE1130" i="1" s="1"/>
  <c r="AX582" i="1"/>
  <c r="U582" i="1" s="1"/>
  <c r="AL582" i="1" s="1"/>
  <c r="AN582" i="1" s="1"/>
  <c r="AO582" i="1" s="1"/>
  <c r="AP582" i="1" s="1"/>
  <c r="BF1132" i="1"/>
  <c r="AH582" i="1"/>
  <c r="AG582" i="1"/>
  <c r="BA582" i="1" s="1"/>
  <c r="BB1131" i="1"/>
  <c r="I583" i="1"/>
  <c r="Q583" i="1" s="1"/>
  <c r="AM583" i="1"/>
  <c r="AT583" i="1"/>
  <c r="AS583" i="1" s="1"/>
  <c r="P583" i="1"/>
  <c r="BE583" i="1" s="1"/>
  <c r="N583" i="1"/>
  <c r="J1131" i="1"/>
  <c r="L1132" i="1"/>
  <c r="A1152" i="7"/>
  <c r="B1151" i="7"/>
  <c r="S1132" i="1"/>
  <c r="Z1134" i="1" s="1"/>
  <c r="K1132" i="1"/>
  <c r="AU1132" i="1"/>
  <c r="AC1131" i="1"/>
  <c r="D1131" i="1"/>
  <c r="E1131" i="1"/>
  <c r="F1131" i="1" s="1"/>
  <c r="M1130" i="1"/>
  <c r="AA1132" i="1"/>
  <c r="C1132" i="1"/>
  <c r="B1133" i="1"/>
  <c r="AW1131" i="1"/>
  <c r="AI1131" i="1" s="1"/>
  <c r="AJ1131" i="1" s="1"/>
  <c r="AK1131" i="1"/>
  <c r="A1132" i="1"/>
  <c r="G1130" i="1"/>
  <c r="H1130" i="1" s="1"/>
  <c r="BC1131" i="1" l="1"/>
  <c r="BD1131" i="1" s="1"/>
  <c r="AE1131" i="1" s="1"/>
  <c r="BF1133" i="1"/>
  <c r="AY583" i="1"/>
  <c r="O583" i="1"/>
  <c r="I584" i="1" s="1"/>
  <c r="Q584" i="1" s="1"/>
  <c r="BB1132" i="1"/>
  <c r="V583" i="1"/>
  <c r="Y583" i="1"/>
  <c r="X583" i="1" s="1"/>
  <c r="AF583" i="1" s="1"/>
  <c r="AQ583" i="1"/>
  <c r="J1132" i="1"/>
  <c r="L1133" i="1"/>
  <c r="A1153" i="7"/>
  <c r="B1152" i="7"/>
  <c r="S1133" i="1"/>
  <c r="Z1135" i="1" s="1"/>
  <c r="K1133" i="1"/>
  <c r="AU1133" i="1"/>
  <c r="M1131" i="1"/>
  <c r="G1131" i="1"/>
  <c r="H1131" i="1" s="1"/>
  <c r="B1134" i="1"/>
  <c r="C1133" i="1"/>
  <c r="AA1133" i="1"/>
  <c r="AC1132" i="1"/>
  <c r="D1132" i="1"/>
  <c r="E1132" i="1"/>
  <c r="F1132" i="1" s="1"/>
  <c r="AW1132" i="1"/>
  <c r="AI1132" i="1" s="1"/>
  <c r="AJ1132" i="1" s="1"/>
  <c r="AK1132" i="1"/>
  <c r="A1133" i="1"/>
  <c r="BC1132" i="1" l="1"/>
  <c r="BD1132" i="1" s="1"/>
  <c r="AE1132" i="1" s="1"/>
  <c r="AX583" i="1"/>
  <c r="U583" i="1" s="1"/>
  <c r="AL583" i="1" s="1"/>
  <c r="AN583" i="1" s="1"/>
  <c r="AO583" i="1" s="1"/>
  <c r="AP583" i="1" s="1"/>
  <c r="BF1134" i="1"/>
  <c r="P584" i="1"/>
  <c r="BE584" i="1" s="1"/>
  <c r="N584" i="1"/>
  <c r="O584" i="1" s="1"/>
  <c r="AM584" i="1"/>
  <c r="AT584" i="1"/>
  <c r="AS584" i="1" s="1"/>
  <c r="BB1133" i="1"/>
  <c r="AH583" i="1"/>
  <c r="AG583" i="1"/>
  <c r="BA583" i="1" s="1"/>
  <c r="J1133" i="1"/>
  <c r="L1134" i="1"/>
  <c r="A1154" i="7"/>
  <c r="B1153" i="7"/>
  <c r="S1134" i="1"/>
  <c r="Z1136" i="1" s="1"/>
  <c r="K1134" i="1"/>
  <c r="AU1134" i="1"/>
  <c r="G1132" i="1"/>
  <c r="H1132" i="1" s="1"/>
  <c r="AC1133" i="1"/>
  <c r="AK1133" i="1"/>
  <c r="AW1133" i="1"/>
  <c r="AI1133" i="1" s="1"/>
  <c r="AJ1133" i="1" s="1"/>
  <c r="A1134" i="1"/>
  <c r="E1133" i="1"/>
  <c r="F1133" i="1" s="1"/>
  <c r="D1133" i="1"/>
  <c r="AA1134" i="1"/>
  <c r="B1135" i="1"/>
  <c r="C1134" i="1"/>
  <c r="M1132" i="1"/>
  <c r="BC1133" i="1" l="1"/>
  <c r="BD1133" i="1" s="1"/>
  <c r="AE1133" i="1" s="1"/>
  <c r="BF1135" i="1"/>
  <c r="AY584" i="1"/>
  <c r="Y584" i="1"/>
  <c r="X584" i="1" s="1"/>
  <c r="AF584" i="1" s="1"/>
  <c r="AG584" i="1" s="1"/>
  <c r="V584" i="1"/>
  <c r="AQ584" i="1"/>
  <c r="BB1134" i="1"/>
  <c r="P585" i="1"/>
  <c r="BE585" i="1" s="1"/>
  <c r="AT585" i="1"/>
  <c r="AS585" i="1" s="1"/>
  <c r="N585" i="1"/>
  <c r="I585" i="1"/>
  <c r="Q585" i="1" s="1"/>
  <c r="AM585" i="1"/>
  <c r="J1134" i="1"/>
  <c r="L1135" i="1"/>
  <c r="A1155" i="7"/>
  <c r="B1154" i="7"/>
  <c r="S1135" i="1"/>
  <c r="Z1137" i="1" s="1"/>
  <c r="K1135" i="1"/>
  <c r="AU1135" i="1"/>
  <c r="D1134" i="1"/>
  <c r="E1134" i="1"/>
  <c r="F1134" i="1" s="1"/>
  <c r="B1136" i="1"/>
  <c r="C1135" i="1"/>
  <c r="AA1135" i="1"/>
  <c r="AC1134" i="1"/>
  <c r="G1133" i="1"/>
  <c r="H1133" i="1" s="1"/>
  <c r="M1133" i="1"/>
  <c r="AK1134" i="1"/>
  <c r="A1135" i="1"/>
  <c r="AW1134" i="1"/>
  <c r="AI1134" i="1" s="1"/>
  <c r="AJ1134" i="1" s="1"/>
  <c r="BC1134" i="1" l="1"/>
  <c r="BD1134" i="1" s="1"/>
  <c r="AE1134" i="1" s="1"/>
  <c r="AX584" i="1"/>
  <c r="U584" i="1" s="1"/>
  <c r="AL584" i="1" s="1"/>
  <c r="AN584" i="1" s="1"/>
  <c r="AO584" i="1" s="1"/>
  <c r="AP584" i="1" s="1"/>
  <c r="BF1136" i="1"/>
  <c r="BA584" i="1"/>
  <c r="AH584" i="1"/>
  <c r="BB1135" i="1"/>
  <c r="O585" i="1"/>
  <c r="Y585" i="1"/>
  <c r="X585" i="1" s="1"/>
  <c r="V585" i="1"/>
  <c r="AY585" i="1"/>
  <c r="AQ585" i="1"/>
  <c r="J1135" i="1"/>
  <c r="L1136" i="1"/>
  <c r="A1156" i="7"/>
  <c r="B1155" i="7"/>
  <c r="S1136" i="1"/>
  <c r="Z1138" i="1" s="1"/>
  <c r="K1136" i="1"/>
  <c r="AU1136" i="1"/>
  <c r="M1134" i="1"/>
  <c r="G1134" i="1"/>
  <c r="H1134" i="1" s="1"/>
  <c r="AW1135" i="1"/>
  <c r="AI1135" i="1" s="1"/>
  <c r="AJ1135" i="1" s="1"/>
  <c r="AK1135" i="1"/>
  <c r="A1136" i="1"/>
  <c r="AC1135" i="1"/>
  <c r="AA1136" i="1"/>
  <c r="B1137" i="1"/>
  <c r="C1136" i="1"/>
  <c r="D1135" i="1"/>
  <c r="E1135" i="1"/>
  <c r="F1135" i="1" s="1"/>
  <c r="BC1135" i="1" l="1"/>
  <c r="BD1135" i="1" s="1"/>
  <c r="AE1135" i="1" s="1"/>
  <c r="BF1137" i="1"/>
  <c r="AX585" i="1"/>
  <c r="U585" i="1" s="1"/>
  <c r="AL585" i="1" s="1"/>
  <c r="AN585" i="1" s="1"/>
  <c r="AO585" i="1" s="1"/>
  <c r="AP585" i="1" s="1"/>
  <c r="BB1136" i="1"/>
  <c r="AF585" i="1"/>
  <c r="AG585" i="1" s="1"/>
  <c r="BA585" i="1" s="1"/>
  <c r="P586" i="1"/>
  <c r="BE586" i="1" s="1"/>
  <c r="I586" i="1"/>
  <c r="Q586" i="1" s="1"/>
  <c r="AM586" i="1"/>
  <c r="N586" i="1"/>
  <c r="AT586" i="1"/>
  <c r="AS586" i="1" s="1"/>
  <c r="J1136" i="1"/>
  <c r="L1137" i="1"/>
  <c r="A1157" i="7"/>
  <c r="B1156" i="7"/>
  <c r="S1137" i="1"/>
  <c r="Z1139" i="1" s="1"/>
  <c r="K1137" i="1"/>
  <c r="AU1137" i="1"/>
  <c r="G1135" i="1"/>
  <c r="H1135" i="1" s="1"/>
  <c r="D1136" i="1"/>
  <c r="E1136" i="1"/>
  <c r="F1136" i="1" s="1"/>
  <c r="AW1136" i="1"/>
  <c r="AI1136" i="1" s="1"/>
  <c r="AJ1136" i="1" s="1"/>
  <c r="AK1136" i="1"/>
  <c r="A1137" i="1"/>
  <c r="AA1137" i="1"/>
  <c r="C1137" i="1"/>
  <c r="B1138" i="1"/>
  <c r="M1135" i="1"/>
  <c r="AC1136" i="1"/>
  <c r="BC1136" i="1" l="1"/>
  <c r="BD1136" i="1" s="1"/>
  <c r="AE1136" i="1" s="1"/>
  <c r="BF1138" i="1"/>
  <c r="BB1137" i="1"/>
  <c r="AH585" i="1"/>
  <c r="O586" i="1"/>
  <c r="Y586" i="1"/>
  <c r="X586" i="1" s="1"/>
  <c r="V586" i="1"/>
  <c r="AY586" i="1"/>
  <c r="AQ586" i="1"/>
  <c r="J1137" i="1"/>
  <c r="L1138" i="1"/>
  <c r="A1158" i="7"/>
  <c r="B1157" i="7"/>
  <c r="S1138" i="1"/>
  <c r="Z1140" i="1" s="1"/>
  <c r="K1138" i="1"/>
  <c r="AU1138" i="1"/>
  <c r="AA1138" i="1"/>
  <c r="B1139" i="1"/>
  <c r="C1138" i="1"/>
  <c r="E1137" i="1"/>
  <c r="F1137" i="1" s="1"/>
  <c r="D1137" i="1"/>
  <c r="AK1137" i="1"/>
  <c r="AW1137" i="1"/>
  <c r="AI1137" i="1" s="1"/>
  <c r="AJ1137" i="1" s="1"/>
  <c r="A1138" i="1"/>
  <c r="AC1137" i="1"/>
  <c r="M1136" i="1"/>
  <c r="G1136" i="1"/>
  <c r="H1136" i="1" s="1"/>
  <c r="BC1137" i="1" l="1"/>
  <c r="BD1137" i="1" s="1"/>
  <c r="AE1137" i="1" s="1"/>
  <c r="BF1139" i="1"/>
  <c r="AX586" i="1"/>
  <c r="U586" i="1" s="1"/>
  <c r="AL586" i="1" s="1"/>
  <c r="AN586" i="1" s="1"/>
  <c r="AO586" i="1" s="1"/>
  <c r="AP586" i="1" s="1"/>
  <c r="BB1138" i="1"/>
  <c r="AF586" i="1"/>
  <c r="AG586" i="1" s="1"/>
  <c r="BA586" i="1" s="1"/>
  <c r="AT587" i="1"/>
  <c r="AS587" i="1" s="1"/>
  <c r="AM587" i="1"/>
  <c r="N587" i="1"/>
  <c r="I587" i="1"/>
  <c r="Q587" i="1" s="1"/>
  <c r="P587" i="1"/>
  <c r="BE587" i="1" s="1"/>
  <c r="J1138" i="1"/>
  <c r="L1139" i="1"/>
  <c r="A1159" i="7"/>
  <c r="B1158" i="7"/>
  <c r="S1139" i="1"/>
  <c r="Z1141" i="1" s="1"/>
  <c r="K1139" i="1"/>
  <c r="AU1139" i="1"/>
  <c r="G1137" i="1"/>
  <c r="H1137" i="1" s="1"/>
  <c r="AC1138" i="1"/>
  <c r="M1137" i="1"/>
  <c r="D1138" i="1"/>
  <c r="E1138" i="1"/>
  <c r="F1138" i="1" s="1"/>
  <c r="A1139" i="1"/>
  <c r="AW1138" i="1"/>
  <c r="AI1138" i="1" s="1"/>
  <c r="AJ1138" i="1" s="1"/>
  <c r="AK1138" i="1"/>
  <c r="AA1139" i="1"/>
  <c r="B1140" i="1"/>
  <c r="C1139" i="1"/>
  <c r="BC1138" i="1" l="1"/>
  <c r="BD1138" i="1" s="1"/>
  <c r="AE1138" i="1" s="1"/>
  <c r="BF1140" i="1"/>
  <c r="BB1139" i="1"/>
  <c r="AH586" i="1"/>
  <c r="O587" i="1"/>
  <c r="Y587" i="1"/>
  <c r="X587" i="1" s="1"/>
  <c r="AQ587" i="1"/>
  <c r="AY587" i="1"/>
  <c r="V587" i="1"/>
  <c r="J1139" i="1"/>
  <c r="L1140" i="1"/>
  <c r="A1160" i="7"/>
  <c r="B1159" i="7"/>
  <c r="S1140" i="1"/>
  <c r="Z1142" i="1" s="1"/>
  <c r="K1140" i="1"/>
  <c r="AU1140" i="1"/>
  <c r="M1138" i="1"/>
  <c r="AC1139" i="1"/>
  <c r="AK1139" i="1"/>
  <c r="A1140" i="1"/>
  <c r="AW1139" i="1"/>
  <c r="AI1139" i="1" s="1"/>
  <c r="AJ1139" i="1" s="1"/>
  <c r="G1138" i="1"/>
  <c r="H1138" i="1" s="1"/>
  <c r="D1139" i="1"/>
  <c r="E1139" i="1"/>
  <c r="F1139" i="1" s="1"/>
  <c r="AA1140" i="1"/>
  <c r="B1141" i="1"/>
  <c r="C1140" i="1"/>
  <c r="BC1139" i="1" l="1"/>
  <c r="BD1139" i="1" s="1"/>
  <c r="AE1139" i="1" s="1"/>
  <c r="BF1141" i="1"/>
  <c r="AX587" i="1"/>
  <c r="U587" i="1" s="1"/>
  <c r="AL587" i="1" s="1"/>
  <c r="AN587" i="1" s="1"/>
  <c r="AO587" i="1" s="1"/>
  <c r="AP587" i="1" s="1"/>
  <c r="BB1140" i="1"/>
  <c r="AF587" i="1"/>
  <c r="AG587" i="1" s="1"/>
  <c r="BA587" i="1" s="1"/>
  <c r="AT588" i="1"/>
  <c r="AS588" i="1" s="1"/>
  <c r="I588" i="1"/>
  <c r="Q588" i="1" s="1"/>
  <c r="N588" i="1"/>
  <c r="AM588" i="1"/>
  <c r="P588" i="1"/>
  <c r="BE588" i="1" s="1"/>
  <c r="J1140" i="1"/>
  <c r="L1141" i="1"/>
  <c r="A1161" i="7"/>
  <c r="B1160" i="7"/>
  <c r="S1141" i="1"/>
  <c r="Z1143" i="1" s="1"/>
  <c r="K1141" i="1"/>
  <c r="AU1141" i="1"/>
  <c r="M1139" i="1"/>
  <c r="AC1140" i="1"/>
  <c r="D1140" i="1"/>
  <c r="E1140" i="1"/>
  <c r="F1140" i="1" s="1"/>
  <c r="AA1141" i="1"/>
  <c r="C1141" i="1"/>
  <c r="B1142" i="1"/>
  <c r="G1139" i="1"/>
  <c r="H1139" i="1" s="1"/>
  <c r="AW1140" i="1"/>
  <c r="AI1140" i="1" s="1"/>
  <c r="AJ1140" i="1" s="1"/>
  <c r="AK1140" i="1"/>
  <c r="AP1140" i="1"/>
  <c r="A1141" i="1"/>
  <c r="BC1140" i="1" l="1"/>
  <c r="BD1140" i="1" s="1"/>
  <c r="AE1140" i="1" s="1"/>
  <c r="BF1142" i="1"/>
  <c r="AH587" i="1"/>
  <c r="BB1141" i="1"/>
  <c r="O588" i="1"/>
  <c r="AQ588" i="1"/>
  <c r="V588" i="1"/>
  <c r="AY588" i="1"/>
  <c r="Y588" i="1"/>
  <c r="X588" i="1" s="1"/>
  <c r="J1141" i="1"/>
  <c r="L1142" i="1"/>
  <c r="A1162" i="7"/>
  <c r="B1161" i="7"/>
  <c r="S1142" i="1"/>
  <c r="Z1144" i="1" s="1"/>
  <c r="K1142" i="1"/>
  <c r="AU1142" i="1"/>
  <c r="M1140" i="1"/>
  <c r="G1140" i="1"/>
  <c r="H1140" i="1" s="1"/>
  <c r="C1142" i="1"/>
  <c r="AA1142" i="1"/>
  <c r="B1143" i="1"/>
  <c r="AW1141" i="1"/>
  <c r="AI1141" i="1" s="1"/>
  <c r="AJ1141" i="1" s="1"/>
  <c r="A1142" i="1"/>
  <c r="AK1141" i="1"/>
  <c r="E1141" i="1"/>
  <c r="F1141" i="1" s="1"/>
  <c r="D1141" i="1"/>
  <c r="AC1141" i="1"/>
  <c r="BC1141" i="1" l="1"/>
  <c r="BD1141" i="1" s="1"/>
  <c r="AE1141" i="1" s="1"/>
  <c r="AX588" i="1"/>
  <c r="U588" i="1" s="1"/>
  <c r="AL588" i="1" s="1"/>
  <c r="AN588" i="1" s="1"/>
  <c r="AO588" i="1" s="1"/>
  <c r="BF1143" i="1"/>
  <c r="BB1142" i="1"/>
  <c r="AF588" i="1"/>
  <c r="P589" i="1"/>
  <c r="BE589" i="1" s="1"/>
  <c r="AT589" i="1"/>
  <c r="AS589" i="1" s="1"/>
  <c r="N589" i="1"/>
  <c r="AM589" i="1"/>
  <c r="I589" i="1"/>
  <c r="Q589" i="1" s="1"/>
  <c r="J1142" i="1"/>
  <c r="L1143" i="1"/>
  <c r="A1163" i="7"/>
  <c r="B1162" i="7"/>
  <c r="S1143" i="1"/>
  <c r="Z1145" i="1" s="1"/>
  <c r="K1143" i="1"/>
  <c r="AU1143" i="1"/>
  <c r="G1141" i="1"/>
  <c r="H1141" i="1" s="1"/>
  <c r="E1142" i="1"/>
  <c r="F1142" i="1" s="1"/>
  <c r="D1142" i="1"/>
  <c r="M1141" i="1"/>
  <c r="B1144" i="1"/>
  <c r="C1143" i="1"/>
  <c r="AA1143" i="1"/>
  <c r="A1143" i="1"/>
  <c r="AW1142" i="1"/>
  <c r="AI1142" i="1" s="1"/>
  <c r="AJ1142" i="1" s="1"/>
  <c r="AK1142" i="1"/>
  <c r="AC1142" i="1"/>
  <c r="BC1142" i="1" l="1"/>
  <c r="BD1142" i="1" s="1"/>
  <c r="AE1142" i="1" s="1"/>
  <c r="BF1144" i="1"/>
  <c r="AH588" i="1"/>
  <c r="BB1143" i="1"/>
  <c r="AG588" i="1"/>
  <c r="BA588" i="1" s="1"/>
  <c r="O589" i="1"/>
  <c r="Y589" i="1"/>
  <c r="X589" i="1" s="1"/>
  <c r="AF589" i="1" s="1"/>
  <c r="V589" i="1"/>
  <c r="AY589" i="1"/>
  <c r="AQ589" i="1"/>
  <c r="J1143" i="1"/>
  <c r="L1144" i="1"/>
  <c r="A1164" i="7"/>
  <c r="B1163" i="7"/>
  <c r="S1144" i="1"/>
  <c r="Z1146" i="1" s="1"/>
  <c r="K1144" i="1"/>
  <c r="AU1144" i="1"/>
  <c r="G1142" i="1"/>
  <c r="H1142" i="1" s="1"/>
  <c r="AA1144" i="1"/>
  <c r="B1145" i="1"/>
  <c r="C1144" i="1"/>
  <c r="AC1143" i="1"/>
  <c r="AK1143" i="1"/>
  <c r="A1144" i="1"/>
  <c r="AW1143" i="1"/>
  <c r="AI1143" i="1" s="1"/>
  <c r="AJ1143" i="1" s="1"/>
  <c r="D1143" i="1"/>
  <c r="E1143" i="1"/>
  <c r="F1143" i="1" s="1"/>
  <c r="M1142" i="1"/>
  <c r="BC1143" i="1" l="1"/>
  <c r="BD1143" i="1" s="1"/>
  <c r="AE1143" i="1" s="1"/>
  <c r="BF1145" i="1"/>
  <c r="AX589" i="1"/>
  <c r="U589" i="1" s="1"/>
  <c r="AL589" i="1" s="1"/>
  <c r="AN589" i="1" s="1"/>
  <c r="AO589" i="1" s="1"/>
  <c r="AP589" i="1" s="1"/>
  <c r="AC1144" i="1"/>
  <c r="BB1144" i="1"/>
  <c r="P590" i="1"/>
  <c r="BE590" i="1" s="1"/>
  <c r="N590" i="1"/>
  <c r="I590" i="1"/>
  <c r="Q590" i="1" s="1"/>
  <c r="AT590" i="1"/>
  <c r="AS590" i="1" s="1"/>
  <c r="AM590" i="1"/>
  <c r="J1144" i="1"/>
  <c r="L1145" i="1"/>
  <c r="A1165" i="7"/>
  <c r="B1164" i="7"/>
  <c r="S1145" i="1"/>
  <c r="Z1147" i="1" s="1"/>
  <c r="K1145" i="1"/>
  <c r="AU1145" i="1"/>
  <c r="G1143" i="1"/>
  <c r="H1143" i="1" s="1"/>
  <c r="E1144" i="1"/>
  <c r="F1144" i="1" s="1"/>
  <c r="D1144" i="1"/>
  <c r="AA1145" i="1"/>
  <c r="B1146" i="1"/>
  <c r="C1145" i="1"/>
  <c r="M1143" i="1"/>
  <c r="A1145" i="1"/>
  <c r="AW1144" i="1"/>
  <c r="AI1144" i="1" s="1"/>
  <c r="AJ1144" i="1" s="1"/>
  <c r="AK1144" i="1"/>
  <c r="BC1144" i="1" l="1"/>
  <c r="BD1144" i="1" s="1"/>
  <c r="AE1144" i="1" s="1"/>
  <c r="BF1146" i="1"/>
  <c r="BB1145" i="1"/>
  <c r="V590" i="1"/>
  <c r="Y590" i="1"/>
  <c r="X590" i="1" s="1"/>
  <c r="AQ590" i="1"/>
  <c r="AY590" i="1"/>
  <c r="O590" i="1"/>
  <c r="AH589" i="1"/>
  <c r="AG589" i="1"/>
  <c r="BA589" i="1" s="1"/>
  <c r="J1145" i="1"/>
  <c r="L1146" i="1"/>
  <c r="A1166" i="7"/>
  <c r="B1165" i="7"/>
  <c r="S1146" i="1"/>
  <c r="Z1148" i="1" s="1"/>
  <c r="K1146" i="1"/>
  <c r="AU1146" i="1"/>
  <c r="E1145" i="1"/>
  <c r="F1145" i="1" s="1"/>
  <c r="D1145" i="1"/>
  <c r="AK1145" i="1"/>
  <c r="AW1145" i="1"/>
  <c r="AI1145" i="1" s="1"/>
  <c r="AJ1145" i="1" s="1"/>
  <c r="A1146" i="1"/>
  <c r="C1146" i="1"/>
  <c r="AA1146" i="1"/>
  <c r="B1147" i="1"/>
  <c r="M1144" i="1"/>
  <c r="AC1145" i="1"/>
  <c r="G1144" i="1"/>
  <c r="H1144" i="1" s="1"/>
  <c r="BC1145" i="1" l="1"/>
  <c r="BD1145" i="1" s="1"/>
  <c r="AE1145" i="1" s="1"/>
  <c r="AX590" i="1"/>
  <c r="U590" i="1" s="1"/>
  <c r="AL590" i="1" s="1"/>
  <c r="AN590" i="1" s="1"/>
  <c r="AO590" i="1" s="1"/>
  <c r="AP590" i="1" s="1"/>
  <c r="BF1147" i="1"/>
  <c r="BB1146" i="1"/>
  <c r="AF590" i="1"/>
  <c r="AG590" i="1" s="1"/>
  <c r="BA590" i="1" s="1"/>
  <c r="P591" i="1"/>
  <c r="BE591" i="1" s="1"/>
  <c r="AM591" i="1"/>
  <c r="AT591" i="1"/>
  <c r="AS591" i="1" s="1"/>
  <c r="N591" i="1"/>
  <c r="I591" i="1"/>
  <c r="Q591" i="1" s="1"/>
  <c r="J1146" i="1"/>
  <c r="L1147" i="1"/>
  <c r="A1167" i="7"/>
  <c r="B1166" i="7"/>
  <c r="S1147" i="1"/>
  <c r="Z1149" i="1" s="1"/>
  <c r="K1147" i="1"/>
  <c r="AU1147" i="1"/>
  <c r="G1145" i="1"/>
  <c r="H1145" i="1" s="1"/>
  <c r="AC1146" i="1"/>
  <c r="M1145" i="1"/>
  <c r="E1146" i="1"/>
  <c r="F1146" i="1" s="1"/>
  <c r="D1146" i="1"/>
  <c r="B1148" i="1"/>
  <c r="C1147" i="1"/>
  <c r="AA1147" i="1"/>
  <c r="A1147" i="1"/>
  <c r="AW1146" i="1"/>
  <c r="AI1146" i="1" s="1"/>
  <c r="AJ1146" i="1" s="1"/>
  <c r="AK1146" i="1"/>
  <c r="BC1146" i="1" l="1"/>
  <c r="BD1146" i="1" s="1"/>
  <c r="AE1146" i="1" s="1"/>
  <c r="BF1148" i="1"/>
  <c r="BB1147" i="1"/>
  <c r="AH590" i="1"/>
  <c r="O591" i="1"/>
  <c r="AT592" i="1" s="1"/>
  <c r="AS592" i="1" s="1"/>
  <c r="Y591" i="1"/>
  <c r="X591" i="1" s="1"/>
  <c r="V591" i="1"/>
  <c r="AQ591" i="1"/>
  <c r="AY591" i="1"/>
  <c r="J1147" i="1"/>
  <c r="L1148" i="1"/>
  <c r="A1168" i="7"/>
  <c r="B1167" i="7"/>
  <c r="S1148" i="1"/>
  <c r="Z1150" i="1" s="1"/>
  <c r="K1148" i="1"/>
  <c r="AU1148" i="1"/>
  <c r="G1146" i="1"/>
  <c r="H1146" i="1" s="1"/>
  <c r="AC1147" i="1"/>
  <c r="D1147" i="1"/>
  <c r="E1147" i="1"/>
  <c r="F1147" i="1" s="1"/>
  <c r="M1146" i="1"/>
  <c r="B1149" i="1"/>
  <c r="AA1148" i="1"/>
  <c r="C1148" i="1"/>
  <c r="AK1147" i="1"/>
  <c r="A1148" i="1"/>
  <c r="AW1147" i="1"/>
  <c r="AI1147" i="1" s="1"/>
  <c r="AJ1147" i="1" s="1"/>
  <c r="BC1147" i="1" l="1"/>
  <c r="BD1147" i="1" s="1"/>
  <c r="AE1147" i="1" s="1"/>
  <c r="BF1149" i="1"/>
  <c r="AX591" i="1"/>
  <c r="U591" i="1" s="1"/>
  <c r="AL591" i="1" s="1"/>
  <c r="AN591" i="1" s="1"/>
  <c r="AO591" i="1" s="1"/>
  <c r="AP591" i="1" s="1"/>
  <c r="AC1148" i="1"/>
  <c r="BB1148" i="1"/>
  <c r="AF591" i="1"/>
  <c r="AG591" i="1" s="1"/>
  <c r="BA591" i="1" s="1"/>
  <c r="I592" i="1"/>
  <c r="Q592" i="1" s="1"/>
  <c r="P592" i="1"/>
  <c r="BE592" i="1" s="1"/>
  <c r="AM592" i="1"/>
  <c r="N592" i="1"/>
  <c r="J1148" i="1"/>
  <c r="L1149" i="1"/>
  <c r="A1169" i="7"/>
  <c r="B1168" i="7"/>
  <c r="S1149" i="1"/>
  <c r="Z1151" i="1" s="1"/>
  <c r="K1149" i="1"/>
  <c r="AU1149" i="1"/>
  <c r="G1147" i="1"/>
  <c r="H1147" i="1" s="1"/>
  <c r="B1150" i="1"/>
  <c r="C1149" i="1"/>
  <c r="AA1149" i="1"/>
  <c r="AW1148" i="1"/>
  <c r="AI1148" i="1" s="1"/>
  <c r="AJ1148" i="1" s="1"/>
  <c r="A1149" i="1"/>
  <c r="AK1148" i="1"/>
  <c r="D1148" i="1"/>
  <c r="E1148" i="1"/>
  <c r="F1148" i="1" s="1"/>
  <c r="M1147" i="1"/>
  <c r="BC1148" i="1" l="1"/>
  <c r="BD1148" i="1" s="1"/>
  <c r="AE1148" i="1" s="1"/>
  <c r="BF1150" i="1"/>
  <c r="AY592" i="1"/>
  <c r="BB1149" i="1"/>
  <c r="AH591" i="1"/>
  <c r="O592" i="1"/>
  <c r="P593" i="1" s="1"/>
  <c r="BE593" i="1" s="1"/>
  <c r="Y592" i="1"/>
  <c r="X592" i="1" s="1"/>
  <c r="AF592" i="1" s="1"/>
  <c r="AQ592" i="1"/>
  <c r="V592" i="1"/>
  <c r="J1149" i="1"/>
  <c r="L1150" i="1"/>
  <c r="A1170" i="7"/>
  <c r="B1169" i="7"/>
  <c r="S1150" i="1"/>
  <c r="Z1152" i="1" s="1"/>
  <c r="K1150" i="1"/>
  <c r="AU1150" i="1"/>
  <c r="A1150" i="1"/>
  <c r="AK1149" i="1"/>
  <c r="AW1149" i="1"/>
  <c r="AI1149" i="1" s="1"/>
  <c r="AJ1149" i="1" s="1"/>
  <c r="AA1150" i="1"/>
  <c r="B1151" i="1"/>
  <c r="C1150" i="1"/>
  <c r="G1148" i="1"/>
  <c r="H1148" i="1" s="1"/>
  <c r="M1148" i="1"/>
  <c r="AC1149" i="1"/>
  <c r="E1149" i="1"/>
  <c r="F1149" i="1" s="1"/>
  <c r="D1149" i="1"/>
  <c r="BC1149" i="1" l="1"/>
  <c r="BD1149" i="1" s="1"/>
  <c r="AE1149" i="1" s="1"/>
  <c r="BF1151" i="1"/>
  <c r="AX592" i="1"/>
  <c r="U592" i="1" s="1"/>
  <c r="AL592" i="1" s="1"/>
  <c r="AN592" i="1" s="1"/>
  <c r="AO592" i="1" s="1"/>
  <c r="AP592" i="1" s="1"/>
  <c r="V593" i="1"/>
  <c r="BB1150" i="1"/>
  <c r="AT593" i="1"/>
  <c r="AS593" i="1" s="1"/>
  <c r="AQ593" i="1" s="1"/>
  <c r="AY593" i="1"/>
  <c r="N593" i="1"/>
  <c r="I593" i="1"/>
  <c r="Q593" i="1" s="1"/>
  <c r="Y593" i="1"/>
  <c r="X593" i="1" s="1"/>
  <c r="AF593" i="1" s="1"/>
  <c r="AM593" i="1"/>
  <c r="J1150" i="1"/>
  <c r="L1151" i="1"/>
  <c r="A1171" i="7"/>
  <c r="B1170" i="7"/>
  <c r="S1151" i="1"/>
  <c r="Z1153" i="1" s="1"/>
  <c r="K1151" i="1"/>
  <c r="AU1151" i="1"/>
  <c r="C1151" i="1"/>
  <c r="AA1151" i="1"/>
  <c r="B1152" i="1"/>
  <c r="AK1150" i="1"/>
  <c r="A1151" i="1"/>
  <c r="AW1150" i="1"/>
  <c r="AI1150" i="1" s="1"/>
  <c r="AJ1150" i="1" s="1"/>
  <c r="M1149" i="1"/>
  <c r="AC1150" i="1"/>
  <c r="G1149" i="1"/>
  <c r="H1149" i="1" s="1"/>
  <c r="D1150" i="1"/>
  <c r="E1150" i="1"/>
  <c r="F1150" i="1" s="1"/>
  <c r="BC1150" i="1" l="1"/>
  <c r="BD1150" i="1" s="1"/>
  <c r="AE1150" i="1" s="1"/>
  <c r="BF1152" i="1"/>
  <c r="BB1151" i="1"/>
  <c r="AG593" i="1"/>
  <c r="BA593" i="1" s="1"/>
  <c r="O593" i="1"/>
  <c r="P594" i="1" s="1"/>
  <c r="BE594" i="1" s="1"/>
  <c r="AG592" i="1"/>
  <c r="BA592" i="1" s="1"/>
  <c r="AH592" i="1"/>
  <c r="J1151" i="1"/>
  <c r="L1152" i="1"/>
  <c r="A1172" i="7"/>
  <c r="B1171" i="7"/>
  <c r="S1152" i="1"/>
  <c r="Z1154" i="1" s="1"/>
  <c r="K1152" i="1"/>
  <c r="AU1152" i="1"/>
  <c r="AA1152" i="1"/>
  <c r="C1152" i="1"/>
  <c r="B1153" i="1"/>
  <c r="AC1151" i="1"/>
  <c r="G1150" i="1"/>
  <c r="H1150" i="1" s="1"/>
  <c r="D1151" i="1"/>
  <c r="E1151" i="1"/>
  <c r="F1151" i="1" s="1"/>
  <c r="AK1151" i="1"/>
  <c r="A1152" i="1"/>
  <c r="AW1151" i="1"/>
  <c r="AI1151" i="1" s="1"/>
  <c r="AJ1151" i="1" s="1"/>
  <c r="M1150" i="1"/>
  <c r="BC1151" i="1" l="1"/>
  <c r="BD1151" i="1" s="1"/>
  <c r="AE1151" i="1" s="1"/>
  <c r="BF1153" i="1"/>
  <c r="AX593" i="1"/>
  <c r="U593" i="1" s="1"/>
  <c r="AL593" i="1" s="1"/>
  <c r="AN593" i="1" s="1"/>
  <c r="AO593" i="1" s="1"/>
  <c r="AP593" i="1" s="1"/>
  <c r="V594" i="1"/>
  <c r="AC1152" i="1"/>
  <c r="BB1152" i="1"/>
  <c r="AH593" i="1"/>
  <c r="AY594" i="1"/>
  <c r="AM594" i="1"/>
  <c r="N594" i="1"/>
  <c r="I594" i="1"/>
  <c r="Q594" i="1" s="1"/>
  <c r="AT594" i="1"/>
  <c r="AS594" i="1" s="1"/>
  <c r="AQ594" i="1" s="1"/>
  <c r="Y594" i="1"/>
  <c r="X594" i="1" s="1"/>
  <c r="AF594" i="1" s="1"/>
  <c r="J1152" i="1"/>
  <c r="L1153" i="1"/>
  <c r="A1173" i="7"/>
  <c r="B1172" i="7"/>
  <c r="S1153" i="1"/>
  <c r="Z1155" i="1" s="1"/>
  <c r="K1153" i="1"/>
  <c r="AU1153" i="1"/>
  <c r="G1151" i="1"/>
  <c r="H1151" i="1" s="1"/>
  <c r="D1152" i="1"/>
  <c r="E1152" i="1"/>
  <c r="F1152" i="1" s="1"/>
  <c r="M1151" i="1"/>
  <c r="AP1152" i="1"/>
  <c r="AW1152" i="1"/>
  <c r="AI1152" i="1" s="1"/>
  <c r="AJ1152" i="1" s="1"/>
  <c r="AK1152" i="1"/>
  <c r="A1153" i="1"/>
  <c r="AA1153" i="1"/>
  <c r="B1154" i="1"/>
  <c r="C1153" i="1"/>
  <c r="BC1152" i="1" l="1"/>
  <c r="BD1152" i="1" s="1"/>
  <c r="AE1152" i="1" s="1"/>
  <c r="AX594" i="1"/>
  <c r="U594" i="1" s="1"/>
  <c r="AL594" i="1" s="1"/>
  <c r="AN594" i="1" s="1"/>
  <c r="AO594" i="1" s="1"/>
  <c r="AP594" i="1" s="1"/>
  <c r="BF1154" i="1"/>
  <c r="BB1153" i="1"/>
  <c r="O594" i="1"/>
  <c r="I595" i="1" s="1"/>
  <c r="Q595" i="1" s="1"/>
  <c r="J1153" i="1"/>
  <c r="L1154" i="1"/>
  <c r="AG594" i="1"/>
  <c r="BA594" i="1" s="1"/>
  <c r="A1174" i="7"/>
  <c r="B1173" i="7"/>
  <c r="S1154" i="1"/>
  <c r="Z1156" i="1" s="1"/>
  <c r="K1154" i="1"/>
  <c r="AU1154" i="1"/>
  <c r="B1155" i="1"/>
  <c r="C1154" i="1"/>
  <c r="AA1154" i="1"/>
  <c r="G1152" i="1"/>
  <c r="H1152" i="1" s="1"/>
  <c r="AC1153" i="1"/>
  <c r="AK1153" i="1"/>
  <c r="AW1153" i="1"/>
  <c r="AI1153" i="1" s="1"/>
  <c r="AJ1153" i="1" s="1"/>
  <c r="A1154" i="1"/>
  <c r="M1152" i="1"/>
  <c r="E1153" i="1"/>
  <c r="F1153" i="1" s="1"/>
  <c r="D1153" i="1"/>
  <c r="BC1153" i="1" l="1"/>
  <c r="BD1153" i="1" s="1"/>
  <c r="AE1153" i="1" s="1"/>
  <c r="BF1155" i="1"/>
  <c r="BB1154" i="1"/>
  <c r="AT595" i="1"/>
  <c r="AS595" i="1" s="1"/>
  <c r="AH594" i="1"/>
  <c r="AM595" i="1"/>
  <c r="P595" i="1"/>
  <c r="BE595" i="1" s="1"/>
  <c r="N595" i="1"/>
  <c r="O595" i="1" s="1"/>
  <c r="P596" i="1" s="1"/>
  <c r="BE596" i="1" s="1"/>
  <c r="J1154" i="1"/>
  <c r="L1155" i="1"/>
  <c r="A1175" i="7"/>
  <c r="B1174" i="7"/>
  <c r="S1155" i="1"/>
  <c r="Z1157" i="1" s="1"/>
  <c r="K1155" i="1"/>
  <c r="AU1155" i="1"/>
  <c r="M1153" i="1"/>
  <c r="B1156" i="1"/>
  <c r="C1155" i="1"/>
  <c r="AA1155" i="1"/>
  <c r="AC1154" i="1"/>
  <c r="G1153" i="1"/>
  <c r="H1153" i="1" s="1"/>
  <c r="AW1154" i="1"/>
  <c r="AI1154" i="1" s="1"/>
  <c r="AJ1154" i="1" s="1"/>
  <c r="AK1154" i="1"/>
  <c r="A1155" i="1"/>
  <c r="D1154" i="1"/>
  <c r="E1154" i="1"/>
  <c r="F1154" i="1" s="1"/>
  <c r="BC1154" i="1" l="1"/>
  <c r="BD1154" i="1" s="1"/>
  <c r="AE1154" i="1" s="1"/>
  <c r="BF1156" i="1"/>
  <c r="V596" i="1"/>
  <c r="V595" i="1"/>
  <c r="BB1155" i="1"/>
  <c r="AT596" i="1"/>
  <c r="AS596" i="1" s="1"/>
  <c r="AQ596" i="1" s="1"/>
  <c r="N596" i="1"/>
  <c r="AM596" i="1"/>
  <c r="I596" i="1"/>
  <c r="Q596" i="1" s="1"/>
  <c r="Y596" i="1"/>
  <c r="Y595" i="1"/>
  <c r="X595" i="1" s="1"/>
  <c r="AQ595" i="1"/>
  <c r="AY595" i="1"/>
  <c r="J1155" i="1"/>
  <c r="L1156" i="1"/>
  <c r="AY596" i="1"/>
  <c r="A1176" i="7"/>
  <c r="B1175" i="7"/>
  <c r="S1156" i="1"/>
  <c r="Z1158" i="1" s="1"/>
  <c r="K1156" i="1"/>
  <c r="AU1156" i="1"/>
  <c r="AK1155" i="1"/>
  <c r="AW1155" i="1"/>
  <c r="AI1155" i="1" s="1"/>
  <c r="AJ1155" i="1" s="1"/>
  <c r="A1156" i="1"/>
  <c r="M1154" i="1"/>
  <c r="AC1155" i="1"/>
  <c r="G1154" i="1"/>
  <c r="H1154" i="1" s="1"/>
  <c r="D1155" i="1"/>
  <c r="E1155" i="1"/>
  <c r="F1155" i="1" s="1"/>
  <c r="C1156" i="1"/>
  <c r="AA1156" i="1"/>
  <c r="B1157" i="1"/>
  <c r="BC1155" i="1" l="1"/>
  <c r="BD1155" i="1" s="1"/>
  <c r="AE1155" i="1" s="1"/>
  <c r="BF1157" i="1"/>
  <c r="AX595" i="1"/>
  <c r="U595" i="1" s="1"/>
  <c r="AL595" i="1" s="1"/>
  <c r="AN595" i="1" s="1"/>
  <c r="AO595" i="1" s="1"/>
  <c r="AP595" i="1" s="1"/>
  <c r="BB1156" i="1"/>
  <c r="AF595" i="1"/>
  <c r="AH595" i="1" s="1"/>
  <c r="X596" i="1"/>
  <c r="AF596" i="1" s="1"/>
  <c r="O596" i="1"/>
  <c r="AM597" i="1" s="1"/>
  <c r="J1156" i="1"/>
  <c r="L1157" i="1"/>
  <c r="A1177" i="7"/>
  <c r="B1176" i="7"/>
  <c r="S1157" i="1"/>
  <c r="Z1159" i="1" s="1"/>
  <c r="K1157" i="1"/>
  <c r="AU1157" i="1"/>
  <c r="G1155" i="1"/>
  <c r="H1155" i="1" s="1"/>
  <c r="M1155" i="1"/>
  <c r="B1158" i="1"/>
  <c r="AA1157" i="1"/>
  <c r="C1157" i="1"/>
  <c r="AW1156" i="1"/>
  <c r="AI1156" i="1" s="1"/>
  <c r="AJ1156" i="1" s="1"/>
  <c r="AK1156" i="1"/>
  <c r="A1157" i="1"/>
  <c r="D1156" i="1"/>
  <c r="E1156" i="1"/>
  <c r="F1156" i="1" s="1"/>
  <c r="AC1156" i="1"/>
  <c r="BC1156" i="1" l="1"/>
  <c r="BD1156" i="1" s="1"/>
  <c r="AE1156" i="1" s="1"/>
  <c r="BF1158" i="1"/>
  <c r="AX596" i="1"/>
  <c r="U596" i="1" s="1"/>
  <c r="AL596" i="1" s="1"/>
  <c r="AN596" i="1" s="1"/>
  <c r="AO596" i="1" s="1"/>
  <c r="AP596" i="1" s="1"/>
  <c r="AG595" i="1"/>
  <c r="BA595" i="1" s="1"/>
  <c r="BB1157" i="1"/>
  <c r="N597" i="1"/>
  <c r="I597" i="1"/>
  <c r="Q597" i="1" s="1"/>
  <c r="AT597" i="1"/>
  <c r="AS597" i="1" s="1"/>
  <c r="P597" i="1"/>
  <c r="BE597" i="1" s="1"/>
  <c r="J1157" i="1"/>
  <c r="L1158" i="1"/>
  <c r="AH596" i="1"/>
  <c r="AG596" i="1"/>
  <c r="BA596" i="1" s="1"/>
  <c r="A1178" i="7"/>
  <c r="B1177" i="7"/>
  <c r="S1158" i="1"/>
  <c r="Z1160" i="1" s="1"/>
  <c r="K1158" i="1"/>
  <c r="AU1158" i="1"/>
  <c r="AC1157" i="1"/>
  <c r="M1156" i="1"/>
  <c r="C1158" i="1"/>
  <c r="B1159" i="1"/>
  <c r="AA1158" i="1"/>
  <c r="G1156" i="1"/>
  <c r="H1156" i="1" s="1"/>
  <c r="AK1157" i="1"/>
  <c r="AW1157" i="1"/>
  <c r="AI1157" i="1" s="1"/>
  <c r="AJ1157" i="1" s="1"/>
  <c r="A1158" i="1"/>
  <c r="D1157" i="1"/>
  <c r="E1157" i="1"/>
  <c r="F1157" i="1" s="1"/>
  <c r="BC1157" i="1" l="1"/>
  <c r="BD1157" i="1" s="1"/>
  <c r="AE1157" i="1" s="1"/>
  <c r="BF1159" i="1"/>
  <c r="Y597" i="1"/>
  <c r="X597" i="1" s="1"/>
  <c r="AF597" i="1" s="1"/>
  <c r="AG597" i="1" s="1"/>
  <c r="BB1158" i="1"/>
  <c r="O597" i="1"/>
  <c r="P598" i="1" s="1"/>
  <c r="BE598" i="1" s="1"/>
  <c r="AY597" i="1"/>
  <c r="AQ597" i="1"/>
  <c r="V597" i="1"/>
  <c r="J1158" i="1"/>
  <c r="L1159" i="1"/>
  <c r="A1179" i="7"/>
  <c r="B1178" i="7"/>
  <c r="S1159" i="1"/>
  <c r="Z1161" i="1" s="1"/>
  <c r="K1159" i="1"/>
  <c r="AU1159" i="1"/>
  <c r="G1157" i="1"/>
  <c r="H1157" i="1" s="1"/>
  <c r="AW1158" i="1"/>
  <c r="AI1158" i="1" s="1"/>
  <c r="AJ1158" i="1" s="1"/>
  <c r="AK1158" i="1"/>
  <c r="A1159" i="1"/>
  <c r="AC1158" i="1"/>
  <c r="D1158" i="1"/>
  <c r="E1158" i="1"/>
  <c r="F1158" i="1" s="1"/>
  <c r="M1157" i="1"/>
  <c r="B1160" i="1"/>
  <c r="AA1159" i="1"/>
  <c r="C1159" i="1"/>
  <c r="BC1158" i="1" l="1"/>
  <c r="BD1158" i="1" s="1"/>
  <c r="AE1158" i="1" s="1"/>
  <c r="AX597" i="1"/>
  <c r="U597" i="1" s="1"/>
  <c r="AL597" i="1" s="1"/>
  <c r="AN597" i="1" s="1"/>
  <c r="AO597" i="1" s="1"/>
  <c r="AP597" i="1" s="1"/>
  <c r="BF1160" i="1"/>
  <c r="BB1159" i="1"/>
  <c r="N598" i="1"/>
  <c r="AT598" i="1"/>
  <c r="AS598" i="1" s="1"/>
  <c r="AQ598" i="1" s="1"/>
  <c r="AM598" i="1"/>
  <c r="I598" i="1"/>
  <c r="Q598" i="1" s="1"/>
  <c r="V598" i="1"/>
  <c r="Y598" i="1"/>
  <c r="X598" i="1" s="1"/>
  <c r="AF598" i="1" s="1"/>
  <c r="J1159" i="1"/>
  <c r="L1160" i="1"/>
  <c r="AY598" i="1"/>
  <c r="BA597" i="1"/>
  <c r="AH597" i="1"/>
  <c r="A1180" i="7"/>
  <c r="B1179" i="7"/>
  <c r="S1160" i="1"/>
  <c r="Z1162" i="1" s="1"/>
  <c r="K1160" i="1"/>
  <c r="AU1160" i="1"/>
  <c r="G1158" i="1"/>
  <c r="H1158" i="1" s="1"/>
  <c r="AC1159" i="1"/>
  <c r="D1159" i="1"/>
  <c r="E1159" i="1"/>
  <c r="F1159" i="1" s="1"/>
  <c r="M1158" i="1"/>
  <c r="AW1159" i="1"/>
  <c r="AI1159" i="1" s="1"/>
  <c r="AJ1159" i="1" s="1"/>
  <c r="AK1159" i="1"/>
  <c r="A1160" i="1"/>
  <c r="B1161" i="1"/>
  <c r="C1160" i="1"/>
  <c r="AA1160" i="1"/>
  <c r="BC1159" i="1" l="1"/>
  <c r="BD1159" i="1" s="1"/>
  <c r="AE1159" i="1" s="1"/>
  <c r="BF1161" i="1"/>
  <c r="AX598" i="1"/>
  <c r="U598" i="1" s="1"/>
  <c r="AL598" i="1" s="1"/>
  <c r="AN598" i="1" s="1"/>
  <c r="AO598" i="1" s="1"/>
  <c r="AP598" i="1" s="1"/>
  <c r="BB1160" i="1"/>
  <c r="O598" i="1"/>
  <c r="AT599" i="1" s="1"/>
  <c r="AS599" i="1" s="1"/>
  <c r="J1160" i="1"/>
  <c r="L1161" i="1"/>
  <c r="A1181" i="7"/>
  <c r="B1180" i="7"/>
  <c r="S1161" i="1"/>
  <c r="Z1163" i="1" s="1"/>
  <c r="K1161" i="1"/>
  <c r="AU1161" i="1"/>
  <c r="G1159" i="1"/>
  <c r="H1159" i="1" s="1"/>
  <c r="M1159" i="1"/>
  <c r="C1161" i="1"/>
  <c r="AA1161" i="1"/>
  <c r="B1162" i="1"/>
  <c r="E1160" i="1"/>
  <c r="F1160" i="1" s="1"/>
  <c r="D1160" i="1"/>
  <c r="AK1160" i="1"/>
  <c r="A1161" i="1"/>
  <c r="AW1160" i="1"/>
  <c r="AI1160" i="1" s="1"/>
  <c r="AJ1160" i="1" s="1"/>
  <c r="AC1160" i="1"/>
  <c r="BC1160" i="1" l="1"/>
  <c r="BD1160" i="1" s="1"/>
  <c r="AE1160" i="1" s="1"/>
  <c r="BF1162" i="1"/>
  <c r="BB1161" i="1"/>
  <c r="AC1161" i="1"/>
  <c r="I599" i="1"/>
  <c r="Q599" i="1" s="1"/>
  <c r="N599" i="1"/>
  <c r="AM599" i="1"/>
  <c r="P599" i="1"/>
  <c r="BE599" i="1" s="1"/>
  <c r="J1161" i="1"/>
  <c r="L1162" i="1"/>
  <c r="AH598" i="1"/>
  <c r="AG598" i="1"/>
  <c r="BA598" i="1" s="1"/>
  <c r="A1182" i="7"/>
  <c r="B1181" i="7"/>
  <c r="S1162" i="1"/>
  <c r="Z1164" i="1" s="1"/>
  <c r="K1162" i="1"/>
  <c r="AU1162" i="1"/>
  <c r="G1160" i="1"/>
  <c r="H1160" i="1" s="1"/>
  <c r="E1161" i="1"/>
  <c r="F1161" i="1" s="1"/>
  <c r="D1161" i="1"/>
  <c r="A1162" i="1"/>
  <c r="AW1161" i="1"/>
  <c r="AI1161" i="1" s="1"/>
  <c r="AJ1161" i="1" s="1"/>
  <c r="AK1161" i="1"/>
  <c r="M1160" i="1"/>
  <c r="B1163" i="1"/>
  <c r="AA1162" i="1"/>
  <c r="C1162" i="1"/>
  <c r="BC1161" i="1" l="1"/>
  <c r="BD1161" i="1" s="1"/>
  <c r="AE1161" i="1" s="1"/>
  <c r="BF1163" i="1"/>
  <c r="V599" i="1"/>
  <c r="BB1162" i="1"/>
  <c r="O599" i="1"/>
  <c r="P600" i="1" s="1"/>
  <c r="BE600" i="1" s="1"/>
  <c r="AY599" i="1"/>
  <c r="AQ599" i="1"/>
  <c r="Y599" i="1"/>
  <c r="X599" i="1" s="1"/>
  <c r="AF599" i="1" s="1"/>
  <c r="J1162" i="1"/>
  <c r="L1163" i="1"/>
  <c r="A1183" i="7"/>
  <c r="B1182" i="7"/>
  <c r="S1163" i="1"/>
  <c r="Z1165" i="1" s="1"/>
  <c r="K1163" i="1"/>
  <c r="AU1163" i="1"/>
  <c r="AW1162" i="1"/>
  <c r="AI1162" i="1" s="1"/>
  <c r="AJ1162" i="1" s="1"/>
  <c r="AK1162" i="1"/>
  <c r="A1163" i="1"/>
  <c r="M1161" i="1"/>
  <c r="D1162" i="1"/>
  <c r="E1162" i="1"/>
  <c r="F1162" i="1" s="1"/>
  <c r="B1164" i="1"/>
  <c r="AA1163" i="1"/>
  <c r="C1163" i="1"/>
  <c r="AC1162" i="1"/>
  <c r="G1161" i="1"/>
  <c r="H1161" i="1" s="1"/>
  <c r="BC1162" i="1" l="1"/>
  <c r="BD1162" i="1" s="1"/>
  <c r="AE1162" i="1" s="1"/>
  <c r="BF1164" i="1"/>
  <c r="AX599" i="1"/>
  <c r="U599" i="1" s="1"/>
  <c r="AL599" i="1" s="1"/>
  <c r="AN599" i="1" s="1"/>
  <c r="AO599" i="1" s="1"/>
  <c r="AP599" i="1" s="1"/>
  <c r="Y600" i="1"/>
  <c r="X600" i="1" s="1"/>
  <c r="AF600" i="1" s="1"/>
  <c r="BB1163" i="1"/>
  <c r="AT600" i="1"/>
  <c r="AS600" i="1" s="1"/>
  <c r="AQ600" i="1" s="1"/>
  <c r="N600" i="1"/>
  <c r="V600" i="1"/>
  <c r="I600" i="1"/>
  <c r="Q600" i="1" s="1"/>
  <c r="AM600" i="1"/>
  <c r="AG599" i="1"/>
  <c r="BA599" i="1" s="1"/>
  <c r="J1163" i="1"/>
  <c r="L1164" i="1"/>
  <c r="AY600" i="1"/>
  <c r="A1184" i="7"/>
  <c r="B1183" i="7"/>
  <c r="S1164" i="1"/>
  <c r="Z1166" i="1" s="1"/>
  <c r="K1164" i="1"/>
  <c r="AU1164" i="1"/>
  <c r="G1162" i="1"/>
  <c r="H1162" i="1" s="1"/>
  <c r="A1164" i="1"/>
  <c r="AW1163" i="1"/>
  <c r="AI1163" i="1" s="1"/>
  <c r="AJ1163" i="1" s="1"/>
  <c r="AK1163" i="1"/>
  <c r="D1163" i="1"/>
  <c r="E1163" i="1"/>
  <c r="F1163" i="1" s="1"/>
  <c r="M1162" i="1"/>
  <c r="AC1163" i="1"/>
  <c r="AA1164" i="1"/>
  <c r="B1165" i="1"/>
  <c r="C1164" i="1"/>
  <c r="BC1163" i="1" l="1"/>
  <c r="BD1163" i="1" s="1"/>
  <c r="AE1163" i="1" s="1"/>
  <c r="BF1165" i="1"/>
  <c r="BB1164" i="1"/>
  <c r="O600" i="1"/>
  <c r="P601" i="1" s="1"/>
  <c r="BE601" i="1" s="1"/>
  <c r="AH599" i="1"/>
  <c r="J1164" i="1"/>
  <c r="L1165" i="1"/>
  <c r="A1185" i="7"/>
  <c r="B1184" i="7"/>
  <c r="S1165" i="1"/>
  <c r="Z1167" i="1" s="1"/>
  <c r="K1165" i="1"/>
  <c r="AU1165" i="1"/>
  <c r="G1163" i="1"/>
  <c r="H1163" i="1" s="1"/>
  <c r="C1165" i="1"/>
  <c r="AA1165" i="1"/>
  <c r="B1166" i="1"/>
  <c r="A1165" i="1"/>
  <c r="AW1164" i="1"/>
  <c r="AI1164" i="1" s="1"/>
  <c r="AJ1164" i="1" s="1"/>
  <c r="AP1164" i="1"/>
  <c r="AK1164" i="1"/>
  <c r="E1164" i="1"/>
  <c r="F1164" i="1" s="1"/>
  <c r="D1164" i="1"/>
  <c r="M1163" i="1"/>
  <c r="AC1164" i="1"/>
  <c r="BC1164" i="1" l="1"/>
  <c r="BD1164" i="1" s="1"/>
  <c r="AE1164" i="1" s="1"/>
  <c r="BF1166" i="1"/>
  <c r="AX600" i="1"/>
  <c r="U600" i="1" s="1"/>
  <c r="AL600" i="1" s="1"/>
  <c r="AN600" i="1" s="1"/>
  <c r="AO600" i="1" s="1"/>
  <c r="V601" i="1"/>
  <c r="BB1165" i="1"/>
  <c r="I601" i="1"/>
  <c r="Q601" i="1" s="1"/>
  <c r="Y601" i="1"/>
  <c r="X601" i="1" s="1"/>
  <c r="AF601" i="1" s="1"/>
  <c r="N601" i="1"/>
  <c r="AT601" i="1"/>
  <c r="AS601" i="1" s="1"/>
  <c r="AQ601" i="1" s="1"/>
  <c r="AM601" i="1"/>
  <c r="J1165" i="1"/>
  <c r="L1166" i="1"/>
  <c r="AH600" i="1"/>
  <c r="AG600" i="1"/>
  <c r="BA600" i="1" s="1"/>
  <c r="AY601" i="1"/>
  <c r="A1186" i="7"/>
  <c r="B1185" i="7"/>
  <c r="S1166" i="1"/>
  <c r="Z1168" i="1" s="1"/>
  <c r="K1166" i="1"/>
  <c r="AU1166" i="1"/>
  <c r="M1164" i="1"/>
  <c r="AK1165" i="1"/>
  <c r="A1166" i="1"/>
  <c r="AW1165" i="1"/>
  <c r="AI1165" i="1" s="1"/>
  <c r="AJ1165" i="1" s="1"/>
  <c r="C1166" i="1"/>
  <c r="B1167" i="1"/>
  <c r="AA1166" i="1"/>
  <c r="D1165" i="1"/>
  <c r="E1165" i="1"/>
  <c r="F1165" i="1" s="1"/>
  <c r="G1164" i="1"/>
  <c r="H1164" i="1" s="1"/>
  <c r="AC1165" i="1"/>
  <c r="BC1165" i="1" l="1"/>
  <c r="BD1165" i="1" s="1"/>
  <c r="AE1165" i="1" s="1"/>
  <c r="AX601" i="1"/>
  <c r="U601" i="1" s="1"/>
  <c r="AL601" i="1" s="1"/>
  <c r="AN601" i="1" s="1"/>
  <c r="AO601" i="1" s="1"/>
  <c r="AP601" i="1" s="1"/>
  <c r="BF1167" i="1"/>
  <c r="BB1166" i="1"/>
  <c r="O601" i="1"/>
  <c r="AT602" i="1" s="1"/>
  <c r="AS602" i="1" s="1"/>
  <c r="J1166" i="1"/>
  <c r="L1167" i="1"/>
  <c r="A1187" i="7"/>
  <c r="B1186" i="7"/>
  <c r="S1167" i="1"/>
  <c r="Z1169" i="1" s="1"/>
  <c r="K1167" i="1"/>
  <c r="AU1167" i="1"/>
  <c r="G1165" i="1"/>
  <c r="H1165" i="1" s="1"/>
  <c r="AC1166" i="1"/>
  <c r="AA1167" i="1"/>
  <c r="B1168" i="1"/>
  <c r="C1167" i="1"/>
  <c r="M1165" i="1"/>
  <c r="A1167" i="1"/>
  <c r="AK1166" i="1"/>
  <c r="AW1166" i="1"/>
  <c r="AI1166" i="1" s="1"/>
  <c r="AJ1166" i="1" s="1"/>
  <c r="E1166" i="1"/>
  <c r="F1166" i="1" s="1"/>
  <c r="D1166" i="1"/>
  <c r="BC1166" i="1" l="1"/>
  <c r="BD1166" i="1" s="1"/>
  <c r="AE1166" i="1" s="1"/>
  <c r="BF1168" i="1"/>
  <c r="AC1167" i="1"/>
  <c r="BB1167" i="1"/>
  <c r="N602" i="1"/>
  <c r="AM602" i="1"/>
  <c r="P602" i="1"/>
  <c r="BE602" i="1" s="1"/>
  <c r="I602" i="1"/>
  <c r="Q602" i="1" s="1"/>
  <c r="J1167" i="1"/>
  <c r="L1168" i="1"/>
  <c r="AH601" i="1"/>
  <c r="AG601" i="1"/>
  <c r="BA601" i="1" s="1"/>
  <c r="A1188" i="7"/>
  <c r="B1187" i="7"/>
  <c r="S1168" i="1"/>
  <c r="Z1170" i="1" s="1"/>
  <c r="K1168" i="1"/>
  <c r="AU1168" i="1"/>
  <c r="D1167" i="1"/>
  <c r="E1167" i="1"/>
  <c r="G1166" i="1"/>
  <c r="H1166" i="1" s="1"/>
  <c r="M1166" i="1"/>
  <c r="C1168" i="1"/>
  <c r="AA1168" i="1"/>
  <c r="B1169" i="1"/>
  <c r="AK1167" i="1"/>
  <c r="A1168" i="1"/>
  <c r="AW1167" i="1"/>
  <c r="AI1167" i="1" s="1"/>
  <c r="AJ1167" i="1" s="1"/>
  <c r="BC1167" i="1" l="1"/>
  <c r="BD1167" i="1" s="1"/>
  <c r="AE1167" i="1" s="1"/>
  <c r="BF1169" i="1"/>
  <c r="Y602" i="1"/>
  <c r="X602" i="1" s="1"/>
  <c r="AF602" i="1" s="1"/>
  <c r="AG602" i="1" s="1"/>
  <c r="BB1168" i="1"/>
  <c r="AY602" i="1"/>
  <c r="AQ602" i="1"/>
  <c r="V602" i="1"/>
  <c r="O602" i="1"/>
  <c r="I603" i="1" s="1"/>
  <c r="Q603" i="1" s="1"/>
  <c r="F1167" i="1"/>
  <c r="G1167" i="1" s="1"/>
  <c r="H1167" i="1" s="1"/>
  <c r="J1168" i="1"/>
  <c r="L1169" i="1"/>
  <c r="A1189" i="7"/>
  <c r="B1188" i="7"/>
  <c r="S1169" i="1"/>
  <c r="Z1171" i="1" s="1"/>
  <c r="K1169" i="1"/>
  <c r="AU1169" i="1"/>
  <c r="M1167" i="1"/>
  <c r="AA1169" i="1"/>
  <c r="B1170" i="1"/>
  <c r="C1169" i="1"/>
  <c r="AK1168" i="1"/>
  <c r="A1169" i="1"/>
  <c r="AW1168" i="1"/>
  <c r="AI1168" i="1" s="1"/>
  <c r="AJ1168" i="1" s="1"/>
  <c r="D1168" i="1"/>
  <c r="E1168" i="1"/>
  <c r="F1168" i="1" s="1"/>
  <c r="AC1168" i="1"/>
  <c r="BC1168" i="1" l="1"/>
  <c r="BD1168" i="1" s="1"/>
  <c r="AE1168" i="1" s="1"/>
  <c r="BF1170" i="1"/>
  <c r="AX602" i="1"/>
  <c r="U602" i="1" s="1"/>
  <c r="AL602" i="1" s="1"/>
  <c r="AN602" i="1" s="1"/>
  <c r="AO602" i="1" s="1"/>
  <c r="AP602" i="1" s="1"/>
  <c r="AC1169" i="1"/>
  <c r="BB1169" i="1"/>
  <c r="AM603" i="1"/>
  <c r="AT603" i="1"/>
  <c r="AS603" i="1" s="1"/>
  <c r="P603" i="1"/>
  <c r="BE603" i="1" s="1"/>
  <c r="N603" i="1"/>
  <c r="O603" i="1" s="1"/>
  <c r="P604" i="1" s="1"/>
  <c r="BE604" i="1" s="1"/>
  <c r="J1169" i="1"/>
  <c r="L1170" i="1"/>
  <c r="BA602" i="1"/>
  <c r="AH602" i="1"/>
  <c r="A1190" i="7"/>
  <c r="B1189" i="7"/>
  <c r="S1170" i="1"/>
  <c r="Z1172" i="1" s="1"/>
  <c r="K1170" i="1"/>
  <c r="AU1170" i="1"/>
  <c r="M1168" i="1"/>
  <c r="AW1169" i="1"/>
  <c r="AI1169" i="1" s="1"/>
  <c r="AJ1169" i="1" s="1"/>
  <c r="A1170" i="1"/>
  <c r="AK1169" i="1"/>
  <c r="AA1170" i="1"/>
  <c r="B1171" i="1"/>
  <c r="C1170" i="1"/>
  <c r="G1168" i="1"/>
  <c r="H1168" i="1" s="1"/>
  <c r="E1169" i="1"/>
  <c r="F1169" i="1" s="1"/>
  <c r="D1169" i="1"/>
  <c r="BC1169" i="1" l="1"/>
  <c r="BD1169" i="1" s="1"/>
  <c r="AE1169" i="1" s="1"/>
  <c r="BF1171" i="1"/>
  <c r="V603" i="1"/>
  <c r="AC1170" i="1"/>
  <c r="BB1170" i="1"/>
  <c r="AQ603" i="1"/>
  <c r="AY603" i="1"/>
  <c r="Y603" i="1"/>
  <c r="X603" i="1" s="1"/>
  <c r="V604" i="1"/>
  <c r="Y604" i="1"/>
  <c r="AT604" i="1"/>
  <c r="AS604" i="1" s="1"/>
  <c r="AQ604" i="1" s="1"/>
  <c r="AM604" i="1"/>
  <c r="I604" i="1"/>
  <c r="Q604" i="1" s="1"/>
  <c r="N604" i="1"/>
  <c r="AY604" i="1"/>
  <c r="J1170" i="1"/>
  <c r="L1171" i="1"/>
  <c r="A1191" i="7"/>
  <c r="B1190" i="7"/>
  <c r="S1171" i="1"/>
  <c r="Z1173" i="1" s="1"/>
  <c r="K1171" i="1"/>
  <c r="AU1171" i="1"/>
  <c r="G1169" i="1"/>
  <c r="H1169" i="1" s="1"/>
  <c r="B1172" i="1"/>
  <c r="AA1171" i="1"/>
  <c r="C1171" i="1"/>
  <c r="AK1170" i="1"/>
  <c r="AW1170" i="1"/>
  <c r="AI1170" i="1" s="1"/>
  <c r="AJ1170" i="1" s="1"/>
  <c r="A1171" i="1"/>
  <c r="M1169" i="1"/>
  <c r="D1170" i="1"/>
  <c r="E1170" i="1"/>
  <c r="F1170" i="1" s="1"/>
  <c r="BC1170" i="1" l="1"/>
  <c r="BD1170" i="1" s="1"/>
  <c r="AE1170" i="1" s="1"/>
  <c r="AX603" i="1"/>
  <c r="U603" i="1" s="1"/>
  <c r="AL603" i="1" s="1"/>
  <c r="AN603" i="1" s="1"/>
  <c r="AO603" i="1" s="1"/>
  <c r="AP603" i="1" s="1"/>
  <c r="BF1172" i="1"/>
  <c r="BB1171" i="1"/>
  <c r="AF603" i="1"/>
  <c r="AG603" i="1" s="1"/>
  <c r="BA603" i="1" s="1"/>
  <c r="X604" i="1"/>
  <c r="AF604" i="1" s="1"/>
  <c r="O604" i="1"/>
  <c r="AT605" i="1" s="1"/>
  <c r="AS605" i="1" s="1"/>
  <c r="J1171" i="1"/>
  <c r="L1172" i="1"/>
  <c r="A1192" i="7"/>
  <c r="B1191" i="7"/>
  <c r="S1172" i="1"/>
  <c r="Z1174" i="1" s="1"/>
  <c r="K1172" i="1"/>
  <c r="AU1172" i="1"/>
  <c r="G1170" i="1"/>
  <c r="H1170" i="1" s="1"/>
  <c r="AK1171" i="1"/>
  <c r="A1172" i="1"/>
  <c r="AW1171" i="1"/>
  <c r="AI1171" i="1" s="1"/>
  <c r="AJ1171" i="1" s="1"/>
  <c r="M1170" i="1"/>
  <c r="AC1171" i="1"/>
  <c r="B1173" i="1"/>
  <c r="AA1172" i="1"/>
  <c r="C1172" i="1"/>
  <c r="E1171" i="1"/>
  <c r="F1171" i="1" s="1"/>
  <c r="D1171" i="1"/>
  <c r="BC1171" i="1" l="1"/>
  <c r="BD1171" i="1" s="1"/>
  <c r="AE1171" i="1" s="1"/>
  <c r="BF1173" i="1"/>
  <c r="AH603" i="1"/>
  <c r="AC1172" i="1"/>
  <c r="BB1172" i="1"/>
  <c r="I605" i="1"/>
  <c r="Q605" i="1" s="1"/>
  <c r="N605" i="1"/>
  <c r="P605" i="1"/>
  <c r="BE605" i="1" s="1"/>
  <c r="AM605" i="1"/>
  <c r="J1172" i="1"/>
  <c r="AH604" i="1"/>
  <c r="AG604" i="1"/>
  <c r="BA604" i="1" s="1"/>
  <c r="L1173" i="1"/>
  <c r="A1193" i="7"/>
  <c r="B1192" i="7"/>
  <c r="S1173" i="1"/>
  <c r="Z1175" i="1" s="1"/>
  <c r="K1173" i="1"/>
  <c r="AU1173" i="1"/>
  <c r="B1174" i="1"/>
  <c r="AA1173" i="1"/>
  <c r="C1173" i="1"/>
  <c r="E1172" i="1"/>
  <c r="F1172" i="1" s="1"/>
  <c r="D1172" i="1"/>
  <c r="G1171" i="1"/>
  <c r="H1171" i="1" s="1"/>
  <c r="M1171" i="1"/>
  <c r="AK1172" i="1"/>
  <c r="A1173" i="1"/>
  <c r="AW1172" i="1"/>
  <c r="AI1172" i="1" s="1"/>
  <c r="AJ1172" i="1" s="1"/>
  <c r="BC1172" i="1" l="1"/>
  <c r="BD1172" i="1" s="1"/>
  <c r="AE1172" i="1" s="1"/>
  <c r="BF1174" i="1"/>
  <c r="AX604" i="1"/>
  <c r="U604" i="1" s="1"/>
  <c r="AL604" i="1" s="1"/>
  <c r="AN604" i="1" s="1"/>
  <c r="AO604" i="1" s="1"/>
  <c r="AP604" i="1" s="1"/>
  <c r="BB1173" i="1"/>
  <c r="V605" i="1"/>
  <c r="Y605" i="1"/>
  <c r="X605" i="1" s="1"/>
  <c r="AF605" i="1" s="1"/>
  <c r="O605" i="1"/>
  <c r="P606" i="1" s="1"/>
  <c r="BE606" i="1" s="1"/>
  <c r="AY605" i="1"/>
  <c r="AQ605" i="1"/>
  <c r="J1173" i="1"/>
  <c r="L1174" i="1"/>
  <c r="A1194" i="7"/>
  <c r="B1193" i="7"/>
  <c r="S1174" i="1"/>
  <c r="Z1176" i="1" s="1"/>
  <c r="K1174" i="1"/>
  <c r="AU1174" i="1"/>
  <c r="AC1173" i="1"/>
  <c r="A1174" i="1"/>
  <c r="AW1173" i="1"/>
  <c r="AI1173" i="1" s="1"/>
  <c r="AJ1173" i="1" s="1"/>
  <c r="AK1173" i="1"/>
  <c r="G1172" i="1"/>
  <c r="H1172" i="1" s="1"/>
  <c r="D1173" i="1"/>
  <c r="E1173" i="1"/>
  <c r="F1173" i="1" s="1"/>
  <c r="AA1174" i="1"/>
  <c r="B1175" i="1"/>
  <c r="C1174" i="1"/>
  <c r="M1172" i="1"/>
  <c r="BC1173" i="1" l="1"/>
  <c r="BD1173" i="1" s="1"/>
  <c r="AE1173" i="1" s="1"/>
  <c r="AX605" i="1"/>
  <c r="U605" i="1" s="1"/>
  <c r="AL605" i="1" s="1"/>
  <c r="AN605" i="1" s="1"/>
  <c r="AO605" i="1" s="1"/>
  <c r="AP605" i="1" s="1"/>
  <c r="BF1175" i="1"/>
  <c r="BB1174" i="1"/>
  <c r="V606" i="1"/>
  <c r="Y606" i="1"/>
  <c r="X606" i="1" s="1"/>
  <c r="AF606" i="1" s="1"/>
  <c r="I606" i="1"/>
  <c r="Q606" i="1" s="1"/>
  <c r="AT606" i="1"/>
  <c r="AS606" i="1" s="1"/>
  <c r="AQ606" i="1" s="1"/>
  <c r="N606" i="1"/>
  <c r="AM606" i="1"/>
  <c r="J1174" i="1"/>
  <c r="AH605" i="1"/>
  <c r="AG605" i="1"/>
  <c r="BA605" i="1" s="1"/>
  <c r="L1175" i="1"/>
  <c r="AY606" i="1"/>
  <c r="A1195" i="7"/>
  <c r="B1194" i="7"/>
  <c r="S1175" i="1"/>
  <c r="Z1177" i="1" s="1"/>
  <c r="K1175" i="1"/>
  <c r="AU1175" i="1"/>
  <c r="G1173" i="1"/>
  <c r="H1173" i="1" s="1"/>
  <c r="C1175" i="1"/>
  <c r="AA1175" i="1"/>
  <c r="B1176" i="1"/>
  <c r="D1174" i="1"/>
  <c r="E1174" i="1"/>
  <c r="F1174" i="1" s="1"/>
  <c r="AC1174" i="1"/>
  <c r="AK1174" i="1"/>
  <c r="A1175" i="1"/>
  <c r="AW1174" i="1"/>
  <c r="AI1174" i="1" s="1"/>
  <c r="AJ1174" i="1" s="1"/>
  <c r="M1173" i="1"/>
  <c r="BC1174" i="1" l="1"/>
  <c r="BD1174" i="1" s="1"/>
  <c r="AE1174" i="1" s="1"/>
  <c r="BF1176" i="1"/>
  <c r="AX606" i="1"/>
  <c r="U606" i="1" s="1"/>
  <c r="AL606" i="1" s="1"/>
  <c r="AN606" i="1" s="1"/>
  <c r="AO606" i="1" s="1"/>
  <c r="AP606" i="1" s="1"/>
  <c r="BB1175" i="1"/>
  <c r="O606" i="1"/>
  <c r="P607" i="1" s="1"/>
  <c r="BE607" i="1" s="1"/>
  <c r="J1175" i="1"/>
  <c r="L1176" i="1"/>
  <c r="AG606" i="1"/>
  <c r="A1196" i="7"/>
  <c r="B1195" i="7"/>
  <c r="S1176" i="1"/>
  <c r="Z1178" i="1" s="1"/>
  <c r="K1176" i="1"/>
  <c r="AU1176" i="1"/>
  <c r="M1174" i="1"/>
  <c r="C1176" i="1"/>
  <c r="AA1176" i="1"/>
  <c r="B1177" i="1"/>
  <c r="G1174" i="1"/>
  <c r="H1174" i="1" s="1"/>
  <c r="AC1175" i="1"/>
  <c r="AW1175" i="1"/>
  <c r="AI1175" i="1" s="1"/>
  <c r="AJ1175" i="1" s="1"/>
  <c r="A1176" i="1"/>
  <c r="AK1175" i="1"/>
  <c r="E1175" i="1"/>
  <c r="F1175" i="1" s="1"/>
  <c r="D1175" i="1"/>
  <c r="BC1175" i="1" l="1"/>
  <c r="BD1175" i="1" s="1"/>
  <c r="AE1175" i="1" s="1"/>
  <c r="BF1177" i="1"/>
  <c r="BB1176" i="1"/>
  <c r="V607" i="1"/>
  <c r="Y607" i="1"/>
  <c r="X607" i="1" s="1"/>
  <c r="AF607" i="1" s="1"/>
  <c r="I607" i="1"/>
  <c r="Q607" i="1" s="1"/>
  <c r="AM607" i="1"/>
  <c r="N607" i="1"/>
  <c r="AY607" i="1"/>
  <c r="AT607" i="1"/>
  <c r="AS607" i="1" s="1"/>
  <c r="AQ607" i="1" s="1"/>
  <c r="J1176" i="1"/>
  <c r="L1177" i="1"/>
  <c r="BA606" i="1"/>
  <c r="AH606" i="1"/>
  <c r="A1197" i="7"/>
  <c r="B1196" i="7"/>
  <c r="S1177" i="1"/>
  <c r="Z1179" i="1" s="1"/>
  <c r="K1177" i="1"/>
  <c r="AU1177" i="1"/>
  <c r="G1175" i="1"/>
  <c r="H1175" i="1" s="1"/>
  <c r="C1177" i="1"/>
  <c r="AA1177" i="1"/>
  <c r="B1178" i="1"/>
  <c r="AC1176" i="1"/>
  <c r="E1176" i="1"/>
  <c r="F1176" i="1" s="1"/>
  <c r="D1176" i="1"/>
  <c r="A1177" i="1"/>
  <c r="AW1176" i="1"/>
  <c r="AI1176" i="1" s="1"/>
  <c r="AJ1176" i="1" s="1"/>
  <c r="AK1176" i="1"/>
  <c r="AP1176" i="1"/>
  <c r="M1175" i="1"/>
  <c r="BC1176" i="1" l="1"/>
  <c r="BD1176" i="1" s="1"/>
  <c r="AE1176" i="1" s="1"/>
  <c r="AX607" i="1"/>
  <c r="U607" i="1" s="1"/>
  <c r="AL607" i="1" s="1"/>
  <c r="AN607" i="1" s="1"/>
  <c r="AO607" i="1" s="1"/>
  <c r="AP607" i="1" s="1"/>
  <c r="BF1178" i="1"/>
  <c r="BB1177" i="1"/>
  <c r="O607" i="1"/>
  <c r="AM608" i="1" s="1"/>
  <c r="J1177" i="1"/>
  <c r="L1178" i="1"/>
  <c r="AG607" i="1"/>
  <c r="BA607" i="1" s="1"/>
  <c r="A1198" i="7"/>
  <c r="B1197" i="7"/>
  <c r="S1178" i="1"/>
  <c r="Z1180" i="1" s="1"/>
  <c r="K1178" i="1"/>
  <c r="AU1178" i="1"/>
  <c r="AK1177" i="1"/>
  <c r="AW1177" i="1"/>
  <c r="AI1177" i="1" s="1"/>
  <c r="AJ1177" i="1" s="1"/>
  <c r="A1178" i="1"/>
  <c r="C1178" i="1"/>
  <c r="B1179" i="1"/>
  <c r="AA1178" i="1"/>
  <c r="M1176" i="1"/>
  <c r="D1177" i="1"/>
  <c r="E1177" i="1"/>
  <c r="F1177" i="1" s="1"/>
  <c r="G1176" i="1"/>
  <c r="H1176" i="1" s="1"/>
  <c r="AC1177" i="1"/>
  <c r="BC1177" i="1" l="1"/>
  <c r="BD1177" i="1" s="1"/>
  <c r="AE1177" i="1" s="1"/>
  <c r="BF1179" i="1"/>
  <c r="AC1178" i="1"/>
  <c r="BB1178" i="1"/>
  <c r="P608" i="1"/>
  <c r="BE608" i="1" s="1"/>
  <c r="I608" i="1"/>
  <c r="Q608" i="1" s="1"/>
  <c r="AH607" i="1"/>
  <c r="N608" i="1"/>
  <c r="AT608" i="1"/>
  <c r="AS608" i="1" s="1"/>
  <c r="J1178" i="1"/>
  <c r="L1179" i="1"/>
  <c r="A1199" i="7"/>
  <c r="B1198" i="7"/>
  <c r="S1179" i="1"/>
  <c r="Z1181" i="1" s="1"/>
  <c r="K1179" i="1"/>
  <c r="AU1179" i="1"/>
  <c r="D1178" i="1"/>
  <c r="E1178" i="1"/>
  <c r="F1178" i="1" s="1"/>
  <c r="M1177" i="1"/>
  <c r="G1177" i="1"/>
  <c r="H1177" i="1" s="1"/>
  <c r="B1180" i="1"/>
  <c r="C1179" i="1"/>
  <c r="AA1179" i="1"/>
  <c r="A1179" i="1"/>
  <c r="AW1178" i="1"/>
  <c r="AI1178" i="1" s="1"/>
  <c r="AJ1178" i="1" s="1"/>
  <c r="AK1178" i="1"/>
  <c r="BC1178" i="1" l="1"/>
  <c r="BD1178" i="1" s="1"/>
  <c r="AE1178" i="1" s="1"/>
  <c r="BF1180" i="1"/>
  <c r="BB1179" i="1"/>
  <c r="V608" i="1"/>
  <c r="Y608" i="1"/>
  <c r="X608" i="1" s="1"/>
  <c r="AQ608" i="1"/>
  <c r="O608" i="1"/>
  <c r="P609" i="1" s="1"/>
  <c r="BE609" i="1" s="1"/>
  <c r="AY608" i="1"/>
  <c r="J1179" i="1"/>
  <c r="L1180" i="1"/>
  <c r="A1200" i="7"/>
  <c r="B1199" i="7"/>
  <c r="S1180" i="1"/>
  <c r="Z1182" i="1" s="1"/>
  <c r="K1180" i="1"/>
  <c r="AU1180" i="1"/>
  <c r="G1178" i="1"/>
  <c r="H1178" i="1" s="1"/>
  <c r="D1179" i="1"/>
  <c r="E1179" i="1"/>
  <c r="F1179" i="1" s="1"/>
  <c r="AC1179" i="1"/>
  <c r="M1178" i="1"/>
  <c r="AK1179" i="1"/>
  <c r="A1180" i="1"/>
  <c r="AW1179" i="1"/>
  <c r="AI1179" i="1" s="1"/>
  <c r="AJ1179" i="1" s="1"/>
  <c r="AA1180" i="1"/>
  <c r="C1180" i="1"/>
  <c r="B1181" i="1"/>
  <c r="BC1179" i="1" l="1"/>
  <c r="BD1179" i="1" s="1"/>
  <c r="AE1179" i="1" s="1"/>
  <c r="BF1181" i="1"/>
  <c r="AX608" i="1"/>
  <c r="U608" i="1" s="1"/>
  <c r="AL608" i="1" s="1"/>
  <c r="AN608" i="1" s="1"/>
  <c r="AO608" i="1" s="1"/>
  <c r="AP608" i="1" s="1"/>
  <c r="BB1180" i="1"/>
  <c r="AF608" i="1"/>
  <c r="AG608" i="1" s="1"/>
  <c r="BA608" i="1" s="1"/>
  <c r="V609" i="1"/>
  <c r="Y609" i="1"/>
  <c r="X609" i="1" s="1"/>
  <c r="AF609" i="1" s="1"/>
  <c r="AY609" i="1"/>
  <c r="AM609" i="1"/>
  <c r="N609" i="1"/>
  <c r="I609" i="1"/>
  <c r="Q609" i="1" s="1"/>
  <c r="AT609" i="1"/>
  <c r="AS609" i="1" s="1"/>
  <c r="AQ609" i="1" s="1"/>
  <c r="J1180" i="1"/>
  <c r="L1181" i="1"/>
  <c r="A1201" i="7"/>
  <c r="B1200" i="7"/>
  <c r="S1181" i="1"/>
  <c r="Z1183" i="1" s="1"/>
  <c r="K1181" i="1"/>
  <c r="AU1181" i="1"/>
  <c r="AC1180" i="1"/>
  <c r="G1179" i="1"/>
  <c r="H1179" i="1" s="1"/>
  <c r="B1182" i="1"/>
  <c r="C1181" i="1"/>
  <c r="AA1181" i="1"/>
  <c r="E1180" i="1"/>
  <c r="F1180" i="1" s="1"/>
  <c r="D1180" i="1"/>
  <c r="M1179" i="1"/>
  <c r="AK1180" i="1"/>
  <c r="A1181" i="1"/>
  <c r="AW1180" i="1"/>
  <c r="AI1180" i="1" s="1"/>
  <c r="AJ1180" i="1" s="1"/>
  <c r="BC1180" i="1" l="1"/>
  <c r="BD1180" i="1" s="1"/>
  <c r="AE1180" i="1" s="1"/>
  <c r="BF1182" i="1"/>
  <c r="BB1181" i="1"/>
  <c r="AC1181" i="1"/>
  <c r="AH608" i="1"/>
  <c r="AG609" i="1"/>
  <c r="BA609" i="1" s="1"/>
  <c r="O609" i="1"/>
  <c r="N610" i="1" s="1"/>
  <c r="J1181" i="1"/>
  <c r="L1182" i="1"/>
  <c r="A1202" i="7"/>
  <c r="B1202" i="7" s="1"/>
  <c r="C3" i="8" s="1"/>
  <c r="B1201" i="7"/>
  <c r="S1182" i="1"/>
  <c r="Z1184" i="1" s="1"/>
  <c r="K1182" i="1"/>
  <c r="AU1182" i="1"/>
  <c r="AW1181" i="1"/>
  <c r="AI1181" i="1" s="1"/>
  <c r="AJ1181" i="1" s="1"/>
  <c r="AK1181" i="1"/>
  <c r="A1182" i="1"/>
  <c r="G1180" i="1"/>
  <c r="H1180" i="1" s="1"/>
  <c r="D1181" i="1"/>
  <c r="E1181" i="1"/>
  <c r="F1181" i="1" s="1"/>
  <c r="M1180" i="1"/>
  <c r="B1183" i="1"/>
  <c r="AA1182" i="1"/>
  <c r="C1182" i="1"/>
  <c r="BC1181" i="1" l="1"/>
  <c r="BD1181" i="1" s="1"/>
  <c r="AE1181" i="1" s="1"/>
  <c r="BF1183" i="1"/>
  <c r="AX609" i="1"/>
  <c r="U609" i="1" s="1"/>
  <c r="AL609" i="1" s="1"/>
  <c r="AN609" i="1" s="1"/>
  <c r="AO609" i="1" s="1"/>
  <c r="AP609" i="1" s="1"/>
  <c r="BB1182" i="1"/>
  <c r="AC1182" i="1"/>
  <c r="P610" i="1"/>
  <c r="BE610" i="1" s="1"/>
  <c r="AT610" i="1"/>
  <c r="AS610" i="1" s="1"/>
  <c r="AH609" i="1"/>
  <c r="AM610" i="1"/>
  <c r="I610" i="1"/>
  <c r="Q610" i="1" s="1"/>
  <c r="J1182" i="1"/>
  <c r="L1183" i="1"/>
  <c r="M9" i="8"/>
  <c r="C11" i="8"/>
  <c r="E41" i="8"/>
  <c r="C30" i="8"/>
  <c r="D48" i="8"/>
  <c r="D15" i="8"/>
  <c r="D30" i="8"/>
  <c r="C13" i="8"/>
  <c r="B19" i="8"/>
  <c r="B16" i="8"/>
  <c r="E22" i="8"/>
  <c r="C23" i="8"/>
  <c r="D27" i="8"/>
  <c r="C41" i="8"/>
  <c r="E10" i="8"/>
  <c r="E23" i="8"/>
  <c r="M5" i="8"/>
  <c r="C24" i="8"/>
  <c r="M8" i="8"/>
  <c r="D12" i="8"/>
  <c r="C33" i="8"/>
  <c r="D34" i="8"/>
  <c r="C2" i="8"/>
  <c r="E19" i="8"/>
  <c r="B37" i="8"/>
  <c r="D13" i="8"/>
  <c r="C47" i="8"/>
  <c r="E4" i="8"/>
  <c r="B10" i="8"/>
  <c r="C34" i="8"/>
  <c r="E16" i="8"/>
  <c r="C42" i="8"/>
  <c r="B28" i="8"/>
  <c r="B39" i="8"/>
  <c r="D17" i="8"/>
  <c r="D31" i="8"/>
  <c r="E48" i="8"/>
  <c r="B48" i="8"/>
  <c r="D23" i="8"/>
  <c r="E42" i="8"/>
  <c r="B24" i="8"/>
  <c r="D36" i="8"/>
  <c r="D21" i="8"/>
  <c r="M6" i="8"/>
  <c r="C9" i="8"/>
  <c r="E17" i="8"/>
  <c r="E13" i="8"/>
  <c r="D5" i="8"/>
  <c r="C36" i="8"/>
  <c r="D16" i="8"/>
  <c r="B21" i="8"/>
  <c r="E37" i="8"/>
  <c r="C7" i="8"/>
  <c r="E46" i="8"/>
  <c r="D47" i="8"/>
  <c r="E26" i="8"/>
  <c r="C20" i="8"/>
  <c r="E38" i="8"/>
  <c r="B32" i="8"/>
  <c r="B33" i="8"/>
  <c r="C38" i="8"/>
  <c r="D20" i="8"/>
  <c r="B27" i="8"/>
  <c r="E28" i="8"/>
  <c r="D11" i="8"/>
  <c r="B12" i="8"/>
  <c r="C46" i="8"/>
  <c r="C12" i="8"/>
  <c r="E3" i="8"/>
  <c r="C26" i="8"/>
  <c r="D19" i="8"/>
  <c r="B36" i="8"/>
  <c r="C48" i="8"/>
  <c r="C25" i="8"/>
  <c r="B23" i="8"/>
  <c r="C22" i="8"/>
  <c r="B40" i="8"/>
  <c r="E30" i="8"/>
  <c r="D39" i="8"/>
  <c r="D35" i="8"/>
  <c r="C49" i="8"/>
  <c r="C35" i="8"/>
  <c r="D9" i="8"/>
  <c r="B43" i="8"/>
  <c r="D49" i="8"/>
  <c r="E5" i="8"/>
  <c r="C21" i="8"/>
  <c r="E21" i="8"/>
  <c r="D6" i="8"/>
  <c r="C37" i="8"/>
  <c r="B5" i="8"/>
  <c r="B45" i="8"/>
  <c r="M10" i="8"/>
  <c r="B14" i="8"/>
  <c r="D32" i="8"/>
  <c r="E12" i="8"/>
  <c r="D41" i="8"/>
  <c r="E7" i="8"/>
  <c r="E24" i="8"/>
  <c r="C4" i="8"/>
  <c r="B17" i="8"/>
  <c r="B8" i="8"/>
  <c r="E33" i="8"/>
  <c r="E32" i="8"/>
  <c r="D24" i="8"/>
  <c r="B11" i="8"/>
  <c r="E45" i="8"/>
  <c r="D4" i="8"/>
  <c r="E2" i="8"/>
  <c r="C31" i="8"/>
  <c r="E40" i="8"/>
  <c r="D10" i="8"/>
  <c r="B35" i="8"/>
  <c r="E31" i="8"/>
  <c r="C17" i="8"/>
  <c r="D38" i="8"/>
  <c r="D2" i="8"/>
  <c r="D25" i="8"/>
  <c r="M7" i="8"/>
  <c r="D43" i="8"/>
  <c r="C28" i="8"/>
  <c r="B25" i="8"/>
  <c r="C15" i="8"/>
  <c r="D42" i="8"/>
  <c r="B34" i="8"/>
  <c r="C40" i="8"/>
  <c r="D8" i="8"/>
  <c r="B22" i="8"/>
  <c r="E44" i="8"/>
  <c r="B38" i="8"/>
  <c r="D37" i="8"/>
  <c r="B2" i="8"/>
  <c r="C44" i="8"/>
  <c r="D44" i="8"/>
  <c r="E6" i="8"/>
  <c r="B30" i="8"/>
  <c r="D22" i="8"/>
  <c r="M4" i="8"/>
  <c r="C29" i="8"/>
  <c r="B13" i="8"/>
  <c r="D46" i="8"/>
  <c r="E49" i="8"/>
  <c r="E39" i="8"/>
  <c r="D7" i="8"/>
  <c r="E34" i="8"/>
  <c r="B15" i="8"/>
  <c r="E9" i="8"/>
  <c r="D14" i="8"/>
  <c r="C32" i="8"/>
  <c r="B9" i="8"/>
  <c r="D28" i="8"/>
  <c r="B29" i="8"/>
  <c r="C19" i="8"/>
  <c r="B6" i="8"/>
  <c r="D40" i="8"/>
  <c r="C10" i="8"/>
  <c r="B26" i="8"/>
  <c r="E25" i="8"/>
  <c r="B18" i="8"/>
  <c r="C5" i="8"/>
  <c r="C14" i="8"/>
  <c r="D26" i="8"/>
  <c r="E11" i="8"/>
  <c r="D3" i="8"/>
  <c r="B7" i="8"/>
  <c r="E35" i="8"/>
  <c r="D33" i="8"/>
  <c r="E18" i="8"/>
  <c r="E29" i="8"/>
  <c r="E43" i="8"/>
  <c r="C6" i="8"/>
  <c r="E20" i="8"/>
  <c r="B41" i="8"/>
  <c r="E47" i="8"/>
  <c r="E14" i="8"/>
  <c r="B49" i="8"/>
  <c r="M3" i="8"/>
  <c r="D45" i="8"/>
  <c r="C39" i="8"/>
  <c r="B47" i="8"/>
  <c r="C45" i="8"/>
  <c r="C18" i="8"/>
  <c r="C8" i="8"/>
  <c r="D18" i="8"/>
  <c r="C43" i="8"/>
  <c r="B46" i="8"/>
  <c r="D29" i="8"/>
  <c r="E36" i="8"/>
  <c r="M2" i="8"/>
  <c r="C27" i="8"/>
  <c r="E8" i="8"/>
  <c r="C16" i="8"/>
  <c r="B31" i="8"/>
  <c r="B42" i="8"/>
  <c r="E15" i="8"/>
  <c r="B4" i="8"/>
  <c r="E27" i="8"/>
  <c r="B3" i="8"/>
  <c r="B20" i="8"/>
  <c r="B44" i="8"/>
  <c r="M12" i="8"/>
  <c r="M11" i="8"/>
  <c r="M13" i="8"/>
  <c r="M17" i="8"/>
  <c r="M14" i="8"/>
  <c r="M15" i="8"/>
  <c r="M16" i="8"/>
  <c r="M18" i="8"/>
  <c r="M19" i="8"/>
  <c r="M20" i="8"/>
  <c r="M21" i="8"/>
  <c r="M22" i="8"/>
  <c r="M23" i="8"/>
  <c r="M24" i="8"/>
  <c r="M25" i="8"/>
  <c r="M27" i="8"/>
  <c r="M26" i="8"/>
  <c r="M28" i="8"/>
  <c r="M30" i="8"/>
  <c r="M32" i="8"/>
  <c r="M29" i="8"/>
  <c r="M31" i="8"/>
  <c r="M34" i="8"/>
  <c r="M33" i="8"/>
  <c r="M35" i="8"/>
  <c r="M37" i="8"/>
  <c r="M36" i="8"/>
  <c r="M39" i="8"/>
  <c r="M38" i="8"/>
  <c r="M40" i="8"/>
  <c r="M41" i="8"/>
  <c r="M43" i="8"/>
  <c r="M42" i="8"/>
  <c r="M44" i="8"/>
  <c r="M46" i="8"/>
  <c r="M45" i="8"/>
  <c r="M47" i="8"/>
  <c r="M48" i="8"/>
  <c r="M49" i="8"/>
  <c r="S1183" i="1"/>
  <c r="Z1185" i="1" s="1"/>
  <c r="K1183" i="1"/>
  <c r="AU1183" i="1"/>
  <c r="G1181" i="1"/>
  <c r="H1181" i="1" s="1"/>
  <c r="D1182" i="1"/>
  <c r="E1182" i="1"/>
  <c r="F1182" i="1" s="1"/>
  <c r="C1183" i="1"/>
  <c r="AA1183" i="1"/>
  <c r="B1184" i="1"/>
  <c r="M1181" i="1"/>
  <c r="AW1182" i="1"/>
  <c r="AI1182" i="1" s="1"/>
  <c r="AJ1182" i="1" s="1"/>
  <c r="A1183" i="1"/>
  <c r="AK1182" i="1"/>
  <c r="H3" i="8" l="1"/>
  <c r="F3" i="8"/>
  <c r="G3" i="8" s="1"/>
  <c r="BC1182" i="1"/>
  <c r="BD1182" i="1" s="1"/>
  <c r="AE1182" i="1" s="1"/>
  <c r="BF1184" i="1"/>
  <c r="AC1183" i="1"/>
  <c r="BB1183" i="1"/>
  <c r="V610" i="1"/>
  <c r="Y610" i="1"/>
  <c r="X610" i="1" s="1"/>
  <c r="AY610" i="1"/>
  <c r="AQ610" i="1"/>
  <c r="O610" i="1"/>
  <c r="AT611" i="1" s="1"/>
  <c r="AS611" i="1" s="1"/>
  <c r="J1183" i="1"/>
  <c r="L1184" i="1"/>
  <c r="H23" i="8"/>
  <c r="F23" i="8"/>
  <c r="G23" i="8" s="1"/>
  <c r="H33" i="8"/>
  <c r="F33" i="8"/>
  <c r="G33" i="8" s="1"/>
  <c r="H20" i="8"/>
  <c r="F20" i="8"/>
  <c r="G20" i="8" s="1"/>
  <c r="H5" i="8"/>
  <c r="F5" i="8"/>
  <c r="G5" i="8" s="1"/>
  <c r="H42" i="8"/>
  <c r="F42" i="8"/>
  <c r="G42" i="8" s="1"/>
  <c r="H46" i="8"/>
  <c r="F46" i="8"/>
  <c r="G46" i="8" s="1"/>
  <c r="H6" i="8"/>
  <c r="F6" i="8"/>
  <c r="G6" i="8" s="1"/>
  <c r="H9" i="8"/>
  <c r="F9" i="8"/>
  <c r="G9" i="8" s="1"/>
  <c r="H15" i="8"/>
  <c r="F15" i="8"/>
  <c r="G15" i="8" s="1"/>
  <c r="H38" i="8"/>
  <c r="F38" i="8"/>
  <c r="G38" i="8" s="1"/>
  <c r="H25" i="8"/>
  <c r="F25" i="8"/>
  <c r="G25" i="8" s="1"/>
  <c r="H11" i="8"/>
  <c r="F11" i="8"/>
  <c r="G11" i="8" s="1"/>
  <c r="H8" i="8"/>
  <c r="F8" i="8"/>
  <c r="G8" i="8" s="1"/>
  <c r="H14" i="8"/>
  <c r="F14" i="8"/>
  <c r="G14" i="8" s="1"/>
  <c r="H12" i="8"/>
  <c r="F12" i="8"/>
  <c r="G12" i="8" s="1"/>
  <c r="H27" i="8"/>
  <c r="F27" i="8"/>
  <c r="G27" i="8" s="1"/>
  <c r="H32" i="8"/>
  <c r="F32" i="8"/>
  <c r="G32" i="8" s="1"/>
  <c r="H21" i="8"/>
  <c r="F21" i="8"/>
  <c r="G21" i="8" s="1"/>
  <c r="H31" i="8"/>
  <c r="F31" i="8"/>
  <c r="G31" i="8" s="1"/>
  <c r="H41" i="8"/>
  <c r="F41" i="8"/>
  <c r="G41" i="8" s="1"/>
  <c r="H7" i="8"/>
  <c r="F7" i="8"/>
  <c r="G7" i="8" s="1"/>
  <c r="H26" i="8"/>
  <c r="F26" i="8"/>
  <c r="G26" i="8" s="1"/>
  <c r="H34" i="8"/>
  <c r="F34" i="8"/>
  <c r="G34" i="8" s="1"/>
  <c r="H35" i="8"/>
  <c r="F35" i="8"/>
  <c r="G35" i="8" s="1"/>
  <c r="H17" i="8"/>
  <c r="F17" i="8"/>
  <c r="G17" i="8" s="1"/>
  <c r="H40" i="8"/>
  <c r="F40" i="8"/>
  <c r="G40" i="8" s="1"/>
  <c r="H48" i="8"/>
  <c r="F48" i="8"/>
  <c r="G48" i="8" s="1"/>
  <c r="H39" i="8"/>
  <c r="F39" i="8"/>
  <c r="G39" i="8" s="1"/>
  <c r="H16" i="8"/>
  <c r="F16" i="8"/>
  <c r="G16" i="8" s="1"/>
  <c r="H18" i="8"/>
  <c r="F18" i="8"/>
  <c r="G18" i="8" s="1"/>
  <c r="H44" i="8"/>
  <c r="F44" i="8"/>
  <c r="G44" i="8" s="1"/>
  <c r="H4" i="8"/>
  <c r="F4" i="8"/>
  <c r="G4" i="8" s="1"/>
  <c r="H47" i="8"/>
  <c r="F47" i="8"/>
  <c r="G47" i="8" s="1"/>
  <c r="H49" i="8"/>
  <c r="F49" i="8"/>
  <c r="G49" i="8" s="1"/>
  <c r="H29" i="8"/>
  <c r="F29" i="8"/>
  <c r="G29" i="8" s="1"/>
  <c r="H13" i="8"/>
  <c r="F13" i="8"/>
  <c r="G13" i="8" s="1"/>
  <c r="H30" i="8"/>
  <c r="F30" i="8"/>
  <c r="G30" i="8" s="1"/>
  <c r="H2" i="8"/>
  <c r="J5" i="8" s="1"/>
  <c r="F2" i="8"/>
  <c r="G2" i="8"/>
  <c r="H22" i="8"/>
  <c r="F22" i="8"/>
  <c r="G22" i="8" s="1"/>
  <c r="H45" i="8"/>
  <c r="F45" i="8"/>
  <c r="G45" i="8" s="1"/>
  <c r="H43" i="8"/>
  <c r="F43" i="8"/>
  <c r="G43" i="8" s="1"/>
  <c r="H36" i="8"/>
  <c r="F36" i="8"/>
  <c r="G36" i="8" s="1"/>
  <c r="H24" i="8"/>
  <c r="F24" i="8"/>
  <c r="G24" i="8" s="1"/>
  <c r="H28" i="8"/>
  <c r="F28" i="8"/>
  <c r="G28" i="8" s="1"/>
  <c r="H10" i="8"/>
  <c r="F10" i="8"/>
  <c r="G10" i="8" s="1"/>
  <c r="H37" i="8"/>
  <c r="F37" i="8"/>
  <c r="G37" i="8" s="1"/>
  <c r="H19" i="8"/>
  <c r="F19" i="8"/>
  <c r="G19" i="8" s="1"/>
  <c r="S1184" i="1"/>
  <c r="Z1186" i="1" s="1"/>
  <c r="K1184" i="1"/>
  <c r="AU1184" i="1"/>
  <c r="D1183" i="1"/>
  <c r="E1183" i="1"/>
  <c r="F1183" i="1" s="1"/>
  <c r="C1184" i="1"/>
  <c r="AA1184" i="1"/>
  <c r="B1185" i="1"/>
  <c r="AK1183" i="1"/>
  <c r="AW1183" i="1"/>
  <c r="AI1183" i="1" s="1"/>
  <c r="AJ1183" i="1" s="1"/>
  <c r="A1184" i="1"/>
  <c r="M1182" i="1"/>
  <c r="G1182" i="1"/>
  <c r="H1182" i="1" s="1"/>
  <c r="I3" i="8" l="1"/>
  <c r="I5" i="8"/>
  <c r="BC1183" i="1"/>
  <c r="BD1183" i="1" s="1"/>
  <c r="AE1183" i="1" s="1"/>
  <c r="BF1185" i="1"/>
  <c r="AX610" i="1"/>
  <c r="U610" i="1" s="1"/>
  <c r="AL610" i="1" s="1"/>
  <c r="AN610" i="1" s="1"/>
  <c r="AO610" i="1" s="1"/>
  <c r="AP610" i="1" s="1"/>
  <c r="BB1184" i="1"/>
  <c r="AF610" i="1"/>
  <c r="AG610" i="1" s="1"/>
  <c r="BA610" i="1" s="1"/>
  <c r="AM611" i="1"/>
  <c r="P611" i="1"/>
  <c r="BE611" i="1" s="1"/>
  <c r="I611" i="1"/>
  <c r="Q611" i="1" s="1"/>
  <c r="N611" i="1"/>
  <c r="J1184" i="1"/>
  <c r="L1185" i="1"/>
  <c r="I6" i="8"/>
  <c r="J19" i="8"/>
  <c r="J4" i="8"/>
  <c r="J2" i="8"/>
  <c r="J3" i="8"/>
  <c r="J6" i="8"/>
  <c r="J8" i="8"/>
  <c r="J7" i="8"/>
  <c r="J10" i="8"/>
  <c r="J9" i="8"/>
  <c r="J11" i="8"/>
  <c r="J12" i="8"/>
  <c r="J13" i="8"/>
  <c r="J14" i="8"/>
  <c r="J15" i="8"/>
  <c r="J16" i="8"/>
  <c r="J17" i="8"/>
  <c r="J18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I4" i="8"/>
  <c r="I20" i="8"/>
  <c r="I36" i="8"/>
  <c r="I21" i="8"/>
  <c r="I37" i="8"/>
  <c r="I26" i="8"/>
  <c r="I46" i="8"/>
  <c r="I19" i="8"/>
  <c r="I35" i="8"/>
  <c r="I8" i="8"/>
  <c r="I24" i="8"/>
  <c r="I40" i="8"/>
  <c r="I9" i="8"/>
  <c r="I25" i="8"/>
  <c r="I41" i="8"/>
  <c r="I10" i="8"/>
  <c r="I30" i="8"/>
  <c r="I2" i="8"/>
  <c r="I7" i="8"/>
  <c r="I23" i="8"/>
  <c r="I39" i="8"/>
  <c r="I12" i="8"/>
  <c r="I28" i="8"/>
  <c r="I44" i="8"/>
  <c r="I13" i="8"/>
  <c r="I29" i="8"/>
  <c r="I45" i="8"/>
  <c r="I14" i="8"/>
  <c r="I34" i="8"/>
  <c r="I42" i="8"/>
  <c r="I11" i="8"/>
  <c r="I27" i="8"/>
  <c r="I43" i="8"/>
  <c r="I16" i="8"/>
  <c r="I32" i="8"/>
  <c r="I48" i="8"/>
  <c r="I17" i="8"/>
  <c r="I33" i="8"/>
  <c r="I49" i="8"/>
  <c r="I22" i="8"/>
  <c r="I38" i="8"/>
  <c r="I18" i="8"/>
  <c r="I15" i="8"/>
  <c r="I31" i="8"/>
  <c r="I47" i="8"/>
  <c r="S1185" i="1"/>
  <c r="Z1187" i="1" s="1"/>
  <c r="K1185" i="1"/>
  <c r="AU1185" i="1"/>
  <c r="M1183" i="1"/>
  <c r="AW1184" i="1"/>
  <c r="AI1184" i="1" s="1"/>
  <c r="AJ1184" i="1" s="1"/>
  <c r="A1185" i="1"/>
  <c r="AK1184" i="1"/>
  <c r="G1183" i="1"/>
  <c r="H1183" i="1" s="1"/>
  <c r="C1185" i="1"/>
  <c r="B1186" i="1"/>
  <c r="AA1185" i="1"/>
  <c r="E1184" i="1"/>
  <c r="F1184" i="1" s="1"/>
  <c r="D1184" i="1"/>
  <c r="AC1184" i="1"/>
  <c r="K4" i="8" l="1"/>
  <c r="BC1184" i="1"/>
  <c r="BD1184" i="1" s="1"/>
  <c r="AE1184" i="1" s="1"/>
  <c r="BF1186" i="1"/>
  <c r="AH610" i="1"/>
  <c r="BB1185" i="1"/>
  <c r="V611" i="1"/>
  <c r="Y611" i="1"/>
  <c r="X611" i="1" s="1"/>
  <c r="O611" i="1"/>
  <c r="P612" i="1" s="1"/>
  <c r="BE612" i="1" s="1"/>
  <c r="AQ611" i="1"/>
  <c r="AY611" i="1"/>
  <c r="J1185" i="1"/>
  <c r="L1186" i="1"/>
  <c r="L7" i="8"/>
  <c r="L49" i="8"/>
  <c r="L13" i="8"/>
  <c r="K49" i="8"/>
  <c r="K7" i="8"/>
  <c r="K38" i="8"/>
  <c r="L38" i="8"/>
  <c r="L43" i="8"/>
  <c r="K43" i="8"/>
  <c r="L39" i="8"/>
  <c r="K39" i="8"/>
  <c r="L30" i="8"/>
  <c r="K30" i="8"/>
  <c r="L9" i="8"/>
  <c r="K9" i="8"/>
  <c r="L35" i="8"/>
  <c r="K35" i="8"/>
  <c r="K26" i="8"/>
  <c r="L26" i="8"/>
  <c r="L5" i="8"/>
  <c r="K5" i="8"/>
  <c r="K31" i="8"/>
  <c r="L31" i="8"/>
  <c r="K22" i="8"/>
  <c r="L22" i="8"/>
  <c r="K48" i="8"/>
  <c r="L48" i="8"/>
  <c r="L27" i="8"/>
  <c r="K27" i="8"/>
  <c r="K14" i="8"/>
  <c r="L14" i="8"/>
  <c r="L44" i="8"/>
  <c r="K44" i="8"/>
  <c r="K23" i="8"/>
  <c r="L23" i="8"/>
  <c r="L10" i="8"/>
  <c r="K10" i="8"/>
  <c r="L40" i="8"/>
  <c r="K40" i="8"/>
  <c r="L19" i="8"/>
  <c r="K19" i="8"/>
  <c r="K6" i="8"/>
  <c r="L6" i="8"/>
  <c r="L36" i="8"/>
  <c r="K36" i="8"/>
  <c r="L47" i="8"/>
  <c r="K47" i="8"/>
  <c r="L15" i="8"/>
  <c r="K15" i="8"/>
  <c r="L32" i="8"/>
  <c r="K32" i="8"/>
  <c r="K11" i="8"/>
  <c r="L11" i="8"/>
  <c r="L45" i="8"/>
  <c r="K45" i="8"/>
  <c r="L28" i="8"/>
  <c r="K28" i="8"/>
  <c r="L41" i="8"/>
  <c r="K41" i="8"/>
  <c r="K24" i="8"/>
  <c r="L24" i="8"/>
  <c r="L3" i="8"/>
  <c r="K3" i="8"/>
  <c r="L37" i="8"/>
  <c r="K37" i="8"/>
  <c r="L20" i="8"/>
  <c r="K20" i="8"/>
  <c r="K17" i="8"/>
  <c r="L17" i="8"/>
  <c r="K34" i="8"/>
  <c r="L34" i="8"/>
  <c r="L18" i="8"/>
  <c r="K18" i="8"/>
  <c r="L33" i="8"/>
  <c r="K33" i="8"/>
  <c r="L16" i="8"/>
  <c r="K16" i="8"/>
  <c r="K42" i="8"/>
  <c r="L42" i="8"/>
  <c r="K29" i="8"/>
  <c r="L29" i="8"/>
  <c r="L12" i="8"/>
  <c r="K12" i="8"/>
  <c r="K2" i="8"/>
  <c r="L2" i="8"/>
  <c r="K25" i="8"/>
  <c r="L25" i="8"/>
  <c r="K8" i="8"/>
  <c r="L8" i="8"/>
  <c r="L46" i="8"/>
  <c r="K46" i="8"/>
  <c r="L21" i="8"/>
  <c r="K21" i="8"/>
  <c r="L4" i="8"/>
  <c r="K13" i="8"/>
  <c r="S1186" i="1"/>
  <c r="Z1188" i="1" s="1"/>
  <c r="K1186" i="1"/>
  <c r="AU1186" i="1"/>
  <c r="G1184" i="1"/>
  <c r="H1184" i="1" s="1"/>
  <c r="AC1185" i="1"/>
  <c r="AA1186" i="1"/>
  <c r="C1186" i="1"/>
  <c r="B1187" i="1"/>
  <c r="A1186" i="1"/>
  <c r="AK1185" i="1"/>
  <c r="AW1185" i="1"/>
  <c r="AI1185" i="1" s="1"/>
  <c r="AJ1185" i="1" s="1"/>
  <c r="M1184" i="1"/>
  <c r="E1185" i="1"/>
  <c r="F1185" i="1" s="1"/>
  <c r="D1185" i="1"/>
  <c r="BC1185" i="1" l="1"/>
  <c r="BD1185" i="1" s="1"/>
  <c r="AE1185" i="1" s="1"/>
  <c r="AX611" i="1"/>
  <c r="U611" i="1" s="1"/>
  <c r="AL611" i="1" s="1"/>
  <c r="AN611" i="1" s="1"/>
  <c r="AO611" i="1" s="1"/>
  <c r="AP611" i="1" s="1"/>
  <c r="BF1187" i="1"/>
  <c r="BB1186" i="1"/>
  <c r="AF611" i="1"/>
  <c r="V612" i="1"/>
  <c r="Y612" i="1"/>
  <c r="X612" i="1" s="1"/>
  <c r="AF612" i="1" s="1"/>
  <c r="I612" i="1"/>
  <c r="Q612" i="1" s="1"/>
  <c r="AT612" i="1"/>
  <c r="AS612" i="1" s="1"/>
  <c r="AQ612" i="1" s="1"/>
  <c r="AM612" i="1"/>
  <c r="N612" i="1"/>
  <c r="AY612" i="1"/>
  <c r="J1186" i="1"/>
  <c r="L1187" i="1"/>
  <c r="S1187" i="1"/>
  <c r="Z1189" i="1" s="1"/>
  <c r="K1187" i="1"/>
  <c r="AU1187" i="1"/>
  <c r="M1185" i="1"/>
  <c r="D1186" i="1"/>
  <c r="E1186" i="1"/>
  <c r="F1186" i="1" s="1"/>
  <c r="AC1186" i="1"/>
  <c r="AW1186" i="1"/>
  <c r="AI1186" i="1" s="1"/>
  <c r="AJ1186" i="1" s="1"/>
  <c r="A1187" i="1"/>
  <c r="AK1186" i="1"/>
  <c r="G1185" i="1"/>
  <c r="H1185" i="1" s="1"/>
  <c r="B1188" i="1"/>
  <c r="C1187" i="1"/>
  <c r="AA1187" i="1"/>
  <c r="BC1186" i="1" l="1"/>
  <c r="BD1186" i="1" s="1"/>
  <c r="AE1186" i="1" s="1"/>
  <c r="BF1188" i="1"/>
  <c r="AG611" i="1"/>
  <c r="BA611" i="1" s="1"/>
  <c r="BB1187" i="1"/>
  <c r="AH611" i="1"/>
  <c r="O612" i="1"/>
  <c r="P613" i="1" s="1"/>
  <c r="BE613" i="1" s="1"/>
  <c r="AG612" i="1"/>
  <c r="BA612" i="1" s="1"/>
  <c r="J1187" i="1"/>
  <c r="L1188" i="1"/>
  <c r="S1188" i="1"/>
  <c r="Z1190" i="1" s="1"/>
  <c r="K1188" i="1"/>
  <c r="AU1188" i="1"/>
  <c r="AC1187" i="1"/>
  <c r="M1186" i="1"/>
  <c r="AW1187" i="1"/>
  <c r="AI1187" i="1" s="1"/>
  <c r="AJ1187" i="1" s="1"/>
  <c r="AK1187" i="1"/>
  <c r="A1188" i="1"/>
  <c r="E1187" i="1"/>
  <c r="F1187" i="1" s="1"/>
  <c r="D1187" i="1"/>
  <c r="C1188" i="1"/>
  <c r="B1189" i="1"/>
  <c r="AA1188" i="1"/>
  <c r="G1186" i="1"/>
  <c r="H1186" i="1" s="1"/>
  <c r="BC1187" i="1" l="1"/>
  <c r="BD1187" i="1" s="1"/>
  <c r="AE1187" i="1" s="1"/>
  <c r="BF1189" i="1"/>
  <c r="AX612" i="1"/>
  <c r="U612" i="1" s="1"/>
  <c r="AL612" i="1" s="1"/>
  <c r="AN612" i="1" s="1"/>
  <c r="AO612" i="1" s="1"/>
  <c r="AC1188" i="1"/>
  <c r="BB1188" i="1"/>
  <c r="V613" i="1"/>
  <c r="Y613" i="1"/>
  <c r="X613" i="1" s="1"/>
  <c r="AF613" i="1" s="1"/>
  <c r="I613" i="1"/>
  <c r="Q613" i="1" s="1"/>
  <c r="N613" i="1"/>
  <c r="AM613" i="1"/>
  <c r="AY613" i="1"/>
  <c r="AH612" i="1"/>
  <c r="AT613" i="1"/>
  <c r="AS613" i="1" s="1"/>
  <c r="AQ613" i="1" s="1"/>
  <c r="J1188" i="1"/>
  <c r="L1189" i="1"/>
  <c r="S1189" i="1"/>
  <c r="Z1191" i="1" s="1"/>
  <c r="K1189" i="1"/>
  <c r="AU1189" i="1"/>
  <c r="G1187" i="1"/>
  <c r="H1187" i="1" s="1"/>
  <c r="A1189" i="1"/>
  <c r="AP1188" i="1"/>
  <c r="AK1188" i="1"/>
  <c r="AW1188" i="1"/>
  <c r="AI1188" i="1" s="1"/>
  <c r="AJ1188" i="1" s="1"/>
  <c r="B1190" i="1"/>
  <c r="C1189" i="1"/>
  <c r="AA1189" i="1"/>
  <c r="M1187" i="1"/>
  <c r="D1188" i="1"/>
  <c r="E1188" i="1"/>
  <c r="F1188" i="1" s="1"/>
  <c r="BC1188" i="1" l="1"/>
  <c r="BD1188" i="1" s="1"/>
  <c r="AE1188" i="1" s="1"/>
  <c r="BF1190" i="1"/>
  <c r="AX613" i="1"/>
  <c r="U613" i="1" s="1"/>
  <c r="AL613" i="1" s="1"/>
  <c r="AN613" i="1" s="1"/>
  <c r="AO613" i="1" s="1"/>
  <c r="AP613" i="1" s="1"/>
  <c r="BB1189" i="1"/>
  <c r="O613" i="1"/>
  <c r="AM614" i="1" s="1"/>
  <c r="J1189" i="1"/>
  <c r="L1190" i="1"/>
  <c r="AG613" i="1"/>
  <c r="BA613" i="1" s="1"/>
  <c r="S1190" i="1"/>
  <c r="Z1192" i="1" s="1"/>
  <c r="K1190" i="1"/>
  <c r="AU1190" i="1"/>
  <c r="M1188" i="1"/>
  <c r="D1189" i="1"/>
  <c r="E1189" i="1"/>
  <c r="F1189" i="1" s="1"/>
  <c r="G1188" i="1"/>
  <c r="H1188" i="1" s="1"/>
  <c r="AW1189" i="1"/>
  <c r="AI1189" i="1" s="1"/>
  <c r="AJ1189" i="1" s="1"/>
  <c r="A1190" i="1"/>
  <c r="AK1189" i="1"/>
  <c r="AC1189" i="1"/>
  <c r="B1191" i="1"/>
  <c r="AA1190" i="1"/>
  <c r="C1190" i="1"/>
  <c r="BC1189" i="1" l="1"/>
  <c r="BD1189" i="1" s="1"/>
  <c r="AE1189" i="1" s="1"/>
  <c r="BF1191" i="1"/>
  <c r="BB1190" i="1"/>
  <c r="AH613" i="1"/>
  <c r="AT614" i="1"/>
  <c r="AS614" i="1" s="1"/>
  <c r="I614" i="1"/>
  <c r="Q614" i="1" s="1"/>
  <c r="P614" i="1"/>
  <c r="BE614" i="1" s="1"/>
  <c r="N614" i="1"/>
  <c r="J1190" i="1"/>
  <c r="L1191" i="1"/>
  <c r="S1191" i="1"/>
  <c r="Z1193" i="1" s="1"/>
  <c r="K1191" i="1"/>
  <c r="AU1191" i="1"/>
  <c r="AK1190" i="1"/>
  <c r="AW1190" i="1"/>
  <c r="AI1190" i="1" s="1"/>
  <c r="AJ1190" i="1" s="1"/>
  <c r="A1191" i="1"/>
  <c r="AC1190" i="1"/>
  <c r="C1191" i="1"/>
  <c r="B1192" i="1"/>
  <c r="AA1191" i="1"/>
  <c r="G1189" i="1"/>
  <c r="H1189" i="1" s="1"/>
  <c r="E1190" i="1"/>
  <c r="F1190" i="1" s="1"/>
  <c r="D1190" i="1"/>
  <c r="M1189" i="1"/>
  <c r="BC1190" i="1" l="1"/>
  <c r="BD1190" i="1" s="1"/>
  <c r="AE1190" i="1" s="1"/>
  <c r="BF1192" i="1"/>
  <c r="BB1191" i="1"/>
  <c r="V614" i="1"/>
  <c r="Y614" i="1"/>
  <c r="X614" i="1" s="1"/>
  <c r="O614" i="1"/>
  <c r="P615" i="1" s="1"/>
  <c r="BE615" i="1" s="1"/>
  <c r="AY614" i="1"/>
  <c r="AQ614" i="1"/>
  <c r="J1191" i="1"/>
  <c r="L1192" i="1"/>
  <c r="S1192" i="1"/>
  <c r="Z1194" i="1" s="1"/>
  <c r="K1192" i="1"/>
  <c r="AU1192" i="1"/>
  <c r="AC1191" i="1"/>
  <c r="G1190" i="1"/>
  <c r="H1190" i="1" s="1"/>
  <c r="AA1192" i="1"/>
  <c r="C1192" i="1"/>
  <c r="B1193" i="1"/>
  <c r="D1191" i="1"/>
  <c r="E1191" i="1"/>
  <c r="F1191" i="1" s="1"/>
  <c r="AK1191" i="1"/>
  <c r="A1192" i="1"/>
  <c r="AW1191" i="1"/>
  <c r="AI1191" i="1" s="1"/>
  <c r="AJ1191" i="1" s="1"/>
  <c r="M1190" i="1"/>
  <c r="BC1191" i="1" l="1"/>
  <c r="BD1191" i="1" s="1"/>
  <c r="AE1191" i="1" s="1"/>
  <c r="BF1193" i="1"/>
  <c r="AX614" i="1"/>
  <c r="U614" i="1" s="1"/>
  <c r="AL614" i="1" s="1"/>
  <c r="AN614" i="1" s="1"/>
  <c r="AO614" i="1" s="1"/>
  <c r="AP614" i="1" s="1"/>
  <c r="Y615" i="1"/>
  <c r="X615" i="1" s="1"/>
  <c r="AF615" i="1" s="1"/>
  <c r="BB1192" i="1"/>
  <c r="AF614" i="1"/>
  <c r="AG614" i="1" s="1"/>
  <c r="BA614" i="1" s="1"/>
  <c r="V615" i="1"/>
  <c r="N615" i="1"/>
  <c r="AM615" i="1"/>
  <c r="I615" i="1"/>
  <c r="Q615" i="1" s="1"/>
  <c r="AT615" i="1"/>
  <c r="AS615" i="1" s="1"/>
  <c r="AQ615" i="1" s="1"/>
  <c r="AY615" i="1"/>
  <c r="J1192" i="1"/>
  <c r="L1193" i="1"/>
  <c r="S1193" i="1"/>
  <c r="Z1195" i="1" s="1"/>
  <c r="K1193" i="1"/>
  <c r="AU1193" i="1"/>
  <c r="G1191" i="1"/>
  <c r="H1191" i="1" s="1"/>
  <c r="M1191" i="1"/>
  <c r="AC1192" i="1"/>
  <c r="B1194" i="1"/>
  <c r="C1193" i="1"/>
  <c r="AA1193" i="1"/>
  <c r="E1192" i="1"/>
  <c r="F1192" i="1" s="1"/>
  <c r="D1192" i="1"/>
  <c r="AW1192" i="1"/>
  <c r="AI1192" i="1" s="1"/>
  <c r="AJ1192" i="1" s="1"/>
  <c r="A1193" i="1"/>
  <c r="AK1192" i="1"/>
  <c r="BC1192" i="1" l="1"/>
  <c r="BD1192" i="1" s="1"/>
  <c r="AE1192" i="1" s="1"/>
  <c r="BF1194" i="1"/>
  <c r="AH614" i="1"/>
  <c r="BB1193" i="1"/>
  <c r="AC1193" i="1"/>
  <c r="AG615" i="1"/>
  <c r="BA615" i="1" s="1"/>
  <c r="O615" i="1"/>
  <c r="P616" i="1" s="1"/>
  <c r="BE616" i="1" s="1"/>
  <c r="J1193" i="1"/>
  <c r="L1194" i="1"/>
  <c r="S1194" i="1"/>
  <c r="Z1196" i="1" s="1"/>
  <c r="K1194" i="1"/>
  <c r="AU1194" i="1"/>
  <c r="AA1194" i="1"/>
  <c r="C1194" i="1"/>
  <c r="B1195" i="1"/>
  <c r="AK1193" i="1"/>
  <c r="A1194" i="1"/>
  <c r="AW1193" i="1"/>
  <c r="AI1193" i="1" s="1"/>
  <c r="AJ1193" i="1" s="1"/>
  <c r="M1192" i="1"/>
  <c r="G1192" i="1"/>
  <c r="H1192" i="1" s="1"/>
  <c r="D1193" i="1"/>
  <c r="E1193" i="1"/>
  <c r="F1193" i="1" s="1"/>
  <c r="BC1193" i="1" l="1"/>
  <c r="BD1193" i="1" s="1"/>
  <c r="AE1193" i="1" s="1"/>
  <c r="BF1195" i="1"/>
  <c r="AX615" i="1"/>
  <c r="U615" i="1" s="1"/>
  <c r="AL615" i="1" s="1"/>
  <c r="AN615" i="1" s="1"/>
  <c r="AO615" i="1" s="1"/>
  <c r="AP615" i="1" s="1"/>
  <c r="BB1194" i="1"/>
  <c r="V616" i="1"/>
  <c r="Y616" i="1"/>
  <c r="X616" i="1" s="1"/>
  <c r="AF616" i="1" s="1"/>
  <c r="N616" i="1"/>
  <c r="AH615" i="1"/>
  <c r="AY616" i="1"/>
  <c r="I616" i="1"/>
  <c r="Q616" i="1" s="1"/>
  <c r="AT616" i="1"/>
  <c r="AS616" i="1" s="1"/>
  <c r="AQ616" i="1" s="1"/>
  <c r="AM616" i="1"/>
  <c r="J1194" i="1"/>
  <c r="L1195" i="1"/>
  <c r="S1195" i="1"/>
  <c r="Z1197" i="1" s="1"/>
  <c r="K1195" i="1"/>
  <c r="AU1195" i="1"/>
  <c r="G1193" i="1"/>
  <c r="H1193" i="1" s="1"/>
  <c r="AA1195" i="1"/>
  <c r="B1196" i="1"/>
  <c r="C1195" i="1"/>
  <c r="AC1194" i="1"/>
  <c r="AK1194" i="1"/>
  <c r="AW1194" i="1"/>
  <c r="AI1194" i="1" s="1"/>
  <c r="AJ1194" i="1" s="1"/>
  <c r="A1195" i="1"/>
  <c r="M1193" i="1"/>
  <c r="E1194" i="1"/>
  <c r="F1194" i="1" s="1"/>
  <c r="D1194" i="1"/>
  <c r="BC1194" i="1" l="1"/>
  <c r="BD1194" i="1" s="1"/>
  <c r="AE1194" i="1" s="1"/>
  <c r="AX616" i="1"/>
  <c r="U616" i="1" s="1"/>
  <c r="AL616" i="1" s="1"/>
  <c r="AN616" i="1" s="1"/>
  <c r="AO616" i="1" s="1"/>
  <c r="AP616" i="1" s="1"/>
  <c r="BF1196" i="1"/>
  <c r="BB1195" i="1"/>
  <c r="AG616" i="1"/>
  <c r="BA616" i="1" s="1"/>
  <c r="O616" i="1"/>
  <c r="AT617" i="1" s="1"/>
  <c r="AS617" i="1" s="1"/>
  <c r="J1195" i="1"/>
  <c r="L1196" i="1"/>
  <c r="S1196" i="1"/>
  <c r="Z1198" i="1" s="1"/>
  <c r="K1196" i="1"/>
  <c r="AU1196" i="1"/>
  <c r="C1196" i="1"/>
  <c r="AA1196" i="1"/>
  <c r="B1197" i="1"/>
  <c r="M1194" i="1"/>
  <c r="D1195" i="1"/>
  <c r="E1195" i="1"/>
  <c r="F1195" i="1" s="1"/>
  <c r="G1194" i="1"/>
  <c r="H1194" i="1" s="1"/>
  <c r="AW1195" i="1"/>
  <c r="AI1195" i="1" s="1"/>
  <c r="AJ1195" i="1" s="1"/>
  <c r="AK1195" i="1"/>
  <c r="A1196" i="1"/>
  <c r="AC1195" i="1"/>
  <c r="BC1195" i="1" l="1"/>
  <c r="BD1195" i="1" s="1"/>
  <c r="AE1195" i="1" s="1"/>
  <c r="BF1197" i="1"/>
  <c r="BB1196" i="1"/>
  <c r="AM617" i="1"/>
  <c r="N617" i="1"/>
  <c r="AH616" i="1"/>
  <c r="I617" i="1"/>
  <c r="Q617" i="1" s="1"/>
  <c r="P617" i="1"/>
  <c r="BE617" i="1" s="1"/>
  <c r="J1196" i="1"/>
  <c r="L1197" i="1"/>
  <c r="S1197" i="1"/>
  <c r="Z1199" i="1" s="1"/>
  <c r="K1197" i="1"/>
  <c r="AU1197" i="1"/>
  <c r="AK1196" i="1"/>
  <c r="A1197" i="1"/>
  <c r="AW1196" i="1"/>
  <c r="AI1196" i="1" s="1"/>
  <c r="AJ1196" i="1" s="1"/>
  <c r="AC1196" i="1"/>
  <c r="G1195" i="1"/>
  <c r="H1195" i="1" s="1"/>
  <c r="C1197" i="1"/>
  <c r="B1198" i="1"/>
  <c r="AA1197" i="1"/>
  <c r="E1196" i="1"/>
  <c r="F1196" i="1" s="1"/>
  <c r="D1196" i="1"/>
  <c r="M1195" i="1"/>
  <c r="BC1196" i="1" l="1"/>
  <c r="BD1196" i="1" s="1"/>
  <c r="AE1196" i="1" s="1"/>
  <c r="BF1198" i="1"/>
  <c r="BB1197" i="1"/>
  <c r="V617" i="1"/>
  <c r="Y617" i="1"/>
  <c r="X617" i="1" s="1"/>
  <c r="AQ617" i="1"/>
  <c r="AY617" i="1"/>
  <c r="O617" i="1"/>
  <c r="AM618" i="1" s="1"/>
  <c r="J1197" i="1"/>
  <c r="L1198" i="1"/>
  <c r="S1198" i="1"/>
  <c r="Z1200" i="1" s="1"/>
  <c r="K1198" i="1"/>
  <c r="AU1198" i="1"/>
  <c r="E1197" i="1"/>
  <c r="F1197" i="1" s="1"/>
  <c r="D1197" i="1"/>
  <c r="M1196" i="1"/>
  <c r="A1198" i="1"/>
  <c r="AW1197" i="1"/>
  <c r="AI1197" i="1" s="1"/>
  <c r="AJ1197" i="1" s="1"/>
  <c r="AK1197" i="1"/>
  <c r="G1196" i="1"/>
  <c r="H1196" i="1" s="1"/>
  <c r="AC1197" i="1"/>
  <c r="C1198" i="1"/>
  <c r="B1199" i="1"/>
  <c r="AA1198" i="1"/>
  <c r="BC1197" i="1" l="1"/>
  <c r="BD1197" i="1" s="1"/>
  <c r="AE1197" i="1" s="1"/>
  <c r="BF1199" i="1"/>
  <c r="AX617" i="1"/>
  <c r="U617" i="1" s="1"/>
  <c r="AL617" i="1" s="1"/>
  <c r="AN617" i="1" s="1"/>
  <c r="AO617" i="1" s="1"/>
  <c r="AP617" i="1" s="1"/>
  <c r="BB1198" i="1"/>
  <c r="AF617" i="1"/>
  <c r="AG617" i="1" s="1"/>
  <c r="BA617" i="1" s="1"/>
  <c r="I618" i="1"/>
  <c r="Q618" i="1" s="1"/>
  <c r="P618" i="1"/>
  <c r="BE618" i="1" s="1"/>
  <c r="N618" i="1"/>
  <c r="AT618" i="1"/>
  <c r="AS618" i="1" s="1"/>
  <c r="J1198" i="1"/>
  <c r="L1199" i="1"/>
  <c r="S1199" i="1"/>
  <c r="Z1201" i="1" s="1"/>
  <c r="K1199" i="1"/>
  <c r="AU1199" i="1"/>
  <c r="B1200" i="1"/>
  <c r="C1199" i="1"/>
  <c r="AA1199" i="1"/>
  <c r="AC1198" i="1"/>
  <c r="E1198" i="1"/>
  <c r="F1198" i="1" s="1"/>
  <c r="D1198" i="1"/>
  <c r="M1197" i="1"/>
  <c r="AK1198" i="1"/>
  <c r="AW1198" i="1"/>
  <c r="AI1198" i="1" s="1"/>
  <c r="AJ1198" i="1" s="1"/>
  <c r="A1199" i="1"/>
  <c r="G1197" i="1"/>
  <c r="H1197" i="1" s="1"/>
  <c r="BC1198" i="1" l="1"/>
  <c r="BD1198" i="1" s="1"/>
  <c r="AE1198" i="1" s="1"/>
  <c r="BF1200" i="1"/>
  <c r="Y618" i="1"/>
  <c r="X618" i="1" s="1"/>
  <c r="AF618" i="1" s="1"/>
  <c r="BB1199" i="1"/>
  <c r="AC1199" i="1"/>
  <c r="AH617" i="1"/>
  <c r="AQ618" i="1"/>
  <c r="V618" i="1"/>
  <c r="AY618" i="1"/>
  <c r="O618" i="1"/>
  <c r="G1198" i="1"/>
  <c r="H1198" i="1" s="1"/>
  <c r="J1199" i="1"/>
  <c r="L1200" i="1"/>
  <c r="S1200" i="1"/>
  <c r="Z1202" i="1" s="1"/>
  <c r="K1200" i="1"/>
  <c r="AU1200" i="1"/>
  <c r="AW1199" i="1"/>
  <c r="AI1199" i="1" s="1"/>
  <c r="AJ1199" i="1" s="1"/>
  <c r="AK1199" i="1"/>
  <c r="A1200" i="1"/>
  <c r="E1199" i="1"/>
  <c r="F1199" i="1" s="1"/>
  <c r="D1199" i="1"/>
  <c r="M1198" i="1"/>
  <c r="AA1200" i="1"/>
  <c r="B1201" i="1"/>
  <c r="C1200" i="1"/>
  <c r="BC1199" i="1" l="1"/>
  <c r="BD1199" i="1" s="1"/>
  <c r="AE1199" i="1" s="1"/>
  <c r="BF1201" i="1"/>
  <c r="AX618" i="1"/>
  <c r="U618" i="1" s="1"/>
  <c r="AL618" i="1" s="1"/>
  <c r="AN618" i="1" s="1"/>
  <c r="AO618" i="1" s="1"/>
  <c r="AP618" i="1" s="1"/>
  <c r="BB1200" i="1"/>
  <c r="AG618" i="1"/>
  <c r="BA618" i="1" s="1"/>
  <c r="AH618" i="1"/>
  <c r="P619" i="1"/>
  <c r="BE619" i="1" s="1"/>
  <c r="N619" i="1"/>
  <c r="AM619" i="1"/>
  <c r="I619" i="1"/>
  <c r="Q619" i="1" s="1"/>
  <c r="AT619" i="1"/>
  <c r="AS619" i="1" s="1"/>
  <c r="J1200" i="1"/>
  <c r="F1200" i="1"/>
  <c r="G1200" i="1" s="1"/>
  <c r="H1200" i="1" s="1"/>
  <c r="L1201" i="1"/>
  <c r="S1201" i="1"/>
  <c r="Z1203" i="1" s="1"/>
  <c r="K1201" i="1"/>
  <c r="AU1201" i="1"/>
  <c r="G1199" i="1"/>
  <c r="H1199" i="1" s="1"/>
  <c r="C1201" i="1"/>
  <c r="B1202" i="1"/>
  <c r="AA1201" i="1"/>
  <c r="AW1200" i="1"/>
  <c r="AI1200" i="1" s="1"/>
  <c r="AJ1200" i="1" s="1"/>
  <c r="AK1200" i="1"/>
  <c r="A1201" i="1"/>
  <c r="AP1200" i="1"/>
  <c r="M1199" i="1"/>
  <c r="D1200" i="1"/>
  <c r="E1200" i="1"/>
  <c r="AC1200" i="1"/>
  <c r="BC1200" i="1" l="1"/>
  <c r="BD1200" i="1" s="1"/>
  <c r="AE1200" i="1" s="1"/>
  <c r="BF1202" i="1"/>
  <c r="Y619" i="1"/>
  <c r="X619" i="1" s="1"/>
  <c r="BB1201" i="1"/>
  <c r="V619" i="1"/>
  <c r="AQ619" i="1"/>
  <c r="AY619" i="1"/>
  <c r="O619" i="1"/>
  <c r="J1201" i="1"/>
  <c r="F1201" i="1"/>
  <c r="L1202" i="1"/>
  <c r="S1202" i="1"/>
  <c r="Z1204" i="1" s="1"/>
  <c r="K1202" i="1"/>
  <c r="AU1202" i="1"/>
  <c r="M1200" i="1"/>
  <c r="AK1201" i="1"/>
  <c r="AW1201" i="1"/>
  <c r="AI1201" i="1" s="1"/>
  <c r="AJ1201" i="1" s="1"/>
  <c r="A1202" i="1"/>
  <c r="AC1201" i="1"/>
  <c r="AA1202" i="1"/>
  <c r="C1202" i="1"/>
  <c r="B1203" i="1"/>
  <c r="E1201" i="1"/>
  <c r="D1201" i="1"/>
  <c r="BC1201" i="1" l="1"/>
  <c r="BD1201" i="1" s="1"/>
  <c r="AE1201" i="1" s="1"/>
  <c r="AX619" i="1"/>
  <c r="U619" i="1" s="1"/>
  <c r="AL619" i="1" s="1"/>
  <c r="AN619" i="1" s="1"/>
  <c r="AO619" i="1" s="1"/>
  <c r="AP619" i="1" s="1"/>
  <c r="BF1203" i="1"/>
  <c r="BB1202" i="1"/>
  <c r="AF619" i="1"/>
  <c r="P620" i="1"/>
  <c r="BE620" i="1" s="1"/>
  <c r="I620" i="1"/>
  <c r="Q620" i="1" s="1"/>
  <c r="AM620" i="1"/>
  <c r="AT620" i="1"/>
  <c r="AS620" i="1" s="1"/>
  <c r="N620" i="1"/>
  <c r="G1201" i="1"/>
  <c r="H1201" i="1" s="1"/>
  <c r="J1202" i="1"/>
  <c r="F1202" i="1"/>
  <c r="L1203" i="1"/>
  <c r="S1203" i="1"/>
  <c r="Z1205" i="1" s="1"/>
  <c r="K1203" i="1"/>
  <c r="AU1203" i="1"/>
  <c r="E1202" i="1"/>
  <c r="D1202" i="1"/>
  <c r="AC1202" i="1"/>
  <c r="B1204" i="1"/>
  <c r="C1203" i="1"/>
  <c r="AA1203" i="1"/>
  <c r="M1201" i="1"/>
  <c r="AW1202" i="1"/>
  <c r="AI1202" i="1" s="1"/>
  <c r="AJ1202" i="1" s="1"/>
  <c r="AK1202" i="1"/>
  <c r="A1203" i="1"/>
  <c r="BC1202" i="1" l="1"/>
  <c r="BD1202" i="1" s="1"/>
  <c r="AE1202" i="1" s="1"/>
  <c r="BF1204" i="1"/>
  <c r="Y620" i="1"/>
  <c r="X620" i="1" s="1"/>
  <c r="BB1203" i="1"/>
  <c r="AH619" i="1"/>
  <c r="AG619" i="1"/>
  <c r="BA619" i="1" s="1"/>
  <c r="O620" i="1"/>
  <c r="V620" i="1"/>
  <c r="AY620" i="1"/>
  <c r="AQ620" i="1"/>
  <c r="J1203" i="1"/>
  <c r="F1203" i="1"/>
  <c r="L1204" i="1"/>
  <c r="S1204" i="1"/>
  <c r="Z1206" i="1" s="1"/>
  <c r="K1204" i="1"/>
  <c r="AU1204" i="1"/>
  <c r="G1202" i="1"/>
  <c r="H1202" i="1" s="1"/>
  <c r="E1203" i="1"/>
  <c r="D1203" i="1"/>
  <c r="B1205" i="1"/>
  <c r="AA1204" i="1"/>
  <c r="C1204" i="1"/>
  <c r="AC1203" i="1"/>
  <c r="M1202" i="1"/>
  <c r="A1204" i="1"/>
  <c r="AK1203" i="1"/>
  <c r="AW1203" i="1"/>
  <c r="AI1203" i="1" s="1"/>
  <c r="AJ1203" i="1" s="1"/>
  <c r="BC1203" i="1" l="1"/>
  <c r="BD1203" i="1" s="1"/>
  <c r="AE1203" i="1" s="1"/>
  <c r="BF1205" i="1"/>
  <c r="AX620" i="1"/>
  <c r="U620" i="1" s="1"/>
  <c r="AL620" i="1" s="1"/>
  <c r="AN620" i="1" s="1"/>
  <c r="AO620" i="1" s="1"/>
  <c r="AP620" i="1" s="1"/>
  <c r="BB1204" i="1"/>
  <c r="AF620" i="1"/>
  <c r="AG620" i="1" s="1"/>
  <c r="BA620" i="1" s="1"/>
  <c r="AT621" i="1"/>
  <c r="AS621" i="1" s="1"/>
  <c r="N621" i="1"/>
  <c r="AM621" i="1"/>
  <c r="P621" i="1"/>
  <c r="BE621" i="1" s="1"/>
  <c r="I621" i="1"/>
  <c r="Q621" i="1" s="1"/>
  <c r="J1204" i="1"/>
  <c r="F1204" i="1"/>
  <c r="L1205" i="1"/>
  <c r="S1205" i="1"/>
  <c r="Z1207" i="1" s="1"/>
  <c r="K1205" i="1"/>
  <c r="AU1205" i="1"/>
  <c r="G1203" i="1"/>
  <c r="H1203" i="1" s="1"/>
  <c r="AK1204" i="1"/>
  <c r="A1205" i="1"/>
  <c r="AW1204" i="1"/>
  <c r="AI1204" i="1" s="1"/>
  <c r="AJ1204" i="1" s="1"/>
  <c r="D1204" i="1"/>
  <c r="E1204" i="1"/>
  <c r="AC1204" i="1"/>
  <c r="B1206" i="1"/>
  <c r="AA1205" i="1"/>
  <c r="C1205" i="1"/>
  <c r="M1203" i="1"/>
  <c r="BC1204" i="1" l="1"/>
  <c r="BD1204" i="1" s="1"/>
  <c r="AE1204" i="1" s="1"/>
  <c r="BF1206" i="1"/>
  <c r="Y621" i="1"/>
  <c r="X621" i="1" s="1"/>
  <c r="AH620" i="1"/>
  <c r="BB1205" i="1"/>
  <c r="V621" i="1"/>
  <c r="AQ621" i="1"/>
  <c r="AY621" i="1"/>
  <c r="O621" i="1"/>
  <c r="J1205" i="1"/>
  <c r="F1205" i="1"/>
  <c r="L1206" i="1"/>
  <c r="S1206" i="1"/>
  <c r="Z1208" i="1" s="1"/>
  <c r="K1206" i="1"/>
  <c r="AU1206" i="1"/>
  <c r="G1204" i="1"/>
  <c r="H1204" i="1" s="1"/>
  <c r="E1205" i="1"/>
  <c r="D1205" i="1"/>
  <c r="AK1205" i="1"/>
  <c r="AW1205" i="1"/>
  <c r="AI1205" i="1" s="1"/>
  <c r="AJ1205" i="1" s="1"/>
  <c r="A1206" i="1"/>
  <c r="C1206" i="1"/>
  <c r="AA1206" i="1"/>
  <c r="B1207" i="1"/>
  <c r="AC1205" i="1"/>
  <c r="M1204" i="1"/>
  <c r="BC1205" i="1" l="1"/>
  <c r="BD1205" i="1" s="1"/>
  <c r="AE1205" i="1" s="1"/>
  <c r="AX621" i="1"/>
  <c r="U621" i="1" s="1"/>
  <c r="AL621" i="1" s="1"/>
  <c r="AN621" i="1" s="1"/>
  <c r="AO621" i="1" s="1"/>
  <c r="AP621" i="1" s="1"/>
  <c r="BF1207" i="1"/>
  <c r="BB1206" i="1"/>
  <c r="AF621" i="1"/>
  <c r="P622" i="1"/>
  <c r="BE622" i="1" s="1"/>
  <c r="I622" i="1"/>
  <c r="Q622" i="1" s="1"/>
  <c r="N622" i="1"/>
  <c r="AT622" i="1"/>
  <c r="AS622" i="1" s="1"/>
  <c r="AM622" i="1"/>
  <c r="G1205" i="1"/>
  <c r="H1205" i="1" s="1"/>
  <c r="J1206" i="1"/>
  <c r="F1206" i="1"/>
  <c r="G1206" i="1" s="1"/>
  <c r="H1206" i="1" s="1"/>
  <c r="L1207" i="1"/>
  <c r="S1207" i="1"/>
  <c r="Z1209" i="1" s="1"/>
  <c r="K1207" i="1"/>
  <c r="AU1207" i="1"/>
  <c r="M1205" i="1"/>
  <c r="AC1206" i="1"/>
  <c r="AW1206" i="1"/>
  <c r="AI1206" i="1" s="1"/>
  <c r="AJ1206" i="1" s="1"/>
  <c r="AK1206" i="1"/>
  <c r="A1207" i="1"/>
  <c r="D1206" i="1"/>
  <c r="E1206" i="1"/>
  <c r="B1208" i="1"/>
  <c r="C1207" i="1"/>
  <c r="AA1207" i="1"/>
  <c r="BC1206" i="1" l="1"/>
  <c r="BD1206" i="1" s="1"/>
  <c r="AE1206" i="1" s="1"/>
  <c r="BF1208" i="1"/>
  <c r="Y622" i="1"/>
  <c r="X622" i="1" s="1"/>
  <c r="BB1207" i="1"/>
  <c r="AH621" i="1"/>
  <c r="AG621" i="1"/>
  <c r="BA621" i="1" s="1"/>
  <c r="O622" i="1"/>
  <c r="V622" i="1"/>
  <c r="AQ622" i="1"/>
  <c r="AY622" i="1"/>
  <c r="J1207" i="1"/>
  <c r="F1207" i="1"/>
  <c r="L1208" i="1"/>
  <c r="S1208" i="1"/>
  <c r="Z1210" i="1" s="1"/>
  <c r="K1208" i="1"/>
  <c r="AU1208" i="1"/>
  <c r="D1207" i="1"/>
  <c r="E1207" i="1"/>
  <c r="M1206" i="1"/>
  <c r="C1208" i="1"/>
  <c r="B1209" i="1"/>
  <c r="AA1208" i="1"/>
  <c r="AC1207" i="1"/>
  <c r="A1208" i="1"/>
  <c r="AW1207" i="1"/>
  <c r="AI1207" i="1" s="1"/>
  <c r="AJ1207" i="1" s="1"/>
  <c r="AK1207" i="1"/>
  <c r="BC1207" i="1" l="1"/>
  <c r="BD1207" i="1" s="1"/>
  <c r="AE1207" i="1" s="1"/>
  <c r="BF1209" i="1"/>
  <c r="AX622" i="1"/>
  <c r="U622" i="1" s="1"/>
  <c r="AL622" i="1" s="1"/>
  <c r="AN622" i="1" s="1"/>
  <c r="AO622" i="1" s="1"/>
  <c r="AP622" i="1" s="1"/>
  <c r="BB1208" i="1"/>
  <c r="AF622" i="1"/>
  <c r="AG622" i="1" s="1"/>
  <c r="BA622" i="1" s="1"/>
  <c r="I623" i="1"/>
  <c r="Q623" i="1" s="1"/>
  <c r="AT623" i="1"/>
  <c r="AS623" i="1" s="1"/>
  <c r="AM623" i="1"/>
  <c r="P623" i="1"/>
  <c r="BE623" i="1" s="1"/>
  <c r="N623" i="1"/>
  <c r="J1208" i="1"/>
  <c r="F1208" i="1"/>
  <c r="G1208" i="1" s="1"/>
  <c r="H1208" i="1" s="1"/>
  <c r="L1209" i="1"/>
  <c r="S1209" i="1"/>
  <c r="Z1211" i="1" s="1"/>
  <c r="K1209" i="1"/>
  <c r="AU1209" i="1"/>
  <c r="G1207" i="1"/>
  <c r="H1207" i="1" s="1"/>
  <c r="AC1208" i="1"/>
  <c r="M1207" i="1"/>
  <c r="AW1208" i="1"/>
  <c r="AI1208" i="1" s="1"/>
  <c r="AJ1208" i="1" s="1"/>
  <c r="AK1208" i="1"/>
  <c r="A1209" i="1"/>
  <c r="AA1209" i="1"/>
  <c r="C1209" i="1"/>
  <c r="B1210" i="1"/>
  <c r="E1208" i="1"/>
  <c r="D1208" i="1"/>
  <c r="BC1208" i="1" l="1"/>
  <c r="BD1208" i="1" s="1"/>
  <c r="AE1208" i="1" s="1"/>
  <c r="BF1210" i="1"/>
  <c r="Y623" i="1"/>
  <c r="X623" i="1" s="1"/>
  <c r="BB1209" i="1"/>
  <c r="AH622" i="1"/>
  <c r="V623" i="1"/>
  <c r="AY623" i="1"/>
  <c r="AQ623" i="1"/>
  <c r="O623" i="1"/>
  <c r="J1209" i="1"/>
  <c r="F1209" i="1"/>
  <c r="L1210" i="1"/>
  <c r="S1210" i="1"/>
  <c r="Z1212" i="1" s="1"/>
  <c r="K1210" i="1"/>
  <c r="AU1210" i="1"/>
  <c r="D1209" i="1"/>
  <c r="E1209" i="1"/>
  <c r="B1211" i="1"/>
  <c r="AA1210" i="1"/>
  <c r="C1210" i="1"/>
  <c r="AC1209" i="1"/>
  <c r="A1210" i="1"/>
  <c r="AW1209" i="1"/>
  <c r="AI1209" i="1" s="1"/>
  <c r="AJ1209" i="1" s="1"/>
  <c r="AK1209" i="1"/>
  <c r="M1208" i="1"/>
  <c r="BC1209" i="1" l="1"/>
  <c r="BD1209" i="1" s="1"/>
  <c r="AE1209" i="1" s="1"/>
  <c r="AX623" i="1"/>
  <c r="U623" i="1" s="1"/>
  <c r="AL623" i="1" s="1"/>
  <c r="AN623" i="1" s="1"/>
  <c r="AO623" i="1" s="1"/>
  <c r="AP623" i="1" s="1"/>
  <c r="BF1211" i="1"/>
  <c r="AC1210" i="1"/>
  <c r="BB1210" i="1"/>
  <c r="AF623" i="1"/>
  <c r="AG623" i="1" s="1"/>
  <c r="BA623" i="1" s="1"/>
  <c r="P624" i="1"/>
  <c r="BE624" i="1" s="1"/>
  <c r="AM624" i="1"/>
  <c r="N624" i="1"/>
  <c r="AT624" i="1"/>
  <c r="AS624" i="1" s="1"/>
  <c r="I624" i="1"/>
  <c r="Q624" i="1" s="1"/>
  <c r="J1210" i="1"/>
  <c r="F1210" i="1"/>
  <c r="L1211" i="1"/>
  <c r="S1211" i="1"/>
  <c r="BB1211" i="1" s="1"/>
  <c r="K1211" i="1"/>
  <c r="AU1211" i="1"/>
  <c r="G1209" i="1"/>
  <c r="H1209" i="1" s="1"/>
  <c r="D1210" i="1"/>
  <c r="E1210" i="1"/>
  <c r="M1209" i="1"/>
  <c r="AW1210" i="1"/>
  <c r="AI1210" i="1" s="1"/>
  <c r="AJ1210" i="1" s="1"/>
  <c r="AK1210" i="1"/>
  <c r="A1211" i="1"/>
  <c r="B1212" i="1"/>
  <c r="AA1211" i="1"/>
  <c r="C1211" i="1"/>
  <c r="BC1211" i="1" l="1"/>
  <c r="BD1211" i="1" s="1"/>
  <c r="BC1210" i="1"/>
  <c r="BD1210" i="1" s="1"/>
  <c r="AE1210" i="1" s="1"/>
  <c r="BF1212" i="1"/>
  <c r="Y624" i="1"/>
  <c r="X624" i="1" s="1"/>
  <c r="AH623" i="1"/>
  <c r="V624" i="1"/>
  <c r="AQ624" i="1"/>
  <c r="AY624" i="1"/>
  <c r="O624" i="1"/>
  <c r="J1211" i="1"/>
  <c r="F1211" i="1"/>
  <c r="L1212" i="1"/>
  <c r="S1212" i="1"/>
  <c r="BB1212" i="1" s="1"/>
  <c r="K1212" i="1"/>
  <c r="AU1212" i="1"/>
  <c r="G1210" i="1"/>
  <c r="H1210" i="1" s="1"/>
  <c r="D1211" i="1"/>
  <c r="E1211" i="1"/>
  <c r="A1212" i="1"/>
  <c r="AK1211" i="1"/>
  <c r="AW1211" i="1"/>
  <c r="AI1211" i="1" s="1"/>
  <c r="AJ1211" i="1" s="1"/>
  <c r="AC1211" i="1"/>
  <c r="AA1212" i="1"/>
  <c r="C1212" i="1"/>
  <c r="M1210" i="1"/>
  <c r="BC1212" i="1" l="1"/>
  <c r="BD1212" i="1" s="1"/>
  <c r="AX624" i="1"/>
  <c r="U624" i="1" s="1"/>
  <c r="AL624" i="1" s="1"/>
  <c r="AN624" i="1" s="1"/>
  <c r="AO624" i="1" s="1"/>
  <c r="AE1211" i="1"/>
  <c r="AF624" i="1"/>
  <c r="AG624" i="1" s="1"/>
  <c r="BA624" i="1" s="1"/>
  <c r="AM625" i="1"/>
  <c r="I625" i="1"/>
  <c r="Q625" i="1" s="1"/>
  <c r="P625" i="1"/>
  <c r="BE625" i="1" s="1"/>
  <c r="AT625" i="1"/>
  <c r="AS625" i="1" s="1"/>
  <c r="N625" i="1"/>
  <c r="G1211" i="1"/>
  <c r="H1211" i="1" s="1"/>
  <c r="J1212" i="1"/>
  <c r="M1212" i="1" s="1"/>
  <c r="F1212" i="1"/>
  <c r="G1212" i="1" s="1"/>
  <c r="H1212" i="1" s="1"/>
  <c r="M1211" i="1"/>
  <c r="AC1212" i="1"/>
  <c r="E1212" i="1"/>
  <c r="D1212" i="1"/>
  <c r="AK1212" i="1"/>
  <c r="AP1212" i="1"/>
  <c r="AW1212" i="1"/>
  <c r="AI1212" i="1" s="1"/>
  <c r="AJ1212" i="1" s="1"/>
  <c r="Y625" i="1" l="1"/>
  <c r="X625" i="1" s="1"/>
  <c r="AE1212" i="1"/>
  <c r="AH624" i="1"/>
  <c r="V625" i="1"/>
  <c r="AQ625" i="1"/>
  <c r="AY625" i="1"/>
  <c r="O625" i="1"/>
  <c r="AX625" i="1" l="1"/>
  <c r="U625" i="1" s="1"/>
  <c r="AL625" i="1" s="1"/>
  <c r="AN625" i="1" s="1"/>
  <c r="AO625" i="1" s="1"/>
  <c r="AP625" i="1" s="1"/>
  <c r="AF625" i="1"/>
  <c r="P626" i="1"/>
  <c r="BE626" i="1" s="1"/>
  <c r="AT626" i="1"/>
  <c r="AS626" i="1" s="1"/>
  <c r="N626" i="1"/>
  <c r="AM626" i="1"/>
  <c r="I626" i="1"/>
  <c r="Q626" i="1" s="1"/>
  <c r="Y626" i="1" l="1"/>
  <c r="X626" i="1" s="1"/>
  <c r="AH625" i="1"/>
  <c r="AG625" i="1"/>
  <c r="BA625" i="1" s="1"/>
  <c r="O626" i="1"/>
  <c r="V626" i="1"/>
  <c r="AY626" i="1"/>
  <c r="AQ626" i="1"/>
  <c r="AX626" i="1" l="1"/>
  <c r="U626" i="1" s="1"/>
  <c r="AL626" i="1" s="1"/>
  <c r="AN626" i="1" s="1"/>
  <c r="AO626" i="1" s="1"/>
  <c r="AP626" i="1" s="1"/>
  <c r="AF626" i="1"/>
  <c r="AG626" i="1" s="1"/>
  <c r="BA626" i="1" s="1"/>
  <c r="P627" i="1"/>
  <c r="BE627" i="1" s="1"/>
  <c r="N627" i="1"/>
  <c r="I627" i="1"/>
  <c r="Q627" i="1" s="1"/>
  <c r="AM627" i="1"/>
  <c r="AT627" i="1"/>
  <c r="AS627" i="1" s="1"/>
  <c r="Y627" i="1" l="1"/>
  <c r="X627" i="1" s="1"/>
  <c r="AH626" i="1"/>
  <c r="O627" i="1"/>
  <c r="V627" i="1"/>
  <c r="AY627" i="1"/>
  <c r="AQ627" i="1"/>
  <c r="AX627" i="1" l="1"/>
  <c r="U627" i="1" s="1"/>
  <c r="AL627" i="1" s="1"/>
  <c r="AN627" i="1" s="1"/>
  <c r="AO627" i="1" s="1"/>
  <c r="AP627" i="1" s="1"/>
  <c r="AF627" i="1"/>
  <c r="AG627" i="1" s="1"/>
  <c r="BA627" i="1" s="1"/>
  <c r="P628" i="1"/>
  <c r="BE628" i="1" s="1"/>
  <c r="N628" i="1"/>
  <c r="I628" i="1"/>
  <c r="Q628" i="1" s="1"/>
  <c r="AM628" i="1"/>
  <c r="AT628" i="1"/>
  <c r="AS628" i="1" s="1"/>
  <c r="Y628" i="1" l="1"/>
  <c r="X628" i="1" s="1"/>
  <c r="AH627" i="1"/>
  <c r="V628" i="1"/>
  <c r="AY628" i="1"/>
  <c r="AQ628" i="1"/>
  <c r="O628" i="1"/>
  <c r="AX628" i="1" l="1"/>
  <c r="U628" i="1" s="1"/>
  <c r="AL628" i="1" s="1"/>
  <c r="AN628" i="1" s="1"/>
  <c r="AO628" i="1" s="1"/>
  <c r="AP628" i="1" s="1"/>
  <c r="AF628" i="1"/>
  <c r="P629" i="1"/>
  <c r="BE629" i="1" s="1"/>
  <c r="I629" i="1"/>
  <c r="Q629" i="1" s="1"/>
  <c r="AM629" i="1"/>
  <c r="AT629" i="1"/>
  <c r="AS629" i="1" s="1"/>
  <c r="N629" i="1"/>
  <c r="Y629" i="1" l="1"/>
  <c r="X629" i="1" s="1"/>
  <c r="AH628" i="1"/>
  <c r="AG628" i="1"/>
  <c r="BA628" i="1" s="1"/>
  <c r="O629" i="1"/>
  <c r="V629" i="1"/>
  <c r="AQ629" i="1"/>
  <c r="AY629" i="1"/>
  <c r="AX629" i="1" l="1"/>
  <c r="U629" i="1" s="1"/>
  <c r="AL629" i="1" s="1"/>
  <c r="AN629" i="1" s="1"/>
  <c r="AO629" i="1" s="1"/>
  <c r="AP629" i="1" s="1"/>
  <c r="AF629" i="1"/>
  <c r="AG629" i="1" s="1"/>
  <c r="BA629" i="1" s="1"/>
  <c r="P630" i="1"/>
  <c r="BE630" i="1" s="1"/>
  <c r="I630" i="1"/>
  <c r="Q630" i="1" s="1"/>
  <c r="AT630" i="1"/>
  <c r="AS630" i="1" s="1"/>
  <c r="AM630" i="1"/>
  <c r="N630" i="1"/>
  <c r="Y630" i="1" l="1"/>
  <c r="X630" i="1" s="1"/>
  <c r="AH629" i="1"/>
  <c r="V630" i="1"/>
  <c r="AY630" i="1"/>
  <c r="AQ630" i="1"/>
  <c r="O630" i="1"/>
  <c r="AX630" i="1" l="1"/>
  <c r="U630" i="1" s="1"/>
  <c r="AL630" i="1" s="1"/>
  <c r="AN630" i="1" s="1"/>
  <c r="AO630" i="1" s="1"/>
  <c r="AP630" i="1" s="1"/>
  <c r="AF630" i="1"/>
  <c r="P631" i="1"/>
  <c r="BE631" i="1" s="1"/>
  <c r="AT631" i="1"/>
  <c r="AS631" i="1" s="1"/>
  <c r="I631" i="1"/>
  <c r="Q631" i="1" s="1"/>
  <c r="AM631" i="1"/>
  <c r="N631" i="1"/>
  <c r="Y631" i="1" l="1"/>
  <c r="X631" i="1" s="1"/>
  <c r="AF631" i="1" s="1"/>
  <c r="AH630" i="1"/>
  <c r="AG630" i="1"/>
  <c r="BA630" i="1" s="1"/>
  <c r="O631" i="1"/>
  <c r="V631" i="1"/>
  <c r="AY631" i="1"/>
  <c r="AQ631" i="1"/>
  <c r="AX631" i="1" l="1"/>
  <c r="U631" i="1" s="1"/>
  <c r="AL631" i="1" s="1"/>
  <c r="AN631" i="1" s="1"/>
  <c r="AO631" i="1" s="1"/>
  <c r="AP631" i="1" s="1"/>
  <c r="AH631" i="1"/>
  <c r="AG631" i="1"/>
  <c r="BA631" i="1" s="1"/>
  <c r="AM632" i="1"/>
  <c r="P632" i="1"/>
  <c r="BE632" i="1" s="1"/>
  <c r="N632" i="1"/>
  <c r="I632" i="1"/>
  <c r="Q632" i="1" s="1"/>
  <c r="AT632" i="1"/>
  <c r="AS632" i="1" s="1"/>
  <c r="Y632" i="1" l="1"/>
  <c r="X632" i="1" s="1"/>
  <c r="AQ632" i="1"/>
  <c r="O632" i="1"/>
  <c r="V632" i="1"/>
  <c r="AY632" i="1"/>
  <c r="AX632" i="1" l="1"/>
  <c r="U632" i="1" s="1"/>
  <c r="AL632" i="1" s="1"/>
  <c r="AN632" i="1" s="1"/>
  <c r="AO632" i="1" s="1"/>
  <c r="AP632" i="1" s="1"/>
  <c r="AF632" i="1"/>
  <c r="N633" i="1"/>
  <c r="AM633" i="1"/>
  <c r="I633" i="1"/>
  <c r="Q633" i="1" s="1"/>
  <c r="P633" i="1"/>
  <c r="BE633" i="1" s="1"/>
  <c r="AT633" i="1"/>
  <c r="AS633" i="1" s="1"/>
  <c r="Y633" i="1" l="1"/>
  <c r="X633" i="1" s="1"/>
  <c r="AH632" i="1"/>
  <c r="AG632" i="1"/>
  <c r="BA632" i="1" s="1"/>
  <c r="V633" i="1"/>
  <c r="AY633" i="1"/>
  <c r="AQ633" i="1"/>
  <c r="O633" i="1"/>
  <c r="AX633" i="1" l="1"/>
  <c r="U633" i="1" s="1"/>
  <c r="AL633" i="1" s="1"/>
  <c r="AN633" i="1" s="1"/>
  <c r="AO633" i="1" s="1"/>
  <c r="AP633" i="1" s="1"/>
  <c r="AF633" i="1"/>
  <c r="AG633" i="1" s="1"/>
  <c r="BA633" i="1" s="1"/>
  <c r="P634" i="1"/>
  <c r="BE634" i="1" s="1"/>
  <c r="AM634" i="1"/>
  <c r="I634" i="1"/>
  <c r="Q634" i="1" s="1"/>
  <c r="N634" i="1"/>
  <c r="AT634" i="1"/>
  <c r="AS634" i="1" s="1"/>
  <c r="Y634" i="1" l="1"/>
  <c r="X634" i="1" s="1"/>
  <c r="AF634" i="1" s="1"/>
  <c r="AH633" i="1"/>
  <c r="V634" i="1"/>
  <c r="AY634" i="1"/>
  <c r="AQ634" i="1"/>
  <c r="O634" i="1"/>
  <c r="AX634" i="1" l="1"/>
  <c r="U634" i="1" s="1"/>
  <c r="AL634" i="1" s="1"/>
  <c r="AN634" i="1" s="1"/>
  <c r="AO634" i="1" s="1"/>
  <c r="AP634" i="1" s="1"/>
  <c r="AH634" i="1"/>
  <c r="P635" i="1"/>
  <c r="BE635" i="1" s="1"/>
  <c r="I635" i="1"/>
  <c r="Q635" i="1" s="1"/>
  <c r="AM635" i="1"/>
  <c r="AT635" i="1"/>
  <c r="AS635" i="1" s="1"/>
  <c r="N635" i="1"/>
  <c r="AG634" i="1"/>
  <c r="BA634" i="1" s="1"/>
  <c r="Y635" i="1" l="1"/>
  <c r="X635" i="1" s="1"/>
  <c r="O635" i="1"/>
  <c r="N636" i="1" s="1"/>
  <c r="V635" i="1"/>
  <c r="AQ635" i="1"/>
  <c r="AY635" i="1"/>
  <c r="AX635" i="1" l="1"/>
  <c r="U635" i="1" s="1"/>
  <c r="AL635" i="1" s="1"/>
  <c r="AN635" i="1" s="1"/>
  <c r="AO635" i="1" s="1"/>
  <c r="AP635" i="1" s="1"/>
  <c r="AF635" i="1"/>
  <c r="AT636" i="1"/>
  <c r="AS636" i="1" s="1"/>
  <c r="P636" i="1"/>
  <c r="BE636" i="1" s="1"/>
  <c r="I636" i="1"/>
  <c r="Q636" i="1" s="1"/>
  <c r="AM636" i="1"/>
  <c r="AG635" i="1" l="1"/>
  <c r="BA635" i="1" s="1"/>
  <c r="AH635" i="1"/>
  <c r="V636" i="1"/>
  <c r="Y636" i="1"/>
  <c r="X636" i="1" s="1"/>
  <c r="O636" i="1"/>
  <c r="N637" i="1" s="1"/>
  <c r="AY636" i="1"/>
  <c r="AQ636" i="1"/>
  <c r="AX636" i="1" l="1"/>
  <c r="U636" i="1" s="1"/>
  <c r="AL636" i="1" s="1"/>
  <c r="AN636" i="1" s="1"/>
  <c r="AO636" i="1" s="1"/>
  <c r="AF636" i="1"/>
  <c r="AG636" i="1" s="1"/>
  <c r="BA636" i="1" s="1"/>
  <c r="AM637" i="1"/>
  <c r="I637" i="1"/>
  <c r="Q637" i="1" s="1"/>
  <c r="P637" i="1"/>
  <c r="BE637" i="1" s="1"/>
  <c r="AT637" i="1"/>
  <c r="AS637" i="1" s="1"/>
  <c r="Y637" i="1" l="1"/>
  <c r="X637" i="1" s="1"/>
  <c r="AF637" i="1" s="1"/>
  <c r="AH636" i="1"/>
  <c r="O637" i="1"/>
  <c r="N638" i="1" s="1"/>
  <c r="V637" i="1"/>
  <c r="AQ637" i="1"/>
  <c r="AY637" i="1"/>
  <c r="AX637" i="1" l="1"/>
  <c r="U637" i="1" s="1"/>
  <c r="AL637" i="1" s="1"/>
  <c r="AN637" i="1" s="1"/>
  <c r="AO637" i="1" s="1"/>
  <c r="AP637" i="1" s="1"/>
  <c r="AH637" i="1"/>
  <c r="AT638" i="1"/>
  <c r="AS638" i="1" s="1"/>
  <c r="I638" i="1"/>
  <c r="Q638" i="1" s="1"/>
  <c r="AM638" i="1"/>
  <c r="P638" i="1"/>
  <c r="BE638" i="1" s="1"/>
  <c r="AG637" i="1"/>
  <c r="BA637" i="1" s="1"/>
  <c r="V638" i="1" l="1"/>
  <c r="Y638" i="1"/>
  <c r="X638" i="1" s="1"/>
  <c r="AY638" i="1"/>
  <c r="O638" i="1"/>
  <c r="P639" i="1" s="1"/>
  <c r="BE639" i="1" s="1"/>
  <c r="AQ638" i="1"/>
  <c r="AX638" i="1" l="1"/>
  <c r="U638" i="1" s="1"/>
  <c r="AL638" i="1" s="1"/>
  <c r="AN638" i="1" s="1"/>
  <c r="AO638" i="1" s="1"/>
  <c r="AP638" i="1" s="1"/>
  <c r="AF638" i="1"/>
  <c r="AG638" i="1" s="1"/>
  <c r="BA638" i="1" s="1"/>
  <c r="V639" i="1"/>
  <c r="Y639" i="1"/>
  <c r="X639" i="1" s="1"/>
  <c r="AF639" i="1" s="1"/>
  <c r="AM639" i="1"/>
  <c r="I639" i="1"/>
  <c r="Q639" i="1" s="1"/>
  <c r="N639" i="1"/>
  <c r="AT639" i="1"/>
  <c r="AS639" i="1" s="1"/>
  <c r="AQ639" i="1" s="1"/>
  <c r="AY639" i="1"/>
  <c r="AH638" i="1" l="1"/>
  <c r="O639" i="1"/>
  <c r="P640" i="1" s="1"/>
  <c r="BE640" i="1" s="1"/>
  <c r="AG639" i="1"/>
  <c r="BA639" i="1" s="1"/>
  <c r="AX639" i="1" l="1"/>
  <c r="U639" i="1" s="1"/>
  <c r="AL639" i="1" s="1"/>
  <c r="AN639" i="1" s="1"/>
  <c r="AO639" i="1" s="1"/>
  <c r="AP639" i="1" s="1"/>
  <c r="V640" i="1"/>
  <c r="Y640" i="1"/>
  <c r="X640" i="1" s="1"/>
  <c r="AF640" i="1" s="1"/>
  <c r="AH639" i="1"/>
  <c r="I640" i="1"/>
  <c r="Q640" i="1" s="1"/>
  <c r="N640" i="1"/>
  <c r="AY640" i="1"/>
  <c r="AT640" i="1"/>
  <c r="AS640" i="1" s="1"/>
  <c r="AQ640" i="1" s="1"/>
  <c r="AM640" i="1"/>
  <c r="AX640" i="1" l="1"/>
  <c r="U640" i="1" s="1"/>
  <c r="AL640" i="1" s="1"/>
  <c r="AN640" i="1" s="1"/>
  <c r="AO640" i="1" s="1"/>
  <c r="AP640" i="1" s="1"/>
  <c r="O640" i="1"/>
  <c r="N641" i="1" s="1"/>
  <c r="AG640" i="1"/>
  <c r="BA640" i="1" s="1"/>
  <c r="AT641" i="1" l="1"/>
  <c r="AS641" i="1" s="1"/>
  <c r="AM641" i="1"/>
  <c r="I641" i="1"/>
  <c r="Q641" i="1" s="1"/>
  <c r="AH640" i="1"/>
  <c r="P641" i="1"/>
  <c r="BE641" i="1" s="1"/>
  <c r="V641" i="1" l="1"/>
  <c r="Y641" i="1"/>
  <c r="X641" i="1" s="1"/>
  <c r="AQ641" i="1"/>
  <c r="AY641" i="1"/>
  <c r="O641" i="1"/>
  <c r="N642" i="1" s="1"/>
  <c r="AX641" i="1" l="1"/>
  <c r="U641" i="1" s="1"/>
  <c r="AL641" i="1" s="1"/>
  <c r="AN641" i="1" s="1"/>
  <c r="AO641" i="1" s="1"/>
  <c r="AP641" i="1" s="1"/>
  <c r="AF641" i="1"/>
  <c r="AG641" i="1" s="1"/>
  <c r="BA641" i="1" s="1"/>
  <c r="AM642" i="1"/>
  <c r="I642" i="1"/>
  <c r="Q642" i="1" s="1"/>
  <c r="P642" i="1"/>
  <c r="BE642" i="1" s="1"/>
  <c r="AT642" i="1"/>
  <c r="AS642" i="1" s="1"/>
  <c r="AH641" i="1" l="1"/>
  <c r="O642" i="1"/>
  <c r="P643" i="1" s="1"/>
  <c r="BE643" i="1" s="1"/>
  <c r="V642" i="1"/>
  <c r="Y642" i="1"/>
  <c r="X642" i="1" s="1"/>
  <c r="AF642" i="1" s="1"/>
  <c r="AY642" i="1"/>
  <c r="AQ642" i="1"/>
  <c r="AX642" i="1" l="1"/>
  <c r="U642" i="1" s="1"/>
  <c r="AL642" i="1" s="1"/>
  <c r="AN642" i="1" s="1"/>
  <c r="AO642" i="1" s="1"/>
  <c r="AP642" i="1" s="1"/>
  <c r="V643" i="1"/>
  <c r="AT643" i="1"/>
  <c r="AS643" i="1" s="1"/>
  <c r="AQ643" i="1" s="1"/>
  <c r="AM643" i="1"/>
  <c r="I643" i="1"/>
  <c r="Q643" i="1" s="1"/>
  <c r="AY643" i="1"/>
  <c r="N643" i="1"/>
  <c r="Y643" i="1"/>
  <c r="X643" i="1" s="1"/>
  <c r="AF643" i="1" s="1"/>
  <c r="AG642" i="1"/>
  <c r="BA642" i="1" s="1"/>
  <c r="AG643" i="1" l="1"/>
  <c r="BA643" i="1" s="1"/>
  <c r="O643" i="1"/>
  <c r="I644" i="1" s="1"/>
  <c r="Q644" i="1" s="1"/>
  <c r="AH642" i="1"/>
  <c r="AX643" i="1" l="1"/>
  <c r="U643" i="1" s="1"/>
  <c r="AL643" i="1" s="1"/>
  <c r="AN643" i="1" s="1"/>
  <c r="AO643" i="1" s="1"/>
  <c r="AP643" i="1" s="1"/>
  <c r="AT644" i="1"/>
  <c r="AS644" i="1" s="1"/>
  <c r="P644" i="1"/>
  <c r="BE644" i="1" s="1"/>
  <c r="AH643" i="1"/>
  <c r="AM644" i="1"/>
  <c r="N644" i="1"/>
  <c r="O644" i="1" s="1"/>
  <c r="AM645" i="1" s="1"/>
  <c r="Y644" i="1" l="1"/>
  <c r="X644" i="1" s="1"/>
  <c r="AF644" i="1" s="1"/>
  <c r="AG644" i="1" s="1"/>
  <c r="AQ644" i="1"/>
  <c r="V644" i="1"/>
  <c r="AY644" i="1"/>
  <c r="I645" i="1"/>
  <c r="Q645" i="1" s="1"/>
  <c r="N645" i="1"/>
  <c r="AT645" i="1"/>
  <c r="AS645" i="1" s="1"/>
  <c r="P645" i="1"/>
  <c r="BE645" i="1" s="1"/>
  <c r="AX644" i="1" l="1"/>
  <c r="U644" i="1" s="1"/>
  <c r="AL644" i="1" s="1"/>
  <c r="AN644" i="1" s="1"/>
  <c r="AO644" i="1" s="1"/>
  <c r="AP644" i="1" s="1"/>
  <c r="AH644" i="1"/>
  <c r="V645" i="1"/>
  <c r="BA644" i="1"/>
  <c r="O645" i="1"/>
  <c r="N646" i="1" s="1"/>
  <c r="Y645" i="1"/>
  <c r="X645" i="1" s="1"/>
  <c r="AF645" i="1" s="1"/>
  <c r="AQ645" i="1"/>
  <c r="AY645" i="1"/>
  <c r="AX645" i="1" l="1"/>
  <c r="U645" i="1" s="1"/>
  <c r="AL645" i="1" s="1"/>
  <c r="AN645" i="1" s="1"/>
  <c r="AO645" i="1" s="1"/>
  <c r="AP645" i="1" s="1"/>
  <c r="AT646" i="1"/>
  <c r="AS646" i="1" s="1"/>
  <c r="I646" i="1"/>
  <c r="Q646" i="1" s="1"/>
  <c r="P646" i="1"/>
  <c r="BE646" i="1" s="1"/>
  <c r="AM646" i="1"/>
  <c r="V646" i="1" l="1"/>
  <c r="O646" i="1"/>
  <c r="I647" i="1" s="1"/>
  <c r="Q647" i="1" s="1"/>
  <c r="AY646" i="1"/>
  <c r="AQ646" i="1"/>
  <c r="Y646" i="1"/>
  <c r="X646" i="1" s="1"/>
  <c r="AF646" i="1" s="1"/>
  <c r="AG645" i="1"/>
  <c r="BA645" i="1" s="1"/>
  <c r="AH645" i="1"/>
  <c r="AX646" i="1" l="1"/>
  <c r="U646" i="1" s="1"/>
  <c r="AL646" i="1" s="1"/>
  <c r="AN646" i="1" s="1"/>
  <c r="AO646" i="1" s="1"/>
  <c r="AP646" i="1" s="1"/>
  <c r="N647" i="1"/>
  <c r="O647" i="1" s="1"/>
  <c r="P648" i="1" s="1"/>
  <c r="BE648" i="1" s="1"/>
  <c r="AM647" i="1"/>
  <c r="AT647" i="1"/>
  <c r="AS647" i="1" s="1"/>
  <c r="P647" i="1"/>
  <c r="BE647" i="1" s="1"/>
  <c r="V647" i="1" l="1"/>
  <c r="AQ647" i="1"/>
  <c r="Y647" i="1"/>
  <c r="X647" i="1" s="1"/>
  <c r="AF647" i="1" s="1"/>
  <c r="AY647" i="1"/>
  <c r="V648" i="1"/>
  <c r="Y648" i="1"/>
  <c r="AM648" i="1"/>
  <c r="I648" i="1"/>
  <c r="Q648" i="1" s="1"/>
  <c r="AT648" i="1"/>
  <c r="AS648" i="1" s="1"/>
  <c r="AQ648" i="1" s="1"/>
  <c r="N648" i="1"/>
  <c r="AG646" i="1"/>
  <c r="BA646" i="1" s="1"/>
  <c r="AH646" i="1"/>
  <c r="AY648" i="1"/>
  <c r="AX647" i="1" l="1"/>
  <c r="U647" i="1" s="1"/>
  <c r="AL647" i="1" s="1"/>
  <c r="AN647" i="1" s="1"/>
  <c r="AO647" i="1" s="1"/>
  <c r="AP647" i="1" s="1"/>
  <c r="X648" i="1"/>
  <c r="O648" i="1"/>
  <c r="N649" i="1" s="1"/>
  <c r="AF648" i="1" l="1"/>
  <c r="AG648" i="1" s="1"/>
  <c r="BA648" i="1" s="1"/>
  <c r="I649" i="1"/>
  <c r="Q649" i="1" s="1"/>
  <c r="AT649" i="1"/>
  <c r="AS649" i="1" s="1"/>
  <c r="AM649" i="1"/>
  <c r="P649" i="1"/>
  <c r="BE649" i="1" s="1"/>
  <c r="AH647" i="1"/>
  <c r="AX648" i="1" s="1"/>
  <c r="AG647" i="1"/>
  <c r="BA647" i="1" s="1"/>
  <c r="AH648" i="1" l="1"/>
  <c r="V649" i="1"/>
  <c r="Y649" i="1"/>
  <c r="X649" i="1" s="1"/>
  <c r="O649" i="1"/>
  <c r="P650" i="1" s="1"/>
  <c r="BE650" i="1" s="1"/>
  <c r="AY649" i="1"/>
  <c r="AQ649" i="1"/>
  <c r="U648" i="1"/>
  <c r="AL648" i="1" s="1"/>
  <c r="AN648" i="1" s="1"/>
  <c r="AO648" i="1" s="1"/>
  <c r="AX649" i="1" l="1"/>
  <c r="U649" i="1" s="1"/>
  <c r="AL649" i="1" s="1"/>
  <c r="AN649" i="1" s="1"/>
  <c r="AO649" i="1" s="1"/>
  <c r="AP649" i="1" s="1"/>
  <c r="AF649" i="1"/>
  <c r="AG649" i="1" s="1"/>
  <c r="BA649" i="1" s="1"/>
  <c r="V650" i="1"/>
  <c r="Y650" i="1"/>
  <c r="X650" i="1" s="1"/>
  <c r="AF650" i="1" s="1"/>
  <c r="AT650" i="1"/>
  <c r="AS650" i="1" s="1"/>
  <c r="AQ650" i="1" s="1"/>
  <c r="N650" i="1"/>
  <c r="I650" i="1"/>
  <c r="Q650" i="1" s="1"/>
  <c r="AM650" i="1"/>
  <c r="AY650" i="1"/>
  <c r="AH649" i="1" l="1"/>
  <c r="O650" i="1"/>
  <c r="AT651" i="1" s="1"/>
  <c r="AS651" i="1" s="1"/>
  <c r="AX650" i="1" l="1"/>
  <c r="U650" i="1" s="1"/>
  <c r="AL650" i="1" s="1"/>
  <c r="AN650" i="1" s="1"/>
  <c r="AO650" i="1" s="1"/>
  <c r="AP650" i="1" s="1"/>
  <c r="N651" i="1"/>
  <c r="I651" i="1"/>
  <c r="Q651" i="1" s="1"/>
  <c r="AM651" i="1"/>
  <c r="P651" i="1"/>
  <c r="BE651" i="1" s="1"/>
  <c r="AH650" i="1"/>
  <c r="AG650" i="1"/>
  <c r="BA650" i="1" s="1"/>
  <c r="V651" i="1" l="1"/>
  <c r="Y651" i="1"/>
  <c r="X651" i="1" s="1"/>
  <c r="AF651" i="1" s="1"/>
  <c r="AY651" i="1"/>
  <c r="AQ651" i="1"/>
  <c r="O651" i="1"/>
  <c r="N652" i="1" s="1"/>
  <c r="AX651" i="1" l="1"/>
  <c r="U651" i="1" s="1"/>
  <c r="AL651" i="1" s="1"/>
  <c r="AN651" i="1" s="1"/>
  <c r="AO651" i="1" s="1"/>
  <c r="AP651" i="1" s="1"/>
  <c r="AT652" i="1"/>
  <c r="AS652" i="1" s="1"/>
  <c r="I652" i="1"/>
  <c r="Q652" i="1" s="1"/>
  <c r="AM652" i="1"/>
  <c r="P652" i="1"/>
  <c r="BE652" i="1" s="1"/>
  <c r="AH651" i="1"/>
  <c r="AG651" i="1"/>
  <c r="BA651" i="1" s="1"/>
  <c r="V652" i="1" l="1"/>
  <c r="Y652" i="1"/>
  <c r="X652" i="1" s="1"/>
  <c r="AY652" i="1"/>
  <c r="AQ652" i="1"/>
  <c r="O652" i="1"/>
  <c r="N653" i="1" s="1"/>
  <c r="AX652" i="1" l="1"/>
  <c r="U652" i="1" s="1"/>
  <c r="AL652" i="1" s="1"/>
  <c r="AN652" i="1" s="1"/>
  <c r="AO652" i="1" s="1"/>
  <c r="AP652" i="1" s="1"/>
  <c r="AF652" i="1"/>
  <c r="AG652" i="1" s="1"/>
  <c r="BA652" i="1" s="1"/>
  <c r="AM653" i="1"/>
  <c r="AT653" i="1"/>
  <c r="AS653" i="1" s="1"/>
  <c r="P653" i="1"/>
  <c r="BE653" i="1" s="1"/>
  <c r="I653" i="1"/>
  <c r="Q653" i="1" s="1"/>
  <c r="AH652" i="1" l="1"/>
  <c r="V653" i="1"/>
  <c r="Y653" i="1"/>
  <c r="X653" i="1" s="1"/>
  <c r="AF653" i="1" s="1"/>
  <c r="O653" i="1"/>
  <c r="P654" i="1" s="1"/>
  <c r="BE654" i="1" s="1"/>
  <c r="AY653" i="1"/>
  <c r="AQ653" i="1"/>
  <c r="AX653" i="1" l="1"/>
  <c r="U653" i="1" s="1"/>
  <c r="AL653" i="1" s="1"/>
  <c r="AN653" i="1" s="1"/>
  <c r="AO653" i="1" s="1"/>
  <c r="AP653" i="1" s="1"/>
  <c r="V654" i="1"/>
  <c r="Y654" i="1"/>
  <c r="X654" i="1" s="1"/>
  <c r="AF654" i="1" s="1"/>
  <c r="AT654" i="1"/>
  <c r="AS654" i="1" s="1"/>
  <c r="AQ654" i="1" s="1"/>
  <c r="I654" i="1"/>
  <c r="Q654" i="1" s="1"/>
  <c r="N654" i="1"/>
  <c r="AM654" i="1"/>
  <c r="AH653" i="1"/>
  <c r="AG653" i="1"/>
  <c r="BA653" i="1" s="1"/>
  <c r="AY654" i="1"/>
  <c r="AX654" i="1" l="1"/>
  <c r="U654" i="1" s="1"/>
  <c r="AL654" i="1" s="1"/>
  <c r="AN654" i="1" s="1"/>
  <c r="AO654" i="1" s="1"/>
  <c r="AP654" i="1" s="1"/>
  <c r="O654" i="1"/>
  <c r="P655" i="1" s="1"/>
  <c r="BE655" i="1" s="1"/>
  <c r="V655" i="1" l="1"/>
  <c r="Y655" i="1"/>
  <c r="X655" i="1" s="1"/>
  <c r="AF655" i="1" s="1"/>
  <c r="AT655" i="1"/>
  <c r="AS655" i="1" s="1"/>
  <c r="AQ655" i="1" s="1"/>
  <c r="N655" i="1"/>
  <c r="I655" i="1"/>
  <c r="Q655" i="1" s="1"/>
  <c r="AM655" i="1"/>
  <c r="AH654" i="1"/>
  <c r="AG654" i="1"/>
  <c r="BA654" i="1" s="1"/>
  <c r="AY655" i="1"/>
  <c r="AX655" i="1" l="1"/>
  <c r="U655" i="1" s="1"/>
  <c r="AL655" i="1" s="1"/>
  <c r="AN655" i="1" s="1"/>
  <c r="AO655" i="1" s="1"/>
  <c r="AP655" i="1" s="1"/>
  <c r="O655" i="1"/>
  <c r="P656" i="1" s="1"/>
  <c r="BE656" i="1" s="1"/>
  <c r="V656" i="1" l="1"/>
  <c r="Y656" i="1"/>
  <c r="X656" i="1" s="1"/>
  <c r="AF656" i="1" s="1"/>
  <c r="AM656" i="1"/>
  <c r="N656" i="1"/>
  <c r="AT656" i="1"/>
  <c r="AS656" i="1" s="1"/>
  <c r="AQ656" i="1" s="1"/>
  <c r="I656" i="1"/>
  <c r="Q656" i="1" s="1"/>
  <c r="AH655" i="1"/>
  <c r="AG655" i="1"/>
  <c r="BA655" i="1" s="1"/>
  <c r="AY656" i="1"/>
  <c r="AX656" i="1" l="1"/>
  <c r="U656" i="1" s="1"/>
  <c r="AL656" i="1" s="1"/>
  <c r="AN656" i="1" s="1"/>
  <c r="AO656" i="1" s="1"/>
  <c r="AP656" i="1" s="1"/>
  <c r="O656" i="1"/>
  <c r="P657" i="1" s="1"/>
  <c r="BE657" i="1" s="1"/>
  <c r="V657" i="1" l="1"/>
  <c r="Y657" i="1"/>
  <c r="X657" i="1" s="1"/>
  <c r="AF657" i="1" s="1"/>
  <c r="AT657" i="1"/>
  <c r="AS657" i="1" s="1"/>
  <c r="AQ657" i="1" s="1"/>
  <c r="N657" i="1"/>
  <c r="I657" i="1"/>
  <c r="Q657" i="1" s="1"/>
  <c r="AM657" i="1"/>
  <c r="AH656" i="1"/>
  <c r="AG656" i="1"/>
  <c r="BA656" i="1" s="1"/>
  <c r="AY657" i="1"/>
  <c r="AX657" i="1" l="1"/>
  <c r="U657" i="1" s="1"/>
  <c r="AL657" i="1" s="1"/>
  <c r="AN657" i="1" s="1"/>
  <c r="AO657" i="1" s="1"/>
  <c r="AP657" i="1" s="1"/>
  <c r="O657" i="1"/>
  <c r="P658" i="1" s="1"/>
  <c r="BE658" i="1" s="1"/>
  <c r="V658" i="1" l="1"/>
  <c r="Y658" i="1"/>
  <c r="X658" i="1" s="1"/>
  <c r="AF658" i="1" s="1"/>
  <c r="AT658" i="1"/>
  <c r="AS658" i="1" s="1"/>
  <c r="AQ658" i="1" s="1"/>
  <c r="AM658" i="1"/>
  <c r="N658" i="1"/>
  <c r="I658" i="1"/>
  <c r="Q658" i="1" s="1"/>
  <c r="AH657" i="1"/>
  <c r="AG657" i="1"/>
  <c r="BA657" i="1" s="1"/>
  <c r="AY658" i="1"/>
  <c r="AX658" i="1" l="1"/>
  <c r="U658" i="1" s="1"/>
  <c r="AL658" i="1" s="1"/>
  <c r="AN658" i="1" s="1"/>
  <c r="AO658" i="1" s="1"/>
  <c r="AP658" i="1" s="1"/>
  <c r="O658" i="1"/>
  <c r="P659" i="1" s="1"/>
  <c r="BE659" i="1" s="1"/>
  <c r="V659" i="1" l="1"/>
  <c r="Y659" i="1"/>
  <c r="X659" i="1" s="1"/>
  <c r="AF659" i="1" s="1"/>
  <c r="AM659" i="1"/>
  <c r="N659" i="1"/>
  <c r="I659" i="1"/>
  <c r="Q659" i="1" s="1"/>
  <c r="AT659" i="1"/>
  <c r="AS659" i="1" s="1"/>
  <c r="AQ659" i="1" s="1"/>
  <c r="AH658" i="1"/>
  <c r="AG658" i="1"/>
  <c r="BA658" i="1" s="1"/>
  <c r="AY659" i="1"/>
  <c r="AX659" i="1" l="1"/>
  <c r="U659" i="1" s="1"/>
  <c r="AL659" i="1" s="1"/>
  <c r="AN659" i="1" s="1"/>
  <c r="AO659" i="1" s="1"/>
  <c r="AP659" i="1" s="1"/>
  <c r="O659" i="1"/>
  <c r="P660" i="1" s="1"/>
  <c r="BE660" i="1" s="1"/>
  <c r="V660" i="1" l="1"/>
  <c r="Y660" i="1"/>
  <c r="X660" i="1" s="1"/>
  <c r="AF660" i="1" s="1"/>
  <c r="AT660" i="1"/>
  <c r="AS660" i="1" s="1"/>
  <c r="AQ660" i="1" s="1"/>
  <c r="I660" i="1"/>
  <c r="Q660" i="1" s="1"/>
  <c r="N660" i="1"/>
  <c r="AM660" i="1"/>
  <c r="AH659" i="1"/>
  <c r="AG659" i="1"/>
  <c r="BA659" i="1" s="1"/>
  <c r="AY660" i="1"/>
  <c r="AX660" i="1" l="1"/>
  <c r="U660" i="1" s="1"/>
  <c r="AL660" i="1" s="1"/>
  <c r="AN660" i="1" s="1"/>
  <c r="AO660" i="1" s="1"/>
  <c r="O660" i="1"/>
  <c r="P661" i="1" s="1"/>
  <c r="BE661" i="1" s="1"/>
  <c r="V661" i="1" l="1"/>
  <c r="Y661" i="1"/>
  <c r="X661" i="1" s="1"/>
  <c r="AF661" i="1" s="1"/>
  <c r="N661" i="1"/>
  <c r="AT661" i="1"/>
  <c r="AS661" i="1" s="1"/>
  <c r="AQ661" i="1" s="1"/>
  <c r="AM661" i="1"/>
  <c r="I661" i="1"/>
  <c r="Q661" i="1" s="1"/>
  <c r="AH660" i="1"/>
  <c r="AG660" i="1"/>
  <c r="BA660" i="1" s="1"/>
  <c r="AY661" i="1"/>
  <c r="AX661" i="1" l="1"/>
  <c r="U661" i="1" s="1"/>
  <c r="AL661" i="1" s="1"/>
  <c r="AN661" i="1" s="1"/>
  <c r="AO661" i="1" s="1"/>
  <c r="AP661" i="1" s="1"/>
  <c r="O661" i="1"/>
  <c r="P662" i="1" s="1"/>
  <c r="BE662" i="1" s="1"/>
  <c r="V662" i="1" l="1"/>
  <c r="Y662" i="1"/>
  <c r="X662" i="1" s="1"/>
  <c r="AF662" i="1" s="1"/>
  <c r="AT662" i="1"/>
  <c r="AS662" i="1" s="1"/>
  <c r="AQ662" i="1" s="1"/>
  <c r="I662" i="1"/>
  <c r="Q662" i="1" s="1"/>
  <c r="N662" i="1"/>
  <c r="AM662" i="1"/>
  <c r="AH661" i="1"/>
  <c r="AG661" i="1"/>
  <c r="BA661" i="1" s="1"/>
  <c r="AY662" i="1"/>
  <c r="AX662" i="1" l="1"/>
  <c r="U662" i="1" s="1"/>
  <c r="AL662" i="1" s="1"/>
  <c r="AN662" i="1" s="1"/>
  <c r="AO662" i="1" s="1"/>
  <c r="AP662" i="1" s="1"/>
  <c r="O662" i="1"/>
  <c r="P663" i="1" s="1"/>
  <c r="BE663" i="1" s="1"/>
  <c r="V663" i="1" l="1"/>
  <c r="Y663" i="1"/>
  <c r="X663" i="1" s="1"/>
  <c r="AF663" i="1" s="1"/>
  <c r="I663" i="1"/>
  <c r="Q663" i="1" s="1"/>
  <c r="AM663" i="1"/>
  <c r="AT663" i="1"/>
  <c r="AS663" i="1" s="1"/>
  <c r="AQ663" i="1" s="1"/>
  <c r="N663" i="1"/>
  <c r="AH662" i="1"/>
  <c r="AG662" i="1"/>
  <c r="BA662" i="1" s="1"/>
  <c r="AY663" i="1"/>
  <c r="AX663" i="1" l="1"/>
  <c r="U663" i="1" s="1"/>
  <c r="AL663" i="1" s="1"/>
  <c r="AN663" i="1" s="1"/>
  <c r="AO663" i="1" s="1"/>
  <c r="AP663" i="1" s="1"/>
  <c r="O663" i="1"/>
  <c r="P664" i="1" s="1"/>
  <c r="BE664" i="1" s="1"/>
  <c r="V664" i="1" l="1"/>
  <c r="Y664" i="1"/>
  <c r="X664" i="1" s="1"/>
  <c r="AF664" i="1" s="1"/>
  <c r="N664" i="1"/>
  <c r="I664" i="1"/>
  <c r="Q664" i="1" s="1"/>
  <c r="AT664" i="1"/>
  <c r="AS664" i="1" s="1"/>
  <c r="AQ664" i="1" s="1"/>
  <c r="AM664" i="1"/>
  <c r="AH663" i="1"/>
  <c r="AG663" i="1"/>
  <c r="BA663" i="1" s="1"/>
  <c r="AY664" i="1"/>
  <c r="AX664" i="1" l="1"/>
  <c r="U664" i="1" s="1"/>
  <c r="AL664" i="1" s="1"/>
  <c r="AN664" i="1" s="1"/>
  <c r="AO664" i="1" s="1"/>
  <c r="AP664" i="1" s="1"/>
  <c r="O664" i="1"/>
  <c r="P665" i="1" s="1"/>
  <c r="BE665" i="1" s="1"/>
  <c r="AG664" i="1"/>
  <c r="V665" i="1" l="1"/>
  <c r="Y665" i="1"/>
  <c r="X665" i="1" s="1"/>
  <c r="AF665" i="1" s="1"/>
  <c r="AT665" i="1"/>
  <c r="AS665" i="1" s="1"/>
  <c r="AQ665" i="1" s="1"/>
  <c r="I665" i="1"/>
  <c r="Q665" i="1" s="1"/>
  <c r="N665" i="1"/>
  <c r="AM665" i="1"/>
  <c r="AY665" i="1"/>
  <c r="BA664" i="1"/>
  <c r="AH664" i="1"/>
  <c r="AX665" i="1" l="1"/>
  <c r="U665" i="1" s="1"/>
  <c r="AL665" i="1" s="1"/>
  <c r="AN665" i="1" s="1"/>
  <c r="AO665" i="1" s="1"/>
  <c r="AP665" i="1" s="1"/>
  <c r="O665" i="1"/>
  <c r="N666" i="1" s="1"/>
  <c r="AG665" i="1"/>
  <c r="AM666" i="1" l="1"/>
  <c r="AT666" i="1"/>
  <c r="AS666" i="1" s="1"/>
  <c r="I666" i="1"/>
  <c r="Q666" i="1" s="1"/>
  <c r="P666" i="1"/>
  <c r="BE666" i="1" s="1"/>
  <c r="BA665" i="1"/>
  <c r="AH665" i="1"/>
  <c r="O666" i="1" l="1"/>
  <c r="AT667" i="1" s="1"/>
  <c r="AS667" i="1" s="1"/>
  <c r="V666" i="1"/>
  <c r="Y666" i="1"/>
  <c r="X666" i="1" s="1"/>
  <c r="AF666" i="1" s="1"/>
  <c r="AY666" i="1"/>
  <c r="AQ666" i="1"/>
  <c r="AX666" i="1" l="1"/>
  <c r="U666" i="1" s="1"/>
  <c r="AL666" i="1" s="1"/>
  <c r="AN666" i="1" s="1"/>
  <c r="AO666" i="1" s="1"/>
  <c r="AP666" i="1" s="1"/>
  <c r="AM667" i="1"/>
  <c r="I667" i="1"/>
  <c r="Q667" i="1" s="1"/>
  <c r="P667" i="1"/>
  <c r="BE667" i="1" s="1"/>
  <c r="N667" i="1"/>
  <c r="AH666" i="1"/>
  <c r="AG666" i="1"/>
  <c r="BA666" i="1" s="1"/>
  <c r="AQ667" i="1" l="1"/>
  <c r="O667" i="1"/>
  <c r="P668" i="1" s="1"/>
  <c r="BE668" i="1" s="1"/>
  <c r="AY667" i="1"/>
  <c r="Y667" i="1"/>
  <c r="X667" i="1" s="1"/>
  <c r="AF667" i="1" s="1"/>
  <c r="V667" i="1"/>
  <c r="AX667" i="1" l="1"/>
  <c r="U667" i="1" s="1"/>
  <c r="AL667" i="1" s="1"/>
  <c r="AN667" i="1" s="1"/>
  <c r="AO667" i="1" s="1"/>
  <c r="AP667" i="1" s="1"/>
  <c r="Y668" i="1"/>
  <c r="X668" i="1" s="1"/>
  <c r="AF668" i="1" s="1"/>
  <c r="AT668" i="1"/>
  <c r="AS668" i="1" s="1"/>
  <c r="AQ668" i="1" s="1"/>
  <c r="I668" i="1"/>
  <c r="Q668" i="1" s="1"/>
  <c r="N668" i="1"/>
  <c r="AM668" i="1"/>
  <c r="V668" i="1"/>
  <c r="AH667" i="1"/>
  <c r="AG667" i="1"/>
  <c r="BA667" i="1" s="1"/>
  <c r="AY668" i="1"/>
  <c r="AX668" i="1" l="1"/>
  <c r="U668" i="1" s="1"/>
  <c r="AL668" i="1" s="1"/>
  <c r="AN668" i="1" s="1"/>
  <c r="AO668" i="1" s="1"/>
  <c r="AP668" i="1" s="1"/>
  <c r="O668" i="1"/>
  <c r="N669" i="1" s="1"/>
  <c r="AG668" i="1"/>
  <c r="AM669" i="1" l="1"/>
  <c r="I669" i="1"/>
  <c r="Q669" i="1" s="1"/>
  <c r="P669" i="1"/>
  <c r="BE669" i="1" s="1"/>
  <c r="AT669" i="1"/>
  <c r="AS669" i="1" s="1"/>
  <c r="BA668" i="1"/>
  <c r="AH668" i="1"/>
  <c r="Y669" i="1" l="1"/>
  <c r="X669" i="1" s="1"/>
  <c r="AF669" i="1" s="1"/>
  <c r="AG669" i="1" s="1"/>
  <c r="O669" i="1"/>
  <c r="AT670" i="1" s="1"/>
  <c r="AS670" i="1" s="1"/>
  <c r="V669" i="1"/>
  <c r="AQ669" i="1"/>
  <c r="AY669" i="1"/>
  <c r="AX669" i="1" l="1"/>
  <c r="U669" i="1" s="1"/>
  <c r="AL669" i="1" s="1"/>
  <c r="AN669" i="1" s="1"/>
  <c r="AO669" i="1" s="1"/>
  <c r="AP669" i="1" s="1"/>
  <c r="I670" i="1"/>
  <c r="Q670" i="1" s="1"/>
  <c r="N670" i="1"/>
  <c r="P670" i="1"/>
  <c r="BE670" i="1" s="1"/>
  <c r="AM670" i="1"/>
  <c r="BA669" i="1"/>
  <c r="AH669" i="1"/>
  <c r="V670" i="1" l="1"/>
  <c r="O670" i="1"/>
  <c r="AM671" i="1" s="1"/>
  <c r="AQ670" i="1"/>
  <c r="AY670" i="1"/>
  <c r="Y670" i="1"/>
  <c r="X670" i="1" s="1"/>
  <c r="AF670" i="1" s="1"/>
  <c r="AX670" i="1" l="1"/>
  <c r="U670" i="1" s="1"/>
  <c r="AL670" i="1" s="1"/>
  <c r="AN670" i="1" s="1"/>
  <c r="AO670" i="1" s="1"/>
  <c r="AP670" i="1" s="1"/>
  <c r="P671" i="1"/>
  <c r="BE671" i="1" s="1"/>
  <c r="AT671" i="1"/>
  <c r="AS671" i="1" s="1"/>
  <c r="I671" i="1"/>
  <c r="Q671" i="1" s="1"/>
  <c r="N671" i="1"/>
  <c r="Y671" i="1" l="1"/>
  <c r="X671" i="1" s="1"/>
  <c r="AF671" i="1" s="1"/>
  <c r="AG671" i="1" s="1"/>
  <c r="AY671" i="1"/>
  <c r="V671" i="1"/>
  <c r="AQ671" i="1"/>
  <c r="O671" i="1"/>
  <c r="AM672" i="1" s="1"/>
  <c r="AG670" i="1"/>
  <c r="BA670" i="1" s="1"/>
  <c r="AH670" i="1"/>
  <c r="AX671" i="1" l="1"/>
  <c r="U671" i="1" s="1"/>
  <c r="AL671" i="1" s="1"/>
  <c r="AN671" i="1" s="1"/>
  <c r="AO671" i="1" s="1"/>
  <c r="AP671" i="1" s="1"/>
  <c r="N672" i="1"/>
  <c r="I672" i="1"/>
  <c r="Q672" i="1" s="1"/>
  <c r="AT672" i="1"/>
  <c r="AS672" i="1" s="1"/>
  <c r="P672" i="1"/>
  <c r="BE672" i="1" s="1"/>
  <c r="BA671" i="1"/>
  <c r="AH671" i="1"/>
  <c r="V672" i="1" l="1"/>
  <c r="AQ672" i="1"/>
  <c r="AY672" i="1"/>
  <c r="Y672" i="1"/>
  <c r="X672" i="1" s="1"/>
  <c r="O672" i="1"/>
  <c r="I673" i="1" s="1"/>
  <c r="Q673" i="1" s="1"/>
  <c r="AX672" i="1" l="1"/>
  <c r="U672" i="1" s="1"/>
  <c r="AL672" i="1" s="1"/>
  <c r="AN672" i="1" s="1"/>
  <c r="AO672" i="1" s="1"/>
  <c r="AF672" i="1"/>
  <c r="AG672" i="1" s="1"/>
  <c r="BA672" i="1" s="1"/>
  <c r="AM673" i="1"/>
  <c r="P673" i="1"/>
  <c r="BE673" i="1" s="1"/>
  <c r="N673" i="1"/>
  <c r="O673" i="1" s="1"/>
  <c r="AT673" i="1"/>
  <c r="AS673" i="1" s="1"/>
  <c r="V673" i="1" l="1"/>
  <c r="AH672" i="1"/>
  <c r="AQ673" i="1"/>
  <c r="Y673" i="1"/>
  <c r="X673" i="1" s="1"/>
  <c r="AF673" i="1" s="1"/>
  <c r="AY673" i="1"/>
  <c r="AM674" i="1"/>
  <c r="P674" i="1"/>
  <c r="BE674" i="1" s="1"/>
  <c r="N674" i="1"/>
  <c r="AT674" i="1"/>
  <c r="AS674" i="1" s="1"/>
  <c r="I674" i="1"/>
  <c r="Q674" i="1" s="1"/>
  <c r="AX673" i="1" l="1"/>
  <c r="U673" i="1" s="1"/>
  <c r="AL673" i="1" s="1"/>
  <c r="AN673" i="1" s="1"/>
  <c r="AO673" i="1" s="1"/>
  <c r="AP673" i="1" s="1"/>
  <c r="V674" i="1"/>
  <c r="Y674" i="1"/>
  <c r="X674" i="1" s="1"/>
  <c r="AF674" i="1" s="1"/>
  <c r="AQ674" i="1"/>
  <c r="O674" i="1"/>
  <c r="AY674" i="1"/>
  <c r="AM675" i="1" l="1"/>
  <c r="P675" i="1"/>
  <c r="BE675" i="1" s="1"/>
  <c r="AG673" i="1"/>
  <c r="BA673" i="1" s="1"/>
  <c r="AH673" i="1"/>
  <c r="AT675" i="1"/>
  <c r="AS675" i="1" s="1"/>
  <c r="I675" i="1"/>
  <c r="Q675" i="1" s="1"/>
  <c r="N675" i="1"/>
  <c r="AX674" i="1" l="1"/>
  <c r="U674" i="1" s="1"/>
  <c r="AL674" i="1" s="1"/>
  <c r="AN674" i="1" s="1"/>
  <c r="AO674" i="1" s="1"/>
  <c r="AP674" i="1" s="1"/>
  <c r="V675" i="1"/>
  <c r="Y675" i="1"/>
  <c r="X675" i="1" s="1"/>
  <c r="AF675" i="1" s="1"/>
  <c r="AQ675" i="1"/>
  <c r="O675" i="1"/>
  <c r="AY675" i="1"/>
  <c r="I676" i="1" l="1"/>
  <c r="Q676" i="1" s="1"/>
  <c r="P676" i="1"/>
  <c r="BE676" i="1" s="1"/>
  <c r="AG674" i="1"/>
  <c r="BA674" i="1" s="1"/>
  <c r="AH674" i="1"/>
  <c r="AT676" i="1"/>
  <c r="AS676" i="1" s="1"/>
  <c r="AM676" i="1"/>
  <c r="N676" i="1"/>
  <c r="AX675" i="1" l="1"/>
  <c r="U675" i="1" s="1"/>
  <c r="AL675" i="1" s="1"/>
  <c r="AN675" i="1" s="1"/>
  <c r="AO675" i="1" s="1"/>
  <c r="AP675" i="1" s="1"/>
  <c r="V676" i="1"/>
  <c r="Y676" i="1"/>
  <c r="X676" i="1" s="1"/>
  <c r="AF676" i="1" s="1"/>
  <c r="O676" i="1"/>
  <c r="AM677" i="1" s="1"/>
  <c r="AY676" i="1"/>
  <c r="AQ676" i="1"/>
  <c r="N677" i="1" l="1"/>
  <c r="I677" i="1"/>
  <c r="Q677" i="1" s="1"/>
  <c r="P677" i="1"/>
  <c r="BE677" i="1" s="1"/>
  <c r="AT677" i="1"/>
  <c r="AS677" i="1" s="1"/>
  <c r="AG675" i="1"/>
  <c r="BA675" i="1" s="1"/>
  <c r="AH675" i="1"/>
  <c r="AX676" i="1" s="1"/>
  <c r="V677" i="1" l="1"/>
  <c r="Y677" i="1"/>
  <c r="X677" i="1" s="1"/>
  <c r="O677" i="1"/>
  <c r="P678" i="1" s="1"/>
  <c r="BE678" i="1" s="1"/>
  <c r="AY677" i="1"/>
  <c r="AQ677" i="1"/>
  <c r="U676" i="1"/>
  <c r="AL676" i="1" s="1"/>
  <c r="AN676" i="1" s="1"/>
  <c r="AO676" i="1" s="1"/>
  <c r="AP676" i="1" s="1"/>
  <c r="AF677" i="1" l="1"/>
  <c r="V678" i="1"/>
  <c r="Y678" i="1"/>
  <c r="X678" i="1" s="1"/>
  <c r="AF678" i="1" s="1"/>
  <c r="AT678" i="1"/>
  <c r="AS678" i="1" s="1"/>
  <c r="AQ678" i="1" s="1"/>
  <c r="I678" i="1"/>
  <c r="Q678" i="1" s="1"/>
  <c r="AM678" i="1"/>
  <c r="N678" i="1"/>
  <c r="AG676" i="1"/>
  <c r="BA676" i="1" s="1"/>
  <c r="AH676" i="1"/>
  <c r="AX677" i="1" s="1"/>
  <c r="AY678" i="1"/>
  <c r="AH677" i="1" l="1"/>
  <c r="AG677" i="1"/>
  <c r="BA677" i="1" s="1"/>
  <c r="O678" i="1"/>
  <c r="P679" i="1" s="1"/>
  <c r="BE679" i="1" s="1"/>
  <c r="U677" i="1"/>
  <c r="AL677" i="1" s="1"/>
  <c r="AN677" i="1" s="1"/>
  <c r="AO677" i="1" s="1"/>
  <c r="AP677" i="1" s="1"/>
  <c r="AX678" i="1" l="1"/>
  <c r="U678" i="1" s="1"/>
  <c r="AL678" i="1" s="1"/>
  <c r="AN678" i="1" s="1"/>
  <c r="AO678" i="1" s="1"/>
  <c r="AP678" i="1" s="1"/>
  <c r="V679" i="1"/>
  <c r="Y679" i="1"/>
  <c r="X679" i="1" s="1"/>
  <c r="AF679" i="1" s="1"/>
  <c r="AM679" i="1"/>
  <c r="N679" i="1"/>
  <c r="I679" i="1"/>
  <c r="Q679" i="1" s="1"/>
  <c r="AT679" i="1"/>
  <c r="AS679" i="1" s="1"/>
  <c r="AQ679" i="1" s="1"/>
  <c r="AH678" i="1"/>
  <c r="AG678" i="1"/>
  <c r="BA678" i="1" s="1"/>
  <c r="AY679" i="1"/>
  <c r="AX679" i="1" l="1"/>
  <c r="U679" i="1" s="1"/>
  <c r="AL679" i="1" s="1"/>
  <c r="AN679" i="1" s="1"/>
  <c r="AO679" i="1" s="1"/>
  <c r="AP679" i="1" s="1"/>
  <c r="O679" i="1"/>
  <c r="AM680" i="1" s="1"/>
  <c r="AT680" i="1" l="1"/>
  <c r="AS680" i="1" s="1"/>
  <c r="N680" i="1"/>
  <c r="I680" i="1"/>
  <c r="Q680" i="1" s="1"/>
  <c r="P680" i="1"/>
  <c r="BE680" i="1" s="1"/>
  <c r="AH679" i="1"/>
  <c r="AG679" i="1"/>
  <c r="BA679" i="1" s="1"/>
  <c r="V680" i="1" l="1"/>
  <c r="Y680" i="1"/>
  <c r="X680" i="1" s="1"/>
  <c r="AF680" i="1" s="1"/>
  <c r="O680" i="1"/>
  <c r="P681" i="1" s="1"/>
  <c r="BE681" i="1" s="1"/>
  <c r="AQ680" i="1"/>
  <c r="AY680" i="1"/>
  <c r="AX680" i="1" l="1"/>
  <c r="U680" i="1" s="1"/>
  <c r="AL680" i="1" s="1"/>
  <c r="AN680" i="1" s="1"/>
  <c r="AO680" i="1" s="1"/>
  <c r="AP680" i="1" s="1"/>
  <c r="V681" i="1"/>
  <c r="Y681" i="1"/>
  <c r="X681" i="1" s="1"/>
  <c r="AF681" i="1" s="1"/>
  <c r="AM681" i="1"/>
  <c r="N681" i="1"/>
  <c r="I681" i="1"/>
  <c r="Q681" i="1" s="1"/>
  <c r="AT681" i="1"/>
  <c r="AS681" i="1" s="1"/>
  <c r="AQ681" i="1" s="1"/>
  <c r="AH680" i="1"/>
  <c r="AG680" i="1"/>
  <c r="BA680" i="1" s="1"/>
  <c r="AY681" i="1"/>
  <c r="AX681" i="1" l="1"/>
  <c r="U681" i="1" s="1"/>
  <c r="AL681" i="1" s="1"/>
  <c r="AN681" i="1" s="1"/>
  <c r="AO681" i="1" s="1"/>
  <c r="AP681" i="1" s="1"/>
  <c r="O681" i="1"/>
  <c r="P682" i="1" s="1"/>
  <c r="BE682" i="1" s="1"/>
  <c r="AG681" i="1"/>
  <c r="V682" i="1" l="1"/>
  <c r="Y682" i="1"/>
  <c r="X682" i="1" s="1"/>
  <c r="AF682" i="1" s="1"/>
  <c r="N682" i="1"/>
  <c r="AT682" i="1"/>
  <c r="AS682" i="1" s="1"/>
  <c r="AQ682" i="1" s="1"/>
  <c r="AM682" i="1"/>
  <c r="I682" i="1"/>
  <c r="Q682" i="1" s="1"/>
  <c r="AY682" i="1"/>
  <c r="BA681" i="1"/>
  <c r="AH681" i="1"/>
  <c r="AX682" i="1" l="1"/>
  <c r="U682" i="1" s="1"/>
  <c r="AL682" i="1" s="1"/>
  <c r="AN682" i="1" s="1"/>
  <c r="AO682" i="1" s="1"/>
  <c r="AP682" i="1" s="1"/>
  <c r="O682" i="1"/>
  <c r="P683" i="1" s="1"/>
  <c r="BE683" i="1" s="1"/>
  <c r="V683" i="1" l="1"/>
  <c r="Y683" i="1"/>
  <c r="X683" i="1" s="1"/>
  <c r="AF683" i="1" s="1"/>
  <c r="AT683" i="1"/>
  <c r="AS683" i="1" s="1"/>
  <c r="AQ683" i="1" s="1"/>
  <c r="AM683" i="1"/>
  <c r="I683" i="1"/>
  <c r="Q683" i="1" s="1"/>
  <c r="N683" i="1"/>
  <c r="AY683" i="1"/>
  <c r="AH682" i="1"/>
  <c r="AG682" i="1"/>
  <c r="BA682" i="1" s="1"/>
  <c r="AX683" i="1" l="1"/>
  <c r="U683" i="1" s="1"/>
  <c r="AL683" i="1" s="1"/>
  <c r="AN683" i="1" s="1"/>
  <c r="AO683" i="1" s="1"/>
  <c r="AP683" i="1" s="1"/>
  <c r="O683" i="1"/>
  <c r="P684" i="1" s="1"/>
  <c r="BE684" i="1" s="1"/>
  <c r="V684" i="1" l="1"/>
  <c r="Y684" i="1"/>
  <c r="X684" i="1" s="1"/>
  <c r="AF684" i="1" s="1"/>
  <c r="AM684" i="1"/>
  <c r="I684" i="1"/>
  <c r="Q684" i="1" s="1"/>
  <c r="AT684" i="1"/>
  <c r="AS684" i="1" s="1"/>
  <c r="AQ684" i="1" s="1"/>
  <c r="N684" i="1"/>
  <c r="AG683" i="1"/>
  <c r="BA683" i="1" s="1"/>
  <c r="AH683" i="1"/>
  <c r="AY684" i="1"/>
  <c r="AX684" i="1" l="1"/>
  <c r="U684" i="1" s="1"/>
  <c r="AL684" i="1" s="1"/>
  <c r="AN684" i="1" s="1"/>
  <c r="AO684" i="1" s="1"/>
  <c r="O684" i="1"/>
  <c r="P685" i="1" s="1"/>
  <c r="BE685" i="1" s="1"/>
  <c r="V685" i="1" l="1"/>
  <c r="Y685" i="1"/>
  <c r="X685" i="1" s="1"/>
  <c r="AF685" i="1" s="1"/>
  <c r="N685" i="1"/>
  <c r="AM685" i="1"/>
  <c r="AT685" i="1"/>
  <c r="AS685" i="1" s="1"/>
  <c r="AQ685" i="1" s="1"/>
  <c r="I685" i="1"/>
  <c r="Q685" i="1" s="1"/>
  <c r="AH684" i="1"/>
  <c r="AG684" i="1"/>
  <c r="BA684" i="1" s="1"/>
  <c r="AY685" i="1"/>
  <c r="AX685" i="1" l="1"/>
  <c r="U685" i="1" s="1"/>
  <c r="AL685" i="1" s="1"/>
  <c r="AN685" i="1" s="1"/>
  <c r="AO685" i="1" s="1"/>
  <c r="AP685" i="1" s="1"/>
  <c r="O685" i="1"/>
  <c r="P686" i="1" s="1"/>
  <c r="BE686" i="1" s="1"/>
  <c r="V686" i="1" l="1"/>
  <c r="Y686" i="1"/>
  <c r="X686" i="1" s="1"/>
  <c r="AF686" i="1" s="1"/>
  <c r="AT686" i="1"/>
  <c r="AS686" i="1" s="1"/>
  <c r="AQ686" i="1" s="1"/>
  <c r="AM686" i="1"/>
  <c r="I686" i="1"/>
  <c r="Q686" i="1" s="1"/>
  <c r="N686" i="1"/>
  <c r="AH685" i="1"/>
  <c r="AG685" i="1"/>
  <c r="BA685" i="1" s="1"/>
  <c r="AY686" i="1"/>
  <c r="AX686" i="1" l="1"/>
  <c r="U686" i="1" s="1"/>
  <c r="AL686" i="1" s="1"/>
  <c r="AN686" i="1" s="1"/>
  <c r="AO686" i="1" s="1"/>
  <c r="AP686" i="1" s="1"/>
  <c r="O686" i="1"/>
  <c r="P687" i="1" s="1"/>
  <c r="BE687" i="1" s="1"/>
  <c r="N687" i="1" l="1"/>
  <c r="AT687" i="1"/>
  <c r="AS687" i="1" s="1"/>
  <c r="AQ687" i="1" s="1"/>
  <c r="AM687" i="1"/>
  <c r="I687" i="1"/>
  <c r="Q687" i="1" s="1"/>
  <c r="V687" i="1"/>
  <c r="Y687" i="1"/>
  <c r="X687" i="1" s="1"/>
  <c r="AF687" i="1" s="1"/>
  <c r="AH686" i="1"/>
  <c r="AG686" i="1"/>
  <c r="BA686" i="1" s="1"/>
  <c r="AY687" i="1"/>
  <c r="AX687" i="1" l="1"/>
  <c r="U687" i="1" s="1"/>
  <c r="AL687" i="1" s="1"/>
  <c r="AN687" i="1" s="1"/>
  <c r="AO687" i="1" s="1"/>
  <c r="AP687" i="1" s="1"/>
  <c r="O687" i="1"/>
  <c r="P688" i="1" s="1"/>
  <c r="BE688" i="1" s="1"/>
  <c r="AG687" i="1"/>
  <c r="V688" i="1" l="1"/>
  <c r="AM688" i="1"/>
  <c r="AT688" i="1"/>
  <c r="AS688" i="1" s="1"/>
  <c r="AQ688" i="1" s="1"/>
  <c r="N688" i="1"/>
  <c r="I688" i="1"/>
  <c r="Q688" i="1" s="1"/>
  <c r="Y688" i="1"/>
  <c r="X688" i="1" s="1"/>
  <c r="AF688" i="1" s="1"/>
  <c r="AY688" i="1"/>
  <c r="BA687" i="1"/>
  <c r="AH687" i="1"/>
  <c r="AX688" i="1" l="1"/>
  <c r="U688" i="1" s="1"/>
  <c r="AL688" i="1" s="1"/>
  <c r="AN688" i="1" s="1"/>
  <c r="AO688" i="1" s="1"/>
  <c r="AP688" i="1" s="1"/>
  <c r="O688" i="1"/>
  <c r="P689" i="1" s="1"/>
  <c r="BE689" i="1" s="1"/>
  <c r="V689" i="1" l="1"/>
  <c r="I689" i="1"/>
  <c r="Q689" i="1" s="1"/>
  <c r="AM689" i="1"/>
  <c r="N689" i="1"/>
  <c r="Y689" i="1"/>
  <c r="X689" i="1" s="1"/>
  <c r="AF689" i="1" s="1"/>
  <c r="AT689" i="1"/>
  <c r="AS689" i="1" s="1"/>
  <c r="AQ689" i="1" s="1"/>
  <c r="AH688" i="1"/>
  <c r="AG688" i="1"/>
  <c r="BA688" i="1" s="1"/>
  <c r="AY689" i="1"/>
  <c r="AX689" i="1" l="1"/>
  <c r="U689" i="1" s="1"/>
  <c r="AL689" i="1" s="1"/>
  <c r="AN689" i="1" s="1"/>
  <c r="AO689" i="1" s="1"/>
  <c r="AP689" i="1" s="1"/>
  <c r="O689" i="1"/>
  <c r="P690" i="1" s="1"/>
  <c r="BE690" i="1" s="1"/>
  <c r="AM690" i="1" l="1"/>
  <c r="AT690" i="1"/>
  <c r="AS690" i="1" s="1"/>
  <c r="AQ690" i="1" s="1"/>
  <c r="N690" i="1"/>
  <c r="I690" i="1"/>
  <c r="Q690" i="1" s="1"/>
  <c r="V690" i="1"/>
  <c r="Y690" i="1"/>
  <c r="X690" i="1" s="1"/>
  <c r="AF690" i="1" s="1"/>
  <c r="AY690" i="1"/>
  <c r="AH689" i="1"/>
  <c r="AG689" i="1"/>
  <c r="BA689" i="1" s="1"/>
  <c r="AX690" i="1" l="1"/>
  <c r="U690" i="1" s="1"/>
  <c r="AL690" i="1" s="1"/>
  <c r="AN690" i="1" s="1"/>
  <c r="AO690" i="1" s="1"/>
  <c r="AP690" i="1" s="1"/>
  <c r="O690" i="1"/>
  <c r="I691" i="1" s="1"/>
  <c r="Q691" i="1" s="1"/>
  <c r="P691" i="1" l="1"/>
  <c r="BE691" i="1" s="1"/>
  <c r="AT691" i="1"/>
  <c r="AS691" i="1" s="1"/>
  <c r="N691" i="1"/>
  <c r="O691" i="1" s="1"/>
  <c r="AM691" i="1"/>
  <c r="AH690" i="1"/>
  <c r="AG690" i="1"/>
  <c r="BA690" i="1" s="1"/>
  <c r="V691" i="1" l="1"/>
  <c r="Y691" i="1"/>
  <c r="X691" i="1" s="1"/>
  <c r="AF691" i="1" s="1"/>
  <c r="AY691" i="1"/>
  <c r="AQ691" i="1"/>
  <c r="AT692" i="1"/>
  <c r="AS692" i="1" s="1"/>
  <c r="P692" i="1"/>
  <c r="BE692" i="1" s="1"/>
  <c r="I692" i="1"/>
  <c r="Q692" i="1" s="1"/>
  <c r="N692" i="1"/>
  <c r="AM692" i="1"/>
  <c r="AX691" i="1" l="1"/>
  <c r="U691" i="1" s="1"/>
  <c r="AL691" i="1" s="1"/>
  <c r="AN691" i="1" s="1"/>
  <c r="AO691" i="1" s="1"/>
  <c r="AP691" i="1" s="1"/>
  <c r="V692" i="1"/>
  <c r="Y692" i="1"/>
  <c r="X692" i="1" s="1"/>
  <c r="AF692" i="1" s="1"/>
  <c r="AQ692" i="1"/>
  <c r="AH691" i="1"/>
  <c r="AG691" i="1"/>
  <c r="BA691" i="1" s="1"/>
  <c r="AY692" i="1"/>
  <c r="O692" i="1"/>
  <c r="P693" i="1" s="1"/>
  <c r="BE693" i="1" s="1"/>
  <c r="AX692" i="1" l="1"/>
  <c r="U692" i="1" s="1"/>
  <c r="AL692" i="1" s="1"/>
  <c r="AN692" i="1" s="1"/>
  <c r="AO692" i="1" s="1"/>
  <c r="AP692" i="1" s="1"/>
  <c r="V693" i="1"/>
  <c r="Y693" i="1"/>
  <c r="X693" i="1" s="1"/>
  <c r="AF693" i="1" s="1"/>
  <c r="AT693" i="1"/>
  <c r="AS693" i="1" s="1"/>
  <c r="AM693" i="1"/>
  <c r="I693" i="1"/>
  <c r="Q693" i="1" s="1"/>
  <c r="N693" i="1"/>
  <c r="AQ693" i="1" l="1"/>
  <c r="AH692" i="1"/>
  <c r="AG692" i="1"/>
  <c r="BA692" i="1" s="1"/>
  <c r="AY693" i="1"/>
  <c r="O693" i="1"/>
  <c r="AX693" i="1" l="1"/>
  <c r="U693" i="1" s="1"/>
  <c r="AL693" i="1" s="1"/>
  <c r="AN693" i="1" s="1"/>
  <c r="AO693" i="1" s="1"/>
  <c r="AP693" i="1" s="1"/>
  <c r="N694" i="1"/>
  <c r="P694" i="1"/>
  <c r="BE694" i="1" s="1"/>
  <c r="AG693" i="1"/>
  <c r="AT694" i="1"/>
  <c r="AS694" i="1" s="1"/>
  <c r="AM694" i="1"/>
  <c r="I694" i="1"/>
  <c r="Q694" i="1" s="1"/>
  <c r="V694" i="1" l="1"/>
  <c r="Y694" i="1"/>
  <c r="X694" i="1" s="1"/>
  <c r="AF694" i="1" s="1"/>
  <c r="AQ694" i="1"/>
  <c r="BA693" i="1"/>
  <c r="AH693" i="1"/>
  <c r="AY694" i="1"/>
  <c r="O694" i="1"/>
  <c r="AX694" i="1" l="1"/>
  <c r="U694" i="1" s="1"/>
  <c r="AL694" i="1" s="1"/>
  <c r="AN694" i="1" s="1"/>
  <c r="AO694" i="1" s="1"/>
  <c r="AP694" i="1" s="1"/>
  <c r="AM695" i="1"/>
  <c r="P695" i="1"/>
  <c r="BE695" i="1" s="1"/>
  <c r="AT695" i="1"/>
  <c r="AS695" i="1" s="1"/>
  <c r="I695" i="1"/>
  <c r="Q695" i="1" s="1"/>
  <c r="N695" i="1"/>
  <c r="V695" i="1" l="1"/>
  <c r="Y695" i="1"/>
  <c r="X695" i="1" s="1"/>
  <c r="AF695" i="1" s="1"/>
  <c r="AQ695" i="1"/>
  <c r="AH694" i="1"/>
  <c r="AG694" i="1"/>
  <c r="BA694" i="1" s="1"/>
  <c r="AY695" i="1"/>
  <c r="O695" i="1"/>
  <c r="P696" i="1" s="1"/>
  <c r="BE696" i="1" s="1"/>
  <c r="AX695" i="1" l="1"/>
  <c r="U695" i="1" s="1"/>
  <c r="AL695" i="1" s="1"/>
  <c r="AN695" i="1" s="1"/>
  <c r="AO695" i="1" s="1"/>
  <c r="AP695" i="1" s="1"/>
  <c r="V696" i="1"/>
  <c r="Y696" i="1"/>
  <c r="X696" i="1" s="1"/>
  <c r="AF696" i="1" s="1"/>
  <c r="AT696" i="1"/>
  <c r="AS696" i="1" s="1"/>
  <c r="N696" i="1"/>
  <c r="AM696" i="1"/>
  <c r="I696" i="1"/>
  <c r="Q696" i="1" s="1"/>
  <c r="AQ696" i="1" l="1"/>
  <c r="AH695" i="1"/>
  <c r="AG695" i="1"/>
  <c r="BA695" i="1" s="1"/>
  <c r="AY696" i="1"/>
  <c r="O696" i="1"/>
  <c r="AX696" i="1" l="1"/>
  <c r="U696" i="1" s="1"/>
  <c r="AL696" i="1" s="1"/>
  <c r="AN696" i="1" s="1"/>
  <c r="AO696" i="1" s="1"/>
  <c r="AT697" i="1"/>
  <c r="AS697" i="1" s="1"/>
  <c r="P697" i="1"/>
  <c r="BE697" i="1" s="1"/>
  <c r="AM697" i="1"/>
  <c r="I697" i="1"/>
  <c r="Q697" i="1" s="1"/>
  <c r="N697" i="1"/>
  <c r="V697" i="1" l="1"/>
  <c r="Y697" i="1"/>
  <c r="X697" i="1" s="1"/>
  <c r="AF697" i="1" s="1"/>
  <c r="AQ697" i="1"/>
  <c r="AH696" i="1"/>
  <c r="AG696" i="1"/>
  <c r="BA696" i="1" s="1"/>
  <c r="AY697" i="1"/>
  <c r="O697" i="1"/>
  <c r="AX697" i="1" l="1"/>
  <c r="U697" i="1" s="1"/>
  <c r="AL697" i="1" s="1"/>
  <c r="AN697" i="1" s="1"/>
  <c r="AO697" i="1" s="1"/>
  <c r="AP697" i="1" s="1"/>
  <c r="P698" i="1"/>
  <c r="BE698" i="1" s="1"/>
  <c r="AG697" i="1"/>
  <c r="I698" i="1"/>
  <c r="Q698" i="1" s="1"/>
  <c r="AM698" i="1"/>
  <c r="N698" i="1"/>
  <c r="AT698" i="1"/>
  <c r="AS698" i="1" s="1"/>
  <c r="V698" i="1" l="1"/>
  <c r="Y698" i="1"/>
  <c r="X698" i="1" s="1"/>
  <c r="AF698" i="1" s="1"/>
  <c r="AQ698" i="1"/>
  <c r="AY698" i="1"/>
  <c r="BA697" i="1"/>
  <c r="AH697" i="1"/>
  <c r="O698" i="1"/>
  <c r="AX698" i="1" l="1"/>
  <c r="U698" i="1" s="1"/>
  <c r="AL698" i="1" s="1"/>
  <c r="AN698" i="1" s="1"/>
  <c r="AO698" i="1" s="1"/>
  <c r="AP698" i="1" s="1"/>
  <c r="N699" i="1"/>
  <c r="P699" i="1"/>
  <c r="BE699" i="1" s="1"/>
  <c r="AG698" i="1"/>
  <c r="BA698" i="1" s="1"/>
  <c r="AT699" i="1"/>
  <c r="AS699" i="1" s="1"/>
  <c r="AM699" i="1"/>
  <c r="AH698" i="1"/>
  <c r="I699" i="1"/>
  <c r="Q699" i="1" s="1"/>
  <c r="V699" i="1" l="1"/>
  <c r="Y699" i="1"/>
  <c r="X699" i="1" s="1"/>
  <c r="AF699" i="1" s="1"/>
  <c r="AQ699" i="1"/>
  <c r="O699" i="1"/>
  <c r="AY699" i="1"/>
  <c r="AX699" i="1" l="1"/>
  <c r="U699" i="1" s="1"/>
  <c r="AL699" i="1" s="1"/>
  <c r="AN699" i="1" s="1"/>
  <c r="AO699" i="1" s="1"/>
  <c r="AP699" i="1" s="1"/>
  <c r="N700" i="1"/>
  <c r="P700" i="1"/>
  <c r="BE700" i="1" s="1"/>
  <c r="AM700" i="1"/>
  <c r="AT700" i="1"/>
  <c r="AS700" i="1" s="1"/>
  <c r="I700" i="1"/>
  <c r="Q700" i="1" s="1"/>
  <c r="AG699" i="1"/>
  <c r="V700" i="1" l="1"/>
  <c r="Y700" i="1"/>
  <c r="X700" i="1" s="1"/>
  <c r="AF700" i="1" s="1"/>
  <c r="AY700" i="1"/>
  <c r="AQ700" i="1"/>
  <c r="O700" i="1"/>
  <c r="BA699" i="1"/>
  <c r="AH699" i="1"/>
  <c r="AX700" i="1" l="1"/>
  <c r="U700" i="1" s="1"/>
  <c r="AL700" i="1" s="1"/>
  <c r="AN700" i="1" s="1"/>
  <c r="AO700" i="1" s="1"/>
  <c r="AP700" i="1" s="1"/>
  <c r="AT701" i="1"/>
  <c r="AS701" i="1" s="1"/>
  <c r="P701" i="1"/>
  <c r="BE701" i="1" s="1"/>
  <c r="I701" i="1"/>
  <c r="Q701" i="1" s="1"/>
  <c r="AM701" i="1"/>
  <c r="N701" i="1"/>
  <c r="V701" i="1" l="1"/>
  <c r="Y701" i="1"/>
  <c r="X701" i="1" s="1"/>
  <c r="AF701" i="1" s="1"/>
  <c r="AY701" i="1"/>
  <c r="AQ701" i="1"/>
  <c r="O701" i="1"/>
  <c r="I702" i="1" l="1"/>
  <c r="Q702" i="1" s="1"/>
  <c r="P702" i="1"/>
  <c r="BE702" i="1" s="1"/>
  <c r="AG701" i="1"/>
  <c r="BA701" i="1" s="1"/>
  <c r="AG700" i="1"/>
  <c r="BA700" i="1" s="1"/>
  <c r="AH700" i="1"/>
  <c r="AX701" i="1" s="1"/>
  <c r="AM702" i="1"/>
  <c r="AT702" i="1"/>
  <c r="AS702" i="1" s="1"/>
  <c r="N702" i="1"/>
  <c r="O702" i="1" l="1"/>
  <c r="P703" i="1" s="1"/>
  <c r="BE703" i="1" s="1"/>
  <c r="V702" i="1"/>
  <c r="Y702" i="1"/>
  <c r="X702" i="1" s="1"/>
  <c r="AF702" i="1" s="1"/>
  <c r="AH701" i="1"/>
  <c r="U701" i="1"/>
  <c r="AL701" i="1" s="1"/>
  <c r="AN701" i="1" s="1"/>
  <c r="AO701" i="1" s="1"/>
  <c r="AP701" i="1" s="1"/>
  <c r="AQ702" i="1"/>
  <c r="AY702" i="1"/>
  <c r="AX702" i="1" l="1"/>
  <c r="U702" i="1" s="1"/>
  <c r="AL702" i="1" s="1"/>
  <c r="AN702" i="1" s="1"/>
  <c r="AO702" i="1" s="1"/>
  <c r="AP702" i="1" s="1"/>
  <c r="Y703" i="1"/>
  <c r="X703" i="1" s="1"/>
  <c r="AF703" i="1" s="1"/>
  <c r="AT703" i="1"/>
  <c r="AS703" i="1" s="1"/>
  <c r="AQ703" i="1" s="1"/>
  <c r="N703" i="1"/>
  <c r="V703" i="1"/>
  <c r="I703" i="1"/>
  <c r="Q703" i="1" s="1"/>
  <c r="AM703" i="1"/>
  <c r="AY703" i="1"/>
  <c r="O703" i="1" l="1"/>
  <c r="P704" i="1" s="1"/>
  <c r="BE704" i="1" s="1"/>
  <c r="V704" i="1" l="1"/>
  <c r="I704" i="1"/>
  <c r="Q704" i="1" s="1"/>
  <c r="AT704" i="1"/>
  <c r="AS704" i="1" s="1"/>
  <c r="AQ704" i="1" s="1"/>
  <c r="N704" i="1"/>
  <c r="AM704" i="1"/>
  <c r="Y704" i="1"/>
  <c r="X704" i="1" s="1"/>
  <c r="AF704" i="1" s="1"/>
  <c r="AH702" i="1"/>
  <c r="AX703" i="1" s="1"/>
  <c r="AG702" i="1"/>
  <c r="BA702" i="1" s="1"/>
  <c r="AH703" i="1"/>
  <c r="AG703" i="1"/>
  <c r="BA703" i="1" s="1"/>
  <c r="AY704" i="1"/>
  <c r="O704" i="1" l="1"/>
  <c r="P705" i="1" s="1"/>
  <c r="BE705" i="1" s="1"/>
  <c r="U703" i="1"/>
  <c r="AL703" i="1" s="1"/>
  <c r="AN703" i="1" s="1"/>
  <c r="AO703" i="1" s="1"/>
  <c r="AP703" i="1" s="1"/>
  <c r="AX704" i="1" s="1"/>
  <c r="AG704" i="1"/>
  <c r="V705" i="1" l="1"/>
  <c r="AT705" i="1"/>
  <c r="AS705" i="1" s="1"/>
  <c r="AQ705" i="1" s="1"/>
  <c r="N705" i="1"/>
  <c r="I705" i="1"/>
  <c r="Q705" i="1" s="1"/>
  <c r="AM705" i="1"/>
  <c r="Y705" i="1"/>
  <c r="X705" i="1" s="1"/>
  <c r="AF705" i="1" s="1"/>
  <c r="U704" i="1"/>
  <c r="AL704" i="1" s="1"/>
  <c r="AN704" i="1" s="1"/>
  <c r="AO704" i="1" s="1"/>
  <c r="AP704" i="1" s="1"/>
  <c r="AY705" i="1"/>
  <c r="BA704" i="1"/>
  <c r="AH704" i="1"/>
  <c r="AX705" i="1" l="1"/>
  <c r="U705" i="1" s="1"/>
  <c r="AL705" i="1" s="1"/>
  <c r="AN705" i="1" s="1"/>
  <c r="AO705" i="1" s="1"/>
  <c r="AP705" i="1" s="1"/>
  <c r="O705" i="1"/>
  <c r="P706" i="1" s="1"/>
  <c r="BE706" i="1" s="1"/>
  <c r="AG705" i="1"/>
  <c r="V706" i="1" l="1"/>
  <c r="AM706" i="1"/>
  <c r="N706" i="1"/>
  <c r="I706" i="1"/>
  <c r="Q706" i="1" s="1"/>
  <c r="Y706" i="1"/>
  <c r="X706" i="1" s="1"/>
  <c r="AF706" i="1" s="1"/>
  <c r="AT706" i="1"/>
  <c r="AS706" i="1" s="1"/>
  <c r="AQ706" i="1" s="1"/>
  <c r="BA705" i="1"/>
  <c r="AY706" i="1"/>
  <c r="AH705" i="1"/>
  <c r="AX706" i="1" l="1"/>
  <c r="U706" i="1" s="1"/>
  <c r="AL706" i="1" s="1"/>
  <c r="AN706" i="1" s="1"/>
  <c r="AO706" i="1" s="1"/>
  <c r="AP706" i="1" s="1"/>
  <c r="O706" i="1"/>
  <c r="N707" i="1" s="1"/>
  <c r="I707" i="1" l="1"/>
  <c r="Q707" i="1" s="1"/>
  <c r="AT707" i="1"/>
  <c r="AS707" i="1" s="1"/>
  <c r="AM707" i="1"/>
  <c r="P707" i="1"/>
  <c r="BE707" i="1" s="1"/>
  <c r="AH706" i="1"/>
  <c r="AG706" i="1"/>
  <c r="BA706" i="1" s="1"/>
  <c r="O707" i="1" l="1"/>
  <c r="AM708" i="1" s="1"/>
  <c r="AQ707" i="1"/>
  <c r="Y707" i="1"/>
  <c r="X707" i="1" s="1"/>
  <c r="AF707" i="1" s="1"/>
  <c r="AG707" i="1" s="1"/>
  <c r="AY707" i="1"/>
  <c r="V707" i="1"/>
  <c r="AX707" i="1" l="1"/>
  <c r="U707" i="1" s="1"/>
  <c r="AL707" i="1" s="1"/>
  <c r="AN707" i="1" s="1"/>
  <c r="AO707" i="1" s="1"/>
  <c r="AP707" i="1" s="1"/>
  <c r="I708" i="1"/>
  <c r="Q708" i="1" s="1"/>
  <c r="AT708" i="1"/>
  <c r="AS708" i="1" s="1"/>
  <c r="P708" i="1"/>
  <c r="BE708" i="1" s="1"/>
  <c r="N708" i="1"/>
  <c r="BA707" i="1"/>
  <c r="AH707" i="1"/>
  <c r="O708" i="1" l="1"/>
  <c r="P709" i="1" s="1"/>
  <c r="BE709" i="1" s="1"/>
  <c r="AQ708" i="1"/>
  <c r="Y708" i="1"/>
  <c r="X708" i="1" s="1"/>
  <c r="AF708" i="1" s="1"/>
  <c r="V708" i="1"/>
  <c r="AY708" i="1"/>
  <c r="AX708" i="1" l="1"/>
  <c r="U708" i="1" s="1"/>
  <c r="AL708" i="1" s="1"/>
  <c r="AN708" i="1" s="1"/>
  <c r="AO708" i="1" s="1"/>
  <c r="V709" i="1"/>
  <c r="AT709" i="1"/>
  <c r="AS709" i="1" s="1"/>
  <c r="AQ709" i="1" s="1"/>
  <c r="I709" i="1"/>
  <c r="Q709" i="1" s="1"/>
  <c r="N709" i="1"/>
  <c r="AM709" i="1"/>
  <c r="Y709" i="1"/>
  <c r="X709" i="1" s="1"/>
  <c r="AF709" i="1" s="1"/>
  <c r="AH708" i="1"/>
  <c r="AG708" i="1"/>
  <c r="BA708" i="1" s="1"/>
  <c r="AY709" i="1"/>
  <c r="AX709" i="1" l="1"/>
  <c r="U709" i="1" s="1"/>
  <c r="AL709" i="1" s="1"/>
  <c r="AN709" i="1" s="1"/>
  <c r="AO709" i="1" s="1"/>
  <c r="AP709" i="1" s="1"/>
  <c r="O709" i="1"/>
  <c r="P710" i="1" s="1"/>
  <c r="BE710" i="1" s="1"/>
  <c r="AG709" i="1"/>
  <c r="Y710" i="1" l="1"/>
  <c r="X710" i="1" s="1"/>
  <c r="AF710" i="1" s="1"/>
  <c r="AT710" i="1"/>
  <c r="AS710" i="1" s="1"/>
  <c r="AQ710" i="1" s="1"/>
  <c r="I710" i="1"/>
  <c r="Q710" i="1" s="1"/>
  <c r="N710" i="1"/>
  <c r="AM710" i="1"/>
  <c r="V710" i="1"/>
  <c r="BA709" i="1"/>
  <c r="AH709" i="1"/>
  <c r="AY710" i="1"/>
  <c r="AX710" i="1" l="1"/>
  <c r="U710" i="1" s="1"/>
  <c r="AL710" i="1" s="1"/>
  <c r="AN710" i="1" s="1"/>
  <c r="AO710" i="1" s="1"/>
  <c r="AP710" i="1" s="1"/>
  <c r="O710" i="1"/>
  <c r="P711" i="1" s="1"/>
  <c r="BE711" i="1" s="1"/>
  <c r="I711" i="1" l="1"/>
  <c r="Q711" i="1" s="1"/>
  <c r="AT711" i="1"/>
  <c r="AS711" i="1" s="1"/>
  <c r="AQ711" i="1" s="1"/>
  <c r="AM711" i="1"/>
  <c r="N711" i="1"/>
  <c r="V711" i="1"/>
  <c r="Y711" i="1"/>
  <c r="X711" i="1" s="1"/>
  <c r="AF711" i="1" s="1"/>
  <c r="AY711" i="1"/>
  <c r="AH710" i="1"/>
  <c r="AG710" i="1"/>
  <c r="BA710" i="1" s="1"/>
  <c r="AX711" i="1" l="1"/>
  <c r="U711" i="1" s="1"/>
  <c r="AL711" i="1" s="1"/>
  <c r="AN711" i="1" s="1"/>
  <c r="AO711" i="1" s="1"/>
  <c r="AP711" i="1" s="1"/>
  <c r="O711" i="1"/>
  <c r="N712" i="1" s="1"/>
  <c r="AG711" i="1"/>
  <c r="BA711" i="1" s="1"/>
  <c r="P712" i="1" l="1"/>
  <c r="BE712" i="1" s="1"/>
  <c r="AT712" i="1"/>
  <c r="AS712" i="1" s="1"/>
  <c r="AM712" i="1"/>
  <c r="I712" i="1"/>
  <c r="Q712" i="1" s="1"/>
  <c r="AH711" i="1"/>
  <c r="Y712" i="1" l="1"/>
  <c r="X712" i="1" s="1"/>
  <c r="AF712" i="1" s="1"/>
  <c r="AY712" i="1"/>
  <c r="AQ712" i="1"/>
  <c r="V712" i="1"/>
  <c r="O712" i="1"/>
  <c r="AM713" i="1" s="1"/>
  <c r="AX712" i="1" l="1"/>
  <c r="U712" i="1" s="1"/>
  <c r="AL712" i="1" s="1"/>
  <c r="AN712" i="1" s="1"/>
  <c r="AO712" i="1" s="1"/>
  <c r="AP712" i="1" s="1"/>
  <c r="AT713" i="1"/>
  <c r="AS713" i="1" s="1"/>
  <c r="I713" i="1"/>
  <c r="Q713" i="1" s="1"/>
  <c r="N713" i="1"/>
  <c r="P713" i="1"/>
  <c r="BE713" i="1" s="1"/>
  <c r="AH712" i="1"/>
  <c r="AG712" i="1"/>
  <c r="BA712" i="1" s="1"/>
  <c r="V713" i="1" l="1"/>
  <c r="O713" i="1"/>
  <c r="P714" i="1" s="1"/>
  <c r="BE714" i="1" s="1"/>
  <c r="AQ713" i="1"/>
  <c r="AY713" i="1"/>
  <c r="Y713" i="1"/>
  <c r="X713" i="1" s="1"/>
  <c r="AF713" i="1" s="1"/>
  <c r="AX713" i="1" l="1"/>
  <c r="U713" i="1" s="1"/>
  <c r="AL713" i="1" s="1"/>
  <c r="AN713" i="1" s="1"/>
  <c r="AO713" i="1" s="1"/>
  <c r="AP713" i="1" s="1"/>
  <c r="I714" i="1"/>
  <c r="Q714" i="1" s="1"/>
  <c r="N714" i="1"/>
  <c r="AM714" i="1"/>
  <c r="AT714" i="1"/>
  <c r="AS714" i="1" s="1"/>
  <c r="AQ714" i="1" s="1"/>
  <c r="V714" i="1"/>
  <c r="Y714" i="1"/>
  <c r="X714" i="1" s="1"/>
  <c r="AF714" i="1" s="1"/>
  <c r="AH713" i="1"/>
  <c r="AG713" i="1"/>
  <c r="BA713" i="1" s="1"/>
  <c r="AY714" i="1"/>
  <c r="AX714" i="1" l="1"/>
  <c r="U714" i="1" s="1"/>
  <c r="AL714" i="1" s="1"/>
  <c r="AN714" i="1" s="1"/>
  <c r="AO714" i="1" s="1"/>
  <c r="AP714" i="1" s="1"/>
  <c r="O714" i="1"/>
  <c r="N715" i="1" s="1"/>
  <c r="AG714" i="1"/>
  <c r="I715" i="1" l="1"/>
  <c r="Q715" i="1" s="1"/>
  <c r="P715" i="1"/>
  <c r="BE715" i="1" s="1"/>
  <c r="AT715" i="1"/>
  <c r="AS715" i="1" s="1"/>
  <c r="AM715" i="1"/>
  <c r="BA714" i="1"/>
  <c r="AH714" i="1"/>
  <c r="O715" i="1" l="1"/>
  <c r="AM716" i="1" s="1"/>
  <c r="AY715" i="1"/>
  <c r="V715" i="1"/>
  <c r="Y715" i="1"/>
  <c r="X715" i="1" s="1"/>
  <c r="AF715" i="1" s="1"/>
  <c r="AQ715" i="1"/>
  <c r="AX715" i="1" l="1"/>
  <c r="U715" i="1" s="1"/>
  <c r="AL715" i="1" s="1"/>
  <c r="AN715" i="1" s="1"/>
  <c r="AO715" i="1" s="1"/>
  <c r="AP715" i="1" s="1"/>
  <c r="AT716" i="1"/>
  <c r="AS716" i="1" s="1"/>
  <c r="I716" i="1"/>
  <c r="Q716" i="1" s="1"/>
  <c r="P716" i="1"/>
  <c r="BE716" i="1" s="1"/>
  <c r="N716" i="1"/>
  <c r="O716" i="1" l="1"/>
  <c r="P717" i="1" s="1"/>
  <c r="V716" i="1"/>
  <c r="Y716" i="1"/>
  <c r="X716" i="1" s="1"/>
  <c r="AF716" i="1" s="1"/>
  <c r="AY716" i="1"/>
  <c r="AQ716" i="1"/>
  <c r="AG715" i="1"/>
  <c r="BA715" i="1" s="1"/>
  <c r="AH715" i="1"/>
  <c r="Y717" i="1" l="1"/>
  <c r="BE717" i="1"/>
  <c r="AX716" i="1"/>
  <c r="U716" i="1" s="1"/>
  <c r="AL716" i="1" s="1"/>
  <c r="AN716" i="1" s="1"/>
  <c r="AO716" i="1" s="1"/>
  <c r="AP716" i="1" s="1"/>
  <c r="AY717" i="1"/>
  <c r="X717" i="1"/>
  <c r="AF717" i="1" s="1"/>
  <c r="AH716" i="1"/>
  <c r="I717" i="1"/>
  <c r="Q717" i="1" s="1"/>
  <c r="AM717" i="1"/>
  <c r="AT717" i="1"/>
  <c r="AS717" i="1" s="1"/>
  <c r="AQ717" i="1" s="1"/>
  <c r="V717" i="1"/>
  <c r="N717" i="1"/>
  <c r="AG716" i="1"/>
  <c r="BA716" i="1" s="1"/>
  <c r="AX717" i="1" l="1"/>
  <c r="U717" i="1" s="1"/>
  <c r="AL717" i="1" s="1"/>
  <c r="AN717" i="1" s="1"/>
  <c r="AO717" i="1" s="1"/>
  <c r="AP717" i="1" s="1"/>
  <c r="O717" i="1"/>
  <c r="P718" i="1" s="1"/>
  <c r="BE718" i="1" s="1"/>
  <c r="AG717" i="1"/>
  <c r="BA717" i="1" s="1"/>
  <c r="AT718" i="1" l="1"/>
  <c r="AS718" i="1" s="1"/>
  <c r="AQ718" i="1" s="1"/>
  <c r="V718" i="1"/>
  <c r="N718" i="1"/>
  <c r="AM718" i="1"/>
  <c r="Y718" i="1"/>
  <c r="X718" i="1" s="1"/>
  <c r="AF718" i="1" s="1"/>
  <c r="AH717" i="1"/>
  <c r="I718" i="1"/>
  <c r="Q718" i="1" s="1"/>
  <c r="AY718" i="1"/>
  <c r="AX718" i="1" l="1"/>
  <c r="U718" i="1" s="1"/>
  <c r="AL718" i="1" s="1"/>
  <c r="AN718" i="1" s="1"/>
  <c r="AO718" i="1" s="1"/>
  <c r="AP718" i="1" s="1"/>
  <c r="O718" i="1"/>
  <c r="N719" i="1" s="1"/>
  <c r="AG718" i="1"/>
  <c r="BA718" i="1" s="1"/>
  <c r="AT719" i="1" l="1"/>
  <c r="AS719" i="1" s="1"/>
  <c r="P719" i="1"/>
  <c r="BE719" i="1" s="1"/>
  <c r="AM719" i="1"/>
  <c r="I719" i="1"/>
  <c r="Q719" i="1" s="1"/>
  <c r="AH718" i="1"/>
  <c r="Y719" i="1" l="1"/>
  <c r="X719" i="1" s="1"/>
  <c r="AF719" i="1" s="1"/>
  <c r="AG719" i="1" s="1"/>
  <c r="V719" i="1"/>
  <c r="AY719" i="1"/>
  <c r="AQ719" i="1"/>
  <c r="O719" i="1"/>
  <c r="P720" i="1" s="1"/>
  <c r="BE720" i="1" s="1"/>
  <c r="AX719" i="1" l="1"/>
  <c r="U719" i="1" s="1"/>
  <c r="AL719" i="1" s="1"/>
  <c r="AN719" i="1" s="1"/>
  <c r="AO719" i="1" s="1"/>
  <c r="AP719" i="1" s="1"/>
  <c r="BA719" i="1"/>
  <c r="AY720" i="1"/>
  <c r="AH719" i="1"/>
  <c r="Y720" i="1"/>
  <c r="X720" i="1" s="1"/>
  <c r="AF720" i="1" s="1"/>
  <c r="N720" i="1"/>
  <c r="I720" i="1"/>
  <c r="Q720" i="1" s="1"/>
  <c r="V720" i="1"/>
  <c r="AT720" i="1"/>
  <c r="AS720" i="1" s="1"/>
  <c r="AQ720" i="1" s="1"/>
  <c r="AM720" i="1"/>
  <c r="AX720" i="1" l="1"/>
  <c r="U720" i="1" s="1"/>
  <c r="AL720" i="1" s="1"/>
  <c r="AN720" i="1" s="1"/>
  <c r="AO720" i="1" s="1"/>
  <c r="O720" i="1"/>
  <c r="N721" i="1" s="1"/>
  <c r="P721" i="1" l="1"/>
  <c r="BE721" i="1" s="1"/>
  <c r="AT721" i="1"/>
  <c r="AS721" i="1" s="1"/>
  <c r="I721" i="1"/>
  <c r="Q721" i="1" s="1"/>
  <c r="AM721" i="1"/>
  <c r="AG720" i="1"/>
  <c r="BA720" i="1" s="1"/>
  <c r="AH720" i="1"/>
  <c r="Y721" i="1" l="1"/>
  <c r="X721" i="1" s="1"/>
  <c r="AF721" i="1" s="1"/>
  <c r="AG721" i="1" s="1"/>
  <c r="V721" i="1"/>
  <c r="AY721" i="1"/>
  <c r="AQ721" i="1"/>
  <c r="O721" i="1"/>
  <c r="I722" i="1" s="1"/>
  <c r="Q722" i="1" s="1"/>
  <c r="AX721" i="1" l="1"/>
  <c r="U721" i="1" s="1"/>
  <c r="AL721" i="1" s="1"/>
  <c r="AN721" i="1" s="1"/>
  <c r="AO721" i="1" s="1"/>
  <c r="AP721" i="1" s="1"/>
  <c r="AH721" i="1"/>
  <c r="BA721" i="1"/>
  <c r="AM722" i="1"/>
  <c r="N722" i="1"/>
  <c r="O722" i="1" s="1"/>
  <c r="AM723" i="1" s="1"/>
  <c r="P722" i="1"/>
  <c r="BE722" i="1" s="1"/>
  <c r="AT722" i="1"/>
  <c r="AS722" i="1" s="1"/>
  <c r="AY722" i="1" l="1"/>
  <c r="V722" i="1"/>
  <c r="Y722" i="1"/>
  <c r="X722" i="1" s="1"/>
  <c r="AF722" i="1" s="1"/>
  <c r="AG722" i="1" s="1"/>
  <c r="AQ722" i="1"/>
  <c r="P723" i="1"/>
  <c r="BE723" i="1" s="1"/>
  <c r="AT723" i="1"/>
  <c r="AS723" i="1" s="1"/>
  <c r="N723" i="1"/>
  <c r="I723" i="1"/>
  <c r="Q723" i="1" s="1"/>
  <c r="AX722" i="1" l="1"/>
  <c r="U722" i="1" s="1"/>
  <c r="AL722" i="1" s="1"/>
  <c r="AN722" i="1" s="1"/>
  <c r="AO722" i="1" s="1"/>
  <c r="AP722" i="1" s="1"/>
  <c r="BA722" i="1"/>
  <c r="AH722" i="1"/>
  <c r="V723" i="1"/>
  <c r="Y723" i="1"/>
  <c r="X723" i="1" s="1"/>
  <c r="AF723" i="1" s="1"/>
  <c r="AG723" i="1" s="1"/>
  <c r="AY723" i="1"/>
  <c r="AQ723" i="1"/>
  <c r="O723" i="1"/>
  <c r="AM724" i="1" s="1"/>
  <c r="AX723" i="1" l="1"/>
  <c r="U723" i="1" s="1"/>
  <c r="AL723" i="1" s="1"/>
  <c r="AN723" i="1" s="1"/>
  <c r="AO723" i="1" s="1"/>
  <c r="AP723" i="1" s="1"/>
  <c r="BA723" i="1"/>
  <c r="N724" i="1"/>
  <c r="I724" i="1"/>
  <c r="Q724" i="1" s="1"/>
  <c r="AT724" i="1"/>
  <c r="AS724" i="1" s="1"/>
  <c r="P724" i="1"/>
  <c r="BE724" i="1" s="1"/>
  <c r="AH723" i="1"/>
  <c r="V724" i="1" l="1"/>
  <c r="O724" i="1"/>
  <c r="P725" i="1" s="1"/>
  <c r="BE725" i="1" s="1"/>
  <c r="AY724" i="1"/>
  <c r="Y724" i="1"/>
  <c r="X724" i="1" s="1"/>
  <c r="AF724" i="1" s="1"/>
  <c r="AQ724" i="1"/>
  <c r="AX724" i="1" l="1"/>
  <c r="U724" i="1" s="1"/>
  <c r="AL724" i="1" s="1"/>
  <c r="AN724" i="1" s="1"/>
  <c r="AO724" i="1" s="1"/>
  <c r="AP724" i="1" s="1"/>
  <c r="AT725" i="1"/>
  <c r="AS725" i="1" s="1"/>
  <c r="AQ725" i="1" s="1"/>
  <c r="AM725" i="1"/>
  <c r="N725" i="1"/>
  <c r="I725" i="1"/>
  <c r="Q725" i="1" s="1"/>
  <c r="V725" i="1"/>
  <c r="Y725" i="1"/>
  <c r="X725" i="1" s="1"/>
  <c r="AF725" i="1" s="1"/>
  <c r="AY725" i="1"/>
  <c r="O725" i="1" l="1"/>
  <c r="N726" i="1" s="1"/>
  <c r="AG725" i="1"/>
  <c r="BA725" i="1" s="1"/>
  <c r="AG724" i="1"/>
  <c r="BA724" i="1" s="1"/>
  <c r="AH724" i="1"/>
  <c r="AX725" i="1" s="1"/>
  <c r="I726" i="1" l="1"/>
  <c r="Q726" i="1" s="1"/>
  <c r="AM726" i="1"/>
  <c r="AT726" i="1"/>
  <c r="AS726" i="1" s="1"/>
  <c r="P726" i="1"/>
  <c r="BE726" i="1" s="1"/>
  <c r="AH725" i="1"/>
  <c r="U725" i="1"/>
  <c r="AL725" i="1" s="1"/>
  <c r="AN725" i="1" s="1"/>
  <c r="AO725" i="1" s="1"/>
  <c r="AP725" i="1" s="1"/>
  <c r="O726" i="1" l="1"/>
  <c r="P727" i="1" s="1"/>
  <c r="BE727" i="1" s="1"/>
  <c r="Y726" i="1"/>
  <c r="X726" i="1" s="1"/>
  <c r="AF726" i="1" s="1"/>
  <c r="V726" i="1"/>
  <c r="AY726" i="1"/>
  <c r="AQ726" i="1"/>
  <c r="AX726" i="1" l="1"/>
  <c r="U726" i="1" s="1"/>
  <c r="AL726" i="1" s="1"/>
  <c r="AN726" i="1" s="1"/>
  <c r="AO726" i="1" s="1"/>
  <c r="AP726" i="1" s="1"/>
  <c r="AT727" i="1"/>
  <c r="AS727" i="1" s="1"/>
  <c r="AQ727" i="1" s="1"/>
  <c r="N727" i="1"/>
  <c r="I727" i="1"/>
  <c r="Q727" i="1" s="1"/>
  <c r="AY727" i="1"/>
  <c r="AM727" i="1"/>
  <c r="Y727" i="1"/>
  <c r="X727" i="1" s="1"/>
  <c r="AF727" i="1" s="1"/>
  <c r="V727" i="1"/>
  <c r="AG727" i="1" l="1"/>
  <c r="BA727" i="1" s="1"/>
  <c r="O727" i="1"/>
  <c r="N728" i="1" s="1"/>
  <c r="AG726" i="1"/>
  <c r="BA726" i="1" s="1"/>
  <c r="AH726" i="1"/>
  <c r="AX727" i="1" s="1"/>
  <c r="AT728" i="1" l="1"/>
  <c r="AS728" i="1" s="1"/>
  <c r="I728" i="1"/>
  <c r="Q728" i="1" s="1"/>
  <c r="AM728" i="1"/>
  <c r="AH727" i="1"/>
  <c r="P728" i="1"/>
  <c r="BE728" i="1" s="1"/>
  <c r="U727" i="1"/>
  <c r="AL727" i="1" s="1"/>
  <c r="AN727" i="1" s="1"/>
  <c r="AO727" i="1" s="1"/>
  <c r="AP727" i="1" s="1"/>
  <c r="O728" i="1" l="1"/>
  <c r="I729" i="1" s="1"/>
  <c r="Q729" i="1" s="1"/>
  <c r="Y728" i="1"/>
  <c r="X728" i="1" s="1"/>
  <c r="AF728" i="1" s="1"/>
  <c r="AG728" i="1" s="1"/>
  <c r="AQ728" i="1"/>
  <c r="AY728" i="1"/>
  <c r="V728" i="1"/>
  <c r="AX728" i="1" l="1"/>
  <c r="U728" i="1" s="1"/>
  <c r="AL728" i="1" s="1"/>
  <c r="AN728" i="1" s="1"/>
  <c r="AO728" i="1" s="1"/>
  <c r="AP728" i="1" s="1"/>
  <c r="AM729" i="1"/>
  <c r="P729" i="1"/>
  <c r="N729" i="1"/>
  <c r="O729" i="1" s="1"/>
  <c r="I730" i="1" s="1"/>
  <c r="Q730" i="1" s="1"/>
  <c r="AT729" i="1"/>
  <c r="AS729" i="1" s="1"/>
  <c r="BA728" i="1"/>
  <c r="AH728" i="1"/>
  <c r="V729" i="1" l="1"/>
  <c r="BE729" i="1"/>
  <c r="AQ729" i="1"/>
  <c r="Y729" i="1"/>
  <c r="X729" i="1" s="1"/>
  <c r="AF729" i="1" s="1"/>
  <c r="AG729" i="1" s="1"/>
  <c r="AY729" i="1"/>
  <c r="P730" i="1"/>
  <c r="BE730" i="1" s="1"/>
  <c r="N730" i="1"/>
  <c r="O730" i="1" s="1"/>
  <c r="AT731" i="1" s="1"/>
  <c r="AS731" i="1" s="1"/>
  <c r="AT730" i="1"/>
  <c r="AS730" i="1" s="1"/>
  <c r="AM730" i="1"/>
  <c r="BA729" i="1" l="1"/>
  <c r="AX729" i="1"/>
  <c r="U729" i="1" s="1"/>
  <c r="AL729" i="1" s="1"/>
  <c r="AN729" i="1" s="1"/>
  <c r="AO729" i="1" s="1"/>
  <c r="AP729" i="1" s="1"/>
  <c r="Y730" i="1"/>
  <c r="X730" i="1" s="1"/>
  <c r="AF730" i="1" s="1"/>
  <c r="AQ730" i="1"/>
  <c r="AY730" i="1"/>
  <c r="V730" i="1"/>
  <c r="AH729" i="1"/>
  <c r="AM731" i="1"/>
  <c r="P731" i="1"/>
  <c r="BE731" i="1" s="1"/>
  <c r="N731" i="1"/>
  <c r="I731" i="1"/>
  <c r="Q731" i="1" s="1"/>
  <c r="AX730" i="1" l="1"/>
  <c r="U730" i="1" s="1"/>
  <c r="AL730" i="1" s="1"/>
  <c r="AN730" i="1" s="1"/>
  <c r="AO730" i="1" s="1"/>
  <c r="AP730" i="1" s="1"/>
  <c r="V731" i="1"/>
  <c r="Y731" i="1"/>
  <c r="X731" i="1" s="1"/>
  <c r="AF731" i="1" s="1"/>
  <c r="AY731" i="1"/>
  <c r="O731" i="1"/>
  <c r="AQ731" i="1"/>
  <c r="AG730" i="1"/>
  <c r="BA730" i="1" s="1"/>
  <c r="AH730" i="1"/>
  <c r="AX731" i="1" l="1"/>
  <c r="U731" i="1" s="1"/>
  <c r="AL731" i="1" s="1"/>
  <c r="AN731" i="1" s="1"/>
  <c r="AO731" i="1" s="1"/>
  <c r="AP731" i="1" s="1"/>
  <c r="N732" i="1"/>
  <c r="AT732" i="1"/>
  <c r="AS732" i="1" s="1"/>
  <c r="I732" i="1"/>
  <c r="Q732" i="1" s="1"/>
  <c r="P732" i="1"/>
  <c r="BE732" i="1" s="1"/>
  <c r="AM732" i="1"/>
  <c r="Y732" i="1" l="1"/>
  <c r="X732" i="1" s="1"/>
  <c r="AF732" i="1" s="1"/>
  <c r="V732" i="1"/>
  <c r="AY732" i="1"/>
  <c r="AQ732" i="1"/>
  <c r="O732" i="1"/>
  <c r="AH731" i="1"/>
  <c r="AG731" i="1"/>
  <c r="BA731" i="1" s="1"/>
  <c r="AX732" i="1" l="1"/>
  <c r="U732" i="1" s="1"/>
  <c r="AL732" i="1" s="1"/>
  <c r="AN732" i="1" s="1"/>
  <c r="AO732" i="1" s="1"/>
  <c r="AH732" i="1"/>
  <c r="AG732" i="1"/>
  <c r="BA732" i="1" s="1"/>
  <c r="I733" i="1"/>
  <c r="Q733" i="1" s="1"/>
  <c r="AM733" i="1"/>
  <c r="P733" i="1"/>
  <c r="BE733" i="1" s="1"/>
  <c r="AT733" i="1"/>
  <c r="AS733" i="1" s="1"/>
  <c r="N733" i="1"/>
  <c r="Y733" i="1" l="1"/>
  <c r="X733" i="1" s="1"/>
  <c r="V733" i="1"/>
  <c r="AY733" i="1"/>
  <c r="AQ733" i="1"/>
  <c r="O733" i="1"/>
  <c r="AX733" i="1" l="1"/>
  <c r="U733" i="1" s="1"/>
  <c r="AL733" i="1" s="1"/>
  <c r="AN733" i="1" s="1"/>
  <c r="AO733" i="1" s="1"/>
  <c r="AP733" i="1" s="1"/>
  <c r="AF733" i="1"/>
  <c r="AG733" i="1" s="1"/>
  <c r="BA733" i="1" s="1"/>
  <c r="N734" i="1"/>
  <c r="I734" i="1"/>
  <c r="Q734" i="1" s="1"/>
  <c r="AT734" i="1"/>
  <c r="AS734" i="1" s="1"/>
  <c r="P734" i="1"/>
  <c r="BE734" i="1" s="1"/>
  <c r="AM734" i="1"/>
  <c r="Y734" i="1" l="1"/>
  <c r="X734" i="1" s="1"/>
  <c r="AH733" i="1"/>
  <c r="O734" i="1"/>
  <c r="V734" i="1"/>
  <c r="AQ734" i="1"/>
  <c r="AY734" i="1"/>
  <c r="AX734" i="1" l="1"/>
  <c r="U734" i="1" s="1"/>
  <c r="AL734" i="1" s="1"/>
  <c r="AN734" i="1" s="1"/>
  <c r="AO734" i="1" s="1"/>
  <c r="AP734" i="1" s="1"/>
  <c r="AF734" i="1"/>
  <c r="AG734" i="1" s="1"/>
  <c r="BA734" i="1" s="1"/>
  <c r="I735" i="1"/>
  <c r="Q735" i="1" s="1"/>
  <c r="AT735" i="1"/>
  <c r="AS735" i="1" s="1"/>
  <c r="AM735" i="1"/>
  <c r="N735" i="1"/>
  <c r="P735" i="1"/>
  <c r="BE735" i="1" s="1"/>
  <c r="Y735" i="1" l="1"/>
  <c r="X735" i="1" s="1"/>
  <c r="AF735" i="1" s="1"/>
  <c r="AH734" i="1"/>
  <c r="O735" i="1"/>
  <c r="AM736" i="1" s="1"/>
  <c r="V735" i="1"/>
  <c r="AY735" i="1"/>
  <c r="AQ735" i="1"/>
  <c r="AX735" i="1" l="1"/>
  <c r="U735" i="1" s="1"/>
  <c r="AL735" i="1" s="1"/>
  <c r="AN735" i="1" s="1"/>
  <c r="AO735" i="1" s="1"/>
  <c r="AP735" i="1" s="1"/>
  <c r="P736" i="1"/>
  <c r="BE736" i="1" s="1"/>
  <c r="N736" i="1"/>
  <c r="I736" i="1"/>
  <c r="Q736" i="1" s="1"/>
  <c r="AT736" i="1"/>
  <c r="AS736" i="1" s="1"/>
  <c r="AG735" i="1"/>
  <c r="BA735" i="1" s="1"/>
  <c r="AH735" i="1"/>
  <c r="Y736" i="1" l="1"/>
  <c r="X736" i="1" s="1"/>
  <c r="AF736" i="1" s="1"/>
  <c r="AQ736" i="1"/>
  <c r="O736" i="1"/>
  <c r="N737" i="1" s="1"/>
  <c r="V736" i="1"/>
  <c r="AY736" i="1"/>
  <c r="AX736" i="1" l="1"/>
  <c r="U736" i="1" s="1"/>
  <c r="AL736" i="1" s="1"/>
  <c r="AN736" i="1" s="1"/>
  <c r="AO736" i="1" s="1"/>
  <c r="AP736" i="1" s="1"/>
  <c r="AG736" i="1"/>
  <c r="BA736" i="1" s="1"/>
  <c r="AM737" i="1"/>
  <c r="I737" i="1"/>
  <c r="Q737" i="1" s="1"/>
  <c r="P737" i="1"/>
  <c r="BE737" i="1" s="1"/>
  <c r="AH736" i="1"/>
  <c r="AT737" i="1"/>
  <c r="AS737" i="1" s="1"/>
  <c r="Y737" i="1" l="1"/>
  <c r="X737" i="1" s="1"/>
  <c r="O737" i="1"/>
  <c r="N738" i="1" s="1"/>
  <c r="AQ737" i="1"/>
  <c r="AY737" i="1"/>
  <c r="V737" i="1"/>
  <c r="AX737" i="1" l="1"/>
  <c r="U737" i="1" s="1"/>
  <c r="AL737" i="1" s="1"/>
  <c r="AN737" i="1" s="1"/>
  <c r="AO737" i="1" s="1"/>
  <c r="AP737" i="1" s="1"/>
  <c r="AF737" i="1"/>
  <c r="AG737" i="1" s="1"/>
  <c r="BA737" i="1" s="1"/>
  <c r="AT738" i="1"/>
  <c r="AS738" i="1" s="1"/>
  <c r="I738" i="1"/>
  <c r="Q738" i="1" s="1"/>
  <c r="AM738" i="1"/>
  <c r="P738" i="1"/>
  <c r="BE738" i="1" s="1"/>
  <c r="Y738" i="1" l="1"/>
  <c r="X738" i="1" s="1"/>
  <c r="AF738" i="1" s="1"/>
  <c r="AG738" i="1" s="1"/>
  <c r="AH737" i="1"/>
  <c r="O738" i="1"/>
  <c r="I739" i="1" s="1"/>
  <c r="Q739" i="1" s="1"/>
  <c r="V738" i="1"/>
  <c r="AY738" i="1"/>
  <c r="AQ738" i="1"/>
  <c r="AX738" i="1" l="1"/>
  <c r="U738" i="1" s="1"/>
  <c r="AL738" i="1" s="1"/>
  <c r="AN738" i="1" s="1"/>
  <c r="AO738" i="1" s="1"/>
  <c r="AP738" i="1" s="1"/>
  <c r="BA738" i="1"/>
  <c r="P739" i="1"/>
  <c r="BE739" i="1" s="1"/>
  <c r="AT739" i="1"/>
  <c r="AS739" i="1" s="1"/>
  <c r="N739" i="1"/>
  <c r="O739" i="1" s="1"/>
  <c r="P740" i="1" s="1"/>
  <c r="BE740" i="1" s="1"/>
  <c r="AM739" i="1"/>
  <c r="AH738" i="1"/>
  <c r="Y739" i="1" l="1"/>
  <c r="X739" i="1" s="1"/>
  <c r="AF739" i="1" s="1"/>
  <c r="AH739" i="1" s="1"/>
  <c r="Y740" i="1"/>
  <c r="V739" i="1"/>
  <c r="AY739" i="1"/>
  <c r="AQ739" i="1"/>
  <c r="I740" i="1"/>
  <c r="Q740" i="1" s="1"/>
  <c r="AT740" i="1"/>
  <c r="AS740" i="1" s="1"/>
  <c r="AQ740" i="1" s="1"/>
  <c r="N740" i="1"/>
  <c r="AM740" i="1"/>
  <c r="V740" i="1"/>
  <c r="AY740" i="1"/>
  <c r="AX739" i="1" l="1"/>
  <c r="U739" i="1" s="1"/>
  <c r="AL739" i="1" s="1"/>
  <c r="AN739" i="1" s="1"/>
  <c r="AO739" i="1" s="1"/>
  <c r="AP739" i="1" s="1"/>
  <c r="X740" i="1"/>
  <c r="AF740" i="1" s="1"/>
  <c r="AG740" i="1" s="1"/>
  <c r="BA740" i="1" s="1"/>
  <c r="AG739" i="1"/>
  <c r="BA739" i="1" s="1"/>
  <c r="O740" i="1"/>
  <c r="I741" i="1" s="1"/>
  <c r="Q741" i="1" s="1"/>
  <c r="AX740" i="1" l="1"/>
  <c r="U740" i="1" s="1"/>
  <c r="AL740" i="1" s="1"/>
  <c r="AN740" i="1" s="1"/>
  <c r="AO740" i="1" s="1"/>
  <c r="AP740" i="1" s="1"/>
  <c r="P741" i="1"/>
  <c r="BE741" i="1" s="1"/>
  <c r="AT741" i="1"/>
  <c r="AS741" i="1" s="1"/>
  <c r="AM741" i="1"/>
  <c r="N741" i="1"/>
  <c r="O741" i="1" s="1"/>
  <c r="AH740" i="1"/>
  <c r="V741" i="1" l="1"/>
  <c r="Y741" i="1"/>
  <c r="X741" i="1" s="1"/>
  <c r="AY741" i="1"/>
  <c r="AQ741" i="1"/>
  <c r="P742" i="1"/>
  <c r="BE742" i="1" s="1"/>
  <c r="N742" i="1"/>
  <c r="AT742" i="1"/>
  <c r="AS742" i="1" s="1"/>
  <c r="AM742" i="1"/>
  <c r="I742" i="1"/>
  <c r="Q742" i="1" s="1"/>
  <c r="AX741" i="1" l="1"/>
  <c r="U741" i="1" s="1"/>
  <c r="AL741" i="1" s="1"/>
  <c r="AN741" i="1" s="1"/>
  <c r="AO741" i="1" s="1"/>
  <c r="AP741" i="1" s="1"/>
  <c r="AF741" i="1"/>
  <c r="AH741" i="1" s="1"/>
  <c r="V742" i="1"/>
  <c r="Y742" i="1"/>
  <c r="X742" i="1" s="1"/>
  <c r="O742" i="1"/>
  <c r="P743" i="1" s="1"/>
  <c r="BE743" i="1" s="1"/>
  <c r="AQ742" i="1"/>
  <c r="AY742" i="1"/>
  <c r="AX742" i="1" l="1"/>
  <c r="U742" i="1" s="1"/>
  <c r="AL742" i="1" s="1"/>
  <c r="AN742" i="1" s="1"/>
  <c r="AO742" i="1" s="1"/>
  <c r="AP742" i="1" s="1"/>
  <c r="AG741" i="1"/>
  <c r="BA741" i="1" s="1"/>
  <c r="AF742" i="1"/>
  <c r="V743" i="1"/>
  <c r="Y743" i="1"/>
  <c r="X743" i="1" s="1"/>
  <c r="AF743" i="1" s="1"/>
  <c r="AM743" i="1"/>
  <c r="AT743" i="1"/>
  <c r="AS743" i="1" s="1"/>
  <c r="AQ743" i="1" s="1"/>
  <c r="N743" i="1"/>
  <c r="I743" i="1"/>
  <c r="Q743" i="1" s="1"/>
  <c r="AY743" i="1"/>
  <c r="AG742" i="1" l="1"/>
  <c r="BA742" i="1" s="1"/>
  <c r="AH742" i="1"/>
  <c r="O743" i="1"/>
  <c r="N744" i="1" s="1"/>
  <c r="AG743" i="1"/>
  <c r="AX743" i="1" l="1"/>
  <c r="U743" i="1" s="1"/>
  <c r="AL743" i="1" s="1"/>
  <c r="AN743" i="1" s="1"/>
  <c r="AO743" i="1" s="1"/>
  <c r="AP743" i="1" s="1"/>
  <c r="AT744" i="1"/>
  <c r="AS744" i="1" s="1"/>
  <c r="I744" i="1"/>
  <c r="Q744" i="1" s="1"/>
  <c r="AM744" i="1"/>
  <c r="P744" i="1"/>
  <c r="BE744" i="1" s="1"/>
  <c r="BA743" i="1"/>
  <c r="AH743" i="1"/>
  <c r="O744" i="1" l="1"/>
  <c r="AM745" i="1" s="1"/>
  <c r="V744" i="1"/>
  <c r="Y744" i="1"/>
  <c r="X744" i="1" s="1"/>
  <c r="AY744" i="1"/>
  <c r="AQ744" i="1"/>
  <c r="AX744" i="1" l="1"/>
  <c r="U744" i="1" s="1"/>
  <c r="AL744" i="1" s="1"/>
  <c r="AN744" i="1" s="1"/>
  <c r="AO744" i="1" s="1"/>
  <c r="AF744" i="1"/>
  <c r="AG744" i="1" s="1"/>
  <c r="BA744" i="1" s="1"/>
  <c r="AT745" i="1"/>
  <c r="AS745" i="1" s="1"/>
  <c r="P745" i="1"/>
  <c r="BE745" i="1" s="1"/>
  <c r="I745" i="1"/>
  <c r="Q745" i="1" s="1"/>
  <c r="N745" i="1"/>
  <c r="Y745" i="1" l="1"/>
  <c r="X745" i="1" s="1"/>
  <c r="AF745" i="1" s="1"/>
  <c r="AH744" i="1"/>
  <c r="O745" i="1"/>
  <c r="N746" i="1" s="1"/>
  <c r="AY745" i="1"/>
  <c r="V745" i="1"/>
  <c r="AQ745" i="1"/>
  <c r="AX745" i="1" l="1"/>
  <c r="U745" i="1" s="1"/>
  <c r="AL745" i="1" s="1"/>
  <c r="AN745" i="1" s="1"/>
  <c r="AO745" i="1" s="1"/>
  <c r="AP745" i="1" s="1"/>
  <c r="AM746" i="1"/>
  <c r="P746" i="1"/>
  <c r="BE746" i="1" s="1"/>
  <c r="I746" i="1"/>
  <c r="Q746" i="1" s="1"/>
  <c r="AT746" i="1"/>
  <c r="AS746" i="1" s="1"/>
  <c r="Y746" i="1" l="1"/>
  <c r="X746" i="1" s="1"/>
  <c r="AF746" i="1" s="1"/>
  <c r="O746" i="1"/>
  <c r="AM747" i="1" s="1"/>
  <c r="V746" i="1"/>
  <c r="AQ746" i="1"/>
  <c r="AY746" i="1"/>
  <c r="AG745" i="1"/>
  <c r="BA745" i="1" s="1"/>
  <c r="AH745" i="1"/>
  <c r="AX746" i="1" l="1"/>
  <c r="U746" i="1" s="1"/>
  <c r="AL746" i="1" s="1"/>
  <c r="AN746" i="1" s="1"/>
  <c r="AO746" i="1" s="1"/>
  <c r="AP746" i="1" s="1"/>
  <c r="P747" i="1"/>
  <c r="BE747" i="1" s="1"/>
  <c r="AT747" i="1"/>
  <c r="AS747" i="1" s="1"/>
  <c r="I747" i="1"/>
  <c r="Q747" i="1" s="1"/>
  <c r="N747" i="1"/>
  <c r="AG746" i="1"/>
  <c r="BA746" i="1" s="1"/>
  <c r="AH746" i="1"/>
  <c r="Y747" i="1" l="1"/>
  <c r="X747" i="1" s="1"/>
  <c r="AF747" i="1" s="1"/>
  <c r="AG747" i="1" s="1"/>
  <c r="V747" i="1"/>
  <c r="O747" i="1"/>
  <c r="P748" i="1" s="1"/>
  <c r="BE748" i="1" s="1"/>
  <c r="AY747" i="1"/>
  <c r="AQ747" i="1"/>
  <c r="AX747" i="1" l="1"/>
  <c r="U747" i="1" s="1"/>
  <c r="AL747" i="1" s="1"/>
  <c r="AN747" i="1" s="1"/>
  <c r="AO747" i="1" s="1"/>
  <c r="AP747" i="1" s="1"/>
  <c r="Y748" i="1"/>
  <c r="X748" i="1" s="1"/>
  <c r="AF748" i="1" s="1"/>
  <c r="BA747" i="1"/>
  <c r="AT748" i="1"/>
  <c r="AS748" i="1" s="1"/>
  <c r="AQ748" i="1" s="1"/>
  <c r="I748" i="1"/>
  <c r="Q748" i="1" s="1"/>
  <c r="N748" i="1"/>
  <c r="V748" i="1"/>
  <c r="AY748" i="1"/>
  <c r="AM748" i="1"/>
  <c r="AH747" i="1"/>
  <c r="AX748" i="1" l="1"/>
  <c r="U748" i="1" s="1"/>
  <c r="AL748" i="1" s="1"/>
  <c r="AN748" i="1" s="1"/>
  <c r="AO748" i="1" s="1"/>
  <c r="AP748" i="1" s="1"/>
  <c r="O748" i="1"/>
  <c r="P749" i="1" s="1"/>
  <c r="BE749" i="1" s="1"/>
  <c r="AY749" i="1" l="1"/>
  <c r="AM749" i="1"/>
  <c r="AT749" i="1"/>
  <c r="AS749" i="1" s="1"/>
  <c r="AQ749" i="1" s="1"/>
  <c r="I749" i="1"/>
  <c r="Q749" i="1" s="1"/>
  <c r="N749" i="1"/>
  <c r="Y749" i="1"/>
  <c r="X749" i="1" s="1"/>
  <c r="AF749" i="1" s="1"/>
  <c r="V749" i="1"/>
  <c r="AH748" i="1"/>
  <c r="AG748" i="1"/>
  <c r="BA748" i="1" s="1"/>
  <c r="AX749" i="1" l="1"/>
  <c r="U749" i="1" s="1"/>
  <c r="AL749" i="1" s="1"/>
  <c r="AN749" i="1" s="1"/>
  <c r="AO749" i="1" s="1"/>
  <c r="AP749" i="1" s="1"/>
  <c r="O749" i="1"/>
  <c r="I750" i="1" s="1"/>
  <c r="Q750" i="1" s="1"/>
  <c r="AG749" i="1"/>
  <c r="BA749" i="1" s="1"/>
  <c r="N750" i="1" l="1"/>
  <c r="O750" i="1" s="1"/>
  <c r="I751" i="1" s="1"/>
  <c r="Q751" i="1" s="1"/>
  <c r="AH749" i="1"/>
  <c r="AT750" i="1"/>
  <c r="AS750" i="1" s="1"/>
  <c r="AM750" i="1"/>
  <c r="P750" i="1"/>
  <c r="BE750" i="1" s="1"/>
  <c r="V750" i="1" l="1"/>
  <c r="AY750" i="1"/>
  <c r="AT751" i="1"/>
  <c r="AS751" i="1" s="1"/>
  <c r="P751" i="1"/>
  <c r="BE751" i="1" s="1"/>
  <c r="N751" i="1"/>
  <c r="O751" i="1" s="1"/>
  <c r="P752" i="1" s="1"/>
  <c r="BE752" i="1" s="1"/>
  <c r="Y750" i="1"/>
  <c r="X750" i="1" s="1"/>
  <c r="AF750" i="1" s="1"/>
  <c r="AG750" i="1" s="1"/>
  <c r="AQ750" i="1"/>
  <c r="AM751" i="1"/>
  <c r="AX750" i="1" l="1"/>
  <c r="U750" i="1" s="1"/>
  <c r="AL750" i="1" s="1"/>
  <c r="AN750" i="1" s="1"/>
  <c r="AO750" i="1" s="1"/>
  <c r="AP750" i="1" s="1"/>
  <c r="BA750" i="1"/>
  <c r="Y752" i="1"/>
  <c r="AQ751" i="1"/>
  <c r="AM752" i="1"/>
  <c r="AY751" i="1"/>
  <c r="Y751" i="1"/>
  <c r="X751" i="1" s="1"/>
  <c r="AF751" i="1" s="1"/>
  <c r="AT752" i="1"/>
  <c r="AS752" i="1" s="1"/>
  <c r="AQ752" i="1" s="1"/>
  <c r="I752" i="1"/>
  <c r="Q752" i="1" s="1"/>
  <c r="V751" i="1"/>
  <c r="AY752" i="1"/>
  <c r="V752" i="1"/>
  <c r="N752" i="1"/>
  <c r="AH750" i="1"/>
  <c r="AX751" i="1" l="1"/>
  <c r="U751" i="1" s="1"/>
  <c r="AL751" i="1" s="1"/>
  <c r="AN751" i="1" s="1"/>
  <c r="AO751" i="1" s="1"/>
  <c r="AP751" i="1" s="1"/>
  <c r="O752" i="1"/>
  <c r="P753" i="1" s="1"/>
  <c r="BE753" i="1" s="1"/>
  <c r="X752" i="1"/>
  <c r="AF752" i="1" s="1"/>
  <c r="AG752" i="1" s="1"/>
  <c r="BA752" i="1" s="1"/>
  <c r="AH751" i="1"/>
  <c r="AG751" i="1"/>
  <c r="BA751" i="1" s="1"/>
  <c r="AX752" i="1" l="1"/>
  <c r="U752" i="1" s="1"/>
  <c r="AL752" i="1" s="1"/>
  <c r="AN752" i="1" s="1"/>
  <c r="AO752" i="1" s="1"/>
  <c r="AP752" i="1" s="1"/>
  <c r="V753" i="1"/>
  <c r="AY753" i="1"/>
  <c r="AT753" i="1"/>
  <c r="AS753" i="1" s="1"/>
  <c r="AQ753" i="1" s="1"/>
  <c r="I753" i="1"/>
  <c r="Q753" i="1" s="1"/>
  <c r="Y753" i="1"/>
  <c r="X753" i="1" s="1"/>
  <c r="AF753" i="1" s="1"/>
  <c r="AM753" i="1"/>
  <c r="N753" i="1"/>
  <c r="AH752" i="1"/>
  <c r="AX753" i="1" l="1"/>
  <c r="U753" i="1" s="1"/>
  <c r="AL753" i="1" s="1"/>
  <c r="AN753" i="1" s="1"/>
  <c r="AO753" i="1" s="1"/>
  <c r="AP753" i="1" s="1"/>
  <c r="AG753" i="1"/>
  <c r="BA753" i="1" s="1"/>
  <c r="O753" i="1"/>
  <c r="P754" i="1" s="1"/>
  <c r="BE754" i="1" s="1"/>
  <c r="V754" i="1" l="1"/>
  <c r="AM754" i="1"/>
  <c r="AH753" i="1"/>
  <c r="N754" i="1"/>
  <c r="I754" i="1"/>
  <c r="Q754" i="1" s="1"/>
  <c r="AT754" i="1"/>
  <c r="AS754" i="1" s="1"/>
  <c r="AQ754" i="1" s="1"/>
  <c r="Y754" i="1"/>
  <c r="X754" i="1" s="1"/>
  <c r="AF754" i="1" s="1"/>
  <c r="AY754" i="1"/>
  <c r="AX754" i="1" l="1"/>
  <c r="U754" i="1" s="1"/>
  <c r="AL754" i="1" s="1"/>
  <c r="AN754" i="1" s="1"/>
  <c r="AO754" i="1" s="1"/>
  <c r="AP754" i="1" s="1"/>
  <c r="AG754" i="1"/>
  <c r="BA754" i="1" s="1"/>
  <c r="O754" i="1"/>
  <c r="P755" i="1" s="1"/>
  <c r="BE755" i="1" s="1"/>
  <c r="V755" i="1" l="1"/>
  <c r="AM755" i="1"/>
  <c r="AY755" i="1"/>
  <c r="I755" i="1"/>
  <c r="Q755" i="1" s="1"/>
  <c r="AH754" i="1"/>
  <c r="N755" i="1"/>
  <c r="Y755" i="1"/>
  <c r="X755" i="1" s="1"/>
  <c r="AF755" i="1" s="1"/>
  <c r="AT755" i="1"/>
  <c r="AS755" i="1" s="1"/>
  <c r="AQ755" i="1" s="1"/>
  <c r="AX755" i="1" l="1"/>
  <c r="U755" i="1" s="1"/>
  <c r="AL755" i="1" s="1"/>
  <c r="AN755" i="1" s="1"/>
  <c r="AO755" i="1" s="1"/>
  <c r="AP755" i="1" s="1"/>
  <c r="O755" i="1"/>
  <c r="AT756" i="1" s="1"/>
  <c r="AS756" i="1" s="1"/>
  <c r="AG755" i="1"/>
  <c r="BA755" i="1" s="1"/>
  <c r="I756" i="1" l="1"/>
  <c r="Q756" i="1" s="1"/>
  <c r="N756" i="1"/>
  <c r="AH755" i="1"/>
  <c r="AM756" i="1"/>
  <c r="P756" i="1"/>
  <c r="BE756" i="1" s="1"/>
  <c r="V756" i="1" l="1"/>
  <c r="O756" i="1"/>
  <c r="P757" i="1" s="1"/>
  <c r="BE757" i="1" s="1"/>
  <c r="AQ756" i="1"/>
  <c r="Y756" i="1"/>
  <c r="X756" i="1" s="1"/>
  <c r="AF756" i="1" s="1"/>
  <c r="AY756" i="1"/>
  <c r="AX756" i="1" l="1"/>
  <c r="U756" i="1" s="1"/>
  <c r="AL756" i="1" s="1"/>
  <c r="AN756" i="1" s="1"/>
  <c r="AO756" i="1" s="1"/>
  <c r="Y757" i="1"/>
  <c r="X757" i="1" s="1"/>
  <c r="AF757" i="1" s="1"/>
  <c r="V757" i="1"/>
  <c r="I757" i="1"/>
  <c r="Q757" i="1" s="1"/>
  <c r="AT757" i="1"/>
  <c r="AS757" i="1" s="1"/>
  <c r="AQ757" i="1" s="1"/>
  <c r="N757" i="1"/>
  <c r="AY757" i="1"/>
  <c r="AM757" i="1"/>
  <c r="AG756" i="1"/>
  <c r="BA756" i="1" s="1"/>
  <c r="AH756" i="1"/>
  <c r="AX757" i="1" l="1"/>
  <c r="U757" i="1" s="1"/>
  <c r="AL757" i="1" s="1"/>
  <c r="AN757" i="1" s="1"/>
  <c r="AO757" i="1" s="1"/>
  <c r="AP757" i="1" s="1"/>
  <c r="O757" i="1"/>
  <c r="AM758" i="1" s="1"/>
  <c r="AG757" i="1"/>
  <c r="BA757" i="1" s="1"/>
  <c r="AT758" i="1" l="1"/>
  <c r="AS758" i="1" s="1"/>
  <c r="N758" i="1"/>
  <c r="AH757" i="1"/>
  <c r="P758" i="1"/>
  <c r="BE758" i="1" s="1"/>
  <c r="I758" i="1"/>
  <c r="Q758" i="1" s="1"/>
  <c r="Y758" i="1" l="1"/>
  <c r="X758" i="1" s="1"/>
  <c r="AF758" i="1" s="1"/>
  <c r="AG758" i="1" s="1"/>
  <c r="V758" i="1"/>
  <c r="AQ758" i="1"/>
  <c r="AY758" i="1"/>
  <c r="O758" i="1"/>
  <c r="AT759" i="1" s="1"/>
  <c r="AS759" i="1" s="1"/>
  <c r="AX758" i="1" l="1"/>
  <c r="U758" i="1" s="1"/>
  <c r="AL758" i="1" s="1"/>
  <c r="AN758" i="1" s="1"/>
  <c r="AO758" i="1" s="1"/>
  <c r="AP758" i="1" s="1"/>
  <c r="BA758" i="1"/>
  <c r="I759" i="1"/>
  <c r="Q759" i="1" s="1"/>
  <c r="AM759" i="1"/>
  <c r="N759" i="1"/>
  <c r="AH758" i="1"/>
  <c r="P759" i="1"/>
  <c r="BE759" i="1" s="1"/>
  <c r="V759" i="1" l="1"/>
  <c r="O759" i="1"/>
  <c r="P760" i="1" s="1"/>
  <c r="BE760" i="1" s="1"/>
  <c r="AY759" i="1"/>
  <c r="AQ759" i="1"/>
  <c r="Y759" i="1"/>
  <c r="X759" i="1" s="1"/>
  <c r="AF759" i="1" s="1"/>
  <c r="AG759" i="1" s="1"/>
  <c r="AX759" i="1" l="1"/>
  <c r="U759" i="1" s="1"/>
  <c r="AL759" i="1" s="1"/>
  <c r="AN759" i="1" s="1"/>
  <c r="AO759" i="1" s="1"/>
  <c r="AP759" i="1" s="1"/>
  <c r="BA759" i="1"/>
  <c r="Y760" i="1"/>
  <c r="X760" i="1" s="1"/>
  <c r="AF760" i="1" s="1"/>
  <c r="V760" i="1"/>
  <c r="AT760" i="1"/>
  <c r="AS760" i="1" s="1"/>
  <c r="AQ760" i="1" s="1"/>
  <c r="AM760" i="1"/>
  <c r="N760" i="1"/>
  <c r="AY760" i="1"/>
  <c r="I760" i="1"/>
  <c r="Q760" i="1" s="1"/>
  <c r="AH759" i="1"/>
  <c r="AX760" i="1" l="1"/>
  <c r="U760" i="1" s="1"/>
  <c r="AL760" i="1" s="1"/>
  <c r="AN760" i="1" s="1"/>
  <c r="AO760" i="1" s="1"/>
  <c r="AP760" i="1" s="1"/>
  <c r="O760" i="1"/>
  <c r="AM761" i="1" s="1"/>
  <c r="AG760" i="1"/>
  <c r="BA760" i="1" s="1"/>
  <c r="AH760" i="1" l="1"/>
  <c r="N761" i="1"/>
  <c r="P761" i="1"/>
  <c r="BE761" i="1" s="1"/>
  <c r="I761" i="1"/>
  <c r="Q761" i="1" s="1"/>
  <c r="AT761" i="1"/>
  <c r="AS761" i="1" s="1"/>
  <c r="V761" i="1" l="1"/>
  <c r="AQ761" i="1"/>
  <c r="AY761" i="1"/>
  <c r="Y761" i="1"/>
  <c r="X761" i="1" s="1"/>
  <c r="AF761" i="1" s="1"/>
  <c r="O761" i="1"/>
  <c r="P762" i="1" s="1"/>
  <c r="BE762" i="1" s="1"/>
  <c r="AX761" i="1" l="1"/>
  <c r="U761" i="1" s="1"/>
  <c r="AL761" i="1" s="1"/>
  <c r="AN761" i="1" s="1"/>
  <c r="AO761" i="1" s="1"/>
  <c r="AP761" i="1" s="1"/>
  <c r="Y762" i="1"/>
  <c r="X762" i="1" s="1"/>
  <c r="AF762" i="1" s="1"/>
  <c r="I762" i="1"/>
  <c r="Q762" i="1" s="1"/>
  <c r="V762" i="1"/>
  <c r="AH761" i="1"/>
  <c r="AT762" i="1"/>
  <c r="AS762" i="1" s="1"/>
  <c r="AQ762" i="1" s="1"/>
  <c r="AM762" i="1"/>
  <c r="AG761" i="1"/>
  <c r="BA761" i="1" s="1"/>
  <c r="AY762" i="1"/>
  <c r="N762" i="1"/>
  <c r="O762" i="1" l="1"/>
  <c r="AT763" i="1" s="1"/>
  <c r="AS763" i="1" s="1"/>
  <c r="AX762" i="1"/>
  <c r="U762" i="1" s="1"/>
  <c r="AL762" i="1" s="1"/>
  <c r="AN762" i="1" s="1"/>
  <c r="AO762" i="1" s="1"/>
  <c r="AP762" i="1" s="1"/>
  <c r="AG762" i="1"/>
  <c r="BA762" i="1" s="1"/>
  <c r="N763" i="1" l="1"/>
  <c r="AM763" i="1"/>
  <c r="AH762" i="1"/>
  <c r="I763" i="1"/>
  <c r="Q763" i="1" s="1"/>
  <c r="P763" i="1"/>
  <c r="V763" i="1" l="1"/>
  <c r="BE763" i="1"/>
  <c r="O763" i="1"/>
  <c r="P764" i="1" s="1"/>
  <c r="BE764" i="1" s="1"/>
  <c r="AY763" i="1"/>
  <c r="AQ763" i="1"/>
  <c r="Y763" i="1"/>
  <c r="X763" i="1" s="1"/>
  <c r="AF763" i="1" s="1"/>
  <c r="AG763" i="1" s="1"/>
  <c r="AX763" i="1" l="1"/>
  <c r="U763" i="1" s="1"/>
  <c r="AL763" i="1" s="1"/>
  <c r="AN763" i="1" s="1"/>
  <c r="AO763" i="1" s="1"/>
  <c r="AP763" i="1" s="1"/>
  <c r="BA763" i="1"/>
  <c r="AY764" i="1"/>
  <c r="N764" i="1"/>
  <c r="I764" i="1"/>
  <c r="Q764" i="1" s="1"/>
  <c r="Y764" i="1"/>
  <c r="X764" i="1" s="1"/>
  <c r="AF764" i="1" s="1"/>
  <c r="AT764" i="1"/>
  <c r="AS764" i="1" s="1"/>
  <c r="AQ764" i="1" s="1"/>
  <c r="V764" i="1"/>
  <c r="AM764" i="1"/>
  <c r="AH763" i="1"/>
  <c r="O764" i="1" l="1"/>
  <c r="N765" i="1" s="1"/>
  <c r="AG764" i="1"/>
  <c r="BA764" i="1" s="1"/>
  <c r="AX764" i="1"/>
  <c r="U764" i="1" s="1"/>
  <c r="AL764" i="1" s="1"/>
  <c r="AN764" i="1" s="1"/>
  <c r="AO764" i="1" s="1"/>
  <c r="AP764" i="1" s="1"/>
  <c r="AT765" i="1" l="1"/>
  <c r="AS765" i="1" s="1"/>
  <c r="AM765" i="1"/>
  <c r="AH764" i="1"/>
  <c r="P765" i="1"/>
  <c r="BE765" i="1" s="1"/>
  <c r="I765" i="1"/>
  <c r="Q765" i="1" s="1"/>
  <c r="Y765" i="1" l="1"/>
  <c r="X765" i="1" s="1"/>
  <c r="AF765" i="1" s="1"/>
  <c r="AG765" i="1" s="1"/>
  <c r="AQ765" i="1"/>
  <c r="AY765" i="1"/>
  <c r="V765" i="1"/>
  <c r="O765" i="1"/>
  <c r="I766" i="1" s="1"/>
  <c r="Q766" i="1" s="1"/>
  <c r="AX765" i="1" l="1"/>
  <c r="U765" i="1" s="1"/>
  <c r="AL765" i="1" s="1"/>
  <c r="AN765" i="1" s="1"/>
  <c r="AO765" i="1" s="1"/>
  <c r="AP765" i="1" s="1"/>
  <c r="AT766" i="1"/>
  <c r="AS766" i="1" s="1"/>
  <c r="N766" i="1"/>
  <c r="O766" i="1" s="1"/>
  <c r="P767" i="1" s="1"/>
  <c r="BE767" i="1" s="1"/>
  <c r="AH765" i="1"/>
  <c r="BA765" i="1"/>
  <c r="P766" i="1"/>
  <c r="AM766" i="1"/>
  <c r="Y766" i="1" l="1"/>
  <c r="X766" i="1" s="1"/>
  <c r="AF766" i="1" s="1"/>
  <c r="AG766" i="1" s="1"/>
  <c r="BE766" i="1"/>
  <c r="AM767" i="1"/>
  <c r="AT767" i="1"/>
  <c r="AS767" i="1" s="1"/>
  <c r="AQ767" i="1" s="1"/>
  <c r="I767" i="1"/>
  <c r="Q767" i="1" s="1"/>
  <c r="N767" i="1"/>
  <c r="V766" i="1"/>
  <c r="AQ766" i="1"/>
  <c r="Y767" i="1"/>
  <c r="V767" i="1"/>
  <c r="AY766" i="1"/>
  <c r="AY767" i="1"/>
  <c r="X767" i="1" l="1"/>
  <c r="AF767" i="1" s="1"/>
  <c r="AG767" i="1" s="1"/>
  <c r="AH766" i="1"/>
  <c r="O767" i="1"/>
  <c r="I768" i="1" s="1"/>
  <c r="Q768" i="1" s="1"/>
  <c r="AX766" i="1"/>
  <c r="U766" i="1" s="1"/>
  <c r="AL766" i="1" s="1"/>
  <c r="AN766" i="1" s="1"/>
  <c r="AO766" i="1" s="1"/>
  <c r="AP766" i="1" s="1"/>
  <c r="BA766" i="1"/>
  <c r="AX767" i="1" l="1"/>
  <c r="U767" i="1" s="1"/>
  <c r="AL767" i="1" s="1"/>
  <c r="AN767" i="1" s="1"/>
  <c r="AO767" i="1" s="1"/>
  <c r="AP767" i="1" s="1"/>
  <c r="N768" i="1"/>
  <c r="O768" i="1" s="1"/>
  <c r="AT768" i="1"/>
  <c r="AS768" i="1" s="1"/>
  <c r="P768" i="1"/>
  <c r="BE768" i="1" s="1"/>
  <c r="AM768" i="1"/>
  <c r="BA767" i="1"/>
  <c r="AH767" i="1"/>
  <c r="AY768" i="1" l="1"/>
  <c r="AQ768" i="1"/>
  <c r="Y768" i="1"/>
  <c r="X768" i="1" s="1"/>
  <c r="AF768" i="1" s="1"/>
  <c r="AG768" i="1" s="1"/>
  <c r="V768" i="1"/>
  <c r="N769" i="1"/>
  <c r="P769" i="1"/>
  <c r="BE769" i="1" s="1"/>
  <c r="AM769" i="1"/>
  <c r="I769" i="1"/>
  <c r="Q769" i="1" s="1"/>
  <c r="AT769" i="1"/>
  <c r="AS769" i="1" s="1"/>
  <c r="AX768" i="1" l="1"/>
  <c r="U768" i="1" s="1"/>
  <c r="AL768" i="1" s="1"/>
  <c r="AN768" i="1" s="1"/>
  <c r="AO768" i="1" s="1"/>
  <c r="V769" i="1"/>
  <c r="Y769" i="1"/>
  <c r="X769" i="1" s="1"/>
  <c r="AF769" i="1" s="1"/>
  <c r="AQ769" i="1"/>
  <c r="AY769" i="1"/>
  <c r="BA768" i="1"/>
  <c r="AH768" i="1"/>
  <c r="O769" i="1"/>
  <c r="AX769" i="1" l="1"/>
  <c r="U769" i="1" s="1"/>
  <c r="AL769" i="1" s="1"/>
  <c r="AN769" i="1" s="1"/>
  <c r="AO769" i="1" s="1"/>
  <c r="AP769" i="1" s="1"/>
  <c r="N770" i="1"/>
  <c r="P770" i="1"/>
  <c r="BE770" i="1" s="1"/>
  <c r="AG769" i="1"/>
  <c r="AT770" i="1"/>
  <c r="AS770" i="1" s="1"/>
  <c r="AM770" i="1"/>
  <c r="I770" i="1"/>
  <c r="Q770" i="1" s="1"/>
  <c r="V770" i="1" l="1"/>
  <c r="Y770" i="1"/>
  <c r="X770" i="1" s="1"/>
  <c r="AF770" i="1" s="1"/>
  <c r="AQ770" i="1"/>
  <c r="AY770" i="1"/>
  <c r="BA769" i="1"/>
  <c r="AH769" i="1"/>
  <c r="O770" i="1"/>
  <c r="AX770" i="1" l="1"/>
  <c r="U770" i="1" s="1"/>
  <c r="AL770" i="1" s="1"/>
  <c r="AN770" i="1" s="1"/>
  <c r="AO770" i="1" s="1"/>
  <c r="AP770" i="1" s="1"/>
  <c r="P771" i="1"/>
  <c r="BE771" i="1" s="1"/>
  <c r="AT771" i="1"/>
  <c r="AS771" i="1" s="1"/>
  <c r="AM771" i="1"/>
  <c r="N771" i="1"/>
  <c r="I771" i="1"/>
  <c r="Q771" i="1" s="1"/>
  <c r="V771" i="1" l="1"/>
  <c r="Y771" i="1"/>
  <c r="X771" i="1" s="1"/>
  <c r="AF771" i="1" s="1"/>
  <c r="AQ771" i="1"/>
  <c r="AY771" i="1"/>
  <c r="AH770" i="1"/>
  <c r="AG770" i="1"/>
  <c r="BA770" i="1" s="1"/>
  <c r="O771" i="1"/>
  <c r="AX771" i="1" l="1"/>
  <c r="U771" i="1" s="1"/>
  <c r="AL771" i="1" s="1"/>
  <c r="AN771" i="1" s="1"/>
  <c r="AO771" i="1" s="1"/>
  <c r="AP771" i="1" s="1"/>
  <c r="I772" i="1"/>
  <c r="Q772" i="1" s="1"/>
  <c r="P772" i="1"/>
  <c r="BE772" i="1" s="1"/>
  <c r="AT772" i="1"/>
  <c r="AS772" i="1" s="1"/>
  <c r="AM772" i="1"/>
  <c r="N772" i="1"/>
  <c r="V772" i="1" l="1"/>
  <c r="Y772" i="1"/>
  <c r="X772" i="1" s="1"/>
  <c r="AF772" i="1" s="1"/>
  <c r="AG771" i="1"/>
  <c r="BA771" i="1" s="1"/>
  <c r="AH771" i="1"/>
  <c r="AQ772" i="1"/>
  <c r="AY772" i="1"/>
  <c r="O772" i="1"/>
  <c r="AX772" i="1" l="1"/>
  <c r="U772" i="1" s="1"/>
  <c r="AL772" i="1" s="1"/>
  <c r="AN772" i="1" s="1"/>
  <c r="AO772" i="1" s="1"/>
  <c r="AP772" i="1" s="1"/>
  <c r="P773" i="1"/>
  <c r="BE773" i="1" s="1"/>
  <c r="AT773" i="1"/>
  <c r="AS773" i="1" s="1"/>
  <c r="AM773" i="1"/>
  <c r="N773" i="1"/>
  <c r="I773" i="1"/>
  <c r="Q773" i="1" s="1"/>
  <c r="V773" i="1" l="1"/>
  <c r="Y773" i="1"/>
  <c r="X773" i="1" s="1"/>
  <c r="AF773" i="1" s="1"/>
  <c r="AQ773" i="1"/>
  <c r="AY773" i="1"/>
  <c r="AH772" i="1"/>
  <c r="AG772" i="1"/>
  <c r="BA772" i="1" s="1"/>
  <c r="O773" i="1"/>
  <c r="AX773" i="1" l="1"/>
  <c r="U773" i="1" s="1"/>
  <c r="AL773" i="1" s="1"/>
  <c r="AN773" i="1" s="1"/>
  <c r="AO773" i="1" s="1"/>
  <c r="AP773" i="1" s="1"/>
  <c r="AG773" i="1"/>
  <c r="BA773" i="1" s="1"/>
  <c r="I774" i="1"/>
  <c r="Q774" i="1" s="1"/>
  <c r="P774" i="1"/>
  <c r="BE774" i="1" s="1"/>
  <c r="AT774" i="1"/>
  <c r="AS774" i="1" s="1"/>
  <c r="AM774" i="1"/>
  <c r="N774" i="1"/>
  <c r="V774" i="1" l="1"/>
  <c r="Y774" i="1"/>
  <c r="X774" i="1" s="1"/>
  <c r="AF774" i="1" s="1"/>
  <c r="AH773" i="1"/>
  <c r="AQ774" i="1"/>
  <c r="AY774" i="1"/>
  <c r="O774" i="1"/>
  <c r="AX774" i="1" l="1"/>
  <c r="U774" i="1" s="1"/>
  <c r="AL774" i="1" s="1"/>
  <c r="AN774" i="1" s="1"/>
  <c r="AO774" i="1" s="1"/>
  <c r="AP774" i="1" s="1"/>
  <c r="N775" i="1"/>
  <c r="P775" i="1"/>
  <c r="BE775" i="1" s="1"/>
  <c r="AG774" i="1"/>
  <c r="AT775" i="1"/>
  <c r="AS775" i="1" s="1"/>
  <c r="AM775" i="1"/>
  <c r="I775" i="1"/>
  <c r="Q775" i="1" s="1"/>
  <c r="V775" i="1" l="1"/>
  <c r="Y775" i="1"/>
  <c r="X775" i="1" s="1"/>
  <c r="AF775" i="1" s="1"/>
  <c r="AQ775" i="1"/>
  <c r="BA774" i="1"/>
  <c r="AY775" i="1"/>
  <c r="AH774" i="1"/>
  <c r="O775" i="1"/>
  <c r="AX775" i="1" l="1"/>
  <c r="U775" i="1" s="1"/>
  <c r="AL775" i="1" s="1"/>
  <c r="AN775" i="1" s="1"/>
  <c r="AO775" i="1" s="1"/>
  <c r="AP775" i="1" s="1"/>
  <c r="I776" i="1"/>
  <c r="Q776" i="1" s="1"/>
  <c r="P776" i="1"/>
  <c r="BE776" i="1" s="1"/>
  <c r="N776" i="1"/>
  <c r="AT776" i="1"/>
  <c r="AS776" i="1" s="1"/>
  <c r="AM776" i="1"/>
  <c r="V776" i="1" l="1"/>
  <c r="Y776" i="1"/>
  <c r="X776" i="1" s="1"/>
  <c r="AF776" i="1" s="1"/>
  <c r="O776" i="1"/>
  <c r="P777" i="1" s="1"/>
  <c r="BE777" i="1" s="1"/>
  <c r="AQ776" i="1"/>
  <c r="AH775" i="1"/>
  <c r="AG775" i="1"/>
  <c r="BA775" i="1" s="1"/>
  <c r="AY776" i="1"/>
  <c r="AX776" i="1" l="1"/>
  <c r="U776" i="1" s="1"/>
  <c r="AL776" i="1" s="1"/>
  <c r="AN776" i="1" s="1"/>
  <c r="AO776" i="1" s="1"/>
  <c r="AP776" i="1" s="1"/>
  <c r="V777" i="1"/>
  <c r="Y777" i="1"/>
  <c r="X777" i="1" s="1"/>
  <c r="AF777" i="1" s="1"/>
  <c r="AT777" i="1"/>
  <c r="AS777" i="1" s="1"/>
  <c r="AQ777" i="1" s="1"/>
  <c r="AM777" i="1"/>
  <c r="I777" i="1"/>
  <c r="Q777" i="1" s="1"/>
  <c r="N777" i="1"/>
  <c r="AG776" i="1"/>
  <c r="AY777" i="1"/>
  <c r="O777" i="1" l="1"/>
  <c r="P778" i="1" s="1"/>
  <c r="BE778" i="1" s="1"/>
  <c r="AH776" i="1"/>
  <c r="AX777" i="1" s="1"/>
  <c r="BA776" i="1"/>
  <c r="V778" i="1" l="1"/>
  <c r="Y778" i="1"/>
  <c r="X778" i="1" s="1"/>
  <c r="AF778" i="1" s="1"/>
  <c r="AM778" i="1"/>
  <c r="N778" i="1"/>
  <c r="AT778" i="1"/>
  <c r="AS778" i="1" s="1"/>
  <c r="AQ778" i="1" s="1"/>
  <c r="I778" i="1"/>
  <c r="Q778" i="1" s="1"/>
  <c r="AH777" i="1"/>
  <c r="AG777" i="1"/>
  <c r="BA777" i="1" s="1"/>
  <c r="U777" i="1"/>
  <c r="AL777" i="1" s="1"/>
  <c r="AN777" i="1" s="1"/>
  <c r="AO777" i="1" s="1"/>
  <c r="AP777" i="1" s="1"/>
  <c r="AY778" i="1"/>
  <c r="AX778" i="1" l="1"/>
  <c r="U778" i="1" s="1"/>
  <c r="AL778" i="1" s="1"/>
  <c r="AN778" i="1" s="1"/>
  <c r="AO778" i="1" s="1"/>
  <c r="AP778" i="1" s="1"/>
  <c r="O778" i="1"/>
  <c r="I779" i="1" s="1"/>
  <c r="Q779" i="1" s="1"/>
  <c r="AG778" i="1"/>
  <c r="P779" i="1" l="1"/>
  <c r="BE779" i="1" s="1"/>
  <c r="AM779" i="1"/>
  <c r="N779" i="1"/>
  <c r="O779" i="1" s="1"/>
  <c r="AT779" i="1"/>
  <c r="AS779" i="1" s="1"/>
  <c r="BA778" i="1"/>
  <c r="AH778" i="1"/>
  <c r="V779" i="1" l="1"/>
  <c r="Y779" i="1"/>
  <c r="X779" i="1" s="1"/>
  <c r="AY779" i="1"/>
  <c r="AQ779" i="1"/>
  <c r="AT780" i="1"/>
  <c r="AS780" i="1" s="1"/>
  <c r="P780" i="1"/>
  <c r="BE780" i="1" s="1"/>
  <c r="AM780" i="1"/>
  <c r="N780" i="1"/>
  <c r="I780" i="1"/>
  <c r="Q780" i="1" s="1"/>
  <c r="AX779" i="1" l="1"/>
  <c r="U779" i="1" s="1"/>
  <c r="AL779" i="1" s="1"/>
  <c r="AN779" i="1" s="1"/>
  <c r="AO779" i="1" s="1"/>
  <c r="AP779" i="1" s="1"/>
  <c r="AF779" i="1"/>
  <c r="AG779" i="1" s="1"/>
  <c r="BA779" i="1" s="1"/>
  <c r="V780" i="1"/>
  <c r="Y780" i="1"/>
  <c r="X780" i="1" s="1"/>
  <c r="AF780" i="1" s="1"/>
  <c r="AQ780" i="1"/>
  <c r="AY780" i="1"/>
  <c r="O780" i="1"/>
  <c r="P781" i="1" s="1"/>
  <c r="BE781" i="1" s="1"/>
  <c r="AH779" i="1" l="1"/>
  <c r="V781" i="1"/>
  <c r="Y781" i="1"/>
  <c r="X781" i="1" s="1"/>
  <c r="AF781" i="1" s="1"/>
  <c r="AT781" i="1"/>
  <c r="AS781" i="1" s="1"/>
  <c r="I781" i="1"/>
  <c r="Q781" i="1" s="1"/>
  <c r="AM781" i="1"/>
  <c r="N781" i="1"/>
  <c r="AX780" i="1" l="1"/>
  <c r="U780" i="1" s="1"/>
  <c r="AL780" i="1" s="1"/>
  <c r="AN780" i="1" s="1"/>
  <c r="AO780" i="1" s="1"/>
  <c r="AQ781" i="1"/>
  <c r="AH780" i="1"/>
  <c r="AG780" i="1"/>
  <c r="BA780" i="1" s="1"/>
  <c r="AY781" i="1"/>
  <c r="O781" i="1"/>
  <c r="AX781" i="1" l="1"/>
  <c r="U781" i="1" s="1"/>
  <c r="AL781" i="1" s="1"/>
  <c r="AN781" i="1" s="1"/>
  <c r="AO781" i="1" s="1"/>
  <c r="AP781" i="1" s="1"/>
  <c r="P782" i="1"/>
  <c r="BE782" i="1" s="1"/>
  <c r="N782" i="1"/>
  <c r="AM782" i="1"/>
  <c r="AT782" i="1"/>
  <c r="AS782" i="1" s="1"/>
  <c r="I782" i="1"/>
  <c r="Q782" i="1" s="1"/>
  <c r="V782" i="1" l="1"/>
  <c r="Y782" i="1"/>
  <c r="X782" i="1" s="1"/>
  <c r="AF782" i="1" s="1"/>
  <c r="AQ782" i="1"/>
  <c r="AY782" i="1"/>
  <c r="AH781" i="1"/>
  <c r="AG781" i="1"/>
  <c r="BA781" i="1" s="1"/>
  <c r="O782" i="1"/>
  <c r="AX782" i="1" l="1"/>
  <c r="U782" i="1" s="1"/>
  <c r="AL782" i="1" s="1"/>
  <c r="AN782" i="1" s="1"/>
  <c r="AO782" i="1" s="1"/>
  <c r="AP782" i="1" s="1"/>
  <c r="N783" i="1"/>
  <c r="P783" i="1"/>
  <c r="BE783" i="1" s="1"/>
  <c r="AT783" i="1"/>
  <c r="AS783" i="1" s="1"/>
  <c r="AM783" i="1"/>
  <c r="I783" i="1"/>
  <c r="Q783" i="1" s="1"/>
  <c r="V783" i="1" l="1"/>
  <c r="Y783" i="1"/>
  <c r="X783" i="1" s="1"/>
  <c r="AF783" i="1" s="1"/>
  <c r="AH782" i="1"/>
  <c r="AG782" i="1"/>
  <c r="BA782" i="1" s="1"/>
  <c r="AQ783" i="1"/>
  <c r="AY783" i="1"/>
  <c r="O783" i="1"/>
  <c r="AX783" i="1" l="1"/>
  <c r="U783" i="1" s="1"/>
  <c r="AL783" i="1" s="1"/>
  <c r="AN783" i="1" s="1"/>
  <c r="AO783" i="1" s="1"/>
  <c r="AP783" i="1" s="1"/>
  <c r="P784" i="1"/>
  <c r="BE784" i="1" s="1"/>
  <c r="AG783" i="1"/>
  <c r="AT784" i="1"/>
  <c r="AS784" i="1" s="1"/>
  <c r="AM784" i="1"/>
  <c r="N784" i="1"/>
  <c r="I784" i="1"/>
  <c r="Q784" i="1" s="1"/>
  <c r="V784" i="1" l="1"/>
  <c r="Y784" i="1"/>
  <c r="X784" i="1" s="1"/>
  <c r="AF784" i="1" s="1"/>
  <c r="AQ784" i="1"/>
  <c r="AY784" i="1"/>
  <c r="BA783" i="1"/>
  <c r="AH783" i="1"/>
  <c r="O784" i="1"/>
  <c r="AX784" i="1" l="1"/>
  <c r="U784" i="1" s="1"/>
  <c r="AL784" i="1" s="1"/>
  <c r="AN784" i="1" s="1"/>
  <c r="AO784" i="1" s="1"/>
  <c r="AP784" i="1" s="1"/>
  <c r="AM785" i="1"/>
  <c r="P785" i="1"/>
  <c r="BE785" i="1" s="1"/>
  <c r="AG784" i="1"/>
  <c r="BA784" i="1" s="1"/>
  <c r="AT785" i="1"/>
  <c r="AS785" i="1" s="1"/>
  <c r="N785" i="1"/>
  <c r="I785" i="1"/>
  <c r="Q785" i="1" s="1"/>
  <c r="AH784" i="1"/>
  <c r="V785" i="1" l="1"/>
  <c r="Y785" i="1"/>
  <c r="X785" i="1" s="1"/>
  <c r="AF785" i="1" s="1"/>
  <c r="AQ785" i="1"/>
  <c r="AY785" i="1"/>
  <c r="O785" i="1"/>
  <c r="AX785" i="1" l="1"/>
  <c r="U785" i="1" s="1"/>
  <c r="AL785" i="1" s="1"/>
  <c r="AN785" i="1" s="1"/>
  <c r="AO785" i="1" s="1"/>
  <c r="AP785" i="1" s="1"/>
  <c r="I786" i="1"/>
  <c r="Q786" i="1" s="1"/>
  <c r="P786" i="1"/>
  <c r="BE786" i="1" s="1"/>
  <c r="AT786" i="1"/>
  <c r="AS786" i="1" s="1"/>
  <c r="N786" i="1"/>
  <c r="AM786" i="1"/>
  <c r="V786" i="1" l="1"/>
  <c r="Y786" i="1"/>
  <c r="X786" i="1" s="1"/>
  <c r="AF786" i="1" s="1"/>
  <c r="AQ786" i="1"/>
  <c r="AH785" i="1"/>
  <c r="AG785" i="1"/>
  <c r="BA785" i="1" s="1"/>
  <c r="AY786" i="1"/>
  <c r="O786" i="1"/>
  <c r="AX786" i="1" l="1"/>
  <c r="U786" i="1" s="1"/>
  <c r="AL786" i="1" s="1"/>
  <c r="AN786" i="1" s="1"/>
  <c r="AO786" i="1" s="1"/>
  <c r="AP786" i="1" s="1"/>
  <c r="P787" i="1"/>
  <c r="BE787" i="1" s="1"/>
  <c r="AT787" i="1"/>
  <c r="AS787" i="1" s="1"/>
  <c r="AM787" i="1"/>
  <c r="N787" i="1"/>
  <c r="I787" i="1"/>
  <c r="Q787" i="1" s="1"/>
  <c r="V787" i="1" l="1"/>
  <c r="Y787" i="1"/>
  <c r="X787" i="1" s="1"/>
  <c r="AF787" i="1" s="1"/>
  <c r="AQ787" i="1"/>
  <c r="AY787" i="1"/>
  <c r="AH786" i="1"/>
  <c r="AG786" i="1"/>
  <c r="BA786" i="1" s="1"/>
  <c r="O787" i="1"/>
  <c r="AX787" i="1" l="1"/>
  <c r="U787" i="1" s="1"/>
  <c r="AL787" i="1" s="1"/>
  <c r="AN787" i="1" s="1"/>
  <c r="AO787" i="1" s="1"/>
  <c r="AP787" i="1" s="1"/>
  <c r="AM788" i="1"/>
  <c r="P788" i="1"/>
  <c r="BE788" i="1" s="1"/>
  <c r="N788" i="1"/>
  <c r="I788" i="1"/>
  <c r="Q788" i="1" s="1"/>
  <c r="AT788" i="1"/>
  <c r="AS788" i="1" s="1"/>
  <c r="V788" i="1" l="1"/>
  <c r="Y788" i="1"/>
  <c r="X788" i="1" s="1"/>
  <c r="AF788" i="1" s="1"/>
  <c r="AH787" i="1"/>
  <c r="AG787" i="1"/>
  <c r="BA787" i="1" s="1"/>
  <c r="AQ788" i="1"/>
  <c r="AY788" i="1"/>
  <c r="O788" i="1"/>
  <c r="AX788" i="1" l="1"/>
  <c r="U788" i="1" s="1"/>
  <c r="AL788" i="1" s="1"/>
  <c r="AN788" i="1" s="1"/>
  <c r="AO788" i="1" s="1"/>
  <c r="AP788" i="1" s="1"/>
  <c r="I789" i="1"/>
  <c r="Q789" i="1" s="1"/>
  <c r="P789" i="1"/>
  <c r="BE789" i="1" s="1"/>
  <c r="AM789" i="1"/>
  <c r="N789" i="1"/>
  <c r="AT789" i="1"/>
  <c r="AS789" i="1" s="1"/>
  <c r="V789" i="1" l="1"/>
  <c r="Y789" i="1"/>
  <c r="X789" i="1" s="1"/>
  <c r="AF789" i="1" s="1"/>
  <c r="O789" i="1"/>
  <c r="AM790" i="1" s="1"/>
  <c r="AQ789" i="1"/>
  <c r="AH788" i="1"/>
  <c r="AG788" i="1"/>
  <c r="BA788" i="1" s="1"/>
  <c r="AY789" i="1"/>
  <c r="AX789" i="1" l="1"/>
  <c r="U789" i="1" s="1"/>
  <c r="AL789" i="1" s="1"/>
  <c r="AN789" i="1" s="1"/>
  <c r="AO789" i="1" s="1"/>
  <c r="AP789" i="1" s="1"/>
  <c r="P790" i="1"/>
  <c r="BE790" i="1" s="1"/>
  <c r="AT790" i="1"/>
  <c r="AS790" i="1" s="1"/>
  <c r="N790" i="1"/>
  <c r="I790" i="1"/>
  <c r="Q790" i="1" s="1"/>
  <c r="AG789" i="1"/>
  <c r="V790" i="1" l="1"/>
  <c r="Y790" i="1"/>
  <c r="X790" i="1" s="1"/>
  <c r="AF790" i="1" s="1"/>
  <c r="AY790" i="1"/>
  <c r="AQ790" i="1"/>
  <c r="O790" i="1"/>
  <c r="P791" i="1" s="1"/>
  <c r="BE791" i="1" s="1"/>
  <c r="BA789" i="1"/>
  <c r="AH789" i="1"/>
  <c r="AX790" i="1" l="1"/>
  <c r="U790" i="1" s="1"/>
  <c r="AL790" i="1" s="1"/>
  <c r="AN790" i="1" s="1"/>
  <c r="AO790" i="1" s="1"/>
  <c r="AP790" i="1" s="1"/>
  <c r="V791" i="1"/>
  <c r="Y791" i="1"/>
  <c r="X791" i="1" s="1"/>
  <c r="AF791" i="1" s="1"/>
  <c r="N791" i="1"/>
  <c r="I791" i="1"/>
  <c r="Q791" i="1" s="1"/>
  <c r="AT791" i="1"/>
  <c r="AS791" i="1" s="1"/>
  <c r="AQ791" i="1" s="1"/>
  <c r="AM791" i="1"/>
  <c r="AY791" i="1"/>
  <c r="AH790" i="1"/>
  <c r="AG790" i="1"/>
  <c r="BA790" i="1" s="1"/>
  <c r="AX791" i="1" l="1"/>
  <c r="U791" i="1" s="1"/>
  <c r="AL791" i="1" s="1"/>
  <c r="AN791" i="1" s="1"/>
  <c r="AO791" i="1" s="1"/>
  <c r="AP791" i="1" s="1"/>
  <c r="O791" i="1"/>
  <c r="P792" i="1" s="1"/>
  <c r="BE792" i="1" s="1"/>
  <c r="V792" i="1" l="1"/>
  <c r="Y792" i="1"/>
  <c r="X792" i="1" s="1"/>
  <c r="AF792" i="1" s="1"/>
  <c r="AT792" i="1"/>
  <c r="AS792" i="1" s="1"/>
  <c r="AQ792" i="1" s="1"/>
  <c r="I792" i="1"/>
  <c r="Q792" i="1" s="1"/>
  <c r="N792" i="1"/>
  <c r="AM792" i="1"/>
  <c r="AH791" i="1"/>
  <c r="AG791" i="1"/>
  <c r="BA791" i="1" s="1"/>
  <c r="AY792" i="1"/>
  <c r="AX792" i="1" l="1"/>
  <c r="U792" i="1" s="1"/>
  <c r="AL792" i="1" s="1"/>
  <c r="AN792" i="1" s="1"/>
  <c r="AO792" i="1" s="1"/>
  <c r="O792" i="1"/>
  <c r="P793" i="1" s="1"/>
  <c r="BE793" i="1" s="1"/>
  <c r="V793" i="1" l="1"/>
  <c r="Y793" i="1"/>
  <c r="AT793" i="1"/>
  <c r="AS793" i="1" s="1"/>
  <c r="AQ793" i="1" s="1"/>
  <c r="N793" i="1"/>
  <c r="AM793" i="1"/>
  <c r="I793" i="1"/>
  <c r="Q793" i="1" s="1"/>
  <c r="X793" i="1"/>
  <c r="AF793" i="1" s="1"/>
  <c r="AH792" i="1"/>
  <c r="AG792" i="1"/>
  <c r="BA792" i="1" s="1"/>
  <c r="AY793" i="1"/>
  <c r="AX793" i="1" l="1"/>
  <c r="U793" i="1" s="1"/>
  <c r="AL793" i="1" s="1"/>
  <c r="AN793" i="1" s="1"/>
  <c r="AO793" i="1" s="1"/>
  <c r="AP793" i="1" s="1"/>
  <c r="O793" i="1"/>
  <c r="I794" i="1" s="1"/>
  <c r="Q794" i="1" s="1"/>
  <c r="AG793" i="1"/>
  <c r="N794" i="1" l="1"/>
  <c r="O794" i="1" s="1"/>
  <c r="P795" i="1" s="1"/>
  <c r="BE795" i="1" s="1"/>
  <c r="AM794" i="1"/>
  <c r="P794" i="1"/>
  <c r="BE794" i="1" s="1"/>
  <c r="AT794" i="1"/>
  <c r="AS794" i="1" s="1"/>
  <c r="BA793" i="1"/>
  <c r="AH793" i="1"/>
  <c r="V794" i="1" l="1"/>
  <c r="Y794" i="1"/>
  <c r="X794" i="1" s="1"/>
  <c r="AF794" i="1" s="1"/>
  <c r="V795" i="1"/>
  <c r="Y795" i="1"/>
  <c r="AY794" i="1"/>
  <c r="AQ794" i="1"/>
  <c r="AM795" i="1"/>
  <c r="I795" i="1"/>
  <c r="Q795" i="1" s="1"/>
  <c r="N795" i="1"/>
  <c r="AT795" i="1"/>
  <c r="AS795" i="1" s="1"/>
  <c r="AX794" i="1" l="1"/>
  <c r="U794" i="1" s="1"/>
  <c r="AL794" i="1" s="1"/>
  <c r="AN794" i="1" s="1"/>
  <c r="AO794" i="1" s="1"/>
  <c r="AP794" i="1" s="1"/>
  <c r="X795" i="1"/>
  <c r="AF795" i="1" s="1"/>
  <c r="AQ795" i="1"/>
  <c r="AH794" i="1"/>
  <c r="AG794" i="1"/>
  <c r="BA794" i="1" s="1"/>
  <c r="AY795" i="1"/>
  <c r="O795" i="1"/>
  <c r="AX795" i="1" l="1"/>
  <c r="U795" i="1" s="1"/>
  <c r="AL795" i="1" s="1"/>
  <c r="AN795" i="1" s="1"/>
  <c r="AO795" i="1" s="1"/>
  <c r="AP795" i="1" s="1"/>
  <c r="N796" i="1"/>
  <c r="P796" i="1"/>
  <c r="BE796" i="1" s="1"/>
  <c r="AT796" i="1"/>
  <c r="AS796" i="1" s="1"/>
  <c r="AM796" i="1"/>
  <c r="I796" i="1"/>
  <c r="Q796" i="1" s="1"/>
  <c r="V796" i="1" l="1"/>
  <c r="Y796" i="1"/>
  <c r="X796" i="1" s="1"/>
  <c r="AF796" i="1" s="1"/>
  <c r="AQ796" i="1"/>
  <c r="AH795" i="1"/>
  <c r="AG795" i="1"/>
  <c r="BA795" i="1" s="1"/>
  <c r="AY796" i="1"/>
  <c r="O796" i="1"/>
  <c r="AX796" i="1" l="1"/>
  <c r="U796" i="1" s="1"/>
  <c r="AL796" i="1" s="1"/>
  <c r="AN796" i="1" s="1"/>
  <c r="AO796" i="1" s="1"/>
  <c r="AP796" i="1" s="1"/>
  <c r="N797" i="1"/>
  <c r="P797" i="1"/>
  <c r="BE797" i="1" s="1"/>
  <c r="AG796" i="1"/>
  <c r="AT797" i="1"/>
  <c r="AS797" i="1" s="1"/>
  <c r="I797" i="1"/>
  <c r="Q797" i="1" s="1"/>
  <c r="AM797" i="1"/>
  <c r="V797" i="1" l="1"/>
  <c r="Y797" i="1"/>
  <c r="X797" i="1" s="1"/>
  <c r="AF797" i="1" s="1"/>
  <c r="AQ797" i="1"/>
  <c r="BA796" i="1"/>
  <c r="AH796" i="1"/>
  <c r="AY797" i="1"/>
  <c r="O797" i="1"/>
  <c r="P798" i="1" s="1"/>
  <c r="BE798" i="1" s="1"/>
  <c r="AX797" i="1" l="1"/>
  <c r="U797" i="1" s="1"/>
  <c r="AL797" i="1" s="1"/>
  <c r="AN797" i="1" s="1"/>
  <c r="AO797" i="1" s="1"/>
  <c r="AP797" i="1" s="1"/>
  <c r="V798" i="1"/>
  <c r="Y798" i="1"/>
  <c r="X798" i="1" s="1"/>
  <c r="AF798" i="1" s="1"/>
  <c r="N798" i="1"/>
  <c r="AT798" i="1"/>
  <c r="AS798" i="1" s="1"/>
  <c r="AM798" i="1"/>
  <c r="I798" i="1"/>
  <c r="Q798" i="1" s="1"/>
  <c r="AQ798" i="1" l="1"/>
  <c r="AH797" i="1"/>
  <c r="AG797" i="1"/>
  <c r="BA797" i="1" s="1"/>
  <c r="AY798" i="1"/>
  <c r="O798" i="1"/>
  <c r="P799" i="1" s="1"/>
  <c r="BE799" i="1" s="1"/>
  <c r="AX798" i="1" l="1"/>
  <c r="U798" i="1" s="1"/>
  <c r="AL798" i="1" s="1"/>
  <c r="AN798" i="1" s="1"/>
  <c r="AO798" i="1" s="1"/>
  <c r="AP798" i="1" s="1"/>
  <c r="V799" i="1"/>
  <c r="Y799" i="1"/>
  <c r="X799" i="1" s="1"/>
  <c r="AF799" i="1" s="1"/>
  <c r="AG798" i="1"/>
  <c r="AM799" i="1"/>
  <c r="I799" i="1"/>
  <c r="Q799" i="1" s="1"/>
  <c r="N799" i="1"/>
  <c r="AT799" i="1"/>
  <c r="AS799" i="1" s="1"/>
  <c r="AQ799" i="1" l="1"/>
  <c r="AY799" i="1"/>
  <c r="BA798" i="1"/>
  <c r="AH798" i="1"/>
  <c r="O799" i="1"/>
  <c r="AX799" i="1" l="1"/>
  <c r="U799" i="1" s="1"/>
  <c r="AL799" i="1" s="1"/>
  <c r="AN799" i="1" s="1"/>
  <c r="AO799" i="1" s="1"/>
  <c r="AP799" i="1" s="1"/>
  <c r="N800" i="1"/>
  <c r="P800" i="1"/>
  <c r="BE800" i="1" s="1"/>
  <c r="AT800" i="1"/>
  <c r="AS800" i="1" s="1"/>
  <c r="AM800" i="1"/>
  <c r="I800" i="1"/>
  <c r="Q800" i="1" s="1"/>
  <c r="V800" i="1" l="1"/>
  <c r="Y800" i="1"/>
  <c r="X800" i="1" s="1"/>
  <c r="AF800" i="1" s="1"/>
  <c r="AQ800" i="1"/>
  <c r="AH799" i="1"/>
  <c r="AG799" i="1"/>
  <c r="BA799" i="1" s="1"/>
  <c r="AY800" i="1"/>
  <c r="O800" i="1"/>
  <c r="AX800" i="1" l="1"/>
  <c r="U800" i="1" s="1"/>
  <c r="AL800" i="1" s="1"/>
  <c r="AN800" i="1" s="1"/>
  <c r="AO800" i="1" s="1"/>
  <c r="AP800" i="1" s="1"/>
  <c r="N801" i="1"/>
  <c r="P801" i="1"/>
  <c r="BE801" i="1" s="1"/>
  <c r="I801" i="1"/>
  <c r="Q801" i="1" s="1"/>
  <c r="AG800" i="1"/>
  <c r="AM801" i="1"/>
  <c r="AT801" i="1"/>
  <c r="AS801" i="1" s="1"/>
  <c r="V801" i="1" l="1"/>
  <c r="Y801" i="1"/>
  <c r="X801" i="1" s="1"/>
  <c r="AF801" i="1" s="1"/>
  <c r="AQ801" i="1"/>
  <c r="O801" i="1"/>
  <c r="AY801" i="1"/>
  <c r="BA800" i="1"/>
  <c r="AH800" i="1"/>
  <c r="AX801" i="1" l="1"/>
  <c r="U801" i="1" s="1"/>
  <c r="AL801" i="1" s="1"/>
  <c r="AN801" i="1" s="1"/>
  <c r="AO801" i="1" s="1"/>
  <c r="AP801" i="1" s="1"/>
  <c r="AM802" i="1"/>
  <c r="P802" i="1"/>
  <c r="BE802" i="1" s="1"/>
  <c r="I802" i="1"/>
  <c r="Q802" i="1" s="1"/>
  <c r="N802" i="1"/>
  <c r="AT802" i="1"/>
  <c r="AS802" i="1" s="1"/>
  <c r="V802" i="1" l="1"/>
  <c r="Y802" i="1"/>
  <c r="X802" i="1" s="1"/>
  <c r="AF802" i="1" s="1"/>
  <c r="AQ802" i="1"/>
  <c r="O802" i="1"/>
  <c r="AY802" i="1"/>
  <c r="AT803" i="1" l="1"/>
  <c r="AS803" i="1" s="1"/>
  <c r="P803" i="1"/>
  <c r="BE803" i="1" s="1"/>
  <c r="AG801" i="1"/>
  <c r="BA801" i="1" s="1"/>
  <c r="AH801" i="1"/>
  <c r="I803" i="1"/>
  <c r="Q803" i="1" s="1"/>
  <c r="AM803" i="1"/>
  <c r="N803" i="1"/>
  <c r="AX802" i="1" l="1"/>
  <c r="U802" i="1" s="1"/>
  <c r="AL802" i="1" s="1"/>
  <c r="AN802" i="1" s="1"/>
  <c r="AO802" i="1" s="1"/>
  <c r="AP802" i="1" s="1"/>
  <c r="V803" i="1"/>
  <c r="Y803" i="1"/>
  <c r="X803" i="1" s="1"/>
  <c r="AF803" i="1" s="1"/>
  <c r="AY803" i="1"/>
  <c r="AQ803" i="1"/>
  <c r="O803" i="1"/>
  <c r="P804" i="1" l="1"/>
  <c r="BE804" i="1" s="1"/>
  <c r="AG802" i="1"/>
  <c r="BA802" i="1" s="1"/>
  <c r="AH802" i="1"/>
  <c r="AX803" i="1" s="1"/>
  <c r="AT804" i="1"/>
  <c r="AS804" i="1" s="1"/>
  <c r="I804" i="1"/>
  <c r="Q804" i="1" s="1"/>
  <c r="AM804" i="1"/>
  <c r="N804" i="1"/>
  <c r="V804" i="1" l="1"/>
  <c r="Y804" i="1"/>
  <c r="X804" i="1" s="1"/>
  <c r="AF804" i="1" s="1"/>
  <c r="AY804" i="1"/>
  <c r="AQ804" i="1"/>
  <c r="U803" i="1"/>
  <c r="AL803" i="1" s="1"/>
  <c r="AN803" i="1" s="1"/>
  <c r="AO803" i="1" s="1"/>
  <c r="AP803" i="1" s="1"/>
  <c r="AG803" i="1"/>
  <c r="BA803" i="1" s="1"/>
  <c r="AH803" i="1"/>
  <c r="O804" i="1"/>
  <c r="AX804" i="1" l="1"/>
  <c r="U804" i="1" s="1"/>
  <c r="AL804" i="1" s="1"/>
  <c r="AN804" i="1" s="1"/>
  <c r="AO804" i="1" s="1"/>
  <c r="AG804" i="1"/>
  <c r="BA804" i="1" s="1"/>
  <c r="P805" i="1"/>
  <c r="BE805" i="1" s="1"/>
  <c r="N805" i="1"/>
  <c r="AT805" i="1"/>
  <c r="AS805" i="1" s="1"/>
  <c r="I805" i="1"/>
  <c r="Q805" i="1" s="1"/>
  <c r="AM805" i="1"/>
  <c r="V805" i="1" l="1"/>
  <c r="Y805" i="1"/>
  <c r="X805" i="1" s="1"/>
  <c r="AF805" i="1" s="1"/>
  <c r="AH804" i="1"/>
  <c r="AQ805" i="1"/>
  <c r="AY805" i="1"/>
  <c r="O805" i="1"/>
  <c r="AX805" i="1" l="1"/>
  <c r="U805" i="1" s="1"/>
  <c r="AL805" i="1" s="1"/>
  <c r="AN805" i="1" s="1"/>
  <c r="AO805" i="1" s="1"/>
  <c r="AP805" i="1" s="1"/>
  <c r="AT806" i="1"/>
  <c r="AS806" i="1" s="1"/>
  <c r="P806" i="1"/>
  <c r="BE806" i="1" s="1"/>
  <c r="I806" i="1"/>
  <c r="Q806" i="1" s="1"/>
  <c r="N806" i="1"/>
  <c r="AM806" i="1"/>
  <c r="V806" i="1" l="1"/>
  <c r="Y806" i="1"/>
  <c r="X806" i="1" s="1"/>
  <c r="AF806" i="1" s="1"/>
  <c r="AG805" i="1"/>
  <c r="BA805" i="1" s="1"/>
  <c r="AH805" i="1"/>
  <c r="AY806" i="1"/>
  <c r="AQ806" i="1"/>
  <c r="O806" i="1"/>
  <c r="AX806" i="1" l="1"/>
  <c r="U806" i="1" s="1"/>
  <c r="AL806" i="1" s="1"/>
  <c r="AN806" i="1" s="1"/>
  <c r="AO806" i="1" s="1"/>
  <c r="AP806" i="1" s="1"/>
  <c r="AM807" i="1"/>
  <c r="P807" i="1"/>
  <c r="BE807" i="1" s="1"/>
  <c r="N807" i="1"/>
  <c r="AT807" i="1"/>
  <c r="AS807" i="1" s="1"/>
  <c r="I807" i="1"/>
  <c r="Q807" i="1" s="1"/>
  <c r="V807" i="1" l="1"/>
  <c r="Y807" i="1"/>
  <c r="X807" i="1" s="1"/>
  <c r="AF807" i="1" s="1"/>
  <c r="AQ807" i="1"/>
  <c r="O807" i="1"/>
  <c r="AY807" i="1"/>
  <c r="AM808" i="1" l="1"/>
  <c r="P808" i="1"/>
  <c r="BE808" i="1" s="1"/>
  <c r="AG806" i="1"/>
  <c r="BA806" i="1" s="1"/>
  <c r="AH806" i="1"/>
  <c r="AT808" i="1"/>
  <c r="AS808" i="1" s="1"/>
  <c r="N808" i="1"/>
  <c r="I808" i="1"/>
  <c r="Q808" i="1" s="1"/>
  <c r="AX807" i="1" l="1"/>
  <c r="U807" i="1" s="1"/>
  <c r="AL807" i="1" s="1"/>
  <c r="AN807" i="1" s="1"/>
  <c r="AO807" i="1" s="1"/>
  <c r="AP807" i="1" s="1"/>
  <c r="V808" i="1"/>
  <c r="Y808" i="1"/>
  <c r="X808" i="1" s="1"/>
  <c r="AF808" i="1" s="1"/>
  <c r="AG807" i="1"/>
  <c r="BA807" i="1" s="1"/>
  <c r="AH807" i="1"/>
  <c r="AQ808" i="1"/>
  <c r="AY808" i="1"/>
  <c r="O808" i="1"/>
  <c r="AX808" i="1" l="1"/>
  <c r="U808" i="1" s="1"/>
  <c r="AL808" i="1" s="1"/>
  <c r="AN808" i="1" s="1"/>
  <c r="AO808" i="1" s="1"/>
  <c r="AP808" i="1" s="1"/>
  <c r="I809" i="1"/>
  <c r="Q809" i="1" s="1"/>
  <c r="P809" i="1"/>
  <c r="BE809" i="1" s="1"/>
  <c r="AG808" i="1"/>
  <c r="BA808" i="1" s="1"/>
  <c r="N809" i="1"/>
  <c r="AT809" i="1"/>
  <c r="AS809" i="1" s="1"/>
  <c r="AM809" i="1"/>
  <c r="V809" i="1" l="1"/>
  <c r="Y809" i="1"/>
  <c r="X809" i="1" s="1"/>
  <c r="AF809" i="1" s="1"/>
  <c r="O809" i="1"/>
  <c r="P810" i="1" s="1"/>
  <c r="BE810" i="1" s="1"/>
  <c r="AH808" i="1"/>
  <c r="AQ809" i="1"/>
  <c r="AY809" i="1"/>
  <c r="AX809" i="1" l="1"/>
  <c r="U809" i="1" s="1"/>
  <c r="AL809" i="1" s="1"/>
  <c r="AN809" i="1" s="1"/>
  <c r="AO809" i="1" s="1"/>
  <c r="AP809" i="1" s="1"/>
  <c r="V810" i="1"/>
  <c r="Y810" i="1"/>
  <c r="X810" i="1" s="1"/>
  <c r="AF810" i="1" s="1"/>
  <c r="AT810" i="1"/>
  <c r="AS810" i="1" s="1"/>
  <c r="AQ810" i="1" s="1"/>
  <c r="AM810" i="1"/>
  <c r="N810" i="1"/>
  <c r="I810" i="1"/>
  <c r="Q810" i="1" s="1"/>
  <c r="AY810" i="1"/>
  <c r="O810" i="1" l="1"/>
  <c r="P811" i="1" s="1"/>
  <c r="BE811" i="1" s="1"/>
  <c r="AG810" i="1"/>
  <c r="V811" i="1" l="1"/>
  <c r="Y811" i="1"/>
  <c r="X811" i="1" s="1"/>
  <c r="AF811" i="1" s="1"/>
  <c r="AM811" i="1"/>
  <c r="N811" i="1"/>
  <c r="AT811" i="1"/>
  <c r="AS811" i="1" s="1"/>
  <c r="AQ811" i="1" s="1"/>
  <c r="I811" i="1"/>
  <c r="Q811" i="1" s="1"/>
  <c r="AG809" i="1"/>
  <c r="BA809" i="1" s="1"/>
  <c r="AH809" i="1"/>
  <c r="AX810" i="1" s="1"/>
  <c r="AY811" i="1"/>
  <c r="BA810" i="1"/>
  <c r="AH810" i="1"/>
  <c r="O811" i="1" l="1"/>
  <c r="P812" i="1" s="1"/>
  <c r="BE812" i="1" s="1"/>
  <c r="U810" i="1"/>
  <c r="AL810" i="1" s="1"/>
  <c r="AN810" i="1" s="1"/>
  <c r="AO810" i="1" s="1"/>
  <c r="AP810" i="1" s="1"/>
  <c r="AX811" i="1" l="1"/>
  <c r="U811" i="1" s="1"/>
  <c r="AL811" i="1" s="1"/>
  <c r="AN811" i="1" s="1"/>
  <c r="AO811" i="1" s="1"/>
  <c r="AP811" i="1" s="1"/>
  <c r="V812" i="1"/>
  <c r="Y812" i="1"/>
  <c r="X812" i="1" s="1"/>
  <c r="AF812" i="1" s="1"/>
  <c r="N812" i="1"/>
  <c r="AT812" i="1"/>
  <c r="AS812" i="1" s="1"/>
  <c r="AQ812" i="1" s="1"/>
  <c r="AM812" i="1"/>
  <c r="I812" i="1"/>
  <c r="Q812" i="1" s="1"/>
  <c r="AH811" i="1"/>
  <c r="AG811" i="1"/>
  <c r="BA811" i="1" s="1"/>
  <c r="AY812" i="1"/>
  <c r="AX812" i="1" l="1"/>
  <c r="U812" i="1" s="1"/>
  <c r="AL812" i="1" s="1"/>
  <c r="AN812" i="1" s="1"/>
  <c r="AO812" i="1" s="1"/>
  <c r="AP812" i="1" s="1"/>
  <c r="O812" i="1"/>
  <c r="P813" i="1" s="1"/>
  <c r="BE813" i="1" s="1"/>
  <c r="V813" i="1" l="1"/>
  <c r="Y813" i="1"/>
  <c r="X813" i="1" s="1"/>
  <c r="AF813" i="1" s="1"/>
  <c r="AM813" i="1"/>
  <c r="I813" i="1"/>
  <c r="Q813" i="1" s="1"/>
  <c r="AT813" i="1"/>
  <c r="AS813" i="1" s="1"/>
  <c r="AQ813" i="1" s="1"/>
  <c r="N813" i="1"/>
  <c r="AH812" i="1"/>
  <c r="AG812" i="1"/>
  <c r="BA812" i="1" s="1"/>
  <c r="AY813" i="1"/>
  <c r="AX813" i="1" l="1"/>
  <c r="U813" i="1" s="1"/>
  <c r="AL813" i="1" s="1"/>
  <c r="AN813" i="1" s="1"/>
  <c r="AO813" i="1" s="1"/>
  <c r="AP813" i="1" s="1"/>
  <c r="O813" i="1"/>
  <c r="P814" i="1" s="1"/>
  <c r="BE814" i="1" s="1"/>
  <c r="V814" i="1" l="1"/>
  <c r="Y814" i="1"/>
  <c r="X814" i="1" s="1"/>
  <c r="AF814" i="1" s="1"/>
  <c r="AM814" i="1"/>
  <c r="AT814" i="1"/>
  <c r="AS814" i="1" s="1"/>
  <c r="AQ814" i="1" s="1"/>
  <c r="N814" i="1"/>
  <c r="I814" i="1"/>
  <c r="Q814" i="1" s="1"/>
  <c r="AH813" i="1"/>
  <c r="AG813" i="1"/>
  <c r="BA813" i="1" s="1"/>
  <c r="AY814" i="1"/>
  <c r="AX814" i="1" l="1"/>
  <c r="U814" i="1" s="1"/>
  <c r="AL814" i="1" s="1"/>
  <c r="AN814" i="1" s="1"/>
  <c r="AO814" i="1" s="1"/>
  <c r="AP814" i="1" s="1"/>
  <c r="O814" i="1"/>
  <c r="P815" i="1" s="1"/>
  <c r="BE815" i="1" s="1"/>
  <c r="V815" i="1" l="1"/>
  <c r="Y815" i="1"/>
  <c r="X815" i="1" s="1"/>
  <c r="AF815" i="1" s="1"/>
  <c r="I815" i="1"/>
  <c r="Q815" i="1" s="1"/>
  <c r="AT815" i="1"/>
  <c r="AS815" i="1" s="1"/>
  <c r="AQ815" i="1" s="1"/>
  <c r="AM815" i="1"/>
  <c r="N815" i="1"/>
  <c r="AH814" i="1"/>
  <c r="AG814" i="1"/>
  <c r="BA814" i="1" s="1"/>
  <c r="AY815" i="1"/>
  <c r="AX815" i="1" l="1"/>
  <c r="U815" i="1" s="1"/>
  <c r="AL815" i="1" s="1"/>
  <c r="AN815" i="1" s="1"/>
  <c r="AO815" i="1" s="1"/>
  <c r="AP815" i="1" s="1"/>
  <c r="O815" i="1"/>
  <c r="P816" i="1" s="1"/>
  <c r="BE816" i="1" s="1"/>
  <c r="V816" i="1" l="1"/>
  <c r="Y816" i="1"/>
  <c r="X816" i="1" s="1"/>
  <c r="AF816" i="1" s="1"/>
  <c r="AT816" i="1"/>
  <c r="AS816" i="1" s="1"/>
  <c r="AQ816" i="1" s="1"/>
  <c r="N816" i="1"/>
  <c r="AM816" i="1"/>
  <c r="I816" i="1"/>
  <c r="Q816" i="1" s="1"/>
  <c r="AH815" i="1"/>
  <c r="AG815" i="1"/>
  <c r="BA815" i="1" s="1"/>
  <c r="AY816" i="1"/>
  <c r="AX816" i="1" l="1"/>
  <c r="U816" i="1" s="1"/>
  <c r="AL816" i="1" s="1"/>
  <c r="AN816" i="1" s="1"/>
  <c r="AO816" i="1" s="1"/>
  <c r="O816" i="1"/>
  <c r="I817" i="1" s="1"/>
  <c r="Q817" i="1" s="1"/>
  <c r="AT817" i="1" l="1"/>
  <c r="AS817" i="1" s="1"/>
  <c r="N817" i="1"/>
  <c r="O817" i="1" s="1"/>
  <c r="P818" i="1" s="1"/>
  <c r="BE818" i="1" s="1"/>
  <c r="P817" i="1"/>
  <c r="BE817" i="1" s="1"/>
  <c r="AM817" i="1"/>
  <c r="AH816" i="1"/>
  <c r="AG816" i="1"/>
  <c r="BA816" i="1" s="1"/>
  <c r="V817" i="1" l="1"/>
  <c r="Y817" i="1"/>
  <c r="X817" i="1" s="1"/>
  <c r="V818" i="1"/>
  <c r="Y818" i="1"/>
  <c r="AY817" i="1"/>
  <c r="AQ817" i="1"/>
  <c r="AT818" i="1"/>
  <c r="AS818" i="1" s="1"/>
  <c r="AQ818" i="1" s="1"/>
  <c r="I818" i="1"/>
  <c r="Q818" i="1" s="1"/>
  <c r="AM818" i="1"/>
  <c r="N818" i="1"/>
  <c r="AY818" i="1"/>
  <c r="AX817" i="1" l="1"/>
  <c r="U817" i="1" s="1"/>
  <c r="AL817" i="1" s="1"/>
  <c r="AN817" i="1" s="1"/>
  <c r="AO817" i="1" s="1"/>
  <c r="AP817" i="1" s="1"/>
  <c r="AF817" i="1"/>
  <c r="AG817" i="1" s="1"/>
  <c r="BA817" i="1" s="1"/>
  <c r="X818" i="1"/>
  <c r="AF818" i="1" s="1"/>
  <c r="O818" i="1"/>
  <c r="P819" i="1" s="1"/>
  <c r="BE819" i="1" s="1"/>
  <c r="AH817" i="1" l="1"/>
  <c r="V819" i="1"/>
  <c r="Y819" i="1"/>
  <c r="X819" i="1" s="1"/>
  <c r="AF819" i="1" s="1"/>
  <c r="AM819" i="1"/>
  <c r="I819" i="1"/>
  <c r="Q819" i="1" s="1"/>
  <c r="AT819" i="1"/>
  <c r="AS819" i="1" s="1"/>
  <c r="AQ819" i="1" s="1"/>
  <c r="N819" i="1"/>
  <c r="AH818" i="1"/>
  <c r="AG818" i="1"/>
  <c r="BA818" i="1" s="1"/>
  <c r="AY819" i="1"/>
  <c r="AX818" i="1" l="1"/>
  <c r="U818" i="1" s="1"/>
  <c r="AL818" i="1" s="1"/>
  <c r="AN818" i="1" s="1"/>
  <c r="AO818" i="1" s="1"/>
  <c r="AP818" i="1" s="1"/>
  <c r="AX819" i="1" s="1"/>
  <c r="U819" i="1" s="1"/>
  <c r="AL819" i="1" s="1"/>
  <c r="AN819" i="1" s="1"/>
  <c r="AO819" i="1" s="1"/>
  <c r="AP819" i="1" s="1"/>
  <c r="O819" i="1"/>
  <c r="AT820" i="1" s="1"/>
  <c r="AS820" i="1" s="1"/>
  <c r="I820" i="1" l="1"/>
  <c r="Q820" i="1" s="1"/>
  <c r="P820" i="1"/>
  <c r="BE820" i="1" s="1"/>
  <c r="AM820" i="1"/>
  <c r="N820" i="1"/>
  <c r="AH819" i="1"/>
  <c r="AG819" i="1"/>
  <c r="BA819" i="1" s="1"/>
  <c r="V820" i="1" l="1"/>
  <c r="Y820" i="1"/>
  <c r="X820" i="1" s="1"/>
  <c r="AF820" i="1" s="1"/>
  <c r="O820" i="1"/>
  <c r="P821" i="1" s="1"/>
  <c r="BE821" i="1" s="1"/>
  <c r="AY820" i="1"/>
  <c r="AQ820" i="1"/>
  <c r="AX820" i="1" l="1"/>
  <c r="U820" i="1" s="1"/>
  <c r="AL820" i="1" s="1"/>
  <c r="AN820" i="1" s="1"/>
  <c r="AO820" i="1" s="1"/>
  <c r="AP820" i="1" s="1"/>
  <c r="V821" i="1"/>
  <c r="Y821" i="1"/>
  <c r="X821" i="1" s="1"/>
  <c r="AF821" i="1" s="1"/>
  <c r="AT821" i="1"/>
  <c r="AS821" i="1" s="1"/>
  <c r="AQ821" i="1" s="1"/>
  <c r="I821" i="1"/>
  <c r="Q821" i="1" s="1"/>
  <c r="AM821" i="1"/>
  <c r="N821" i="1"/>
  <c r="AH820" i="1"/>
  <c r="AG820" i="1"/>
  <c r="BA820" i="1" s="1"/>
  <c r="AY821" i="1"/>
  <c r="AX821" i="1" l="1"/>
  <c r="U821" i="1" s="1"/>
  <c r="AL821" i="1" s="1"/>
  <c r="AN821" i="1" s="1"/>
  <c r="AO821" i="1" s="1"/>
  <c r="AP821" i="1" s="1"/>
  <c r="O821" i="1"/>
  <c r="I822" i="1" s="1"/>
  <c r="Q822" i="1" s="1"/>
  <c r="AT822" i="1" l="1"/>
  <c r="AS822" i="1" s="1"/>
  <c r="AM822" i="1"/>
  <c r="P822" i="1"/>
  <c r="BE822" i="1" s="1"/>
  <c r="N822" i="1"/>
  <c r="O822" i="1" s="1"/>
  <c r="P823" i="1" s="1"/>
  <c r="BE823" i="1" s="1"/>
  <c r="AH821" i="1"/>
  <c r="AG821" i="1"/>
  <c r="BA821" i="1" s="1"/>
  <c r="V822" i="1" l="1"/>
  <c r="Y822" i="1"/>
  <c r="X822" i="1" s="1"/>
  <c r="AF822" i="1" s="1"/>
  <c r="V823" i="1"/>
  <c r="Y823" i="1"/>
  <c r="AY822" i="1"/>
  <c r="AQ822" i="1"/>
  <c r="AT823" i="1"/>
  <c r="AS823" i="1" s="1"/>
  <c r="N823" i="1"/>
  <c r="AM823" i="1"/>
  <c r="I823" i="1"/>
  <c r="Q823" i="1" s="1"/>
  <c r="AX822" i="1" l="1"/>
  <c r="U822" i="1" s="1"/>
  <c r="AL822" i="1" s="1"/>
  <c r="AN822" i="1" s="1"/>
  <c r="AO822" i="1" s="1"/>
  <c r="AP822" i="1" s="1"/>
  <c r="X823" i="1"/>
  <c r="AF823" i="1" s="1"/>
  <c r="AQ823" i="1"/>
  <c r="AH822" i="1"/>
  <c r="AG822" i="1"/>
  <c r="BA822" i="1" s="1"/>
  <c r="AY823" i="1"/>
  <c r="O823" i="1"/>
  <c r="AX823" i="1" l="1"/>
  <c r="U823" i="1" s="1"/>
  <c r="AL823" i="1" s="1"/>
  <c r="AN823" i="1" s="1"/>
  <c r="AO823" i="1" s="1"/>
  <c r="AP823" i="1" s="1"/>
  <c r="P824" i="1"/>
  <c r="BE824" i="1" s="1"/>
  <c r="N824" i="1"/>
  <c r="AT824" i="1"/>
  <c r="AS824" i="1" s="1"/>
  <c r="I824" i="1"/>
  <c r="Q824" i="1" s="1"/>
  <c r="AM824" i="1"/>
  <c r="AQ824" i="1" l="1"/>
  <c r="V824" i="1"/>
  <c r="Y824" i="1"/>
  <c r="X824" i="1" s="1"/>
  <c r="AF824" i="1" s="1"/>
  <c r="AY824" i="1"/>
  <c r="AH823" i="1"/>
  <c r="AG823" i="1"/>
  <c r="BA823" i="1" s="1"/>
  <c r="O824" i="1"/>
  <c r="P825" i="1" s="1"/>
  <c r="BE825" i="1" s="1"/>
  <c r="AX824" i="1" l="1"/>
  <c r="U824" i="1" s="1"/>
  <c r="AL824" i="1" s="1"/>
  <c r="AN824" i="1" s="1"/>
  <c r="AO824" i="1" s="1"/>
  <c r="AP824" i="1" s="1"/>
  <c r="V825" i="1"/>
  <c r="Y825" i="1"/>
  <c r="X825" i="1" s="1"/>
  <c r="AF825" i="1" s="1"/>
  <c r="I825" i="1"/>
  <c r="Q825" i="1" s="1"/>
  <c r="N825" i="1"/>
  <c r="AM825" i="1"/>
  <c r="AT825" i="1"/>
  <c r="AS825" i="1" s="1"/>
  <c r="AH824" i="1" l="1"/>
  <c r="AG824" i="1"/>
  <c r="BA824" i="1" s="1"/>
  <c r="AQ825" i="1"/>
  <c r="AY825" i="1"/>
  <c r="O825" i="1"/>
  <c r="AX825" i="1" l="1"/>
  <c r="U825" i="1" s="1"/>
  <c r="AL825" i="1" s="1"/>
  <c r="AN825" i="1" s="1"/>
  <c r="AO825" i="1" s="1"/>
  <c r="AP825" i="1" s="1"/>
  <c r="P826" i="1"/>
  <c r="BE826" i="1" s="1"/>
  <c r="AT826" i="1"/>
  <c r="AS826" i="1" s="1"/>
  <c r="N826" i="1"/>
  <c r="AM826" i="1"/>
  <c r="I826" i="1"/>
  <c r="Q826" i="1" s="1"/>
  <c r="V826" i="1" l="1"/>
  <c r="Y826" i="1"/>
  <c r="X826" i="1" s="1"/>
  <c r="AF826" i="1" s="1"/>
  <c r="AQ826" i="1"/>
  <c r="AY826" i="1"/>
  <c r="AH825" i="1"/>
  <c r="AG825" i="1"/>
  <c r="BA825" i="1" s="1"/>
  <c r="O826" i="1"/>
  <c r="AX826" i="1" l="1"/>
  <c r="U826" i="1" s="1"/>
  <c r="AL826" i="1" s="1"/>
  <c r="AN826" i="1" s="1"/>
  <c r="AO826" i="1" s="1"/>
  <c r="AP826" i="1" s="1"/>
  <c r="AT827" i="1"/>
  <c r="AS827" i="1" s="1"/>
  <c r="P827" i="1"/>
  <c r="BE827" i="1" s="1"/>
  <c r="AG826" i="1"/>
  <c r="BA826" i="1" s="1"/>
  <c r="I827" i="1"/>
  <c r="Q827" i="1" s="1"/>
  <c r="N827" i="1"/>
  <c r="AM827" i="1"/>
  <c r="AH826" i="1"/>
  <c r="V827" i="1" l="1"/>
  <c r="Y827" i="1"/>
  <c r="X827" i="1" s="1"/>
  <c r="AF827" i="1" s="1"/>
  <c r="AQ827" i="1"/>
  <c r="O827" i="1"/>
  <c r="AY827" i="1"/>
  <c r="AX827" i="1" l="1"/>
  <c r="U827" i="1" s="1"/>
  <c r="AL827" i="1" s="1"/>
  <c r="AN827" i="1" s="1"/>
  <c r="AO827" i="1" s="1"/>
  <c r="AP827" i="1" s="1"/>
  <c r="AT828" i="1"/>
  <c r="AS828" i="1" s="1"/>
  <c r="P828" i="1"/>
  <c r="BE828" i="1" s="1"/>
  <c r="AM828" i="1"/>
  <c r="N828" i="1"/>
  <c r="I828" i="1"/>
  <c r="Q828" i="1" s="1"/>
  <c r="V828" i="1" l="1"/>
  <c r="Y828" i="1"/>
  <c r="X828" i="1" s="1"/>
  <c r="AF828" i="1" s="1"/>
  <c r="AQ828" i="1"/>
  <c r="AY828" i="1"/>
  <c r="O828" i="1"/>
  <c r="I829" i="1" l="1"/>
  <c r="Q829" i="1" s="1"/>
  <c r="P829" i="1"/>
  <c r="BE829" i="1" s="1"/>
  <c r="AG827" i="1"/>
  <c r="BA827" i="1" s="1"/>
  <c r="AH827" i="1"/>
  <c r="AX828" i="1" s="1"/>
  <c r="N829" i="1"/>
  <c r="AM829" i="1"/>
  <c r="AT829" i="1"/>
  <c r="AS829" i="1" s="1"/>
  <c r="V829" i="1" l="1"/>
  <c r="Y829" i="1"/>
  <c r="X829" i="1" s="1"/>
  <c r="AF829" i="1" s="1"/>
  <c r="O829" i="1"/>
  <c r="AM830" i="1" s="1"/>
  <c r="U828" i="1"/>
  <c r="AL828" i="1" s="1"/>
  <c r="AN828" i="1" s="1"/>
  <c r="AO828" i="1" s="1"/>
  <c r="AG828" i="1"/>
  <c r="BA828" i="1" s="1"/>
  <c r="AH828" i="1"/>
  <c r="AQ829" i="1"/>
  <c r="AY829" i="1"/>
  <c r="AX829" i="1" l="1"/>
  <c r="U829" i="1" s="1"/>
  <c r="AL829" i="1" s="1"/>
  <c r="AN829" i="1" s="1"/>
  <c r="AO829" i="1" s="1"/>
  <c r="AP829" i="1" s="1"/>
  <c r="N830" i="1"/>
  <c r="P830" i="1"/>
  <c r="BE830" i="1" s="1"/>
  <c r="I830" i="1"/>
  <c r="Q830" i="1" s="1"/>
  <c r="AT830" i="1"/>
  <c r="AS830" i="1" s="1"/>
  <c r="AY830" i="1" l="1"/>
  <c r="Y830" i="1"/>
  <c r="X830" i="1" s="1"/>
  <c r="AF830" i="1" s="1"/>
  <c r="O830" i="1"/>
  <c r="P831" i="1" s="1"/>
  <c r="BE831" i="1" s="1"/>
  <c r="AQ830" i="1"/>
  <c r="V830" i="1"/>
  <c r="AG829" i="1"/>
  <c r="BA829" i="1" s="1"/>
  <c r="AH829" i="1"/>
  <c r="AX830" i="1" l="1"/>
  <c r="U830" i="1" s="1"/>
  <c r="AL830" i="1" s="1"/>
  <c r="AN830" i="1" s="1"/>
  <c r="AO830" i="1" s="1"/>
  <c r="AP830" i="1" s="1"/>
  <c r="V831" i="1"/>
  <c r="Y831" i="1"/>
  <c r="X831" i="1" s="1"/>
  <c r="AF831" i="1" s="1"/>
  <c r="AT831" i="1"/>
  <c r="AS831" i="1" s="1"/>
  <c r="AQ831" i="1" s="1"/>
  <c r="AM831" i="1"/>
  <c r="I831" i="1"/>
  <c r="Q831" i="1" s="1"/>
  <c r="N831" i="1"/>
  <c r="AY831" i="1"/>
  <c r="O831" i="1" l="1"/>
  <c r="P832" i="1" s="1"/>
  <c r="BE832" i="1" s="1"/>
  <c r="AG831" i="1"/>
  <c r="BA831" i="1" s="1"/>
  <c r="AG830" i="1"/>
  <c r="BA830" i="1" s="1"/>
  <c r="AH830" i="1"/>
  <c r="AX831" i="1" l="1"/>
  <c r="U831" i="1" s="1"/>
  <c r="AL831" i="1" s="1"/>
  <c r="AN831" i="1" s="1"/>
  <c r="AO831" i="1" s="1"/>
  <c r="AP831" i="1" s="1"/>
  <c r="V832" i="1"/>
  <c r="Y832" i="1"/>
  <c r="X832" i="1" s="1"/>
  <c r="AF832" i="1" s="1"/>
  <c r="AT832" i="1"/>
  <c r="AS832" i="1" s="1"/>
  <c r="AQ832" i="1" s="1"/>
  <c r="N832" i="1"/>
  <c r="AM832" i="1"/>
  <c r="I832" i="1"/>
  <c r="Q832" i="1" s="1"/>
  <c r="AY832" i="1"/>
  <c r="AH831" i="1"/>
  <c r="AX832" i="1" l="1"/>
  <c r="U832" i="1" s="1"/>
  <c r="AL832" i="1" s="1"/>
  <c r="AN832" i="1" s="1"/>
  <c r="AO832" i="1" s="1"/>
  <c r="AP832" i="1" s="1"/>
  <c r="O832" i="1"/>
  <c r="AH832" i="1" s="1"/>
  <c r="AG832" i="1"/>
  <c r="BA832" i="1" s="1"/>
  <c r="P833" i="1" l="1"/>
  <c r="BE833" i="1" s="1"/>
  <c r="AT833" i="1"/>
  <c r="AS833" i="1" s="1"/>
  <c r="I833" i="1"/>
  <c r="Q833" i="1" s="1"/>
  <c r="AM833" i="1"/>
  <c r="N833" i="1"/>
  <c r="V833" i="1" l="1"/>
  <c r="Y833" i="1"/>
  <c r="X833" i="1" s="1"/>
  <c r="AF833" i="1" s="1"/>
  <c r="O833" i="1"/>
  <c r="P834" i="1" s="1"/>
  <c r="BE834" i="1" s="1"/>
  <c r="AQ833" i="1"/>
  <c r="AY833" i="1"/>
  <c r="AX833" i="1" l="1"/>
  <c r="U833" i="1" s="1"/>
  <c r="AL833" i="1" s="1"/>
  <c r="AN833" i="1" s="1"/>
  <c r="AO833" i="1" s="1"/>
  <c r="AP833" i="1" s="1"/>
  <c r="V834" i="1"/>
  <c r="Y834" i="1"/>
  <c r="X834" i="1" s="1"/>
  <c r="AF834" i="1" s="1"/>
  <c r="I834" i="1"/>
  <c r="Q834" i="1" s="1"/>
  <c r="N834" i="1"/>
  <c r="AT834" i="1"/>
  <c r="AS834" i="1" s="1"/>
  <c r="AQ834" i="1" s="1"/>
  <c r="AM834" i="1"/>
  <c r="AY834" i="1"/>
  <c r="O834" i="1" l="1"/>
  <c r="AT835" i="1" s="1"/>
  <c r="AS835" i="1" s="1"/>
  <c r="AG833" i="1"/>
  <c r="BA833" i="1" s="1"/>
  <c r="AH833" i="1"/>
  <c r="AX834" i="1" l="1"/>
  <c r="U834" i="1" s="1"/>
  <c r="AL834" i="1" s="1"/>
  <c r="AN834" i="1" s="1"/>
  <c r="AO834" i="1" s="1"/>
  <c r="AP834" i="1" s="1"/>
  <c r="I835" i="1"/>
  <c r="Q835" i="1" s="1"/>
  <c r="N835" i="1"/>
  <c r="P835" i="1"/>
  <c r="BE835" i="1" s="1"/>
  <c r="AM835" i="1"/>
  <c r="V835" i="1" l="1"/>
  <c r="Y835" i="1"/>
  <c r="X835" i="1" s="1"/>
  <c r="O835" i="1"/>
  <c r="P836" i="1" s="1"/>
  <c r="BE836" i="1" s="1"/>
  <c r="AQ835" i="1"/>
  <c r="AY835" i="1"/>
  <c r="AH834" i="1"/>
  <c r="AG834" i="1"/>
  <c r="BA834" i="1" s="1"/>
  <c r="AX835" i="1" l="1"/>
  <c r="U835" i="1" s="1"/>
  <c r="AL835" i="1" s="1"/>
  <c r="AN835" i="1" s="1"/>
  <c r="AO835" i="1" s="1"/>
  <c r="AP835" i="1" s="1"/>
  <c r="AF835" i="1"/>
  <c r="AG835" i="1" s="1"/>
  <c r="BA835" i="1" s="1"/>
  <c r="V836" i="1"/>
  <c r="Y836" i="1"/>
  <c r="X836" i="1" s="1"/>
  <c r="AF836" i="1" s="1"/>
  <c r="N836" i="1"/>
  <c r="I836" i="1"/>
  <c r="Q836" i="1" s="1"/>
  <c r="AY836" i="1"/>
  <c r="AT836" i="1"/>
  <c r="AS836" i="1" s="1"/>
  <c r="AQ836" i="1" s="1"/>
  <c r="AM836" i="1"/>
  <c r="AH835" i="1" l="1"/>
  <c r="O836" i="1"/>
  <c r="AT837" i="1" s="1"/>
  <c r="AS837" i="1" s="1"/>
  <c r="AG836" i="1"/>
  <c r="BA836" i="1" s="1"/>
  <c r="AX836" i="1" l="1"/>
  <c r="U836" i="1" s="1"/>
  <c r="AL836" i="1" s="1"/>
  <c r="AN836" i="1" s="1"/>
  <c r="AO836" i="1" s="1"/>
  <c r="AP836" i="1" s="1"/>
  <c r="AH836" i="1"/>
  <c r="P837" i="1"/>
  <c r="BE837" i="1" s="1"/>
  <c r="N837" i="1"/>
  <c r="AM837" i="1"/>
  <c r="I837" i="1"/>
  <c r="Q837" i="1" s="1"/>
  <c r="V837" i="1" l="1"/>
  <c r="Y837" i="1"/>
  <c r="X837" i="1" s="1"/>
  <c r="AF837" i="1" s="1"/>
  <c r="O837" i="1"/>
  <c r="P838" i="1" s="1"/>
  <c r="BE838" i="1" s="1"/>
  <c r="AQ837" i="1"/>
  <c r="AY837" i="1"/>
  <c r="AX837" i="1" l="1"/>
  <c r="U837" i="1" s="1"/>
  <c r="AL837" i="1" s="1"/>
  <c r="AN837" i="1" s="1"/>
  <c r="AO837" i="1" s="1"/>
  <c r="AP837" i="1" s="1"/>
  <c r="V838" i="1"/>
  <c r="Y838" i="1"/>
  <c r="X838" i="1" s="1"/>
  <c r="AF838" i="1" s="1"/>
  <c r="AH837" i="1"/>
  <c r="AY838" i="1"/>
  <c r="AM838" i="1"/>
  <c r="I838" i="1"/>
  <c r="Q838" i="1" s="1"/>
  <c r="AT838" i="1"/>
  <c r="AS838" i="1" s="1"/>
  <c r="AQ838" i="1" s="1"/>
  <c r="N838" i="1"/>
  <c r="AG837" i="1"/>
  <c r="BA837" i="1" s="1"/>
  <c r="AX838" i="1" l="1"/>
  <c r="U838" i="1" s="1"/>
  <c r="AL838" i="1" s="1"/>
  <c r="AN838" i="1" s="1"/>
  <c r="AO838" i="1" s="1"/>
  <c r="AP838" i="1" s="1"/>
  <c r="O838" i="1"/>
  <c r="P839" i="1" s="1"/>
  <c r="BE839" i="1" s="1"/>
  <c r="AG838" i="1"/>
  <c r="BA838" i="1" s="1"/>
  <c r="V839" i="1" l="1"/>
  <c r="Y839" i="1"/>
  <c r="X839" i="1" s="1"/>
  <c r="AF839" i="1" s="1"/>
  <c r="N839" i="1"/>
  <c r="I839" i="1"/>
  <c r="Q839" i="1" s="1"/>
  <c r="AH838" i="1"/>
  <c r="AT839" i="1"/>
  <c r="AS839" i="1" s="1"/>
  <c r="AQ839" i="1" s="1"/>
  <c r="AM839" i="1"/>
  <c r="AY839" i="1"/>
  <c r="AX839" i="1" l="1"/>
  <c r="U839" i="1" s="1"/>
  <c r="AL839" i="1" s="1"/>
  <c r="AN839" i="1" s="1"/>
  <c r="AO839" i="1" s="1"/>
  <c r="AP839" i="1" s="1"/>
  <c r="AG839" i="1"/>
  <c r="BA839" i="1" s="1"/>
  <c r="O839" i="1"/>
  <c r="P840" i="1" s="1"/>
  <c r="BE840" i="1" s="1"/>
  <c r="V840" i="1" l="1"/>
  <c r="Y840" i="1"/>
  <c r="X840" i="1" s="1"/>
  <c r="AF840" i="1" s="1"/>
  <c r="AT840" i="1"/>
  <c r="AS840" i="1" s="1"/>
  <c r="AQ840" i="1" s="1"/>
  <c r="AM840" i="1"/>
  <c r="I840" i="1"/>
  <c r="Q840" i="1" s="1"/>
  <c r="N840" i="1"/>
  <c r="AY840" i="1"/>
  <c r="AH839" i="1"/>
  <c r="AX840" i="1" l="1"/>
  <c r="U840" i="1" s="1"/>
  <c r="AL840" i="1" s="1"/>
  <c r="AN840" i="1" s="1"/>
  <c r="AO840" i="1" s="1"/>
  <c r="AG840" i="1"/>
  <c r="BA840" i="1" s="1"/>
  <c r="O840" i="1"/>
  <c r="AM841" i="1" s="1"/>
  <c r="N841" i="1" l="1"/>
  <c r="P841" i="1"/>
  <c r="BE841" i="1" s="1"/>
  <c r="AT841" i="1"/>
  <c r="AS841" i="1" s="1"/>
  <c r="I841" i="1"/>
  <c r="Q841" i="1" s="1"/>
  <c r="AH840" i="1"/>
  <c r="V841" i="1" l="1"/>
  <c r="Y841" i="1"/>
  <c r="X841" i="1" s="1"/>
  <c r="AQ841" i="1"/>
  <c r="AY841" i="1"/>
  <c r="O841" i="1"/>
  <c r="AT842" i="1" s="1"/>
  <c r="AS842" i="1" s="1"/>
  <c r="AX841" i="1" l="1"/>
  <c r="U841" i="1" s="1"/>
  <c r="AL841" i="1" s="1"/>
  <c r="AN841" i="1" s="1"/>
  <c r="AO841" i="1" s="1"/>
  <c r="AP841" i="1" s="1"/>
  <c r="AF841" i="1"/>
  <c r="AG841" i="1" s="1"/>
  <c r="BA841" i="1" s="1"/>
  <c r="AM842" i="1"/>
  <c r="N842" i="1"/>
  <c r="P842" i="1"/>
  <c r="BE842" i="1" s="1"/>
  <c r="I842" i="1"/>
  <c r="Q842" i="1" s="1"/>
  <c r="AH841" i="1" l="1"/>
  <c r="V842" i="1"/>
  <c r="Y842" i="1"/>
  <c r="X842" i="1" s="1"/>
  <c r="O842" i="1"/>
  <c r="P843" i="1" s="1"/>
  <c r="BE843" i="1" s="1"/>
  <c r="AY842" i="1"/>
  <c r="AQ842" i="1"/>
  <c r="AX842" i="1" l="1"/>
  <c r="U842" i="1" s="1"/>
  <c r="AL842" i="1" s="1"/>
  <c r="AN842" i="1" s="1"/>
  <c r="AO842" i="1" s="1"/>
  <c r="AP842" i="1" s="1"/>
  <c r="AF842" i="1"/>
  <c r="V843" i="1"/>
  <c r="Y843" i="1"/>
  <c r="X843" i="1" s="1"/>
  <c r="AF843" i="1" s="1"/>
  <c r="AT843" i="1"/>
  <c r="AS843" i="1" s="1"/>
  <c r="AQ843" i="1" s="1"/>
  <c r="AY843" i="1"/>
  <c r="AM843" i="1"/>
  <c r="I843" i="1"/>
  <c r="Q843" i="1" s="1"/>
  <c r="N843" i="1"/>
  <c r="AG842" i="1" l="1"/>
  <c r="BA842" i="1" s="1"/>
  <c r="AH842" i="1"/>
  <c r="O843" i="1"/>
  <c r="N844" i="1" s="1"/>
  <c r="AG843" i="1"/>
  <c r="BA843" i="1" s="1"/>
  <c r="AX843" i="1" l="1"/>
  <c r="U843" i="1" s="1"/>
  <c r="AL843" i="1" s="1"/>
  <c r="AN843" i="1" s="1"/>
  <c r="AO843" i="1" s="1"/>
  <c r="AP843" i="1" s="1"/>
  <c r="AT844" i="1"/>
  <c r="AS844" i="1" s="1"/>
  <c r="P844" i="1"/>
  <c r="BE844" i="1" s="1"/>
  <c r="I844" i="1"/>
  <c r="Q844" i="1" s="1"/>
  <c r="AM844" i="1"/>
  <c r="AH843" i="1"/>
  <c r="V844" i="1" l="1"/>
  <c r="Y844" i="1"/>
  <c r="X844" i="1" s="1"/>
  <c r="O844" i="1"/>
  <c r="AT845" i="1" s="1"/>
  <c r="AS845" i="1" s="1"/>
  <c r="AY844" i="1"/>
  <c r="AQ844" i="1"/>
  <c r="AX844" i="1" l="1"/>
  <c r="U844" i="1" s="1"/>
  <c r="AL844" i="1" s="1"/>
  <c r="AN844" i="1" s="1"/>
  <c r="AO844" i="1" s="1"/>
  <c r="AP844" i="1" s="1"/>
  <c r="AF844" i="1"/>
  <c r="AM845" i="1"/>
  <c r="P845" i="1"/>
  <c r="BE845" i="1" s="1"/>
  <c r="I845" i="1"/>
  <c r="Q845" i="1" s="1"/>
  <c r="N845" i="1"/>
  <c r="AH844" i="1" l="1"/>
  <c r="AG844" i="1"/>
  <c r="BA844" i="1" s="1"/>
  <c r="AQ845" i="1"/>
  <c r="Y845" i="1"/>
  <c r="X845" i="1" s="1"/>
  <c r="AY845" i="1"/>
  <c r="O845" i="1"/>
  <c r="P846" i="1" s="1"/>
  <c r="BE846" i="1" s="1"/>
  <c r="V845" i="1"/>
  <c r="AX845" i="1" l="1"/>
  <c r="U845" i="1" s="1"/>
  <c r="AL845" i="1" s="1"/>
  <c r="AN845" i="1" s="1"/>
  <c r="AO845" i="1" s="1"/>
  <c r="AP845" i="1" s="1"/>
  <c r="AF845" i="1"/>
  <c r="AG845" i="1" s="1"/>
  <c r="BA845" i="1" s="1"/>
  <c r="V846" i="1"/>
  <c r="Y846" i="1"/>
  <c r="X846" i="1" s="1"/>
  <c r="AF846" i="1" s="1"/>
  <c r="AM846" i="1"/>
  <c r="N846" i="1"/>
  <c r="I846" i="1"/>
  <c r="Q846" i="1" s="1"/>
  <c r="AY846" i="1"/>
  <c r="AT846" i="1"/>
  <c r="AS846" i="1" s="1"/>
  <c r="AQ846" i="1" s="1"/>
  <c r="AH845" i="1" l="1"/>
  <c r="AG846" i="1"/>
  <c r="BA846" i="1" s="1"/>
  <c r="O846" i="1"/>
  <c r="P847" i="1" s="1"/>
  <c r="BE847" i="1" s="1"/>
  <c r="AX846" i="1" l="1"/>
  <c r="U846" i="1" s="1"/>
  <c r="AL846" i="1" s="1"/>
  <c r="AN846" i="1" s="1"/>
  <c r="AO846" i="1" s="1"/>
  <c r="AP846" i="1" s="1"/>
  <c r="V847" i="1"/>
  <c r="Y847" i="1"/>
  <c r="X847" i="1" s="1"/>
  <c r="AF847" i="1" s="1"/>
  <c r="N847" i="1"/>
  <c r="AM847" i="1"/>
  <c r="AY847" i="1"/>
  <c r="AH846" i="1"/>
  <c r="I847" i="1"/>
  <c r="Q847" i="1" s="1"/>
  <c r="AT847" i="1"/>
  <c r="AS847" i="1" s="1"/>
  <c r="AQ847" i="1" s="1"/>
  <c r="AX847" i="1" l="1"/>
  <c r="U847" i="1" s="1"/>
  <c r="AL847" i="1" s="1"/>
  <c r="AN847" i="1" s="1"/>
  <c r="AO847" i="1" s="1"/>
  <c r="AP847" i="1" s="1"/>
  <c r="AG847" i="1"/>
  <c r="BA847" i="1" s="1"/>
  <c r="O847" i="1"/>
  <c r="N848" i="1" s="1"/>
  <c r="AT848" i="1" l="1"/>
  <c r="AS848" i="1" s="1"/>
  <c r="AH847" i="1"/>
  <c r="I848" i="1"/>
  <c r="Q848" i="1" s="1"/>
  <c r="AM848" i="1"/>
  <c r="P848" i="1"/>
  <c r="BE848" i="1" s="1"/>
  <c r="V848" i="1" l="1"/>
  <c r="Y848" i="1"/>
  <c r="X848" i="1" s="1"/>
  <c r="O848" i="1"/>
  <c r="AT849" i="1" s="1"/>
  <c r="AS849" i="1" s="1"/>
  <c r="AY848" i="1"/>
  <c r="AQ848" i="1"/>
  <c r="AX848" i="1" l="1"/>
  <c r="U848" i="1" s="1"/>
  <c r="AL848" i="1" s="1"/>
  <c r="AN848" i="1" s="1"/>
  <c r="AO848" i="1" s="1"/>
  <c r="AP848" i="1" s="1"/>
  <c r="AF848" i="1"/>
  <c r="AG848" i="1" s="1"/>
  <c r="BA848" i="1" s="1"/>
  <c r="N849" i="1"/>
  <c r="P849" i="1"/>
  <c r="BE849" i="1" s="1"/>
  <c r="I849" i="1"/>
  <c r="Q849" i="1" s="1"/>
  <c r="AM849" i="1"/>
  <c r="AH848" i="1" l="1"/>
  <c r="V849" i="1"/>
  <c r="Y849" i="1"/>
  <c r="X849" i="1" s="1"/>
  <c r="AY849" i="1"/>
  <c r="O849" i="1"/>
  <c r="P850" i="1" s="1"/>
  <c r="BE850" i="1" s="1"/>
  <c r="AQ849" i="1"/>
  <c r="AX849" i="1" l="1"/>
  <c r="U849" i="1" s="1"/>
  <c r="AL849" i="1" s="1"/>
  <c r="AN849" i="1" s="1"/>
  <c r="AO849" i="1" s="1"/>
  <c r="AP849" i="1" s="1"/>
  <c r="Y850" i="1"/>
  <c r="X850" i="1" s="1"/>
  <c r="AF850" i="1" s="1"/>
  <c r="AF849" i="1"/>
  <c r="AM850" i="1"/>
  <c r="AT850" i="1"/>
  <c r="AS850" i="1" s="1"/>
  <c r="AQ850" i="1" s="1"/>
  <c r="N850" i="1"/>
  <c r="I850" i="1"/>
  <c r="Q850" i="1" s="1"/>
  <c r="V850" i="1"/>
  <c r="AY850" i="1"/>
  <c r="AH849" i="1" l="1"/>
  <c r="AG849" i="1"/>
  <c r="BA849" i="1" s="1"/>
  <c r="O850" i="1"/>
  <c r="AH850" i="1" s="1"/>
  <c r="AG850" i="1"/>
  <c r="BA850" i="1" s="1"/>
  <c r="AX850" i="1" l="1"/>
  <c r="U850" i="1" s="1"/>
  <c r="AL850" i="1" s="1"/>
  <c r="AN850" i="1" s="1"/>
  <c r="AO850" i="1" s="1"/>
  <c r="AP850" i="1" s="1"/>
  <c r="I851" i="1"/>
  <c r="Q851" i="1" s="1"/>
  <c r="AT851" i="1"/>
  <c r="AS851" i="1" s="1"/>
  <c r="AM851" i="1"/>
  <c r="P851" i="1"/>
  <c r="BE851" i="1" s="1"/>
  <c r="N851" i="1"/>
  <c r="AY851" i="1" l="1"/>
  <c r="Y851" i="1"/>
  <c r="X851" i="1" s="1"/>
  <c r="AF851" i="1" s="1"/>
  <c r="O851" i="1"/>
  <c r="P852" i="1" s="1"/>
  <c r="BE852" i="1" s="1"/>
  <c r="AQ851" i="1"/>
  <c r="V851" i="1"/>
  <c r="AX851" i="1" l="1"/>
  <c r="U851" i="1" s="1"/>
  <c r="AL851" i="1" s="1"/>
  <c r="AN851" i="1" s="1"/>
  <c r="AO851" i="1" s="1"/>
  <c r="AP851" i="1" s="1"/>
  <c r="Y852" i="1"/>
  <c r="X852" i="1" s="1"/>
  <c r="AF852" i="1" s="1"/>
  <c r="AT852" i="1"/>
  <c r="AS852" i="1" s="1"/>
  <c r="AQ852" i="1" s="1"/>
  <c r="N852" i="1"/>
  <c r="AM852" i="1"/>
  <c r="I852" i="1"/>
  <c r="Q852" i="1" s="1"/>
  <c r="AH851" i="1"/>
  <c r="AG851" i="1"/>
  <c r="BA851" i="1" s="1"/>
  <c r="V852" i="1"/>
  <c r="AY852" i="1"/>
  <c r="AX852" i="1" l="1"/>
  <c r="U852" i="1" s="1"/>
  <c r="AL852" i="1" s="1"/>
  <c r="AN852" i="1" s="1"/>
  <c r="AO852" i="1" s="1"/>
  <c r="O852" i="1"/>
  <c r="P853" i="1" s="1"/>
  <c r="BE853" i="1" s="1"/>
  <c r="AG852" i="1"/>
  <c r="BA852" i="1" s="1"/>
  <c r="Y853" i="1" l="1"/>
  <c r="X853" i="1" s="1"/>
  <c r="AF853" i="1" s="1"/>
  <c r="AH852" i="1"/>
  <c r="I853" i="1"/>
  <c r="Q853" i="1" s="1"/>
  <c r="AT853" i="1"/>
  <c r="AS853" i="1" s="1"/>
  <c r="AQ853" i="1" s="1"/>
  <c r="AM853" i="1"/>
  <c r="N853" i="1"/>
  <c r="V853" i="1"/>
  <c r="AY853" i="1"/>
  <c r="AX853" i="1" l="1"/>
  <c r="U853" i="1" s="1"/>
  <c r="AL853" i="1" s="1"/>
  <c r="AN853" i="1" s="1"/>
  <c r="AO853" i="1" s="1"/>
  <c r="AP853" i="1" s="1"/>
  <c r="O853" i="1"/>
  <c r="N854" i="1" s="1"/>
  <c r="AG853" i="1"/>
  <c r="BA853" i="1" s="1"/>
  <c r="AT854" i="1" l="1"/>
  <c r="AS854" i="1" s="1"/>
  <c r="P854" i="1"/>
  <c r="BE854" i="1" s="1"/>
  <c r="AH853" i="1"/>
  <c r="I854" i="1"/>
  <c r="Q854" i="1" s="1"/>
  <c r="AM854" i="1"/>
  <c r="Y854" i="1" l="1"/>
  <c r="X854" i="1" s="1"/>
  <c r="AF854" i="1" s="1"/>
  <c r="AG854" i="1" s="1"/>
  <c r="O854" i="1"/>
  <c r="P855" i="1" s="1"/>
  <c r="BE855" i="1" s="1"/>
  <c r="V854" i="1"/>
  <c r="AY854" i="1"/>
  <c r="AQ854" i="1"/>
  <c r="AX854" i="1" l="1"/>
  <c r="U854" i="1" s="1"/>
  <c r="AL854" i="1" s="1"/>
  <c r="AN854" i="1" s="1"/>
  <c r="AO854" i="1" s="1"/>
  <c r="AP854" i="1" s="1"/>
  <c r="Y855" i="1"/>
  <c r="X855" i="1" s="1"/>
  <c r="AF855" i="1" s="1"/>
  <c r="AT855" i="1"/>
  <c r="AS855" i="1" s="1"/>
  <c r="AQ855" i="1" s="1"/>
  <c r="I855" i="1"/>
  <c r="Q855" i="1" s="1"/>
  <c r="AM855" i="1"/>
  <c r="AH854" i="1"/>
  <c r="N855" i="1"/>
  <c r="BA854" i="1"/>
  <c r="V855" i="1"/>
  <c r="AY855" i="1"/>
  <c r="AX855" i="1" l="1"/>
  <c r="U855" i="1" s="1"/>
  <c r="AL855" i="1" s="1"/>
  <c r="AN855" i="1" s="1"/>
  <c r="AO855" i="1" s="1"/>
  <c r="AP855" i="1" s="1"/>
  <c r="O855" i="1"/>
  <c r="N856" i="1" s="1"/>
  <c r="AG855" i="1"/>
  <c r="BA855" i="1" s="1"/>
  <c r="I856" i="1" l="1"/>
  <c r="Q856" i="1" s="1"/>
  <c r="AM856" i="1"/>
  <c r="P856" i="1"/>
  <c r="BE856" i="1" s="1"/>
  <c r="AT856" i="1"/>
  <c r="AS856" i="1" s="1"/>
  <c r="AH855" i="1"/>
  <c r="Y856" i="1" l="1"/>
  <c r="X856" i="1" s="1"/>
  <c r="AF856" i="1" s="1"/>
  <c r="AG856" i="1" s="1"/>
  <c r="O856" i="1"/>
  <c r="I857" i="1" s="1"/>
  <c r="Q857" i="1" s="1"/>
  <c r="V856" i="1"/>
  <c r="AY856" i="1"/>
  <c r="AQ856" i="1"/>
  <c r="AX856" i="1" l="1"/>
  <c r="U856" i="1" s="1"/>
  <c r="AL856" i="1" s="1"/>
  <c r="AN856" i="1" s="1"/>
  <c r="AO856" i="1" s="1"/>
  <c r="AP856" i="1" s="1"/>
  <c r="BA856" i="1"/>
  <c r="P857" i="1"/>
  <c r="BE857" i="1" s="1"/>
  <c r="AH856" i="1"/>
  <c r="N857" i="1"/>
  <c r="O857" i="1" s="1"/>
  <c r="AM857" i="1"/>
  <c r="AT857" i="1"/>
  <c r="AS857" i="1" s="1"/>
  <c r="Y857" i="1" l="1"/>
  <c r="X857" i="1" s="1"/>
  <c r="AF857" i="1" s="1"/>
  <c r="AG857" i="1" s="1"/>
  <c r="AQ857" i="1"/>
  <c r="AY857" i="1"/>
  <c r="V857" i="1"/>
  <c r="N858" i="1"/>
  <c r="I858" i="1"/>
  <c r="Q858" i="1" s="1"/>
  <c r="AT858" i="1"/>
  <c r="AS858" i="1" s="1"/>
  <c r="P858" i="1"/>
  <c r="BE858" i="1" s="1"/>
  <c r="AM858" i="1"/>
  <c r="AX857" i="1" l="1"/>
  <c r="U857" i="1" s="1"/>
  <c r="AL857" i="1" s="1"/>
  <c r="AN857" i="1" s="1"/>
  <c r="AO857" i="1" s="1"/>
  <c r="AP857" i="1" s="1"/>
  <c r="AH857" i="1"/>
  <c r="Y858" i="1"/>
  <c r="X858" i="1" s="1"/>
  <c r="BA857" i="1"/>
  <c r="V858" i="1"/>
  <c r="AQ858" i="1"/>
  <c r="AY858" i="1"/>
  <c r="O858" i="1"/>
  <c r="AX858" i="1" l="1"/>
  <c r="U858" i="1" s="1"/>
  <c r="AL858" i="1" s="1"/>
  <c r="AN858" i="1" s="1"/>
  <c r="AO858" i="1" s="1"/>
  <c r="AP858" i="1" s="1"/>
  <c r="AF858" i="1"/>
  <c r="AG858" i="1" s="1"/>
  <c r="BA858" i="1" s="1"/>
  <c r="I859" i="1"/>
  <c r="Q859" i="1" s="1"/>
  <c r="AT859" i="1"/>
  <c r="AS859" i="1" s="1"/>
  <c r="AM859" i="1"/>
  <c r="N859" i="1"/>
  <c r="P859" i="1"/>
  <c r="BE859" i="1" s="1"/>
  <c r="Y859" i="1" l="1"/>
  <c r="X859" i="1" s="1"/>
  <c r="AH858" i="1"/>
  <c r="O859" i="1"/>
  <c r="AM860" i="1" s="1"/>
  <c r="V859" i="1"/>
  <c r="AY859" i="1"/>
  <c r="AQ859" i="1"/>
  <c r="AX859" i="1" l="1"/>
  <c r="U859" i="1" s="1"/>
  <c r="AL859" i="1" s="1"/>
  <c r="AN859" i="1" s="1"/>
  <c r="AO859" i="1" s="1"/>
  <c r="AP859" i="1" s="1"/>
  <c r="AF859" i="1"/>
  <c r="AG859" i="1" s="1"/>
  <c r="BA859" i="1" s="1"/>
  <c r="P860" i="1"/>
  <c r="BE860" i="1" s="1"/>
  <c r="I860" i="1"/>
  <c r="Q860" i="1" s="1"/>
  <c r="AT860" i="1"/>
  <c r="AS860" i="1" s="1"/>
  <c r="N860" i="1"/>
  <c r="AH859" i="1" l="1"/>
  <c r="O860" i="1"/>
  <c r="N861" i="1" s="1"/>
  <c r="AY860" i="1"/>
  <c r="Y860" i="1"/>
  <c r="X860" i="1" s="1"/>
  <c r="V860" i="1"/>
  <c r="AQ860" i="1"/>
  <c r="AX860" i="1" l="1"/>
  <c r="U860" i="1" s="1"/>
  <c r="AL860" i="1" s="1"/>
  <c r="AN860" i="1" s="1"/>
  <c r="AO860" i="1" s="1"/>
  <c r="AP860" i="1" s="1"/>
  <c r="AF860" i="1"/>
  <c r="AG860" i="1" s="1"/>
  <c r="BA860" i="1" s="1"/>
  <c r="AM861" i="1"/>
  <c r="AT861" i="1"/>
  <c r="AS861" i="1" s="1"/>
  <c r="I861" i="1"/>
  <c r="Q861" i="1" s="1"/>
  <c r="P861" i="1"/>
  <c r="BE861" i="1" s="1"/>
  <c r="Y861" i="1" l="1"/>
  <c r="X861" i="1" s="1"/>
  <c r="AF861" i="1" s="1"/>
  <c r="AG861" i="1" s="1"/>
  <c r="AH860" i="1"/>
  <c r="O861" i="1"/>
  <c r="I862" i="1" s="1"/>
  <c r="Q862" i="1" s="1"/>
  <c r="AY861" i="1"/>
  <c r="AQ861" i="1"/>
  <c r="V861" i="1"/>
  <c r="AX861" i="1" l="1"/>
  <c r="U861" i="1" s="1"/>
  <c r="AL861" i="1" s="1"/>
  <c r="AN861" i="1" s="1"/>
  <c r="AO861" i="1" s="1"/>
  <c r="AP861" i="1" s="1"/>
  <c r="AT862" i="1"/>
  <c r="AS862" i="1" s="1"/>
  <c r="N862" i="1"/>
  <c r="O862" i="1" s="1"/>
  <c r="AH861" i="1"/>
  <c r="AM862" i="1"/>
  <c r="P862" i="1"/>
  <c r="BE862" i="1" s="1"/>
  <c r="BA861" i="1"/>
  <c r="Y862" i="1" l="1"/>
  <c r="X862" i="1" s="1"/>
  <c r="AF862" i="1" s="1"/>
  <c r="AG862" i="1" s="1"/>
  <c r="V862" i="1"/>
  <c r="AY862" i="1"/>
  <c r="AQ862" i="1"/>
  <c r="I863" i="1"/>
  <c r="Q863" i="1" s="1"/>
  <c r="P863" i="1"/>
  <c r="BE863" i="1" s="1"/>
  <c r="AT863" i="1"/>
  <c r="AS863" i="1" s="1"/>
  <c r="AM863" i="1"/>
  <c r="N863" i="1"/>
  <c r="AX862" i="1" l="1"/>
  <c r="U862" i="1" s="1"/>
  <c r="AL862" i="1" s="1"/>
  <c r="AN862" i="1" s="1"/>
  <c r="AO862" i="1" s="1"/>
  <c r="AP862" i="1" s="1"/>
  <c r="AH862" i="1"/>
  <c r="Y863" i="1"/>
  <c r="X863" i="1" s="1"/>
  <c r="AF863" i="1" s="1"/>
  <c r="BA862" i="1"/>
  <c r="O863" i="1"/>
  <c r="AT864" i="1" s="1"/>
  <c r="AS864" i="1" s="1"/>
  <c r="AQ863" i="1"/>
  <c r="V863" i="1"/>
  <c r="AY863" i="1"/>
  <c r="AX863" i="1" l="1"/>
  <c r="U863" i="1" s="1"/>
  <c r="AL863" i="1" s="1"/>
  <c r="AN863" i="1" s="1"/>
  <c r="AO863" i="1" s="1"/>
  <c r="AP863" i="1" s="1"/>
  <c r="AM864" i="1"/>
  <c r="N864" i="1"/>
  <c r="I864" i="1"/>
  <c r="Q864" i="1" s="1"/>
  <c r="P864" i="1"/>
  <c r="BE864" i="1" s="1"/>
  <c r="AG863" i="1"/>
  <c r="BA863" i="1" s="1"/>
  <c r="AH863" i="1"/>
  <c r="AQ864" i="1" l="1"/>
  <c r="Y864" i="1"/>
  <c r="X864" i="1" s="1"/>
  <c r="AF864" i="1" s="1"/>
  <c r="AY864" i="1"/>
  <c r="V864" i="1"/>
  <c r="O864" i="1"/>
  <c r="AX864" i="1" l="1"/>
  <c r="U864" i="1" s="1"/>
  <c r="AL864" i="1" s="1"/>
  <c r="AN864" i="1" s="1"/>
  <c r="AO864" i="1" s="1"/>
  <c r="AH864" i="1"/>
  <c r="AG864" i="1"/>
  <c r="BA864" i="1" s="1"/>
  <c r="P865" i="1"/>
  <c r="BE865" i="1" s="1"/>
  <c r="N865" i="1"/>
  <c r="I865" i="1"/>
  <c r="Q865" i="1" s="1"/>
  <c r="AT865" i="1"/>
  <c r="AS865" i="1" s="1"/>
  <c r="AM865" i="1"/>
  <c r="Y865" i="1" l="1"/>
  <c r="X865" i="1" s="1"/>
  <c r="AF865" i="1" s="1"/>
  <c r="O865" i="1"/>
  <c r="AY865" i="1"/>
  <c r="AQ865" i="1"/>
  <c r="V865" i="1"/>
  <c r="AX865" i="1" l="1"/>
  <c r="U865" i="1" s="1"/>
  <c r="AL865" i="1" s="1"/>
  <c r="AN865" i="1" s="1"/>
  <c r="AO865" i="1" s="1"/>
  <c r="AP865" i="1" s="1"/>
  <c r="AG865" i="1"/>
  <c r="BA865" i="1" s="1"/>
  <c r="P866" i="1"/>
  <c r="BE866" i="1" s="1"/>
  <c r="N866" i="1"/>
  <c r="AT866" i="1"/>
  <c r="AS866" i="1" s="1"/>
  <c r="AM866" i="1"/>
  <c r="I866" i="1"/>
  <c r="Q866" i="1" s="1"/>
  <c r="Y866" i="1" l="1"/>
  <c r="X866" i="1" s="1"/>
  <c r="AH865" i="1"/>
  <c r="O866" i="1"/>
  <c r="V866" i="1"/>
  <c r="AQ866" i="1"/>
  <c r="AY866" i="1"/>
  <c r="AX866" i="1" l="1"/>
  <c r="U866" i="1" s="1"/>
  <c r="AL866" i="1" s="1"/>
  <c r="AN866" i="1" s="1"/>
  <c r="AO866" i="1" s="1"/>
  <c r="AP866" i="1" s="1"/>
  <c r="AF866" i="1"/>
  <c r="AG866" i="1" s="1"/>
  <c r="BA866" i="1" s="1"/>
  <c r="I867" i="1"/>
  <c r="Q867" i="1" s="1"/>
  <c r="P867" i="1"/>
  <c r="BE867" i="1" s="1"/>
  <c r="N867" i="1"/>
  <c r="AM867" i="1"/>
  <c r="AT867" i="1"/>
  <c r="AS867" i="1" s="1"/>
  <c r="Y867" i="1" l="1"/>
  <c r="X867" i="1" s="1"/>
  <c r="AH866" i="1"/>
  <c r="O867" i="1"/>
  <c r="N868" i="1" s="1"/>
  <c r="V867" i="1"/>
  <c r="AQ867" i="1"/>
  <c r="AY867" i="1"/>
  <c r="AX867" i="1" l="1"/>
  <c r="U867" i="1" s="1"/>
  <c r="AL867" i="1" s="1"/>
  <c r="AN867" i="1" s="1"/>
  <c r="AO867" i="1" s="1"/>
  <c r="AP867" i="1" s="1"/>
  <c r="AF867" i="1"/>
  <c r="AG867" i="1" s="1"/>
  <c r="BA867" i="1" s="1"/>
  <c r="P868" i="1"/>
  <c r="BE868" i="1" s="1"/>
  <c r="I868" i="1"/>
  <c r="Q868" i="1" s="1"/>
  <c r="AT868" i="1"/>
  <c r="AS868" i="1" s="1"/>
  <c r="AM868" i="1"/>
  <c r="AH867" i="1" l="1"/>
  <c r="Y868" i="1"/>
  <c r="X868" i="1" s="1"/>
  <c r="AF868" i="1" s="1"/>
  <c r="AQ868" i="1"/>
  <c r="AY868" i="1"/>
  <c r="V868" i="1"/>
  <c r="O868" i="1"/>
  <c r="I869" i="1" s="1"/>
  <c r="Q869" i="1" s="1"/>
  <c r="AX868" i="1" l="1"/>
  <c r="U868" i="1" s="1"/>
  <c r="AL868" i="1" s="1"/>
  <c r="AN868" i="1" s="1"/>
  <c r="AO868" i="1" s="1"/>
  <c r="AP868" i="1" s="1"/>
  <c r="AG868" i="1"/>
  <c r="BA868" i="1" s="1"/>
  <c r="AT869" i="1"/>
  <c r="AS869" i="1" s="1"/>
  <c r="P869" i="1"/>
  <c r="BE869" i="1" s="1"/>
  <c r="N869" i="1"/>
  <c r="O869" i="1" s="1"/>
  <c r="AM869" i="1"/>
  <c r="AH868" i="1"/>
  <c r="Y869" i="1" l="1"/>
  <c r="X869" i="1" s="1"/>
  <c r="AF869" i="1" s="1"/>
  <c r="V869" i="1"/>
  <c r="AY869" i="1"/>
  <c r="AQ869" i="1"/>
  <c r="N870" i="1"/>
  <c r="AM870" i="1"/>
  <c r="AT870" i="1"/>
  <c r="AS870" i="1" s="1"/>
  <c r="I870" i="1"/>
  <c r="Q870" i="1" s="1"/>
  <c r="P870" i="1"/>
  <c r="BE870" i="1" s="1"/>
  <c r="AX869" i="1" l="1"/>
  <c r="U869" i="1" s="1"/>
  <c r="AL869" i="1" s="1"/>
  <c r="AN869" i="1" s="1"/>
  <c r="AO869" i="1" s="1"/>
  <c r="AP869" i="1" s="1"/>
  <c r="Y870" i="1"/>
  <c r="X870" i="1" s="1"/>
  <c r="AH869" i="1"/>
  <c r="AG869" i="1"/>
  <c r="BA869" i="1" s="1"/>
  <c r="O870" i="1"/>
  <c r="V870" i="1"/>
  <c r="AQ870" i="1"/>
  <c r="AY870" i="1"/>
  <c r="AX870" i="1" l="1"/>
  <c r="U870" i="1" s="1"/>
  <c r="AL870" i="1" s="1"/>
  <c r="AN870" i="1" s="1"/>
  <c r="AO870" i="1" s="1"/>
  <c r="AP870" i="1" s="1"/>
  <c r="AF870" i="1"/>
  <c r="AG870" i="1" s="1"/>
  <c r="BA870" i="1" s="1"/>
  <c r="N871" i="1"/>
  <c r="AM871" i="1"/>
  <c r="AT871" i="1"/>
  <c r="AS871" i="1" s="1"/>
  <c r="P871" i="1"/>
  <c r="BE871" i="1" s="1"/>
  <c r="I871" i="1"/>
  <c r="Q871" i="1" s="1"/>
  <c r="Y871" i="1" l="1"/>
  <c r="X871" i="1" s="1"/>
  <c r="AF871" i="1" s="1"/>
  <c r="AH870" i="1"/>
  <c r="V871" i="1"/>
  <c r="AQ871" i="1"/>
  <c r="AY871" i="1"/>
  <c r="O871" i="1"/>
  <c r="AX871" i="1" l="1"/>
  <c r="U871" i="1" s="1"/>
  <c r="AL871" i="1" s="1"/>
  <c r="AN871" i="1" s="1"/>
  <c r="AO871" i="1" s="1"/>
  <c r="AP871" i="1" s="1"/>
  <c r="AM872" i="1"/>
  <c r="P872" i="1"/>
  <c r="BE872" i="1" s="1"/>
  <c r="N872" i="1"/>
  <c r="I872" i="1"/>
  <c r="Q872" i="1" s="1"/>
  <c r="AT872" i="1"/>
  <c r="AS872" i="1" s="1"/>
  <c r="AG871" i="1"/>
  <c r="BA871" i="1" s="1"/>
  <c r="AH871" i="1"/>
  <c r="Y872" i="1" l="1"/>
  <c r="X872" i="1" s="1"/>
  <c r="O872" i="1"/>
  <c r="V872" i="1"/>
  <c r="AQ872" i="1"/>
  <c r="AY872" i="1"/>
  <c r="AX872" i="1" l="1"/>
  <c r="U872" i="1" s="1"/>
  <c r="AL872" i="1" s="1"/>
  <c r="AN872" i="1" s="1"/>
  <c r="AO872" i="1" s="1"/>
  <c r="AP872" i="1" s="1"/>
  <c r="AF872" i="1"/>
  <c r="AG872" i="1" s="1"/>
  <c r="BA872" i="1" s="1"/>
  <c r="AT873" i="1"/>
  <c r="AS873" i="1" s="1"/>
  <c r="N873" i="1"/>
  <c r="P873" i="1"/>
  <c r="BE873" i="1" s="1"/>
  <c r="AM873" i="1"/>
  <c r="I873" i="1"/>
  <c r="Q873" i="1" s="1"/>
  <c r="Y873" i="1" l="1"/>
  <c r="X873" i="1" s="1"/>
  <c r="AH872" i="1"/>
  <c r="AY873" i="1"/>
  <c r="V873" i="1"/>
  <c r="AQ873" i="1"/>
  <c r="O873" i="1"/>
  <c r="AX873" i="1" l="1"/>
  <c r="U873" i="1" s="1"/>
  <c r="AL873" i="1" s="1"/>
  <c r="AN873" i="1" s="1"/>
  <c r="AO873" i="1" s="1"/>
  <c r="AP873" i="1" s="1"/>
  <c r="AF873" i="1"/>
  <c r="AG873" i="1" s="1"/>
  <c r="BA873" i="1" s="1"/>
  <c r="AT874" i="1"/>
  <c r="AS874" i="1" s="1"/>
  <c r="N874" i="1"/>
  <c r="I874" i="1"/>
  <c r="Q874" i="1" s="1"/>
  <c r="P874" i="1"/>
  <c r="BE874" i="1" s="1"/>
  <c r="AM874" i="1"/>
  <c r="Y874" i="1" l="1"/>
  <c r="X874" i="1" s="1"/>
  <c r="AH873" i="1"/>
  <c r="O874" i="1"/>
  <c r="V874" i="1"/>
  <c r="AQ874" i="1"/>
  <c r="AY874" i="1"/>
  <c r="AX874" i="1" l="1"/>
  <c r="U874" i="1" s="1"/>
  <c r="AL874" i="1" s="1"/>
  <c r="AN874" i="1" s="1"/>
  <c r="AO874" i="1" s="1"/>
  <c r="AP874" i="1" s="1"/>
  <c r="AF874" i="1"/>
  <c r="AG874" i="1" s="1"/>
  <c r="BA874" i="1" s="1"/>
  <c r="AT875" i="1"/>
  <c r="AS875" i="1" s="1"/>
  <c r="AM875" i="1"/>
  <c r="N875" i="1"/>
  <c r="I875" i="1"/>
  <c r="Q875" i="1" s="1"/>
  <c r="P875" i="1"/>
  <c r="BE875" i="1" s="1"/>
  <c r="Y875" i="1" l="1"/>
  <c r="AH874" i="1"/>
  <c r="O875" i="1"/>
  <c r="AQ875" i="1"/>
  <c r="V875" i="1"/>
  <c r="AY875" i="1"/>
  <c r="X875" i="1"/>
  <c r="AF875" i="1" s="1"/>
  <c r="AX875" i="1" l="1"/>
  <c r="U875" i="1" s="1"/>
  <c r="AL875" i="1" s="1"/>
  <c r="AN875" i="1" s="1"/>
  <c r="AO875" i="1" s="1"/>
  <c r="AP875" i="1" s="1"/>
  <c r="AH875" i="1"/>
  <c r="AG875" i="1"/>
  <c r="BA875" i="1" s="1"/>
  <c r="P876" i="1"/>
  <c r="BE876" i="1" s="1"/>
  <c r="AM876" i="1"/>
  <c r="AT876" i="1"/>
  <c r="AS876" i="1" s="1"/>
  <c r="I876" i="1"/>
  <c r="Q876" i="1" s="1"/>
  <c r="N876" i="1"/>
  <c r="Y876" i="1" l="1"/>
  <c r="X876" i="1" s="1"/>
  <c r="AF876" i="1" s="1"/>
  <c r="AQ876" i="1"/>
  <c r="V876" i="1"/>
  <c r="AY876" i="1"/>
  <c r="O876" i="1"/>
  <c r="AX876" i="1" l="1"/>
  <c r="U876" i="1" s="1"/>
  <c r="AL876" i="1" s="1"/>
  <c r="AN876" i="1" s="1"/>
  <c r="AO876" i="1" s="1"/>
  <c r="AT877" i="1"/>
  <c r="AS877" i="1" s="1"/>
  <c r="P877" i="1"/>
  <c r="BE877" i="1" s="1"/>
  <c r="N877" i="1"/>
  <c r="AM877" i="1"/>
  <c r="I877" i="1"/>
  <c r="Q877" i="1" s="1"/>
  <c r="AH876" i="1"/>
  <c r="AG876" i="1"/>
  <c r="BA876" i="1" s="1"/>
  <c r="Y877" i="1" l="1"/>
  <c r="X877" i="1" s="1"/>
  <c r="AF877" i="1" s="1"/>
  <c r="V877" i="1"/>
  <c r="AY877" i="1"/>
  <c r="AQ877" i="1"/>
  <c r="O877" i="1"/>
  <c r="AX877" i="1" l="1"/>
  <c r="U877" i="1" s="1"/>
  <c r="AL877" i="1" s="1"/>
  <c r="AN877" i="1" s="1"/>
  <c r="AO877" i="1" s="1"/>
  <c r="AP877" i="1" s="1"/>
  <c r="P878" i="1"/>
  <c r="BE878" i="1" s="1"/>
  <c r="N878" i="1"/>
  <c r="AT878" i="1"/>
  <c r="AS878" i="1" s="1"/>
  <c r="AM878" i="1"/>
  <c r="I878" i="1"/>
  <c r="Q878" i="1" s="1"/>
  <c r="AG877" i="1"/>
  <c r="BA877" i="1" s="1"/>
  <c r="AH877" i="1"/>
  <c r="Y878" i="1" l="1"/>
  <c r="X878" i="1" s="1"/>
  <c r="AF878" i="1" s="1"/>
  <c r="AQ878" i="1"/>
  <c r="O878" i="1"/>
  <c r="V878" i="1"/>
  <c r="AY878" i="1"/>
  <c r="AX878" i="1" l="1"/>
  <c r="U878" i="1" s="1"/>
  <c r="AL878" i="1" s="1"/>
  <c r="AN878" i="1" s="1"/>
  <c r="AO878" i="1" s="1"/>
  <c r="AP878" i="1" s="1"/>
  <c r="AG878" i="1"/>
  <c r="BA878" i="1" s="1"/>
  <c r="AH878" i="1"/>
  <c r="N879" i="1"/>
  <c r="AT879" i="1"/>
  <c r="AS879" i="1" s="1"/>
  <c r="I879" i="1"/>
  <c r="Q879" i="1" s="1"/>
  <c r="AM879" i="1"/>
  <c r="P879" i="1"/>
  <c r="BE879" i="1" s="1"/>
  <c r="Y879" i="1" l="1"/>
  <c r="X879" i="1" s="1"/>
  <c r="V879" i="1"/>
  <c r="AY879" i="1"/>
  <c r="O879" i="1"/>
  <c r="AQ879" i="1"/>
  <c r="AX879" i="1" l="1"/>
  <c r="U879" i="1" s="1"/>
  <c r="AL879" i="1" s="1"/>
  <c r="AN879" i="1" s="1"/>
  <c r="AO879" i="1" s="1"/>
  <c r="AP879" i="1" s="1"/>
  <c r="AF879" i="1"/>
  <c r="AG879" i="1" s="1"/>
  <c r="BA879" i="1" s="1"/>
  <c r="N880" i="1"/>
  <c r="AT880" i="1"/>
  <c r="AS880" i="1" s="1"/>
  <c r="I880" i="1"/>
  <c r="Q880" i="1" s="1"/>
  <c r="AM880" i="1"/>
  <c r="P880" i="1"/>
  <c r="BE880" i="1" s="1"/>
  <c r="Y880" i="1" l="1"/>
  <c r="X880" i="1" s="1"/>
  <c r="AF880" i="1" s="1"/>
  <c r="AH879" i="1"/>
  <c r="V880" i="1"/>
  <c r="AQ880" i="1"/>
  <c r="AY880" i="1"/>
  <c r="O880" i="1"/>
  <c r="AX880" i="1" l="1"/>
  <c r="U880" i="1" s="1"/>
  <c r="AL880" i="1" s="1"/>
  <c r="AN880" i="1" s="1"/>
  <c r="AO880" i="1" s="1"/>
  <c r="AP880" i="1" s="1"/>
  <c r="AT881" i="1"/>
  <c r="AS881" i="1" s="1"/>
  <c r="I881" i="1"/>
  <c r="Q881" i="1" s="1"/>
  <c r="N881" i="1"/>
  <c r="P881" i="1"/>
  <c r="BE881" i="1" s="1"/>
  <c r="AM881" i="1"/>
  <c r="AG880" i="1"/>
  <c r="BA880" i="1" s="1"/>
  <c r="AH880" i="1"/>
  <c r="Y881" i="1" l="1"/>
  <c r="X881" i="1" s="1"/>
  <c r="AF881" i="1" s="1"/>
  <c r="V881" i="1"/>
  <c r="AY881" i="1"/>
  <c r="AQ881" i="1"/>
  <c r="O881" i="1"/>
  <c r="AX881" i="1" l="1"/>
  <c r="U881" i="1" s="1"/>
  <c r="AL881" i="1" s="1"/>
  <c r="AN881" i="1" s="1"/>
  <c r="AO881" i="1" s="1"/>
  <c r="AP881" i="1" s="1"/>
  <c r="P882" i="1"/>
  <c r="BE882" i="1" s="1"/>
  <c r="AM882" i="1"/>
  <c r="N882" i="1"/>
  <c r="AT882" i="1"/>
  <c r="AS882" i="1" s="1"/>
  <c r="I882" i="1"/>
  <c r="Q882" i="1" s="1"/>
  <c r="AG881" i="1"/>
  <c r="BA881" i="1" s="1"/>
  <c r="AH881" i="1"/>
  <c r="Y882" i="1" l="1"/>
  <c r="X882" i="1" s="1"/>
  <c r="AF882" i="1" s="1"/>
  <c r="AQ882" i="1"/>
  <c r="O882" i="1"/>
  <c r="V882" i="1"/>
  <c r="AY882" i="1"/>
  <c r="AX882" i="1" l="1"/>
  <c r="U882" i="1" s="1"/>
  <c r="AL882" i="1" s="1"/>
  <c r="AN882" i="1" s="1"/>
  <c r="AO882" i="1" s="1"/>
  <c r="AP882" i="1" s="1"/>
  <c r="P883" i="1"/>
  <c r="BE883" i="1" s="1"/>
  <c r="N883" i="1"/>
  <c r="AT883" i="1"/>
  <c r="AS883" i="1" s="1"/>
  <c r="I883" i="1"/>
  <c r="Q883" i="1" s="1"/>
  <c r="AM883" i="1"/>
  <c r="AH882" i="1"/>
  <c r="AG882" i="1"/>
  <c r="BA882" i="1" s="1"/>
  <c r="Y883" i="1" l="1"/>
  <c r="X883" i="1" s="1"/>
  <c r="AF883" i="1" s="1"/>
  <c r="AQ883" i="1"/>
  <c r="O883" i="1"/>
  <c r="V883" i="1"/>
  <c r="AY883" i="1"/>
  <c r="AX883" i="1" l="1"/>
  <c r="U883" i="1" s="1"/>
  <c r="AL883" i="1" s="1"/>
  <c r="AN883" i="1" s="1"/>
  <c r="AO883" i="1" s="1"/>
  <c r="AP883" i="1" s="1"/>
  <c r="P884" i="1"/>
  <c r="BE884" i="1" s="1"/>
  <c r="I884" i="1"/>
  <c r="Q884" i="1" s="1"/>
  <c r="N884" i="1"/>
  <c r="AM884" i="1"/>
  <c r="AT884" i="1"/>
  <c r="AS884" i="1" s="1"/>
  <c r="AG883" i="1"/>
  <c r="BA883" i="1" s="1"/>
  <c r="AH883" i="1"/>
  <c r="Y884" i="1" l="1"/>
  <c r="X884" i="1" s="1"/>
  <c r="AF884" i="1" s="1"/>
  <c r="AQ884" i="1"/>
  <c r="O884" i="1"/>
  <c r="V884" i="1"/>
  <c r="AY884" i="1"/>
  <c r="AX884" i="1" l="1"/>
  <c r="U884" i="1" s="1"/>
  <c r="AL884" i="1" s="1"/>
  <c r="AN884" i="1" s="1"/>
  <c r="AO884" i="1" s="1"/>
  <c r="AP884" i="1" s="1"/>
  <c r="AG884" i="1"/>
  <c r="BA884" i="1" s="1"/>
  <c r="AH884" i="1"/>
  <c r="AM885" i="1"/>
  <c r="AT885" i="1"/>
  <c r="AS885" i="1" s="1"/>
  <c r="P885" i="1"/>
  <c r="BE885" i="1" s="1"/>
  <c r="I885" i="1"/>
  <c r="Q885" i="1" s="1"/>
  <c r="N885" i="1"/>
  <c r="Y885" i="1" l="1"/>
  <c r="X885" i="1" s="1"/>
  <c r="AF885" i="1" s="1"/>
  <c r="O885" i="1"/>
  <c r="P886" i="1" s="1"/>
  <c r="BE886" i="1" s="1"/>
  <c r="V885" i="1"/>
  <c r="AY885" i="1"/>
  <c r="AQ885" i="1"/>
  <c r="AX885" i="1" l="1"/>
  <c r="U885" i="1" s="1"/>
  <c r="AL885" i="1" s="1"/>
  <c r="AN885" i="1" s="1"/>
  <c r="AO885" i="1" s="1"/>
  <c r="AP885" i="1" s="1"/>
  <c r="Y886" i="1"/>
  <c r="X886" i="1" s="1"/>
  <c r="AF886" i="1" s="1"/>
  <c r="AT886" i="1"/>
  <c r="AS886" i="1" s="1"/>
  <c r="AQ886" i="1" s="1"/>
  <c r="N886" i="1"/>
  <c r="I886" i="1"/>
  <c r="Q886" i="1" s="1"/>
  <c r="AM886" i="1"/>
  <c r="AG885" i="1"/>
  <c r="BA885" i="1" s="1"/>
  <c r="V886" i="1"/>
  <c r="AY886" i="1"/>
  <c r="O886" i="1" l="1"/>
  <c r="P887" i="1" s="1"/>
  <c r="BE887" i="1" s="1"/>
  <c r="AH885" i="1"/>
  <c r="AG886" i="1"/>
  <c r="BA886" i="1" s="1"/>
  <c r="AX886" i="1" l="1"/>
  <c r="U886" i="1" s="1"/>
  <c r="AL886" i="1" s="1"/>
  <c r="AN886" i="1" s="1"/>
  <c r="AO886" i="1" s="1"/>
  <c r="AP886" i="1" s="1"/>
  <c r="Y887" i="1"/>
  <c r="X887" i="1" s="1"/>
  <c r="AF887" i="1" s="1"/>
  <c r="I887" i="1"/>
  <c r="Q887" i="1" s="1"/>
  <c r="AH886" i="1"/>
  <c r="N887" i="1"/>
  <c r="AM887" i="1"/>
  <c r="AT887" i="1"/>
  <c r="AS887" i="1" s="1"/>
  <c r="AQ887" i="1" s="1"/>
  <c r="V887" i="1"/>
  <c r="AY887" i="1"/>
  <c r="AX887" i="1" l="1"/>
  <c r="U887" i="1" s="1"/>
  <c r="AL887" i="1" s="1"/>
  <c r="AN887" i="1" s="1"/>
  <c r="AO887" i="1" s="1"/>
  <c r="AP887" i="1" s="1"/>
  <c r="AG887" i="1"/>
  <c r="BA887" i="1" s="1"/>
  <c r="O887" i="1"/>
  <c r="N888" i="1" s="1"/>
  <c r="AT888" i="1" l="1"/>
  <c r="AS888" i="1" s="1"/>
  <c r="AH887" i="1"/>
  <c r="P888" i="1"/>
  <c r="BE888" i="1" s="1"/>
  <c r="I888" i="1"/>
  <c r="Q888" i="1" s="1"/>
  <c r="AM888" i="1"/>
  <c r="O888" i="1" l="1"/>
  <c r="I889" i="1" s="1"/>
  <c r="Q889" i="1" s="1"/>
  <c r="V888" i="1"/>
  <c r="Y888" i="1"/>
  <c r="X888" i="1" s="1"/>
  <c r="AY888" i="1"/>
  <c r="AQ888" i="1"/>
  <c r="AX888" i="1" l="1"/>
  <c r="U888" i="1" s="1"/>
  <c r="AL888" i="1" s="1"/>
  <c r="AN888" i="1" s="1"/>
  <c r="AO888" i="1" s="1"/>
  <c r="AF888" i="1"/>
  <c r="AG888" i="1" s="1"/>
  <c r="BA888" i="1" s="1"/>
  <c r="AM889" i="1"/>
  <c r="AT889" i="1"/>
  <c r="AS889" i="1" s="1"/>
  <c r="N889" i="1"/>
  <c r="O889" i="1" s="1"/>
  <c r="P889" i="1"/>
  <c r="BE889" i="1" s="1"/>
  <c r="Y889" i="1" l="1"/>
  <c r="X889" i="1" s="1"/>
  <c r="AF889" i="1" s="1"/>
  <c r="AG889" i="1" s="1"/>
  <c r="AH888" i="1"/>
  <c r="V889" i="1"/>
  <c r="AQ889" i="1"/>
  <c r="AY889" i="1"/>
  <c r="P890" i="1"/>
  <c r="BE890" i="1" s="1"/>
  <c r="AT890" i="1"/>
  <c r="AS890" i="1" s="1"/>
  <c r="N890" i="1"/>
  <c r="AM890" i="1"/>
  <c r="I890" i="1"/>
  <c r="Q890" i="1" s="1"/>
  <c r="AX889" i="1" l="1"/>
  <c r="U889" i="1" s="1"/>
  <c r="AL889" i="1" s="1"/>
  <c r="AN889" i="1" s="1"/>
  <c r="AO889" i="1" s="1"/>
  <c r="AP889" i="1" s="1"/>
  <c r="AH889" i="1"/>
  <c r="Y890" i="1"/>
  <c r="X890" i="1" s="1"/>
  <c r="AF890" i="1" s="1"/>
  <c r="BA889" i="1"/>
  <c r="V890" i="1"/>
  <c r="AY890" i="1"/>
  <c r="O890" i="1"/>
  <c r="AQ890" i="1"/>
  <c r="AX890" i="1" l="1"/>
  <c r="U890" i="1" s="1"/>
  <c r="AL890" i="1" s="1"/>
  <c r="AN890" i="1" s="1"/>
  <c r="AO890" i="1" s="1"/>
  <c r="AP890" i="1" s="1"/>
  <c r="AG890" i="1"/>
  <c r="BA890" i="1" s="1"/>
  <c r="AH890" i="1"/>
  <c r="AM891" i="1"/>
  <c r="AT891" i="1"/>
  <c r="AS891" i="1" s="1"/>
  <c r="I891" i="1"/>
  <c r="Q891" i="1" s="1"/>
  <c r="N891" i="1"/>
  <c r="P891" i="1"/>
  <c r="BE891" i="1" s="1"/>
  <c r="Y891" i="1" l="1"/>
  <c r="X891" i="1" s="1"/>
  <c r="AF891" i="1" s="1"/>
  <c r="O891" i="1"/>
  <c r="AM892" i="1" s="1"/>
  <c r="V891" i="1"/>
  <c r="AY891" i="1"/>
  <c r="AQ891" i="1"/>
  <c r="AX891" i="1" l="1"/>
  <c r="U891" i="1" s="1"/>
  <c r="AL891" i="1" s="1"/>
  <c r="AN891" i="1" s="1"/>
  <c r="AO891" i="1" s="1"/>
  <c r="AP891" i="1" s="1"/>
  <c r="AT892" i="1"/>
  <c r="AS892" i="1" s="1"/>
  <c r="P892" i="1"/>
  <c r="BE892" i="1" s="1"/>
  <c r="N892" i="1"/>
  <c r="I892" i="1"/>
  <c r="Q892" i="1" s="1"/>
  <c r="AH891" i="1"/>
  <c r="AG891" i="1"/>
  <c r="BA891" i="1" s="1"/>
  <c r="Y892" i="1" l="1"/>
  <c r="X892" i="1" s="1"/>
  <c r="AQ892" i="1"/>
  <c r="V892" i="1"/>
  <c r="O892" i="1"/>
  <c r="P893" i="1" s="1"/>
  <c r="BE893" i="1" s="1"/>
  <c r="AY892" i="1"/>
  <c r="AX892" i="1" l="1"/>
  <c r="U892" i="1" s="1"/>
  <c r="AL892" i="1" s="1"/>
  <c r="AN892" i="1" s="1"/>
  <c r="AO892" i="1" s="1"/>
  <c r="AP892" i="1" s="1"/>
  <c r="AF892" i="1"/>
  <c r="AG892" i="1" s="1"/>
  <c r="BA892" i="1" s="1"/>
  <c r="V893" i="1"/>
  <c r="Y893" i="1"/>
  <c r="X893" i="1" s="1"/>
  <c r="AF893" i="1" s="1"/>
  <c r="N893" i="1"/>
  <c r="AM893" i="1"/>
  <c r="AY893" i="1"/>
  <c r="AT893" i="1"/>
  <c r="AS893" i="1" s="1"/>
  <c r="AQ893" i="1" s="1"/>
  <c r="I893" i="1"/>
  <c r="Q893" i="1" s="1"/>
  <c r="AH892" i="1" l="1"/>
  <c r="O893" i="1"/>
  <c r="AM894" i="1" s="1"/>
  <c r="AG893" i="1"/>
  <c r="BA893" i="1" s="1"/>
  <c r="AX893" i="1" l="1"/>
  <c r="U893" i="1" s="1"/>
  <c r="AL893" i="1" s="1"/>
  <c r="AN893" i="1" s="1"/>
  <c r="AO893" i="1" s="1"/>
  <c r="AP893" i="1" s="1"/>
  <c r="AT894" i="1"/>
  <c r="AS894" i="1" s="1"/>
  <c r="AH893" i="1"/>
  <c r="I894" i="1"/>
  <c r="Q894" i="1" s="1"/>
  <c r="N894" i="1"/>
  <c r="P894" i="1"/>
  <c r="BE894" i="1" s="1"/>
  <c r="AQ894" i="1" l="1"/>
  <c r="O894" i="1"/>
  <c r="N895" i="1" s="1"/>
  <c r="Y894" i="1"/>
  <c r="X894" i="1" s="1"/>
  <c r="V894" i="1"/>
  <c r="AY894" i="1"/>
  <c r="AX894" i="1" l="1"/>
  <c r="U894" i="1" s="1"/>
  <c r="AL894" i="1" s="1"/>
  <c r="AN894" i="1" s="1"/>
  <c r="AO894" i="1" s="1"/>
  <c r="AP894" i="1" s="1"/>
  <c r="AF894" i="1"/>
  <c r="AG894" i="1" s="1"/>
  <c r="BA894" i="1" s="1"/>
  <c r="P895" i="1"/>
  <c r="BE895" i="1" s="1"/>
  <c r="AM895" i="1"/>
  <c r="AT895" i="1"/>
  <c r="AS895" i="1" s="1"/>
  <c r="I895" i="1"/>
  <c r="Q895" i="1" s="1"/>
  <c r="Y895" i="1" l="1"/>
  <c r="X895" i="1" s="1"/>
  <c r="AF895" i="1" s="1"/>
  <c r="AH894" i="1"/>
  <c r="V895" i="1"/>
  <c r="AQ895" i="1"/>
  <c r="AY895" i="1"/>
  <c r="O895" i="1"/>
  <c r="N896" i="1" s="1"/>
  <c r="AX895" i="1" l="1"/>
  <c r="U895" i="1" s="1"/>
  <c r="AL895" i="1" s="1"/>
  <c r="AN895" i="1" s="1"/>
  <c r="AO895" i="1" s="1"/>
  <c r="AP895" i="1" s="1"/>
  <c r="AG895" i="1"/>
  <c r="BA895" i="1" s="1"/>
  <c r="AT896" i="1"/>
  <c r="AS896" i="1" s="1"/>
  <c r="AH895" i="1"/>
  <c r="P896" i="1"/>
  <c r="BE896" i="1" s="1"/>
  <c r="AM896" i="1"/>
  <c r="I896" i="1"/>
  <c r="Q896" i="1" s="1"/>
  <c r="Y896" i="1" l="1"/>
  <c r="X896" i="1" s="1"/>
  <c r="AF896" i="1" s="1"/>
  <c r="O896" i="1"/>
  <c r="I897" i="1" s="1"/>
  <c r="Q897" i="1" s="1"/>
  <c r="AY896" i="1"/>
  <c r="V896" i="1"/>
  <c r="AQ896" i="1"/>
  <c r="AX896" i="1" l="1"/>
  <c r="U896" i="1" s="1"/>
  <c r="AL896" i="1" s="1"/>
  <c r="AN896" i="1" s="1"/>
  <c r="AO896" i="1" s="1"/>
  <c r="AP896" i="1" s="1"/>
  <c r="AG896" i="1"/>
  <c r="BA896" i="1" s="1"/>
  <c r="AM897" i="1"/>
  <c r="AH896" i="1"/>
  <c r="AT897" i="1"/>
  <c r="AS897" i="1" s="1"/>
  <c r="P897" i="1"/>
  <c r="BE897" i="1" s="1"/>
  <c r="N897" i="1"/>
  <c r="O897" i="1" s="1"/>
  <c r="Y897" i="1" l="1"/>
  <c r="X897" i="1" s="1"/>
  <c r="AF897" i="1" s="1"/>
  <c r="AQ897" i="1"/>
  <c r="AY897" i="1"/>
  <c r="V897" i="1"/>
  <c r="I898" i="1"/>
  <c r="Q898" i="1" s="1"/>
  <c r="AT898" i="1"/>
  <c r="AS898" i="1" s="1"/>
  <c r="AM898" i="1"/>
  <c r="P898" i="1"/>
  <c r="BE898" i="1" s="1"/>
  <c r="N898" i="1"/>
  <c r="AX897" i="1" l="1"/>
  <c r="U897" i="1" s="1"/>
  <c r="AL897" i="1" s="1"/>
  <c r="AN897" i="1" s="1"/>
  <c r="AO897" i="1" s="1"/>
  <c r="AP897" i="1" s="1"/>
  <c r="AH897" i="1"/>
  <c r="AG897" i="1"/>
  <c r="BA897" i="1" s="1"/>
  <c r="Y898" i="1"/>
  <c r="X898" i="1" s="1"/>
  <c r="AF898" i="1" s="1"/>
  <c r="O898" i="1"/>
  <c r="AM899" i="1" s="1"/>
  <c r="V898" i="1"/>
  <c r="AY898" i="1"/>
  <c r="AQ898" i="1"/>
  <c r="AX898" i="1" l="1"/>
  <c r="U898" i="1" s="1"/>
  <c r="AL898" i="1" s="1"/>
  <c r="AN898" i="1" s="1"/>
  <c r="AO898" i="1" s="1"/>
  <c r="AP898" i="1" s="1"/>
  <c r="AT899" i="1"/>
  <c r="AS899" i="1" s="1"/>
  <c r="P899" i="1"/>
  <c r="BE899" i="1" s="1"/>
  <c r="N899" i="1"/>
  <c r="I899" i="1"/>
  <c r="Q899" i="1" s="1"/>
  <c r="AH898" i="1"/>
  <c r="Y899" i="1" l="1"/>
  <c r="X899" i="1" s="1"/>
  <c r="AF899" i="1" s="1"/>
  <c r="V899" i="1"/>
  <c r="AY899" i="1"/>
  <c r="AQ899" i="1"/>
  <c r="O899" i="1"/>
  <c r="I900" i="1" s="1"/>
  <c r="Q900" i="1" s="1"/>
  <c r="AG898" i="1"/>
  <c r="BA898" i="1" s="1"/>
  <c r="AX899" i="1" l="1"/>
  <c r="U899" i="1" s="1"/>
  <c r="AL899" i="1" s="1"/>
  <c r="AN899" i="1" s="1"/>
  <c r="AO899" i="1" s="1"/>
  <c r="AP899" i="1" s="1"/>
  <c r="AG899" i="1"/>
  <c r="BA899" i="1" s="1"/>
  <c r="AM900" i="1"/>
  <c r="AH899" i="1"/>
  <c r="P900" i="1"/>
  <c r="BE900" i="1" s="1"/>
  <c r="AT900" i="1"/>
  <c r="AS900" i="1" s="1"/>
  <c r="N900" i="1"/>
  <c r="O900" i="1" s="1"/>
  <c r="P901" i="1" s="1"/>
  <c r="BE901" i="1" s="1"/>
  <c r="Y901" i="1" l="1"/>
  <c r="Y900" i="1"/>
  <c r="X900" i="1" s="1"/>
  <c r="AF900" i="1" s="1"/>
  <c r="AG900" i="1" s="1"/>
  <c r="AQ900" i="1"/>
  <c r="AY900" i="1"/>
  <c r="V900" i="1"/>
  <c r="AT901" i="1"/>
  <c r="AS901" i="1" s="1"/>
  <c r="AQ901" i="1" s="1"/>
  <c r="I901" i="1"/>
  <c r="Q901" i="1" s="1"/>
  <c r="AM901" i="1"/>
  <c r="N901" i="1"/>
  <c r="V901" i="1"/>
  <c r="AY901" i="1"/>
  <c r="AX900" i="1" l="1"/>
  <c r="U900" i="1" s="1"/>
  <c r="AL900" i="1" s="1"/>
  <c r="AN900" i="1" s="1"/>
  <c r="AO900" i="1" s="1"/>
  <c r="X901" i="1"/>
  <c r="AF901" i="1" s="1"/>
  <c r="O901" i="1"/>
  <c r="N902" i="1" s="1"/>
  <c r="BA900" i="1"/>
  <c r="AH900" i="1"/>
  <c r="AX901" i="1" l="1"/>
  <c r="U901" i="1" s="1"/>
  <c r="AL901" i="1" s="1"/>
  <c r="AN901" i="1" s="1"/>
  <c r="AO901" i="1" s="1"/>
  <c r="AP901" i="1" s="1"/>
  <c r="AG901" i="1"/>
  <c r="BA901" i="1" s="1"/>
  <c r="P902" i="1"/>
  <c r="BE902" i="1" s="1"/>
  <c r="AT902" i="1"/>
  <c r="AS902" i="1" s="1"/>
  <c r="AH901" i="1"/>
  <c r="AM902" i="1"/>
  <c r="I902" i="1"/>
  <c r="Q902" i="1" s="1"/>
  <c r="Y902" i="1" l="1"/>
  <c r="X902" i="1" s="1"/>
  <c r="AF902" i="1" s="1"/>
  <c r="AG902" i="1" s="1"/>
  <c r="AY902" i="1"/>
  <c r="V902" i="1"/>
  <c r="AQ902" i="1"/>
  <c r="O902" i="1"/>
  <c r="N903" i="1" s="1"/>
  <c r="AX902" i="1" l="1"/>
  <c r="U902" i="1" s="1"/>
  <c r="AL902" i="1" s="1"/>
  <c r="AN902" i="1" s="1"/>
  <c r="AO902" i="1" s="1"/>
  <c r="AP902" i="1" s="1"/>
  <c r="BA902" i="1"/>
  <c r="AH902" i="1"/>
  <c r="AT903" i="1"/>
  <c r="AS903" i="1" s="1"/>
  <c r="I903" i="1"/>
  <c r="Q903" i="1" s="1"/>
  <c r="P903" i="1"/>
  <c r="BE903" i="1" s="1"/>
  <c r="AM903" i="1"/>
  <c r="V903" i="1" l="1"/>
  <c r="O903" i="1"/>
  <c r="I904" i="1" s="1"/>
  <c r="Q904" i="1" s="1"/>
  <c r="AQ903" i="1"/>
  <c r="AY903" i="1"/>
  <c r="Y903" i="1"/>
  <c r="X903" i="1" s="1"/>
  <c r="AX903" i="1" l="1"/>
  <c r="U903" i="1" s="1"/>
  <c r="AL903" i="1" s="1"/>
  <c r="AN903" i="1" s="1"/>
  <c r="AO903" i="1" s="1"/>
  <c r="AP903" i="1" s="1"/>
  <c r="AF903" i="1"/>
  <c r="AG903" i="1" s="1"/>
  <c r="BA903" i="1" s="1"/>
  <c r="P904" i="1"/>
  <c r="BE904" i="1" s="1"/>
  <c r="N904" i="1"/>
  <c r="O904" i="1" s="1"/>
  <c r="AT904" i="1"/>
  <c r="AS904" i="1" s="1"/>
  <c r="AM904" i="1"/>
  <c r="Y904" i="1" l="1"/>
  <c r="X904" i="1" s="1"/>
  <c r="AF904" i="1" s="1"/>
  <c r="AH904" i="1" s="1"/>
  <c r="AH903" i="1"/>
  <c r="V904" i="1"/>
  <c r="AQ904" i="1"/>
  <c r="AY904" i="1"/>
  <c r="P905" i="1"/>
  <c r="BE905" i="1" s="1"/>
  <c r="N905" i="1"/>
  <c r="AM905" i="1"/>
  <c r="I905" i="1"/>
  <c r="Q905" i="1" s="1"/>
  <c r="AT905" i="1"/>
  <c r="AS905" i="1" s="1"/>
  <c r="AX904" i="1" l="1"/>
  <c r="U904" i="1" s="1"/>
  <c r="AL904" i="1" s="1"/>
  <c r="AN904" i="1" s="1"/>
  <c r="AO904" i="1" s="1"/>
  <c r="AP904" i="1" s="1"/>
  <c r="AG904" i="1"/>
  <c r="BA904" i="1" s="1"/>
  <c r="Y905" i="1"/>
  <c r="X905" i="1" s="1"/>
  <c r="AF905" i="1" s="1"/>
  <c r="O905" i="1"/>
  <c r="V905" i="1"/>
  <c r="AQ905" i="1"/>
  <c r="AY905" i="1"/>
  <c r="AX905" i="1" l="1"/>
  <c r="U905" i="1" s="1"/>
  <c r="AL905" i="1" s="1"/>
  <c r="AN905" i="1" s="1"/>
  <c r="AO905" i="1" s="1"/>
  <c r="AP905" i="1" s="1"/>
  <c r="AH905" i="1"/>
  <c r="AM906" i="1"/>
  <c r="N906" i="1"/>
  <c r="AT906" i="1"/>
  <c r="AS906" i="1" s="1"/>
  <c r="P906" i="1"/>
  <c r="BE906" i="1" s="1"/>
  <c r="I906" i="1"/>
  <c r="Q906" i="1" s="1"/>
  <c r="AG905" i="1"/>
  <c r="BA905" i="1" s="1"/>
  <c r="Y906" i="1" l="1"/>
  <c r="X906" i="1" s="1"/>
  <c r="O906" i="1"/>
  <c r="AM907" i="1" s="1"/>
  <c r="V906" i="1"/>
  <c r="AQ906" i="1"/>
  <c r="AY906" i="1"/>
  <c r="AX906" i="1" l="1"/>
  <c r="U906" i="1" s="1"/>
  <c r="AL906" i="1" s="1"/>
  <c r="AN906" i="1" s="1"/>
  <c r="AO906" i="1" s="1"/>
  <c r="AP906" i="1" s="1"/>
  <c r="AF906" i="1"/>
  <c r="AG906" i="1" s="1"/>
  <c r="BA906" i="1" s="1"/>
  <c r="N907" i="1"/>
  <c r="AT907" i="1"/>
  <c r="AS907" i="1" s="1"/>
  <c r="P907" i="1"/>
  <c r="BE907" i="1" s="1"/>
  <c r="I907" i="1"/>
  <c r="Q907" i="1" s="1"/>
  <c r="AH906" i="1" l="1"/>
  <c r="V907" i="1"/>
  <c r="Y907" i="1"/>
  <c r="X907" i="1" s="1"/>
  <c r="AY907" i="1"/>
  <c r="AQ907" i="1"/>
  <c r="O907" i="1"/>
  <c r="N908" i="1" s="1"/>
  <c r="AX907" i="1" l="1"/>
  <c r="U907" i="1" s="1"/>
  <c r="AL907" i="1" s="1"/>
  <c r="AN907" i="1" s="1"/>
  <c r="AO907" i="1" s="1"/>
  <c r="AP907" i="1" s="1"/>
  <c r="AF907" i="1"/>
  <c r="AG907" i="1" s="1"/>
  <c r="BA907" i="1" s="1"/>
  <c r="AM908" i="1"/>
  <c r="P908" i="1"/>
  <c r="BE908" i="1" s="1"/>
  <c r="I908" i="1"/>
  <c r="Q908" i="1" s="1"/>
  <c r="AT908" i="1"/>
  <c r="AS908" i="1" s="1"/>
  <c r="Y908" i="1" l="1"/>
  <c r="X908" i="1" s="1"/>
  <c r="AF908" i="1" s="1"/>
  <c r="AH907" i="1"/>
  <c r="O908" i="1"/>
  <c r="V908" i="1"/>
  <c r="AQ908" i="1"/>
  <c r="AY908" i="1"/>
  <c r="AX908" i="1" l="1"/>
  <c r="U908" i="1" s="1"/>
  <c r="AL908" i="1" s="1"/>
  <c r="AN908" i="1" s="1"/>
  <c r="AO908" i="1" s="1"/>
  <c r="AP908" i="1" s="1"/>
  <c r="AH908" i="1"/>
  <c r="AG908" i="1"/>
  <c r="BA908" i="1" s="1"/>
  <c r="N909" i="1"/>
  <c r="I909" i="1"/>
  <c r="Q909" i="1" s="1"/>
  <c r="AM909" i="1"/>
  <c r="P909" i="1"/>
  <c r="BE909" i="1" s="1"/>
  <c r="AT909" i="1"/>
  <c r="AS909" i="1" s="1"/>
  <c r="Y909" i="1" l="1"/>
  <c r="X909" i="1" s="1"/>
  <c r="AQ909" i="1"/>
  <c r="V909" i="1"/>
  <c r="AY909" i="1"/>
  <c r="O909" i="1"/>
  <c r="AX909" i="1" l="1"/>
  <c r="U909" i="1" s="1"/>
  <c r="AL909" i="1" s="1"/>
  <c r="AN909" i="1" s="1"/>
  <c r="AO909" i="1" s="1"/>
  <c r="AP909" i="1" s="1"/>
  <c r="AF909" i="1"/>
  <c r="N910" i="1"/>
  <c r="AM910" i="1"/>
  <c r="AT910" i="1"/>
  <c r="AS910" i="1" s="1"/>
  <c r="I910" i="1"/>
  <c r="Q910" i="1" s="1"/>
  <c r="P910" i="1"/>
  <c r="BE910" i="1" s="1"/>
  <c r="Y910" i="1" l="1"/>
  <c r="X910" i="1" s="1"/>
  <c r="AF910" i="1" s="1"/>
  <c r="AH909" i="1"/>
  <c r="AG909" i="1"/>
  <c r="BA909" i="1" s="1"/>
  <c r="O910" i="1"/>
  <c r="V910" i="1"/>
  <c r="AQ910" i="1"/>
  <c r="AY910" i="1"/>
  <c r="AX910" i="1" l="1"/>
  <c r="U910" i="1" s="1"/>
  <c r="AL910" i="1" s="1"/>
  <c r="AN910" i="1" s="1"/>
  <c r="AO910" i="1" s="1"/>
  <c r="AP910" i="1" s="1"/>
  <c r="AH910" i="1"/>
  <c r="AG910" i="1"/>
  <c r="BA910" i="1" s="1"/>
  <c r="P911" i="1"/>
  <c r="BE911" i="1" s="1"/>
  <c r="AM911" i="1"/>
  <c r="N911" i="1"/>
  <c r="AT911" i="1"/>
  <c r="AS911" i="1" s="1"/>
  <c r="I911" i="1"/>
  <c r="Q911" i="1" s="1"/>
  <c r="Y911" i="1" l="1"/>
  <c r="X911" i="1" s="1"/>
  <c r="O911" i="1"/>
  <c r="N912" i="1" s="1"/>
  <c r="V911" i="1"/>
  <c r="AQ911" i="1"/>
  <c r="AY911" i="1"/>
  <c r="AX911" i="1" l="1"/>
  <c r="U911" i="1" s="1"/>
  <c r="AL911" i="1" s="1"/>
  <c r="AN911" i="1" s="1"/>
  <c r="AO911" i="1" s="1"/>
  <c r="AP911" i="1" s="1"/>
  <c r="AF911" i="1"/>
  <c r="AM912" i="1"/>
  <c r="P912" i="1"/>
  <c r="BE912" i="1" s="1"/>
  <c r="I912" i="1"/>
  <c r="Q912" i="1" s="1"/>
  <c r="AT912" i="1"/>
  <c r="AS912" i="1" s="1"/>
  <c r="AH911" i="1" l="1"/>
  <c r="AG911" i="1"/>
  <c r="BA911" i="1" s="1"/>
  <c r="AQ912" i="1"/>
  <c r="V912" i="1"/>
  <c r="Y912" i="1"/>
  <c r="X912" i="1" s="1"/>
  <c r="AY912" i="1"/>
  <c r="O912" i="1"/>
  <c r="AT913" i="1" s="1"/>
  <c r="AS913" i="1" s="1"/>
  <c r="AX912" i="1" l="1"/>
  <c r="U912" i="1" s="1"/>
  <c r="AL912" i="1" s="1"/>
  <c r="AN912" i="1" s="1"/>
  <c r="AO912" i="1" s="1"/>
  <c r="AF912" i="1"/>
  <c r="N913" i="1"/>
  <c r="I913" i="1"/>
  <c r="Q913" i="1" s="1"/>
  <c r="AM913" i="1"/>
  <c r="P913" i="1"/>
  <c r="BE913" i="1" s="1"/>
  <c r="Y913" i="1" l="1"/>
  <c r="X913" i="1" s="1"/>
  <c r="AH912" i="1"/>
  <c r="AG912" i="1"/>
  <c r="BA912" i="1" s="1"/>
  <c r="V913" i="1"/>
  <c r="AY913" i="1"/>
  <c r="AQ913" i="1"/>
  <c r="O913" i="1"/>
  <c r="AX913" i="1" l="1"/>
  <c r="U913" i="1" s="1"/>
  <c r="AL913" i="1" s="1"/>
  <c r="AN913" i="1" s="1"/>
  <c r="AO913" i="1" s="1"/>
  <c r="AP913" i="1" s="1"/>
  <c r="AF913" i="1"/>
  <c r="P914" i="1"/>
  <c r="BE914" i="1" s="1"/>
  <c r="AT914" i="1"/>
  <c r="AS914" i="1" s="1"/>
  <c r="AM914" i="1"/>
  <c r="I914" i="1"/>
  <c r="Q914" i="1" s="1"/>
  <c r="N914" i="1"/>
  <c r="Y914" i="1" l="1"/>
  <c r="X914" i="1" s="1"/>
  <c r="AF914" i="1" s="1"/>
  <c r="AH913" i="1"/>
  <c r="AG913" i="1"/>
  <c r="BA913" i="1" s="1"/>
  <c r="V914" i="1"/>
  <c r="AY914" i="1"/>
  <c r="AQ914" i="1"/>
  <c r="O914" i="1"/>
  <c r="AX914" i="1" l="1"/>
  <c r="U914" i="1" s="1"/>
  <c r="AL914" i="1" s="1"/>
  <c r="AN914" i="1" s="1"/>
  <c r="AO914" i="1" s="1"/>
  <c r="AP914" i="1" s="1"/>
  <c r="AH914" i="1"/>
  <c r="AG914" i="1"/>
  <c r="BA914" i="1" s="1"/>
  <c r="P915" i="1"/>
  <c r="BE915" i="1" s="1"/>
  <c r="AT915" i="1"/>
  <c r="AS915" i="1" s="1"/>
  <c r="I915" i="1"/>
  <c r="Q915" i="1" s="1"/>
  <c r="N915" i="1"/>
  <c r="AM915" i="1"/>
  <c r="Y915" i="1" l="1"/>
  <c r="X915" i="1" s="1"/>
  <c r="AF915" i="1" s="1"/>
  <c r="V915" i="1"/>
  <c r="AY915" i="1"/>
  <c r="AQ915" i="1"/>
  <c r="O915" i="1"/>
  <c r="AX915" i="1" l="1"/>
  <c r="U915" i="1" s="1"/>
  <c r="AL915" i="1" s="1"/>
  <c r="AN915" i="1" s="1"/>
  <c r="AO915" i="1" s="1"/>
  <c r="AP915" i="1" s="1"/>
  <c r="AH915" i="1"/>
  <c r="AG915" i="1"/>
  <c r="BA915" i="1" s="1"/>
  <c r="P916" i="1"/>
  <c r="BE916" i="1" s="1"/>
  <c r="N916" i="1"/>
  <c r="AM916" i="1"/>
  <c r="I916" i="1"/>
  <c r="Q916" i="1" s="1"/>
  <c r="AT916" i="1"/>
  <c r="AS916" i="1" s="1"/>
  <c r="Y916" i="1" l="1"/>
  <c r="X916" i="1" s="1"/>
  <c r="O916" i="1"/>
  <c r="V916" i="1"/>
  <c r="AQ916" i="1"/>
  <c r="AY916" i="1"/>
  <c r="AX916" i="1" l="1"/>
  <c r="U916" i="1" s="1"/>
  <c r="AL916" i="1" s="1"/>
  <c r="AN916" i="1" s="1"/>
  <c r="AO916" i="1" s="1"/>
  <c r="AP916" i="1" s="1"/>
  <c r="AF916" i="1"/>
  <c r="P917" i="1"/>
  <c r="BE917" i="1" s="1"/>
  <c r="AT917" i="1"/>
  <c r="AS917" i="1" s="1"/>
  <c r="AM917" i="1"/>
  <c r="I917" i="1"/>
  <c r="Q917" i="1" s="1"/>
  <c r="N917" i="1"/>
  <c r="Y917" i="1" l="1"/>
  <c r="X917" i="1" s="1"/>
  <c r="AH916" i="1"/>
  <c r="AG916" i="1"/>
  <c r="BA916" i="1" s="1"/>
  <c r="O917" i="1"/>
  <c r="V917" i="1"/>
  <c r="AY917" i="1"/>
  <c r="AQ917" i="1"/>
  <c r="AX917" i="1" l="1"/>
  <c r="U917" i="1" s="1"/>
  <c r="AL917" i="1" s="1"/>
  <c r="AN917" i="1" s="1"/>
  <c r="AO917" i="1" s="1"/>
  <c r="AP917" i="1" s="1"/>
  <c r="AF917" i="1"/>
  <c r="AG917" i="1" s="1"/>
  <c r="BA917" i="1" s="1"/>
  <c r="P918" i="1"/>
  <c r="BE918" i="1" s="1"/>
  <c r="N918" i="1"/>
  <c r="I918" i="1"/>
  <c r="Q918" i="1" s="1"/>
  <c r="AM918" i="1"/>
  <c r="AT918" i="1"/>
  <c r="AS918" i="1" s="1"/>
  <c r="Y918" i="1" l="1"/>
  <c r="X918" i="1" s="1"/>
  <c r="AF918" i="1" s="1"/>
  <c r="AQ918" i="1"/>
  <c r="AH917" i="1"/>
  <c r="O918" i="1"/>
  <c r="V918" i="1"/>
  <c r="AY918" i="1"/>
  <c r="AX918" i="1" l="1"/>
  <c r="U918" i="1" s="1"/>
  <c r="AL918" i="1" s="1"/>
  <c r="AN918" i="1" s="1"/>
  <c r="AO918" i="1" s="1"/>
  <c r="AP918" i="1" s="1"/>
  <c r="AG918" i="1"/>
  <c r="BA918" i="1" s="1"/>
  <c r="AH918" i="1"/>
  <c r="N919" i="1"/>
  <c r="AM919" i="1"/>
  <c r="P919" i="1"/>
  <c r="BE919" i="1" s="1"/>
  <c r="I919" i="1"/>
  <c r="Q919" i="1" s="1"/>
  <c r="AT919" i="1"/>
  <c r="AS919" i="1" s="1"/>
  <c r="Y919" i="1" l="1"/>
  <c r="X919" i="1" s="1"/>
  <c r="O919" i="1"/>
  <c r="V919" i="1"/>
  <c r="AQ919" i="1"/>
  <c r="AY919" i="1"/>
  <c r="AX919" i="1" l="1"/>
  <c r="U919" i="1" s="1"/>
  <c r="AL919" i="1" s="1"/>
  <c r="AN919" i="1" s="1"/>
  <c r="AO919" i="1" s="1"/>
  <c r="AP919" i="1" s="1"/>
  <c r="AF919" i="1"/>
  <c r="AG919" i="1" s="1"/>
  <c r="BA919" i="1" s="1"/>
  <c r="N920" i="1"/>
  <c r="I920" i="1"/>
  <c r="Q920" i="1" s="1"/>
  <c r="AT920" i="1"/>
  <c r="AS920" i="1" s="1"/>
  <c r="AM920" i="1"/>
  <c r="P920" i="1"/>
  <c r="BE920" i="1" s="1"/>
  <c r="Y920" i="1" l="1"/>
  <c r="X920" i="1" s="1"/>
  <c r="AF920" i="1" s="1"/>
  <c r="AH919" i="1"/>
  <c r="O920" i="1"/>
  <c r="V920" i="1"/>
  <c r="AY920" i="1"/>
  <c r="AQ920" i="1"/>
  <c r="AX920" i="1" l="1"/>
  <c r="U920" i="1" s="1"/>
  <c r="AL920" i="1" s="1"/>
  <c r="AN920" i="1" s="1"/>
  <c r="AO920" i="1" s="1"/>
  <c r="AP920" i="1" s="1"/>
  <c r="AM921" i="1"/>
  <c r="N921" i="1"/>
  <c r="AT921" i="1"/>
  <c r="AS921" i="1" s="1"/>
  <c r="P921" i="1"/>
  <c r="BE921" i="1" s="1"/>
  <c r="I921" i="1"/>
  <c r="Q921" i="1" s="1"/>
  <c r="AH920" i="1"/>
  <c r="AG920" i="1"/>
  <c r="BA920" i="1" s="1"/>
  <c r="Y921" i="1" l="1"/>
  <c r="X921" i="1" s="1"/>
  <c r="AF921" i="1" s="1"/>
  <c r="O921" i="1"/>
  <c r="P922" i="1" s="1"/>
  <c r="BE922" i="1" s="1"/>
  <c r="V921" i="1"/>
  <c r="AQ921" i="1"/>
  <c r="AY921" i="1"/>
  <c r="AX921" i="1" l="1"/>
  <c r="U921" i="1" s="1"/>
  <c r="AL921" i="1" s="1"/>
  <c r="AN921" i="1" s="1"/>
  <c r="AO921" i="1" s="1"/>
  <c r="AP921" i="1" s="1"/>
  <c r="I922" i="1"/>
  <c r="Q922" i="1" s="1"/>
  <c r="N922" i="1"/>
  <c r="AM922" i="1"/>
  <c r="V922" i="1"/>
  <c r="Y922" i="1"/>
  <c r="X922" i="1" s="1"/>
  <c r="AF922" i="1" s="1"/>
  <c r="AT922" i="1"/>
  <c r="AS922" i="1" s="1"/>
  <c r="AQ922" i="1" s="1"/>
  <c r="AY922" i="1"/>
  <c r="AG921" i="1"/>
  <c r="BA921" i="1" s="1"/>
  <c r="AH921" i="1"/>
  <c r="AX922" i="1" l="1"/>
  <c r="U922" i="1" s="1"/>
  <c r="AL922" i="1" s="1"/>
  <c r="AN922" i="1" s="1"/>
  <c r="AO922" i="1" s="1"/>
  <c r="AP922" i="1" s="1"/>
  <c r="O922" i="1"/>
  <c r="AH922" i="1" s="1"/>
  <c r="AG922" i="1"/>
  <c r="BA922" i="1" s="1"/>
  <c r="P923" i="1" l="1"/>
  <c r="BE923" i="1" s="1"/>
  <c r="AT923" i="1"/>
  <c r="AS923" i="1" s="1"/>
  <c r="I923" i="1"/>
  <c r="Q923" i="1" s="1"/>
  <c r="AM923" i="1"/>
  <c r="N923" i="1"/>
  <c r="AQ923" i="1" l="1"/>
  <c r="O923" i="1"/>
  <c r="V923" i="1"/>
  <c r="AY923" i="1"/>
  <c r="Y923" i="1"/>
  <c r="X923" i="1" s="1"/>
  <c r="AX923" i="1" l="1"/>
  <c r="U923" i="1" s="1"/>
  <c r="AL923" i="1" s="1"/>
  <c r="AN923" i="1" s="1"/>
  <c r="AO923" i="1" s="1"/>
  <c r="AP923" i="1" s="1"/>
  <c r="AF923" i="1"/>
  <c r="AT924" i="1"/>
  <c r="AS924" i="1" s="1"/>
  <c r="I924" i="1"/>
  <c r="Q924" i="1" s="1"/>
  <c r="N924" i="1"/>
  <c r="P924" i="1"/>
  <c r="BE924" i="1" s="1"/>
  <c r="AM924" i="1"/>
  <c r="AH923" i="1" l="1"/>
  <c r="AG923" i="1"/>
  <c r="BA923" i="1" s="1"/>
  <c r="O924" i="1"/>
  <c r="Y924" i="1"/>
  <c r="X924" i="1" s="1"/>
  <c r="AF924" i="1" s="1"/>
  <c r="V924" i="1"/>
  <c r="AY924" i="1"/>
  <c r="AQ924" i="1"/>
  <c r="AX924" i="1" l="1"/>
  <c r="U924" i="1" s="1"/>
  <c r="AL924" i="1" s="1"/>
  <c r="AN924" i="1" s="1"/>
  <c r="AO924" i="1" s="1"/>
  <c r="AH924" i="1"/>
  <c r="P925" i="1"/>
  <c r="BE925" i="1" s="1"/>
  <c r="AM925" i="1"/>
  <c r="AT925" i="1"/>
  <c r="AS925" i="1" s="1"/>
  <c r="N925" i="1"/>
  <c r="I925" i="1"/>
  <c r="Q925" i="1" s="1"/>
  <c r="AQ925" i="1" l="1"/>
  <c r="AG924" i="1"/>
  <c r="BA924" i="1" s="1"/>
  <c r="O925" i="1"/>
  <c r="V925" i="1"/>
  <c r="Y925" i="1"/>
  <c r="X925" i="1" s="1"/>
  <c r="AY925" i="1"/>
  <c r="AX925" i="1" l="1"/>
  <c r="U925" i="1" s="1"/>
  <c r="AL925" i="1" s="1"/>
  <c r="AN925" i="1" s="1"/>
  <c r="AO925" i="1" s="1"/>
  <c r="AP925" i="1" s="1"/>
  <c r="AF925" i="1"/>
  <c r="AT926" i="1"/>
  <c r="AS926" i="1" s="1"/>
  <c r="I926" i="1"/>
  <c r="Q926" i="1" s="1"/>
  <c r="AM926" i="1"/>
  <c r="N926" i="1"/>
  <c r="P926" i="1"/>
  <c r="BE926" i="1" s="1"/>
  <c r="AH925" i="1" l="1"/>
  <c r="AG925" i="1"/>
  <c r="BA925" i="1" s="1"/>
  <c r="O926" i="1"/>
  <c r="I927" i="1" s="1"/>
  <c r="Q927" i="1" s="1"/>
  <c r="Y926" i="1"/>
  <c r="X926" i="1" s="1"/>
  <c r="AQ926" i="1"/>
  <c r="AY926" i="1"/>
  <c r="V926" i="1"/>
  <c r="AX926" i="1" l="1"/>
  <c r="U926" i="1" s="1"/>
  <c r="AL926" i="1" s="1"/>
  <c r="AN926" i="1" s="1"/>
  <c r="AO926" i="1" s="1"/>
  <c r="AP926" i="1" s="1"/>
  <c r="AF926" i="1"/>
  <c r="AG926" i="1" s="1"/>
  <c r="BA926" i="1" s="1"/>
  <c r="AM927" i="1"/>
  <c r="N927" i="1"/>
  <c r="O927" i="1" s="1"/>
  <c r="I928" i="1" s="1"/>
  <c r="Q928" i="1" s="1"/>
  <c r="P927" i="1"/>
  <c r="BE927" i="1" s="1"/>
  <c r="AT927" i="1"/>
  <c r="AS927" i="1" s="1"/>
  <c r="V927" i="1" l="1"/>
  <c r="AH926" i="1"/>
  <c r="AM928" i="1"/>
  <c r="N928" i="1"/>
  <c r="O928" i="1" s="1"/>
  <c r="P929" i="1" s="1"/>
  <c r="BE929" i="1" s="1"/>
  <c r="Y927" i="1"/>
  <c r="X927" i="1" s="1"/>
  <c r="P928" i="1"/>
  <c r="BE928" i="1" s="1"/>
  <c r="AY927" i="1"/>
  <c r="AQ927" i="1"/>
  <c r="AT928" i="1"/>
  <c r="AS928" i="1" s="1"/>
  <c r="AX927" i="1" l="1"/>
  <c r="U927" i="1" s="1"/>
  <c r="AL927" i="1" s="1"/>
  <c r="AN927" i="1" s="1"/>
  <c r="AO927" i="1" s="1"/>
  <c r="AP927" i="1" s="1"/>
  <c r="AY928" i="1"/>
  <c r="AY929" i="1"/>
  <c r="AF927" i="1"/>
  <c r="AG927" i="1" s="1"/>
  <c r="BA927" i="1" s="1"/>
  <c r="AT929" i="1"/>
  <c r="AS929" i="1" s="1"/>
  <c r="AQ929" i="1" s="1"/>
  <c r="I929" i="1"/>
  <c r="Q929" i="1" s="1"/>
  <c r="Y929" i="1"/>
  <c r="N929" i="1"/>
  <c r="V929" i="1"/>
  <c r="AM929" i="1"/>
  <c r="V928" i="1"/>
  <c r="Y928" i="1"/>
  <c r="X928" i="1" s="1"/>
  <c r="AF928" i="1" s="1"/>
  <c r="AQ928" i="1"/>
  <c r="AH927" i="1" l="1"/>
  <c r="O929" i="1"/>
  <c r="P930" i="1" s="1"/>
  <c r="BE930" i="1" s="1"/>
  <c r="X929" i="1"/>
  <c r="AH928" i="1"/>
  <c r="AG928" i="1"/>
  <c r="BA928" i="1" s="1"/>
  <c r="AX928" i="1" l="1"/>
  <c r="U928" i="1" s="1"/>
  <c r="AL928" i="1" s="1"/>
  <c r="AN928" i="1" s="1"/>
  <c r="AO928" i="1" s="1"/>
  <c r="AP928" i="1" s="1"/>
  <c r="AX929" i="1" s="1"/>
  <c r="U929" i="1" s="1"/>
  <c r="AL929" i="1" s="1"/>
  <c r="AN929" i="1" s="1"/>
  <c r="AO929" i="1" s="1"/>
  <c r="AP929" i="1" s="1"/>
  <c r="V930" i="1"/>
  <c r="AF929" i="1"/>
  <c r="AG929" i="1" s="1"/>
  <c r="BA929" i="1" s="1"/>
  <c r="AY930" i="1"/>
  <c r="N930" i="1"/>
  <c r="Y930" i="1"/>
  <c r="X930" i="1" s="1"/>
  <c r="AF930" i="1" s="1"/>
  <c r="I930" i="1"/>
  <c r="Q930" i="1" s="1"/>
  <c r="AT930" i="1"/>
  <c r="AS930" i="1" s="1"/>
  <c r="AQ930" i="1" s="1"/>
  <c r="AM930" i="1"/>
  <c r="AH929" i="1" l="1"/>
  <c r="O930" i="1"/>
  <c r="P931" i="1" s="1"/>
  <c r="BE931" i="1" s="1"/>
  <c r="AG930" i="1"/>
  <c r="BA930" i="1" s="1"/>
  <c r="AX930" i="1" l="1"/>
  <c r="U930" i="1" s="1"/>
  <c r="AL930" i="1" s="1"/>
  <c r="AN930" i="1" s="1"/>
  <c r="AO930" i="1" s="1"/>
  <c r="AP930" i="1" s="1"/>
  <c r="V931" i="1"/>
  <c r="AT931" i="1"/>
  <c r="AS931" i="1" s="1"/>
  <c r="AQ931" i="1" s="1"/>
  <c r="AY931" i="1"/>
  <c r="N931" i="1"/>
  <c r="Y931" i="1"/>
  <c r="X931" i="1" s="1"/>
  <c r="AM931" i="1"/>
  <c r="AH930" i="1"/>
  <c r="I931" i="1"/>
  <c r="Q931" i="1" s="1"/>
  <c r="AX931" i="1" l="1"/>
  <c r="U931" i="1" s="1"/>
  <c r="AL931" i="1" s="1"/>
  <c r="AN931" i="1" s="1"/>
  <c r="AO931" i="1" s="1"/>
  <c r="AP931" i="1" s="1"/>
  <c r="AF931" i="1"/>
  <c r="AG931" i="1" s="1"/>
  <c r="BA931" i="1" s="1"/>
  <c r="O931" i="1"/>
  <c r="P932" i="1" s="1"/>
  <c r="BE932" i="1" s="1"/>
  <c r="Y932" i="1" l="1"/>
  <c r="X932" i="1" s="1"/>
  <c r="AF932" i="1" s="1"/>
  <c r="AM932" i="1"/>
  <c r="AT932" i="1"/>
  <c r="AS932" i="1" s="1"/>
  <c r="AQ932" i="1" s="1"/>
  <c r="AH931" i="1"/>
  <c r="N932" i="1"/>
  <c r="V932" i="1"/>
  <c r="AY932" i="1"/>
  <c r="I932" i="1"/>
  <c r="Q932" i="1" s="1"/>
  <c r="AX932" i="1" l="1"/>
  <c r="U932" i="1" s="1"/>
  <c r="AL932" i="1" s="1"/>
  <c r="AN932" i="1" s="1"/>
  <c r="AO932" i="1" s="1"/>
  <c r="AP932" i="1" s="1"/>
  <c r="AG932" i="1"/>
  <c r="BA932" i="1" s="1"/>
  <c r="O932" i="1"/>
  <c r="AM933" i="1" s="1"/>
  <c r="AT933" i="1" l="1"/>
  <c r="AS933" i="1" s="1"/>
  <c r="P933" i="1"/>
  <c r="BE933" i="1" s="1"/>
  <c r="I933" i="1"/>
  <c r="Q933" i="1" s="1"/>
  <c r="AH932" i="1"/>
  <c r="N933" i="1"/>
  <c r="Y933" i="1" l="1"/>
  <c r="X933" i="1" s="1"/>
  <c r="AF933" i="1" s="1"/>
  <c r="AG933" i="1" s="1"/>
  <c r="O933" i="1"/>
  <c r="AM934" i="1" s="1"/>
  <c r="AY933" i="1"/>
  <c r="V933" i="1"/>
  <c r="AQ933" i="1"/>
  <c r="AX933" i="1" l="1"/>
  <c r="U933" i="1" s="1"/>
  <c r="AL933" i="1" s="1"/>
  <c r="AN933" i="1" s="1"/>
  <c r="AO933" i="1" s="1"/>
  <c r="AP933" i="1" s="1"/>
  <c r="N934" i="1"/>
  <c r="P934" i="1"/>
  <c r="BE934" i="1" s="1"/>
  <c r="AH933" i="1"/>
  <c r="AT934" i="1"/>
  <c r="AS934" i="1" s="1"/>
  <c r="I934" i="1"/>
  <c r="Q934" i="1" s="1"/>
  <c r="BA933" i="1"/>
  <c r="Y934" i="1" l="1"/>
  <c r="X934" i="1" s="1"/>
  <c r="AF934" i="1" s="1"/>
  <c r="AG934" i="1" s="1"/>
  <c r="V934" i="1"/>
  <c r="AQ934" i="1"/>
  <c r="AY934" i="1"/>
  <c r="O934" i="1"/>
  <c r="P935" i="1" s="1"/>
  <c r="BE935" i="1" s="1"/>
  <c r="AX934" i="1" l="1"/>
  <c r="U934" i="1" s="1"/>
  <c r="AL934" i="1" s="1"/>
  <c r="AN934" i="1" s="1"/>
  <c r="AO934" i="1" s="1"/>
  <c r="AP934" i="1" s="1"/>
  <c r="V935" i="1"/>
  <c r="BA934" i="1"/>
  <c r="N935" i="1"/>
  <c r="AH934" i="1"/>
  <c r="AT935" i="1"/>
  <c r="AS935" i="1" s="1"/>
  <c r="AQ935" i="1" s="1"/>
  <c r="AY935" i="1"/>
  <c r="I935" i="1"/>
  <c r="Q935" i="1" s="1"/>
  <c r="AM935" i="1"/>
  <c r="Y935" i="1"/>
  <c r="X935" i="1" s="1"/>
  <c r="AF935" i="1" s="1"/>
  <c r="AX935" i="1" l="1"/>
  <c r="U935" i="1" s="1"/>
  <c r="AL935" i="1" s="1"/>
  <c r="AN935" i="1" s="1"/>
  <c r="AO935" i="1" s="1"/>
  <c r="AP935" i="1" s="1"/>
  <c r="O935" i="1"/>
  <c r="P936" i="1" s="1"/>
  <c r="BE936" i="1" s="1"/>
  <c r="AG935" i="1"/>
  <c r="BA935" i="1" s="1"/>
  <c r="V936" i="1" l="1"/>
  <c r="AM936" i="1"/>
  <c r="AT936" i="1"/>
  <c r="AS936" i="1" s="1"/>
  <c r="AQ936" i="1" s="1"/>
  <c r="AH935" i="1"/>
  <c r="N936" i="1"/>
  <c r="I936" i="1"/>
  <c r="Q936" i="1" s="1"/>
  <c r="Y936" i="1"/>
  <c r="X936" i="1" s="1"/>
  <c r="AF936" i="1" s="1"/>
  <c r="AY936" i="1"/>
  <c r="AX936" i="1" l="1"/>
  <c r="U936" i="1" s="1"/>
  <c r="AL936" i="1" s="1"/>
  <c r="AN936" i="1" s="1"/>
  <c r="AO936" i="1" s="1"/>
  <c r="O936" i="1"/>
  <c r="P937" i="1" s="1"/>
  <c r="BE937" i="1" s="1"/>
  <c r="AG936" i="1"/>
  <c r="BA936" i="1" s="1"/>
  <c r="V937" i="1" l="1"/>
  <c r="AH936" i="1"/>
  <c r="AT937" i="1"/>
  <c r="AS937" i="1" s="1"/>
  <c r="AQ937" i="1" s="1"/>
  <c r="I937" i="1"/>
  <c r="Q937" i="1" s="1"/>
  <c r="Y937" i="1"/>
  <c r="X937" i="1" s="1"/>
  <c r="AF937" i="1" s="1"/>
  <c r="AY937" i="1"/>
  <c r="AM937" i="1"/>
  <c r="N937" i="1"/>
  <c r="AX937" i="1" l="1"/>
  <c r="U937" i="1" s="1"/>
  <c r="AL937" i="1" s="1"/>
  <c r="AN937" i="1" s="1"/>
  <c r="AO937" i="1" s="1"/>
  <c r="AP937" i="1" s="1"/>
  <c r="O937" i="1"/>
  <c r="AM938" i="1" s="1"/>
  <c r="AG937" i="1"/>
  <c r="BA937" i="1" s="1"/>
  <c r="AT938" i="1" l="1"/>
  <c r="AS938" i="1" s="1"/>
  <c r="AH937" i="1"/>
  <c r="I938" i="1"/>
  <c r="Q938" i="1" s="1"/>
  <c r="N938" i="1"/>
  <c r="P938" i="1"/>
  <c r="BE938" i="1" s="1"/>
  <c r="Y938" i="1" l="1"/>
  <c r="X938" i="1" s="1"/>
  <c r="AF938" i="1" s="1"/>
  <c r="V938" i="1"/>
  <c r="O938" i="1"/>
  <c r="P939" i="1" s="1"/>
  <c r="BE939" i="1" s="1"/>
  <c r="AQ938" i="1"/>
  <c r="AY938" i="1"/>
  <c r="AX938" i="1" l="1"/>
  <c r="U938" i="1" s="1"/>
  <c r="AL938" i="1" s="1"/>
  <c r="AN938" i="1" s="1"/>
  <c r="AO938" i="1" s="1"/>
  <c r="AP938" i="1" s="1"/>
  <c r="V939" i="1"/>
  <c r="AY939" i="1"/>
  <c r="AM939" i="1"/>
  <c r="AT939" i="1"/>
  <c r="AS939" i="1" s="1"/>
  <c r="AQ939" i="1" s="1"/>
  <c r="Y939" i="1"/>
  <c r="X939" i="1" s="1"/>
  <c r="AF939" i="1" s="1"/>
  <c r="N939" i="1"/>
  <c r="I939" i="1"/>
  <c r="Q939" i="1" s="1"/>
  <c r="AG938" i="1"/>
  <c r="BA938" i="1" s="1"/>
  <c r="AH938" i="1"/>
  <c r="AX939" i="1" l="1"/>
  <c r="U939" i="1" s="1"/>
  <c r="AL939" i="1" s="1"/>
  <c r="AN939" i="1" s="1"/>
  <c r="AO939" i="1" s="1"/>
  <c r="AP939" i="1" s="1"/>
  <c r="O939" i="1"/>
  <c r="AT940" i="1" s="1"/>
  <c r="AS940" i="1" s="1"/>
  <c r="AG939" i="1"/>
  <c r="BA939" i="1" s="1"/>
  <c r="AM940" i="1" l="1"/>
  <c r="P940" i="1"/>
  <c r="BE940" i="1" s="1"/>
  <c r="N940" i="1"/>
  <c r="I940" i="1"/>
  <c r="Q940" i="1" s="1"/>
  <c r="AH939" i="1"/>
  <c r="V940" i="1" l="1"/>
  <c r="Y940" i="1"/>
  <c r="X940" i="1" s="1"/>
  <c r="AF940" i="1" s="1"/>
  <c r="AY940" i="1"/>
  <c r="AQ940" i="1"/>
  <c r="O940" i="1"/>
  <c r="P941" i="1" s="1"/>
  <c r="BE941" i="1" s="1"/>
  <c r="AX940" i="1" l="1"/>
  <c r="U940" i="1" s="1"/>
  <c r="AL940" i="1" s="1"/>
  <c r="AN940" i="1" s="1"/>
  <c r="AO940" i="1" s="1"/>
  <c r="AP940" i="1" s="1"/>
  <c r="V941" i="1"/>
  <c r="AT941" i="1"/>
  <c r="AS941" i="1" s="1"/>
  <c r="AQ941" i="1" s="1"/>
  <c r="Y941" i="1"/>
  <c r="X941" i="1" s="1"/>
  <c r="AF941" i="1" s="1"/>
  <c r="I941" i="1"/>
  <c r="Q941" i="1" s="1"/>
  <c r="AY941" i="1"/>
  <c r="N941" i="1"/>
  <c r="AM941" i="1"/>
  <c r="AG940" i="1"/>
  <c r="BA940" i="1" s="1"/>
  <c r="AH940" i="1"/>
  <c r="AX941" i="1" l="1"/>
  <c r="U941" i="1" s="1"/>
  <c r="AL941" i="1" s="1"/>
  <c r="AN941" i="1" s="1"/>
  <c r="AO941" i="1" s="1"/>
  <c r="AP941" i="1" s="1"/>
  <c r="O941" i="1"/>
  <c r="I942" i="1" s="1"/>
  <c r="Q942" i="1" s="1"/>
  <c r="AT942" i="1" l="1"/>
  <c r="AS942" i="1" s="1"/>
  <c r="AM942" i="1"/>
  <c r="N942" i="1"/>
  <c r="O942" i="1" s="1"/>
  <c r="P943" i="1" s="1"/>
  <c r="BE943" i="1" s="1"/>
  <c r="P942" i="1"/>
  <c r="BE942" i="1" s="1"/>
  <c r="AG941" i="1"/>
  <c r="BA941" i="1" s="1"/>
  <c r="AH941" i="1"/>
  <c r="V942" i="1" l="1"/>
  <c r="Y943" i="1"/>
  <c r="AM943" i="1"/>
  <c r="Y942" i="1"/>
  <c r="X942" i="1" s="1"/>
  <c r="AY943" i="1"/>
  <c r="I943" i="1"/>
  <c r="Q943" i="1" s="1"/>
  <c r="AQ942" i="1"/>
  <c r="V943" i="1"/>
  <c r="N943" i="1"/>
  <c r="AT943" i="1"/>
  <c r="AS943" i="1" s="1"/>
  <c r="AQ943" i="1" s="1"/>
  <c r="AY942" i="1"/>
  <c r="AX942" i="1" l="1"/>
  <c r="U942" i="1" s="1"/>
  <c r="AL942" i="1" s="1"/>
  <c r="AN942" i="1" s="1"/>
  <c r="AO942" i="1" s="1"/>
  <c r="AP942" i="1" s="1"/>
  <c r="AF942" i="1"/>
  <c r="AG942" i="1" s="1"/>
  <c r="BA942" i="1" s="1"/>
  <c r="O943" i="1"/>
  <c r="N944" i="1" s="1"/>
  <c r="X943" i="1"/>
  <c r="AF943" i="1" l="1"/>
  <c r="AG943" i="1" s="1"/>
  <c r="BA943" i="1" s="1"/>
  <c r="AH942" i="1"/>
  <c r="AM944" i="1"/>
  <c r="I944" i="1"/>
  <c r="Q944" i="1" s="1"/>
  <c r="AT944" i="1"/>
  <c r="AS944" i="1" s="1"/>
  <c r="P944" i="1"/>
  <c r="BE944" i="1" s="1"/>
  <c r="AX943" i="1" l="1"/>
  <c r="U943" i="1" s="1"/>
  <c r="AL943" i="1" s="1"/>
  <c r="AN943" i="1" s="1"/>
  <c r="AO943" i="1" s="1"/>
  <c r="AP943" i="1" s="1"/>
  <c r="AY944" i="1"/>
  <c r="AH943" i="1"/>
  <c r="O944" i="1"/>
  <c r="AM945" i="1" s="1"/>
  <c r="Y944" i="1"/>
  <c r="X944" i="1" s="1"/>
  <c r="AF944" i="1" s="1"/>
  <c r="V944" i="1"/>
  <c r="AQ944" i="1"/>
  <c r="AX944" i="1" l="1"/>
  <c r="U944" i="1" s="1"/>
  <c r="AL944" i="1" s="1"/>
  <c r="AN944" i="1" s="1"/>
  <c r="AO944" i="1" s="1"/>
  <c r="AP944" i="1" s="1"/>
  <c r="AT945" i="1"/>
  <c r="AS945" i="1" s="1"/>
  <c r="N945" i="1"/>
  <c r="I945" i="1"/>
  <c r="Q945" i="1" s="1"/>
  <c r="P945" i="1"/>
  <c r="BE945" i="1" s="1"/>
  <c r="AG944" i="1"/>
  <c r="BA944" i="1" s="1"/>
  <c r="AH944" i="1"/>
  <c r="V945" i="1" l="1"/>
  <c r="O945" i="1"/>
  <c r="N946" i="1" s="1"/>
  <c r="AY945" i="1"/>
  <c r="Y945" i="1"/>
  <c r="X945" i="1" s="1"/>
  <c r="AF945" i="1" s="1"/>
  <c r="AQ945" i="1"/>
  <c r="AX945" i="1" l="1"/>
  <c r="U945" i="1" s="1"/>
  <c r="AL945" i="1" s="1"/>
  <c r="AN945" i="1" s="1"/>
  <c r="AO945" i="1" s="1"/>
  <c r="AP945" i="1" s="1"/>
  <c r="AT946" i="1"/>
  <c r="AS946" i="1" s="1"/>
  <c r="AM946" i="1"/>
  <c r="P946" i="1"/>
  <c r="BE946" i="1" s="1"/>
  <c r="I946" i="1"/>
  <c r="Q946" i="1" s="1"/>
  <c r="AH945" i="1"/>
  <c r="AG945" i="1"/>
  <c r="BA945" i="1" s="1"/>
  <c r="V946" i="1" l="1"/>
  <c r="AQ946" i="1"/>
  <c r="O946" i="1"/>
  <c r="N947" i="1" s="1"/>
  <c r="Y946" i="1"/>
  <c r="X946" i="1" s="1"/>
  <c r="AF946" i="1" s="1"/>
  <c r="AY946" i="1"/>
  <c r="AX946" i="1" l="1"/>
  <c r="U946" i="1" s="1"/>
  <c r="AL946" i="1" s="1"/>
  <c r="AN946" i="1" s="1"/>
  <c r="AO946" i="1" s="1"/>
  <c r="AP946" i="1" s="1"/>
  <c r="AM947" i="1"/>
  <c r="AT947" i="1"/>
  <c r="AS947" i="1" s="1"/>
  <c r="P947" i="1"/>
  <c r="BE947" i="1" s="1"/>
  <c r="I947" i="1"/>
  <c r="Q947" i="1" s="1"/>
  <c r="AG946" i="1"/>
  <c r="BA946" i="1" s="1"/>
  <c r="AH946" i="1"/>
  <c r="Y947" i="1" l="1"/>
  <c r="X947" i="1" s="1"/>
  <c r="AF947" i="1" s="1"/>
  <c r="AQ947" i="1"/>
  <c r="O947" i="1"/>
  <c r="P948" i="1" s="1"/>
  <c r="BE948" i="1" s="1"/>
  <c r="AY947" i="1"/>
  <c r="V947" i="1"/>
  <c r="AX947" i="1" l="1"/>
  <c r="U947" i="1" s="1"/>
  <c r="AL947" i="1" s="1"/>
  <c r="AN947" i="1" s="1"/>
  <c r="AO947" i="1" s="1"/>
  <c r="AP947" i="1" s="1"/>
  <c r="AG947" i="1"/>
  <c r="BA947" i="1" s="1"/>
  <c r="V948" i="1"/>
  <c r="N948" i="1"/>
  <c r="AH947" i="1"/>
  <c r="I948" i="1"/>
  <c r="Q948" i="1" s="1"/>
  <c r="AT948" i="1"/>
  <c r="AS948" i="1" s="1"/>
  <c r="AQ948" i="1" s="1"/>
  <c r="AM948" i="1"/>
  <c r="Y948" i="1"/>
  <c r="X948" i="1" s="1"/>
  <c r="AF948" i="1" s="1"/>
  <c r="AY948" i="1"/>
  <c r="AX948" i="1" l="1"/>
  <c r="U948" i="1" s="1"/>
  <c r="AL948" i="1" s="1"/>
  <c r="AN948" i="1" s="1"/>
  <c r="AO948" i="1" s="1"/>
  <c r="O948" i="1"/>
  <c r="P949" i="1" s="1"/>
  <c r="BE949" i="1" s="1"/>
  <c r="AG948" i="1"/>
  <c r="BA948" i="1" s="1"/>
  <c r="Y949" i="1" l="1"/>
  <c r="X949" i="1" s="1"/>
  <c r="AF949" i="1" s="1"/>
  <c r="AT949" i="1"/>
  <c r="AS949" i="1" s="1"/>
  <c r="AQ949" i="1" s="1"/>
  <c r="AH948" i="1"/>
  <c r="AM949" i="1"/>
  <c r="V949" i="1"/>
  <c r="N949" i="1"/>
  <c r="AY949" i="1"/>
  <c r="I949" i="1"/>
  <c r="Q949" i="1" s="1"/>
  <c r="AX949" i="1" l="1"/>
  <c r="U949" i="1" s="1"/>
  <c r="AL949" i="1" s="1"/>
  <c r="AN949" i="1" s="1"/>
  <c r="AO949" i="1" s="1"/>
  <c r="AP949" i="1" s="1"/>
  <c r="AG949" i="1"/>
  <c r="BA949" i="1" s="1"/>
  <c r="O949" i="1"/>
  <c r="P950" i="1" s="1"/>
  <c r="BE950" i="1" s="1"/>
  <c r="Y950" i="1" l="1"/>
  <c r="X950" i="1" s="1"/>
  <c r="AF950" i="1" s="1"/>
  <c r="V950" i="1"/>
  <c r="AY950" i="1"/>
  <c r="AT950" i="1"/>
  <c r="AS950" i="1" s="1"/>
  <c r="AQ950" i="1" s="1"/>
  <c r="AM950" i="1"/>
  <c r="N950" i="1"/>
  <c r="I950" i="1"/>
  <c r="Q950" i="1" s="1"/>
  <c r="AH949" i="1"/>
  <c r="AX950" i="1" l="1"/>
  <c r="U950" i="1" s="1"/>
  <c r="AL950" i="1" s="1"/>
  <c r="AN950" i="1" s="1"/>
  <c r="AO950" i="1" s="1"/>
  <c r="AP950" i="1" s="1"/>
  <c r="O950" i="1"/>
  <c r="P951" i="1" s="1"/>
  <c r="BE951" i="1" s="1"/>
  <c r="AG950" i="1"/>
  <c r="BA950" i="1" s="1"/>
  <c r="V951" i="1" l="1"/>
  <c r="AT951" i="1"/>
  <c r="AS951" i="1" s="1"/>
  <c r="AQ951" i="1" s="1"/>
  <c r="AH950" i="1"/>
  <c r="N951" i="1"/>
  <c r="AM951" i="1"/>
  <c r="AY951" i="1"/>
  <c r="Y951" i="1"/>
  <c r="X951" i="1" s="1"/>
  <c r="AF951" i="1" s="1"/>
  <c r="I951" i="1"/>
  <c r="Q951" i="1" s="1"/>
  <c r="AX951" i="1" l="1"/>
  <c r="U951" i="1" s="1"/>
  <c r="AL951" i="1" s="1"/>
  <c r="AN951" i="1" s="1"/>
  <c r="AO951" i="1" s="1"/>
  <c r="AP951" i="1" s="1"/>
  <c r="O951" i="1"/>
  <c r="P952" i="1" s="1"/>
  <c r="BE952" i="1" s="1"/>
  <c r="AG951" i="1"/>
  <c r="BA951" i="1" s="1"/>
  <c r="V952" i="1" l="1"/>
  <c r="Y952" i="1"/>
  <c r="X952" i="1" s="1"/>
  <c r="AF952" i="1" s="1"/>
  <c r="AY952" i="1"/>
  <c r="I952" i="1"/>
  <c r="Q952" i="1" s="1"/>
  <c r="AT952" i="1"/>
  <c r="AS952" i="1" s="1"/>
  <c r="AQ952" i="1" s="1"/>
  <c r="N952" i="1"/>
  <c r="AH951" i="1"/>
  <c r="AM952" i="1"/>
  <c r="AX952" i="1" l="1"/>
  <c r="U952" i="1" s="1"/>
  <c r="AL952" i="1" s="1"/>
  <c r="AN952" i="1" s="1"/>
  <c r="AO952" i="1" s="1"/>
  <c r="AP952" i="1" s="1"/>
  <c r="O952" i="1"/>
  <c r="N953" i="1" s="1"/>
  <c r="AG952" i="1"/>
  <c r="BA952" i="1" s="1"/>
  <c r="I953" i="1" l="1"/>
  <c r="Q953" i="1" s="1"/>
  <c r="AM953" i="1"/>
  <c r="P953" i="1"/>
  <c r="BE953" i="1" s="1"/>
  <c r="AH952" i="1"/>
  <c r="AT953" i="1"/>
  <c r="AS953" i="1" s="1"/>
  <c r="AY953" i="1" l="1"/>
  <c r="O953" i="1"/>
  <c r="P954" i="1" s="1"/>
  <c r="BE954" i="1" s="1"/>
  <c r="AQ953" i="1"/>
  <c r="Y953" i="1"/>
  <c r="X953" i="1" s="1"/>
  <c r="V953" i="1"/>
  <c r="AX953" i="1" l="1"/>
  <c r="U953" i="1" s="1"/>
  <c r="AL953" i="1" s="1"/>
  <c r="AN953" i="1" s="1"/>
  <c r="AO953" i="1" s="1"/>
  <c r="AP953" i="1" s="1"/>
  <c r="Y954" i="1"/>
  <c r="X954" i="1" s="1"/>
  <c r="AF954" i="1" s="1"/>
  <c r="AF953" i="1"/>
  <c r="AG953" i="1" s="1"/>
  <c r="BA953" i="1" s="1"/>
  <c r="N954" i="1"/>
  <c r="V954" i="1"/>
  <c r="I954" i="1"/>
  <c r="Q954" i="1" s="1"/>
  <c r="AM954" i="1"/>
  <c r="AT954" i="1"/>
  <c r="AS954" i="1" s="1"/>
  <c r="AQ954" i="1" s="1"/>
  <c r="AY954" i="1"/>
  <c r="AH953" i="1" l="1"/>
  <c r="O954" i="1"/>
  <c r="P955" i="1" s="1"/>
  <c r="BE955" i="1" s="1"/>
  <c r="AG954" i="1"/>
  <c r="BA954" i="1" s="1"/>
  <c r="AX954" i="1" l="1"/>
  <c r="U954" i="1" s="1"/>
  <c r="AL954" i="1" s="1"/>
  <c r="AN954" i="1" s="1"/>
  <c r="AO954" i="1" s="1"/>
  <c r="AP954" i="1" s="1"/>
  <c r="V955" i="1"/>
  <c r="AM955" i="1"/>
  <c r="AT955" i="1"/>
  <c r="AS955" i="1" s="1"/>
  <c r="AQ955" i="1" s="1"/>
  <c r="AH954" i="1"/>
  <c r="N955" i="1"/>
  <c r="I955" i="1"/>
  <c r="Q955" i="1" s="1"/>
  <c r="AY955" i="1"/>
  <c r="Y955" i="1"/>
  <c r="X955" i="1" s="1"/>
  <c r="AF955" i="1" s="1"/>
  <c r="AX955" i="1" l="1"/>
  <c r="U955" i="1" s="1"/>
  <c r="AL955" i="1" s="1"/>
  <c r="AN955" i="1" s="1"/>
  <c r="AO955" i="1" s="1"/>
  <c r="AP955" i="1" s="1"/>
  <c r="AG955" i="1"/>
  <c r="BA955" i="1" s="1"/>
  <c r="O955" i="1"/>
  <c r="AH955" i="1" s="1"/>
  <c r="AT956" i="1" l="1"/>
  <c r="AS956" i="1" s="1"/>
  <c r="N956" i="1"/>
  <c r="I956" i="1"/>
  <c r="Q956" i="1" s="1"/>
  <c r="AM956" i="1"/>
  <c r="P956" i="1"/>
  <c r="BE956" i="1" s="1"/>
  <c r="AQ956" i="1" l="1"/>
  <c r="O956" i="1"/>
  <c r="I957" i="1" s="1"/>
  <c r="Q957" i="1" s="1"/>
  <c r="AY956" i="1"/>
  <c r="Y956" i="1"/>
  <c r="X956" i="1" s="1"/>
  <c r="V956" i="1"/>
  <c r="AX956" i="1" l="1"/>
  <c r="U956" i="1" s="1"/>
  <c r="AL956" i="1" s="1"/>
  <c r="AN956" i="1" s="1"/>
  <c r="AO956" i="1" s="1"/>
  <c r="AP956" i="1" s="1"/>
  <c r="AF956" i="1"/>
  <c r="AH956" i="1" s="1"/>
  <c r="P957" i="1"/>
  <c r="BE957" i="1" s="1"/>
  <c r="AT957" i="1"/>
  <c r="AS957" i="1" s="1"/>
  <c r="AM957" i="1"/>
  <c r="N957" i="1"/>
  <c r="O957" i="1" s="1"/>
  <c r="AM958" i="1" s="1"/>
  <c r="AY957" i="1" l="1"/>
  <c r="AG956" i="1"/>
  <c r="BA956" i="1" s="1"/>
  <c r="V957" i="1"/>
  <c r="Y957" i="1"/>
  <c r="X957" i="1" s="1"/>
  <c r="AQ957" i="1"/>
  <c r="P958" i="1"/>
  <c r="BE958" i="1" s="1"/>
  <c r="AT958" i="1"/>
  <c r="AS958" i="1" s="1"/>
  <c r="N958" i="1"/>
  <c r="I958" i="1"/>
  <c r="Q958" i="1" s="1"/>
  <c r="AX957" i="1" l="1"/>
  <c r="U957" i="1" s="1"/>
  <c r="AL957" i="1" s="1"/>
  <c r="AN957" i="1" s="1"/>
  <c r="AO957" i="1" s="1"/>
  <c r="AP957" i="1" s="1"/>
  <c r="V958" i="1"/>
  <c r="AF957" i="1"/>
  <c r="AG957" i="1" s="1"/>
  <c r="BA957" i="1" s="1"/>
  <c r="AY958" i="1"/>
  <c r="Y958" i="1"/>
  <c r="X958" i="1" s="1"/>
  <c r="AQ958" i="1"/>
  <c r="O958" i="1"/>
  <c r="P959" i="1" s="1"/>
  <c r="BE959" i="1" s="1"/>
  <c r="AY959" i="1" l="1"/>
  <c r="AF958" i="1"/>
  <c r="AG958" i="1" s="1"/>
  <c r="BA958" i="1" s="1"/>
  <c r="AH957" i="1"/>
  <c r="AM959" i="1"/>
  <c r="AT959" i="1"/>
  <c r="AS959" i="1" s="1"/>
  <c r="AQ959" i="1" s="1"/>
  <c r="Y959" i="1"/>
  <c r="X959" i="1" s="1"/>
  <c r="AF959" i="1" s="1"/>
  <c r="V959" i="1"/>
  <c r="I959" i="1"/>
  <c r="Q959" i="1" s="1"/>
  <c r="N959" i="1"/>
  <c r="AX958" i="1" l="1"/>
  <c r="U958" i="1" s="1"/>
  <c r="AL958" i="1" s="1"/>
  <c r="AN958" i="1" s="1"/>
  <c r="AO958" i="1" s="1"/>
  <c r="AP958" i="1" s="1"/>
  <c r="AH958" i="1"/>
  <c r="AG959" i="1"/>
  <c r="BA959" i="1" s="1"/>
  <c r="O959" i="1"/>
  <c r="N960" i="1" s="1"/>
  <c r="AX959" i="1" l="1"/>
  <c r="U959" i="1" s="1"/>
  <c r="AL959" i="1" s="1"/>
  <c r="AN959" i="1" s="1"/>
  <c r="AO959" i="1" s="1"/>
  <c r="AP959" i="1" s="1"/>
  <c r="I960" i="1"/>
  <c r="Q960" i="1" s="1"/>
  <c r="AH959" i="1"/>
  <c r="P960" i="1"/>
  <c r="BE960" i="1" s="1"/>
  <c r="AM960" i="1"/>
  <c r="AT960" i="1"/>
  <c r="AS960" i="1" s="1"/>
  <c r="V960" i="1" l="1"/>
  <c r="O960" i="1"/>
  <c r="P961" i="1" s="1"/>
  <c r="BE961" i="1" s="1"/>
  <c r="AY960" i="1"/>
  <c r="Y960" i="1"/>
  <c r="X960" i="1" s="1"/>
  <c r="AQ960" i="1"/>
  <c r="AX960" i="1" l="1"/>
  <c r="U960" i="1" s="1"/>
  <c r="AL960" i="1" s="1"/>
  <c r="AN960" i="1" s="1"/>
  <c r="AO960" i="1" s="1"/>
  <c r="Y961" i="1"/>
  <c r="X961" i="1" s="1"/>
  <c r="AF961" i="1" s="1"/>
  <c r="AF960" i="1"/>
  <c r="AG960" i="1" s="1"/>
  <c r="BA960" i="1" s="1"/>
  <c r="AM961" i="1"/>
  <c r="N961" i="1"/>
  <c r="AT961" i="1"/>
  <c r="AS961" i="1" s="1"/>
  <c r="AQ961" i="1" s="1"/>
  <c r="I961" i="1"/>
  <c r="Q961" i="1" s="1"/>
  <c r="V961" i="1"/>
  <c r="AY961" i="1"/>
  <c r="AH960" i="1" l="1"/>
  <c r="AG961" i="1"/>
  <c r="BA961" i="1" s="1"/>
  <c r="O961" i="1"/>
  <c r="P962" i="1" s="1"/>
  <c r="BE962" i="1" s="1"/>
  <c r="AX961" i="1" l="1"/>
  <c r="U961" i="1" s="1"/>
  <c r="AL961" i="1" s="1"/>
  <c r="AN961" i="1" s="1"/>
  <c r="AO961" i="1" s="1"/>
  <c r="AP961" i="1" s="1"/>
  <c r="Y962" i="1"/>
  <c r="X962" i="1" s="1"/>
  <c r="AF962" i="1" s="1"/>
  <c r="AH961" i="1"/>
  <c r="N962" i="1"/>
  <c r="AT962" i="1"/>
  <c r="AS962" i="1" s="1"/>
  <c r="AQ962" i="1" s="1"/>
  <c r="AM962" i="1"/>
  <c r="AY962" i="1"/>
  <c r="I962" i="1"/>
  <c r="Q962" i="1" s="1"/>
  <c r="V962" i="1"/>
  <c r="AX962" i="1" l="1"/>
  <c r="U962" i="1" s="1"/>
  <c r="AL962" i="1" s="1"/>
  <c r="AN962" i="1" s="1"/>
  <c r="AO962" i="1" s="1"/>
  <c r="AP962" i="1" s="1"/>
  <c r="AG962" i="1"/>
  <c r="BA962" i="1" s="1"/>
  <c r="O962" i="1"/>
  <c r="P963" i="1" s="1"/>
  <c r="BE963" i="1" s="1"/>
  <c r="V963" i="1" l="1"/>
  <c r="AM963" i="1"/>
  <c r="AT963" i="1"/>
  <c r="AS963" i="1" s="1"/>
  <c r="AQ963" i="1" s="1"/>
  <c r="AH962" i="1"/>
  <c r="I963" i="1"/>
  <c r="Q963" i="1" s="1"/>
  <c r="N963" i="1"/>
  <c r="Y963" i="1"/>
  <c r="X963" i="1" s="1"/>
  <c r="AF963" i="1" s="1"/>
  <c r="AY963" i="1"/>
  <c r="AX963" i="1" l="1"/>
  <c r="U963" i="1" s="1"/>
  <c r="AL963" i="1" s="1"/>
  <c r="AN963" i="1" s="1"/>
  <c r="AO963" i="1" s="1"/>
  <c r="AP963" i="1" s="1"/>
  <c r="O963" i="1"/>
  <c r="P964" i="1" s="1"/>
  <c r="BE964" i="1" s="1"/>
  <c r="AG963" i="1"/>
  <c r="BA963" i="1" s="1"/>
  <c r="Y964" i="1" l="1"/>
  <c r="X964" i="1" s="1"/>
  <c r="AF964" i="1" s="1"/>
  <c r="N964" i="1"/>
  <c r="AT964" i="1"/>
  <c r="AS964" i="1" s="1"/>
  <c r="AQ964" i="1" s="1"/>
  <c r="AM964" i="1"/>
  <c r="V964" i="1"/>
  <c r="AY964" i="1"/>
  <c r="AH963" i="1"/>
  <c r="I964" i="1"/>
  <c r="Q964" i="1" s="1"/>
  <c r="AX964" i="1" l="1"/>
  <c r="U964" i="1" s="1"/>
  <c r="AL964" i="1" s="1"/>
  <c r="AN964" i="1" s="1"/>
  <c r="AO964" i="1" s="1"/>
  <c r="AP964" i="1" s="1"/>
  <c r="AG964" i="1"/>
  <c r="BA964" i="1" s="1"/>
  <c r="O964" i="1"/>
  <c r="P965" i="1" s="1"/>
  <c r="BE965" i="1" s="1"/>
  <c r="Y965" i="1" l="1"/>
  <c r="X965" i="1" s="1"/>
  <c r="AF965" i="1" s="1"/>
  <c r="N965" i="1"/>
  <c r="AT965" i="1"/>
  <c r="AS965" i="1" s="1"/>
  <c r="AQ965" i="1" s="1"/>
  <c r="AM965" i="1"/>
  <c r="I965" i="1"/>
  <c r="Q965" i="1" s="1"/>
  <c r="AY965" i="1"/>
  <c r="AH964" i="1"/>
  <c r="V965" i="1"/>
  <c r="AX965" i="1" l="1"/>
  <c r="U965" i="1" s="1"/>
  <c r="AL965" i="1" s="1"/>
  <c r="AN965" i="1" s="1"/>
  <c r="AO965" i="1" s="1"/>
  <c r="AP965" i="1" s="1"/>
  <c r="AG965" i="1"/>
  <c r="BA965" i="1" s="1"/>
  <c r="O965" i="1"/>
  <c r="P966" i="1" s="1"/>
  <c r="BE966" i="1" s="1"/>
  <c r="V966" i="1" l="1"/>
  <c r="AH965" i="1"/>
  <c r="N966" i="1"/>
  <c r="AT966" i="1"/>
  <c r="AS966" i="1" s="1"/>
  <c r="AQ966" i="1" s="1"/>
  <c r="AM966" i="1"/>
  <c r="I966" i="1"/>
  <c r="Q966" i="1" s="1"/>
  <c r="Y966" i="1"/>
  <c r="X966" i="1" s="1"/>
  <c r="AY966" i="1"/>
  <c r="AX966" i="1" l="1"/>
  <c r="U966" i="1" s="1"/>
  <c r="AL966" i="1" s="1"/>
  <c r="AN966" i="1" s="1"/>
  <c r="AO966" i="1" s="1"/>
  <c r="AP966" i="1" s="1"/>
  <c r="AF966" i="1"/>
  <c r="AG966" i="1" s="1"/>
  <c r="BA966" i="1" s="1"/>
  <c r="O966" i="1"/>
  <c r="N967" i="1" s="1"/>
  <c r="P967" i="1" l="1"/>
  <c r="BE967" i="1" s="1"/>
  <c r="I967" i="1"/>
  <c r="Q967" i="1" s="1"/>
  <c r="AM967" i="1"/>
  <c r="AH966" i="1"/>
  <c r="AT967" i="1"/>
  <c r="AS967" i="1" s="1"/>
  <c r="AQ967" i="1" l="1"/>
  <c r="Y967" i="1"/>
  <c r="X967" i="1" s="1"/>
  <c r="AF967" i="1" s="1"/>
  <c r="AG967" i="1" s="1"/>
  <c r="O967" i="1"/>
  <c r="P968" i="1" s="1"/>
  <c r="BE968" i="1" s="1"/>
  <c r="AY967" i="1"/>
  <c r="V967" i="1"/>
  <c r="AX967" i="1" l="1"/>
  <c r="U967" i="1" s="1"/>
  <c r="AL967" i="1" s="1"/>
  <c r="AN967" i="1" s="1"/>
  <c r="AO967" i="1" s="1"/>
  <c r="AP967" i="1" s="1"/>
  <c r="Y968" i="1"/>
  <c r="X968" i="1" s="1"/>
  <c r="AF968" i="1" s="1"/>
  <c r="AT968" i="1"/>
  <c r="AS968" i="1" s="1"/>
  <c r="AQ968" i="1" s="1"/>
  <c r="I968" i="1"/>
  <c r="Q968" i="1" s="1"/>
  <c r="AM968" i="1"/>
  <c r="V968" i="1"/>
  <c r="AY968" i="1"/>
  <c r="N968" i="1"/>
  <c r="AH967" i="1"/>
  <c r="BA967" i="1"/>
  <c r="AX968" i="1" l="1"/>
  <c r="U968" i="1" s="1"/>
  <c r="AL968" i="1" s="1"/>
  <c r="AN968" i="1" s="1"/>
  <c r="AO968" i="1" s="1"/>
  <c r="AP968" i="1" s="1"/>
  <c r="AG968" i="1"/>
  <c r="BA968" i="1" s="1"/>
  <c r="O968" i="1"/>
  <c r="N969" i="1" s="1"/>
  <c r="AM969" i="1" l="1"/>
  <c r="I969" i="1"/>
  <c r="Q969" i="1" s="1"/>
  <c r="P969" i="1"/>
  <c r="BE969" i="1" s="1"/>
  <c r="AT969" i="1"/>
  <c r="AS969" i="1" s="1"/>
  <c r="AH968" i="1"/>
  <c r="Y969" i="1" l="1"/>
  <c r="X969" i="1" s="1"/>
  <c r="AF969" i="1" s="1"/>
  <c r="AG969" i="1" s="1"/>
  <c r="AQ969" i="1"/>
  <c r="O969" i="1"/>
  <c r="P970" i="1" s="1"/>
  <c r="BE970" i="1" s="1"/>
  <c r="AY969" i="1"/>
  <c r="V969" i="1"/>
  <c r="AX969" i="1" l="1"/>
  <c r="U969" i="1" s="1"/>
  <c r="AL969" i="1" s="1"/>
  <c r="AN969" i="1" s="1"/>
  <c r="AO969" i="1" s="1"/>
  <c r="AP969" i="1" s="1"/>
  <c r="V970" i="1"/>
  <c r="BA969" i="1"/>
  <c r="AY970" i="1"/>
  <c r="AM970" i="1"/>
  <c r="I970" i="1"/>
  <c r="Q970" i="1" s="1"/>
  <c r="Y970" i="1"/>
  <c r="X970" i="1" s="1"/>
  <c r="AF970" i="1" s="1"/>
  <c r="AT970" i="1"/>
  <c r="AS970" i="1" s="1"/>
  <c r="AQ970" i="1" s="1"/>
  <c r="N970" i="1"/>
  <c r="AH969" i="1"/>
  <c r="AX970" i="1" l="1"/>
  <c r="U970" i="1" s="1"/>
  <c r="AL970" i="1" s="1"/>
  <c r="AN970" i="1" s="1"/>
  <c r="AO970" i="1" s="1"/>
  <c r="AP970" i="1" s="1"/>
  <c r="O970" i="1"/>
  <c r="AM971" i="1" s="1"/>
  <c r="AG970" i="1"/>
  <c r="BA970" i="1" s="1"/>
  <c r="I971" i="1" l="1"/>
  <c r="Q971" i="1" s="1"/>
  <c r="N971" i="1"/>
  <c r="AT971" i="1"/>
  <c r="AS971" i="1" s="1"/>
  <c r="AH970" i="1"/>
  <c r="P971" i="1"/>
  <c r="BE971" i="1" s="1"/>
  <c r="V971" i="1" l="1"/>
  <c r="O971" i="1"/>
  <c r="AM972" i="1" s="1"/>
  <c r="AQ971" i="1"/>
  <c r="Y971" i="1"/>
  <c r="X971" i="1" s="1"/>
  <c r="AF971" i="1" s="1"/>
  <c r="AG971" i="1" s="1"/>
  <c r="AY971" i="1"/>
  <c r="AX971" i="1" l="1"/>
  <c r="U971" i="1" s="1"/>
  <c r="AL971" i="1" s="1"/>
  <c r="AN971" i="1" s="1"/>
  <c r="AO971" i="1" s="1"/>
  <c r="AP971" i="1" s="1"/>
  <c r="BA971" i="1"/>
  <c r="AT972" i="1"/>
  <c r="AS972" i="1" s="1"/>
  <c r="P972" i="1"/>
  <c r="BE972" i="1" s="1"/>
  <c r="I972" i="1"/>
  <c r="Q972" i="1" s="1"/>
  <c r="N972" i="1"/>
  <c r="AH971" i="1"/>
  <c r="Y972" i="1" l="1"/>
  <c r="X972" i="1" s="1"/>
  <c r="AF972" i="1" s="1"/>
  <c r="O972" i="1"/>
  <c r="AM973" i="1" s="1"/>
  <c r="AQ972" i="1"/>
  <c r="AY972" i="1"/>
  <c r="V972" i="1"/>
  <c r="AX972" i="1" l="1"/>
  <c r="U972" i="1" s="1"/>
  <c r="AL972" i="1" s="1"/>
  <c r="AN972" i="1" s="1"/>
  <c r="AO972" i="1" s="1"/>
  <c r="AG972" i="1"/>
  <c r="BA972" i="1" s="1"/>
  <c r="I973" i="1"/>
  <c r="Q973" i="1" s="1"/>
  <c r="AT973" i="1"/>
  <c r="AS973" i="1" s="1"/>
  <c r="AH972" i="1"/>
  <c r="P973" i="1"/>
  <c r="BE973" i="1" s="1"/>
  <c r="N973" i="1"/>
  <c r="Y973" i="1" l="1"/>
  <c r="X973" i="1" s="1"/>
  <c r="AF973" i="1" s="1"/>
  <c r="O973" i="1"/>
  <c r="I974" i="1" s="1"/>
  <c r="Q974" i="1" s="1"/>
  <c r="AQ973" i="1"/>
  <c r="AY973" i="1"/>
  <c r="V973" i="1"/>
  <c r="AX973" i="1" l="1"/>
  <c r="U973" i="1" s="1"/>
  <c r="AL973" i="1" s="1"/>
  <c r="AN973" i="1" s="1"/>
  <c r="AO973" i="1" s="1"/>
  <c r="AP973" i="1" s="1"/>
  <c r="AG973" i="1"/>
  <c r="BA973" i="1" s="1"/>
  <c r="AT974" i="1"/>
  <c r="AS974" i="1" s="1"/>
  <c r="AH973" i="1"/>
  <c r="N974" i="1"/>
  <c r="O974" i="1" s="1"/>
  <c r="N975" i="1" s="1"/>
  <c r="P974" i="1"/>
  <c r="BE974" i="1" s="1"/>
  <c r="AM974" i="1"/>
  <c r="V974" i="1" l="1"/>
  <c r="AT975" i="1"/>
  <c r="AS975" i="1" s="1"/>
  <c r="P975" i="1"/>
  <c r="BE975" i="1" s="1"/>
  <c r="AM975" i="1"/>
  <c r="Y974" i="1"/>
  <c r="X974" i="1" s="1"/>
  <c r="AF974" i="1" s="1"/>
  <c r="AH974" i="1" s="1"/>
  <c r="I975" i="1"/>
  <c r="Q975" i="1" s="1"/>
  <c r="AY974" i="1"/>
  <c r="AQ974" i="1"/>
  <c r="AX974" i="1" l="1"/>
  <c r="U974" i="1" s="1"/>
  <c r="AL974" i="1" s="1"/>
  <c r="AN974" i="1" s="1"/>
  <c r="AO974" i="1" s="1"/>
  <c r="AP974" i="1" s="1"/>
  <c r="Y975" i="1"/>
  <c r="X975" i="1" s="1"/>
  <c r="AF975" i="1" s="1"/>
  <c r="AY975" i="1"/>
  <c r="V975" i="1"/>
  <c r="AQ975" i="1"/>
  <c r="O975" i="1"/>
  <c r="AT976" i="1" s="1"/>
  <c r="AS976" i="1" s="1"/>
  <c r="AG974" i="1"/>
  <c r="BA974" i="1" s="1"/>
  <c r="AX975" i="1" l="1"/>
  <c r="U975" i="1" s="1"/>
  <c r="AL975" i="1" s="1"/>
  <c r="AN975" i="1" s="1"/>
  <c r="AO975" i="1" s="1"/>
  <c r="AP975" i="1" s="1"/>
  <c r="AM976" i="1"/>
  <c r="P976" i="1"/>
  <c r="BE976" i="1" s="1"/>
  <c r="N976" i="1"/>
  <c r="I976" i="1"/>
  <c r="Q976" i="1" s="1"/>
  <c r="AG975" i="1"/>
  <c r="BA975" i="1" s="1"/>
  <c r="AH975" i="1"/>
  <c r="Y976" i="1" l="1"/>
  <c r="X976" i="1" s="1"/>
  <c r="AF976" i="1" s="1"/>
  <c r="AG976" i="1" s="1"/>
  <c r="AQ976" i="1"/>
  <c r="AY976" i="1"/>
  <c r="V976" i="1"/>
  <c r="O976" i="1"/>
  <c r="P977" i="1" s="1"/>
  <c r="BE977" i="1" s="1"/>
  <c r="AX976" i="1" l="1"/>
  <c r="U976" i="1" s="1"/>
  <c r="AL976" i="1" s="1"/>
  <c r="AN976" i="1" s="1"/>
  <c r="AO976" i="1" s="1"/>
  <c r="AP976" i="1" s="1"/>
  <c r="V977" i="1"/>
  <c r="BA976" i="1"/>
  <c r="I977" i="1"/>
  <c r="Q977" i="1" s="1"/>
  <c r="AH976" i="1"/>
  <c r="AM977" i="1"/>
  <c r="AT977" i="1"/>
  <c r="AS977" i="1" s="1"/>
  <c r="AQ977" i="1" s="1"/>
  <c r="Y977" i="1"/>
  <c r="X977" i="1" s="1"/>
  <c r="AF977" i="1" s="1"/>
  <c r="N977" i="1"/>
  <c r="AY977" i="1"/>
  <c r="AX977" i="1" l="1"/>
  <c r="U977" i="1" s="1"/>
  <c r="AL977" i="1" s="1"/>
  <c r="AN977" i="1" s="1"/>
  <c r="AO977" i="1" s="1"/>
  <c r="AP977" i="1" s="1"/>
  <c r="O977" i="1"/>
  <c r="AM978" i="1" s="1"/>
  <c r="AG977" i="1"/>
  <c r="BA977" i="1" s="1"/>
  <c r="AT978" i="1" l="1"/>
  <c r="AS978" i="1" s="1"/>
  <c r="P978" i="1"/>
  <c r="BE978" i="1" s="1"/>
  <c r="I978" i="1"/>
  <c r="Q978" i="1" s="1"/>
  <c r="AH977" i="1"/>
  <c r="N978" i="1"/>
  <c r="Y978" i="1" l="1"/>
  <c r="X978" i="1" s="1"/>
  <c r="AF978" i="1" s="1"/>
  <c r="AG978" i="1" s="1"/>
  <c r="AY978" i="1"/>
  <c r="AQ978" i="1"/>
  <c r="V978" i="1"/>
  <c r="O978" i="1"/>
  <c r="AM979" i="1" s="1"/>
  <c r="AX978" i="1" l="1"/>
  <c r="U978" i="1" s="1"/>
  <c r="AL978" i="1" s="1"/>
  <c r="AN978" i="1" s="1"/>
  <c r="AO978" i="1" s="1"/>
  <c r="AP978" i="1" s="1"/>
  <c r="BA978" i="1"/>
  <c r="AH978" i="1"/>
  <c r="AT979" i="1"/>
  <c r="AS979" i="1" s="1"/>
  <c r="P979" i="1"/>
  <c r="BE979" i="1" s="1"/>
  <c r="N979" i="1"/>
  <c r="I979" i="1"/>
  <c r="Q979" i="1" s="1"/>
  <c r="V979" i="1" l="1"/>
  <c r="AY979" i="1"/>
  <c r="Y979" i="1"/>
  <c r="X979" i="1" s="1"/>
  <c r="AF979" i="1" s="1"/>
  <c r="AQ979" i="1"/>
  <c r="O979" i="1"/>
  <c r="N980" i="1" s="1"/>
  <c r="AX979" i="1" l="1"/>
  <c r="U979" i="1" s="1"/>
  <c r="AL979" i="1" s="1"/>
  <c r="AN979" i="1" s="1"/>
  <c r="AO979" i="1" s="1"/>
  <c r="AP979" i="1" s="1"/>
  <c r="P980" i="1"/>
  <c r="BE980" i="1" s="1"/>
  <c r="AM980" i="1"/>
  <c r="AT980" i="1"/>
  <c r="AS980" i="1" s="1"/>
  <c r="I980" i="1"/>
  <c r="Q980" i="1" s="1"/>
  <c r="AG979" i="1"/>
  <c r="BA979" i="1" s="1"/>
  <c r="AH979" i="1"/>
  <c r="AQ980" i="1" l="1"/>
  <c r="V980" i="1"/>
  <c r="Y980" i="1"/>
  <c r="X980" i="1" s="1"/>
  <c r="AF980" i="1" s="1"/>
  <c r="AG980" i="1" s="1"/>
  <c r="AY980" i="1"/>
  <c r="O980" i="1"/>
  <c r="P981" i="1" s="1"/>
  <c r="BE981" i="1" s="1"/>
  <c r="AX980" i="1" l="1"/>
  <c r="U980" i="1" s="1"/>
  <c r="AL980" i="1" s="1"/>
  <c r="AN980" i="1" s="1"/>
  <c r="AO980" i="1" s="1"/>
  <c r="AP980" i="1" s="1"/>
  <c r="BA980" i="1"/>
  <c r="V981" i="1"/>
  <c r="AT981" i="1"/>
  <c r="AS981" i="1" s="1"/>
  <c r="AQ981" i="1" s="1"/>
  <c r="N981" i="1"/>
  <c r="AM981" i="1"/>
  <c r="AY981" i="1"/>
  <c r="I981" i="1"/>
  <c r="Q981" i="1" s="1"/>
  <c r="Y981" i="1"/>
  <c r="X981" i="1" s="1"/>
  <c r="AF981" i="1" s="1"/>
  <c r="AH980" i="1"/>
  <c r="AX981" i="1" l="1"/>
  <c r="U981" i="1" s="1"/>
  <c r="AL981" i="1" s="1"/>
  <c r="AN981" i="1" s="1"/>
  <c r="AO981" i="1" s="1"/>
  <c r="AP981" i="1" s="1"/>
  <c r="O981" i="1"/>
  <c r="N982" i="1" s="1"/>
  <c r="AG981" i="1"/>
  <c r="BA981" i="1" s="1"/>
  <c r="AT982" i="1" l="1"/>
  <c r="AS982" i="1" s="1"/>
  <c r="P982" i="1"/>
  <c r="BE982" i="1" s="1"/>
  <c r="AM982" i="1"/>
  <c r="I982" i="1"/>
  <c r="Q982" i="1" s="1"/>
  <c r="AH981" i="1"/>
  <c r="V982" i="1" l="1"/>
  <c r="AY982" i="1"/>
  <c r="AQ982" i="1"/>
  <c r="Y982" i="1"/>
  <c r="X982" i="1" s="1"/>
  <c r="AF982" i="1" s="1"/>
  <c r="O982" i="1"/>
  <c r="P983" i="1" s="1"/>
  <c r="BE983" i="1" s="1"/>
  <c r="AX982" i="1" l="1"/>
  <c r="U982" i="1" s="1"/>
  <c r="AL982" i="1" s="1"/>
  <c r="AN982" i="1" s="1"/>
  <c r="AO982" i="1" s="1"/>
  <c r="AP982" i="1" s="1"/>
  <c r="V983" i="1"/>
  <c r="AY983" i="1"/>
  <c r="AT983" i="1"/>
  <c r="AS983" i="1" s="1"/>
  <c r="AQ983" i="1" s="1"/>
  <c r="I983" i="1"/>
  <c r="Q983" i="1" s="1"/>
  <c r="AM983" i="1"/>
  <c r="Y983" i="1"/>
  <c r="X983" i="1" s="1"/>
  <c r="AF983" i="1" s="1"/>
  <c r="N983" i="1"/>
  <c r="AG982" i="1"/>
  <c r="BA982" i="1" s="1"/>
  <c r="AH982" i="1"/>
  <c r="AX983" i="1" l="1"/>
  <c r="U983" i="1" s="1"/>
  <c r="AL983" i="1" s="1"/>
  <c r="AN983" i="1" s="1"/>
  <c r="AO983" i="1" s="1"/>
  <c r="AP983" i="1" s="1"/>
  <c r="O983" i="1"/>
  <c r="N984" i="1" s="1"/>
  <c r="AG983" i="1"/>
  <c r="BA983" i="1" s="1"/>
  <c r="AT984" i="1" l="1"/>
  <c r="AS984" i="1" s="1"/>
  <c r="P984" i="1"/>
  <c r="BE984" i="1" s="1"/>
  <c r="AH983" i="1"/>
  <c r="AM984" i="1"/>
  <c r="I984" i="1"/>
  <c r="Q984" i="1" s="1"/>
  <c r="V984" i="1" l="1"/>
  <c r="Y984" i="1"/>
  <c r="X984" i="1" s="1"/>
  <c r="AF984" i="1" s="1"/>
  <c r="AY984" i="1"/>
  <c r="AQ984" i="1"/>
  <c r="O984" i="1"/>
  <c r="I985" i="1" s="1"/>
  <c r="Q985" i="1" s="1"/>
  <c r="AX984" i="1" l="1"/>
  <c r="U984" i="1" s="1"/>
  <c r="AL984" i="1" s="1"/>
  <c r="AN984" i="1" s="1"/>
  <c r="AO984" i="1" s="1"/>
  <c r="AT985" i="1"/>
  <c r="AS985" i="1" s="1"/>
  <c r="P985" i="1"/>
  <c r="BE985" i="1" s="1"/>
  <c r="AM985" i="1"/>
  <c r="N985" i="1"/>
  <c r="O985" i="1" s="1"/>
  <c r="N986" i="1" s="1"/>
  <c r="AG984" i="1"/>
  <c r="BA984" i="1" s="1"/>
  <c r="AH984" i="1"/>
  <c r="V985" i="1" l="1"/>
  <c r="Y985" i="1"/>
  <c r="X985" i="1" s="1"/>
  <c r="AF985" i="1" s="1"/>
  <c r="AG985" i="1" s="1"/>
  <c r="AQ985" i="1"/>
  <c r="AY985" i="1"/>
  <c r="AT986" i="1"/>
  <c r="AS986" i="1" s="1"/>
  <c r="P986" i="1"/>
  <c r="BE986" i="1" s="1"/>
  <c r="I986" i="1"/>
  <c r="Q986" i="1" s="1"/>
  <c r="AM986" i="1"/>
  <c r="AX985" i="1" l="1"/>
  <c r="U985" i="1" s="1"/>
  <c r="AL985" i="1" s="1"/>
  <c r="AN985" i="1" s="1"/>
  <c r="AO985" i="1" s="1"/>
  <c r="AP985" i="1" s="1"/>
  <c r="BA985" i="1"/>
  <c r="O986" i="1"/>
  <c r="AT987" i="1" s="1"/>
  <c r="AS987" i="1" s="1"/>
  <c r="AQ986" i="1"/>
  <c r="AY986" i="1"/>
  <c r="Y986" i="1"/>
  <c r="X986" i="1" s="1"/>
  <c r="AF986" i="1" s="1"/>
  <c r="AG986" i="1" s="1"/>
  <c r="V986" i="1"/>
  <c r="AH985" i="1"/>
  <c r="AX986" i="1" l="1"/>
  <c r="U986" i="1" s="1"/>
  <c r="AL986" i="1" s="1"/>
  <c r="AN986" i="1" s="1"/>
  <c r="AO986" i="1" s="1"/>
  <c r="AP986" i="1" s="1"/>
  <c r="N987" i="1"/>
  <c r="I987" i="1"/>
  <c r="Q987" i="1" s="1"/>
  <c r="P987" i="1"/>
  <c r="BE987" i="1" s="1"/>
  <c r="AM987" i="1"/>
  <c r="BA986" i="1"/>
  <c r="AH986" i="1"/>
  <c r="V987" i="1" l="1"/>
  <c r="O987" i="1"/>
  <c r="N988" i="1" s="1"/>
  <c r="AQ987" i="1"/>
  <c r="Y987" i="1"/>
  <c r="X987" i="1" s="1"/>
  <c r="AF987" i="1" s="1"/>
  <c r="AG987" i="1" s="1"/>
  <c r="AY987" i="1"/>
  <c r="BA987" i="1" l="1"/>
  <c r="AX987" i="1"/>
  <c r="U987" i="1" s="1"/>
  <c r="AL987" i="1" s="1"/>
  <c r="AN987" i="1" s="1"/>
  <c r="AO987" i="1" s="1"/>
  <c r="AP987" i="1" s="1"/>
  <c r="AT988" i="1"/>
  <c r="AS988" i="1" s="1"/>
  <c r="AM988" i="1"/>
  <c r="P988" i="1"/>
  <c r="BE988" i="1" s="1"/>
  <c r="I988" i="1"/>
  <c r="Q988" i="1" s="1"/>
  <c r="AH987" i="1"/>
  <c r="V988" i="1" l="1"/>
  <c r="AY988" i="1"/>
  <c r="AQ988" i="1"/>
  <c r="Y988" i="1"/>
  <c r="X988" i="1" s="1"/>
  <c r="AF988" i="1" s="1"/>
  <c r="O988" i="1"/>
  <c r="N989" i="1" s="1"/>
  <c r="AX988" i="1" l="1"/>
  <c r="U988" i="1" s="1"/>
  <c r="AL988" i="1" s="1"/>
  <c r="AN988" i="1" s="1"/>
  <c r="AO988" i="1" s="1"/>
  <c r="AP988" i="1" s="1"/>
  <c r="AH988" i="1"/>
  <c r="AG988" i="1"/>
  <c r="BA988" i="1" s="1"/>
  <c r="I989" i="1"/>
  <c r="Q989" i="1" s="1"/>
  <c r="P989" i="1"/>
  <c r="BE989" i="1" s="1"/>
  <c r="AM989" i="1"/>
  <c r="AT989" i="1"/>
  <c r="AS989" i="1" s="1"/>
  <c r="Y989" i="1" l="1"/>
  <c r="X989" i="1" s="1"/>
  <c r="AF989" i="1" s="1"/>
  <c r="O989" i="1"/>
  <c r="P990" i="1" s="1"/>
  <c r="BE990" i="1" s="1"/>
  <c r="V989" i="1"/>
  <c r="AY989" i="1"/>
  <c r="AQ989" i="1"/>
  <c r="AX989" i="1" l="1"/>
  <c r="U989" i="1" s="1"/>
  <c r="AL989" i="1" s="1"/>
  <c r="AN989" i="1" s="1"/>
  <c r="AO989" i="1" s="1"/>
  <c r="AP989" i="1" s="1"/>
  <c r="AY990" i="1"/>
  <c r="N990" i="1"/>
  <c r="I990" i="1"/>
  <c r="Q990" i="1" s="1"/>
  <c r="AT990" i="1"/>
  <c r="AS990" i="1" s="1"/>
  <c r="AQ990" i="1" s="1"/>
  <c r="AM990" i="1"/>
  <c r="Y990" i="1"/>
  <c r="X990" i="1" s="1"/>
  <c r="AF990" i="1" s="1"/>
  <c r="V990" i="1"/>
  <c r="AG989" i="1"/>
  <c r="BA989" i="1" s="1"/>
  <c r="AH989" i="1"/>
  <c r="AX990" i="1" l="1"/>
  <c r="U990" i="1" s="1"/>
  <c r="AL990" i="1" s="1"/>
  <c r="AN990" i="1" s="1"/>
  <c r="AO990" i="1" s="1"/>
  <c r="AP990" i="1" s="1"/>
  <c r="O990" i="1"/>
  <c r="P991" i="1" s="1"/>
  <c r="AG990" i="1"/>
  <c r="BA990" i="1" s="1"/>
  <c r="V991" i="1" l="1"/>
  <c r="BE991" i="1"/>
  <c r="AT991" i="1"/>
  <c r="AS991" i="1" s="1"/>
  <c r="AQ991" i="1" s="1"/>
  <c r="Y991" i="1"/>
  <c r="X991" i="1" s="1"/>
  <c r="AF991" i="1" s="1"/>
  <c r="AH990" i="1"/>
  <c r="AM991" i="1"/>
  <c r="AY991" i="1"/>
  <c r="I991" i="1"/>
  <c r="Q991" i="1" s="1"/>
  <c r="N991" i="1"/>
  <c r="AX991" i="1" l="1"/>
  <c r="U991" i="1" s="1"/>
  <c r="AL991" i="1" s="1"/>
  <c r="AN991" i="1" s="1"/>
  <c r="AO991" i="1" s="1"/>
  <c r="AP991" i="1" s="1"/>
  <c r="O991" i="1"/>
  <c r="AT992" i="1" s="1"/>
  <c r="AS992" i="1" s="1"/>
  <c r="AG991" i="1"/>
  <c r="BA991" i="1" s="1"/>
  <c r="AM992" i="1" l="1"/>
  <c r="N992" i="1"/>
  <c r="AH991" i="1"/>
  <c r="I992" i="1"/>
  <c r="Q992" i="1" s="1"/>
  <c r="P992" i="1"/>
  <c r="V992" i="1" l="1"/>
  <c r="BE992" i="1"/>
  <c r="AY992" i="1"/>
  <c r="O992" i="1"/>
  <c r="P993" i="1" s="1"/>
  <c r="AQ992" i="1"/>
  <c r="Y992" i="1"/>
  <c r="X992" i="1" s="1"/>
  <c r="AF992" i="1" s="1"/>
  <c r="AG992" i="1" s="1"/>
  <c r="BA992" i="1" l="1"/>
  <c r="Y993" i="1"/>
  <c r="X993" i="1" s="1"/>
  <c r="AF993" i="1" s="1"/>
  <c r="BE993" i="1"/>
  <c r="AX992" i="1"/>
  <c r="U992" i="1" s="1"/>
  <c r="AL992" i="1" s="1"/>
  <c r="AN992" i="1" s="1"/>
  <c r="AO992" i="1" s="1"/>
  <c r="AP992" i="1" s="1"/>
  <c r="I993" i="1"/>
  <c r="Q993" i="1" s="1"/>
  <c r="AM993" i="1"/>
  <c r="AH992" i="1"/>
  <c r="AY993" i="1"/>
  <c r="V993" i="1"/>
  <c r="N993" i="1"/>
  <c r="AT993" i="1"/>
  <c r="AS993" i="1" s="1"/>
  <c r="AQ993" i="1" s="1"/>
  <c r="AX993" i="1" l="1"/>
  <c r="U993" i="1" s="1"/>
  <c r="AL993" i="1" s="1"/>
  <c r="AN993" i="1" s="1"/>
  <c r="AO993" i="1" s="1"/>
  <c r="AP993" i="1" s="1"/>
  <c r="O993" i="1"/>
  <c r="P994" i="1" s="1"/>
  <c r="AG993" i="1"/>
  <c r="BA993" i="1" s="1"/>
  <c r="V994" i="1" l="1"/>
  <c r="BE994" i="1"/>
  <c r="AY994" i="1"/>
  <c r="N994" i="1"/>
  <c r="I994" i="1"/>
  <c r="Q994" i="1" s="1"/>
  <c r="AM994" i="1"/>
  <c r="AH993" i="1"/>
  <c r="Y994" i="1"/>
  <c r="X994" i="1" s="1"/>
  <c r="AF994" i="1" s="1"/>
  <c r="AT994" i="1"/>
  <c r="AS994" i="1" s="1"/>
  <c r="AQ994" i="1" s="1"/>
  <c r="AG994" i="1" l="1"/>
  <c r="BA994" i="1" s="1"/>
  <c r="AX994" i="1"/>
  <c r="U994" i="1" s="1"/>
  <c r="AL994" i="1" s="1"/>
  <c r="AN994" i="1" s="1"/>
  <c r="AO994" i="1" s="1"/>
  <c r="AP994" i="1" s="1"/>
  <c r="O994" i="1"/>
  <c r="AT995" i="1" s="1"/>
  <c r="AS995" i="1" s="1"/>
  <c r="AM995" i="1" l="1"/>
  <c r="I995" i="1"/>
  <c r="Q995" i="1" s="1"/>
  <c r="AH994" i="1"/>
  <c r="P995" i="1"/>
  <c r="N995" i="1"/>
  <c r="AY995" i="1" l="1"/>
  <c r="BE995" i="1"/>
  <c r="O995" i="1"/>
  <c r="AM996" i="1" s="1"/>
  <c r="V995" i="1"/>
  <c r="Y995" i="1"/>
  <c r="X995" i="1" s="1"/>
  <c r="AF995" i="1" s="1"/>
  <c r="AG995" i="1" s="1"/>
  <c r="AQ995" i="1"/>
  <c r="AX995" i="1" l="1"/>
  <c r="U995" i="1" s="1"/>
  <c r="AL995" i="1" s="1"/>
  <c r="AN995" i="1" s="1"/>
  <c r="AO995" i="1" s="1"/>
  <c r="AP995" i="1" s="1"/>
  <c r="BA995" i="1"/>
  <c r="AT996" i="1"/>
  <c r="AS996" i="1" s="1"/>
  <c r="P996" i="1"/>
  <c r="BE996" i="1" s="1"/>
  <c r="N996" i="1"/>
  <c r="I996" i="1"/>
  <c r="Q996" i="1" s="1"/>
  <c r="AH995" i="1"/>
  <c r="Y996" i="1" l="1"/>
  <c r="X996" i="1" s="1"/>
  <c r="AF996" i="1" s="1"/>
  <c r="AG996" i="1" s="1"/>
  <c r="V996" i="1"/>
  <c r="AY996" i="1"/>
  <c r="AQ996" i="1"/>
  <c r="O996" i="1"/>
  <c r="AM997" i="1" s="1"/>
  <c r="AX996" i="1" l="1"/>
  <c r="U996" i="1" s="1"/>
  <c r="AL996" i="1" s="1"/>
  <c r="AN996" i="1" s="1"/>
  <c r="AO996" i="1" s="1"/>
  <c r="BA996" i="1"/>
  <c r="I997" i="1"/>
  <c r="Q997" i="1" s="1"/>
  <c r="P997" i="1"/>
  <c r="AT997" i="1"/>
  <c r="AS997" i="1" s="1"/>
  <c r="N997" i="1"/>
  <c r="AH996" i="1"/>
  <c r="Y997" i="1" l="1"/>
  <c r="X997" i="1" s="1"/>
  <c r="AF997" i="1" s="1"/>
  <c r="BE997" i="1"/>
  <c r="AQ997" i="1"/>
  <c r="O997" i="1"/>
  <c r="P998" i="1" s="1"/>
  <c r="BE998" i="1" s="1"/>
  <c r="V997" i="1"/>
  <c r="AY997" i="1"/>
  <c r="AG997" i="1" l="1"/>
  <c r="BA997" i="1" s="1"/>
  <c r="AT998" i="1"/>
  <c r="AS998" i="1" s="1"/>
  <c r="AQ998" i="1" s="1"/>
  <c r="AX997" i="1"/>
  <c r="U997" i="1" s="1"/>
  <c r="AL997" i="1" s="1"/>
  <c r="AN997" i="1" s="1"/>
  <c r="AO997" i="1" s="1"/>
  <c r="AP997" i="1" s="1"/>
  <c r="AM998" i="1"/>
  <c r="AH997" i="1"/>
  <c r="AY998" i="1"/>
  <c r="N998" i="1"/>
  <c r="V998" i="1"/>
  <c r="Y998" i="1"/>
  <c r="X998" i="1" s="1"/>
  <c r="AF998" i="1" s="1"/>
  <c r="I998" i="1"/>
  <c r="Q998" i="1" s="1"/>
  <c r="AX998" i="1" l="1"/>
  <c r="U998" i="1" s="1"/>
  <c r="AL998" i="1" s="1"/>
  <c r="AN998" i="1" s="1"/>
  <c r="AO998" i="1" s="1"/>
  <c r="AP998" i="1" s="1"/>
  <c r="AG998" i="1"/>
  <c r="BA998" i="1" s="1"/>
  <c r="O998" i="1"/>
  <c r="AT999" i="1" s="1"/>
  <c r="AS999" i="1" s="1"/>
  <c r="N999" i="1" l="1"/>
  <c r="AM999" i="1"/>
  <c r="I999" i="1"/>
  <c r="Q999" i="1" s="1"/>
  <c r="P999" i="1"/>
  <c r="BE999" i="1" s="1"/>
  <c r="AH998" i="1"/>
  <c r="V999" i="1" l="1"/>
  <c r="AY999" i="1"/>
  <c r="Y999" i="1"/>
  <c r="X999" i="1" s="1"/>
  <c r="AF999" i="1" s="1"/>
  <c r="AG999" i="1" s="1"/>
  <c r="AQ999" i="1"/>
  <c r="O999" i="1"/>
  <c r="I1000" i="1" s="1"/>
  <c r="Q1000" i="1" s="1"/>
  <c r="AX999" i="1" l="1"/>
  <c r="U999" i="1" s="1"/>
  <c r="AL999" i="1" s="1"/>
  <c r="AN999" i="1" s="1"/>
  <c r="AO999" i="1" s="1"/>
  <c r="AP999" i="1" s="1"/>
  <c r="N1000" i="1"/>
  <c r="O1000" i="1" s="1"/>
  <c r="N1001" i="1" s="1"/>
  <c r="P1000" i="1"/>
  <c r="BA999" i="1"/>
  <c r="AT1000" i="1"/>
  <c r="AS1000" i="1" s="1"/>
  <c r="AM1000" i="1"/>
  <c r="AH999" i="1"/>
  <c r="Y1000" i="1" l="1"/>
  <c r="X1000" i="1" s="1"/>
  <c r="AF1000" i="1" s="1"/>
  <c r="BE1000" i="1"/>
  <c r="AT1001" i="1"/>
  <c r="AS1001" i="1" s="1"/>
  <c r="P1001" i="1"/>
  <c r="BE1001" i="1" s="1"/>
  <c r="AQ1000" i="1"/>
  <c r="I1001" i="1"/>
  <c r="Q1001" i="1" s="1"/>
  <c r="AM1001" i="1"/>
  <c r="V1000" i="1"/>
  <c r="AY1000" i="1"/>
  <c r="AH1000" i="1" l="1"/>
  <c r="AG1000" i="1"/>
  <c r="BA1000" i="1" s="1"/>
  <c r="AX1000" i="1"/>
  <c r="U1000" i="1" s="1"/>
  <c r="AL1000" i="1" s="1"/>
  <c r="AN1000" i="1" s="1"/>
  <c r="AO1000" i="1" s="1"/>
  <c r="AP1000" i="1" s="1"/>
  <c r="Y1001" i="1"/>
  <c r="X1001" i="1" s="1"/>
  <c r="AF1001" i="1" s="1"/>
  <c r="AG1001" i="1" s="1"/>
  <c r="AY1001" i="1"/>
  <c r="O1001" i="1"/>
  <c r="N1002" i="1" s="1"/>
  <c r="V1001" i="1"/>
  <c r="AQ1001" i="1"/>
  <c r="AX1001" i="1" l="1"/>
  <c r="U1001" i="1" s="1"/>
  <c r="AL1001" i="1" s="1"/>
  <c r="AN1001" i="1" s="1"/>
  <c r="AO1001" i="1" s="1"/>
  <c r="AP1001" i="1" s="1"/>
  <c r="I1002" i="1"/>
  <c r="Q1002" i="1" s="1"/>
  <c r="AT1002" i="1"/>
  <c r="AS1002" i="1" s="1"/>
  <c r="P1002" i="1"/>
  <c r="BE1002" i="1" s="1"/>
  <c r="AM1002" i="1"/>
  <c r="BA1001" i="1"/>
  <c r="AH1001" i="1"/>
  <c r="O1002" i="1" l="1"/>
  <c r="N1003" i="1" s="1"/>
  <c r="Y1002" i="1"/>
  <c r="X1002" i="1" s="1"/>
  <c r="AF1002" i="1" s="1"/>
  <c r="AG1002" i="1" s="1"/>
  <c r="AY1002" i="1"/>
  <c r="V1002" i="1"/>
  <c r="AQ1002" i="1"/>
  <c r="AT1003" i="1" l="1"/>
  <c r="AS1003" i="1" s="1"/>
  <c r="P1003" i="1"/>
  <c r="BE1003" i="1" s="1"/>
  <c r="I1003" i="1"/>
  <c r="Q1003" i="1" s="1"/>
  <c r="AM1003" i="1"/>
  <c r="AX1002" i="1"/>
  <c r="U1002" i="1" s="1"/>
  <c r="AL1002" i="1" s="1"/>
  <c r="AN1002" i="1" s="1"/>
  <c r="AO1002" i="1" s="1"/>
  <c r="AP1002" i="1" s="1"/>
  <c r="BA1002" i="1"/>
  <c r="AH1002" i="1"/>
  <c r="V1003" i="1" l="1"/>
  <c r="O1003" i="1"/>
  <c r="P1004" i="1" s="1"/>
  <c r="AY1003" i="1"/>
  <c r="Y1003" i="1"/>
  <c r="X1003" i="1" s="1"/>
  <c r="AF1003" i="1" s="1"/>
  <c r="AG1003" i="1" s="1"/>
  <c r="AQ1003" i="1"/>
  <c r="Y1004" i="1" l="1"/>
  <c r="X1004" i="1" s="1"/>
  <c r="AF1004" i="1" s="1"/>
  <c r="BE1004" i="1"/>
  <c r="BA1003" i="1"/>
  <c r="AY1004" i="1"/>
  <c r="I1004" i="1"/>
  <c r="Q1004" i="1" s="1"/>
  <c r="N1004" i="1"/>
  <c r="AX1003" i="1"/>
  <c r="U1003" i="1" s="1"/>
  <c r="AL1003" i="1" s="1"/>
  <c r="AN1003" i="1" s="1"/>
  <c r="AO1003" i="1" s="1"/>
  <c r="AP1003" i="1" s="1"/>
  <c r="V1004" i="1"/>
  <c r="AM1004" i="1"/>
  <c r="AT1004" i="1"/>
  <c r="AS1004" i="1" s="1"/>
  <c r="AQ1004" i="1" s="1"/>
  <c r="AH1003" i="1"/>
  <c r="O1004" i="1" l="1"/>
  <c r="P1005" i="1" s="1"/>
  <c r="BE1005" i="1" s="1"/>
  <c r="AG1004" i="1"/>
  <c r="BA1004" i="1" s="1"/>
  <c r="AX1004" i="1"/>
  <c r="U1004" i="1" s="1"/>
  <c r="AL1004" i="1" s="1"/>
  <c r="AN1004" i="1" s="1"/>
  <c r="AO1004" i="1" s="1"/>
  <c r="AP1004" i="1" s="1"/>
  <c r="AH1004" i="1" l="1"/>
  <c r="V1005" i="1"/>
  <c r="N1005" i="1"/>
  <c r="Y1005" i="1"/>
  <c r="X1005" i="1" s="1"/>
  <c r="AF1005" i="1" s="1"/>
  <c r="AY1005" i="1"/>
  <c r="I1005" i="1"/>
  <c r="Q1005" i="1" s="1"/>
  <c r="AT1005" i="1"/>
  <c r="AS1005" i="1" s="1"/>
  <c r="AQ1005" i="1" s="1"/>
  <c r="AM1005" i="1"/>
  <c r="AG1005" i="1" l="1"/>
  <c r="BA1005" i="1" s="1"/>
  <c r="AX1005" i="1"/>
  <c r="U1005" i="1" s="1"/>
  <c r="AL1005" i="1" s="1"/>
  <c r="AN1005" i="1" s="1"/>
  <c r="AO1005" i="1" s="1"/>
  <c r="AP1005" i="1" s="1"/>
  <c r="O1005" i="1"/>
  <c r="N1006" i="1" s="1"/>
  <c r="AM1006" i="1" l="1"/>
  <c r="P1006" i="1"/>
  <c r="AT1006" i="1"/>
  <c r="AS1006" i="1" s="1"/>
  <c r="AH1005" i="1"/>
  <c r="I1006" i="1"/>
  <c r="Q1006" i="1" s="1"/>
  <c r="AY1006" i="1" l="1"/>
  <c r="BE1006" i="1"/>
  <c r="AQ1006" i="1"/>
  <c r="Y1006" i="1"/>
  <c r="X1006" i="1" s="1"/>
  <c r="AF1006" i="1" s="1"/>
  <c r="AG1006" i="1" s="1"/>
  <c r="V1006" i="1"/>
  <c r="O1006" i="1"/>
  <c r="P1007" i="1" s="1"/>
  <c r="V1007" i="1" l="1"/>
  <c r="BE1007" i="1"/>
  <c r="BA1006" i="1"/>
  <c r="Y1007" i="1"/>
  <c r="X1007" i="1" s="1"/>
  <c r="AF1007" i="1" s="1"/>
  <c r="AT1007" i="1"/>
  <c r="AS1007" i="1" s="1"/>
  <c r="AQ1007" i="1" s="1"/>
  <c r="I1007" i="1"/>
  <c r="Q1007" i="1" s="1"/>
  <c r="AX1006" i="1"/>
  <c r="U1006" i="1" s="1"/>
  <c r="AL1006" i="1" s="1"/>
  <c r="AN1006" i="1" s="1"/>
  <c r="AO1006" i="1" s="1"/>
  <c r="AP1006" i="1" s="1"/>
  <c r="AY1007" i="1"/>
  <c r="AM1007" i="1"/>
  <c r="AH1006" i="1"/>
  <c r="N1007" i="1"/>
  <c r="AX1007" i="1" l="1"/>
  <c r="U1007" i="1" s="1"/>
  <c r="AL1007" i="1" s="1"/>
  <c r="AN1007" i="1" s="1"/>
  <c r="AO1007" i="1" s="1"/>
  <c r="AP1007" i="1" s="1"/>
  <c r="O1007" i="1"/>
  <c r="P1008" i="1" s="1"/>
  <c r="AG1007" i="1"/>
  <c r="BA1007" i="1" s="1"/>
  <c r="Y1008" i="1" l="1"/>
  <c r="X1008" i="1" s="1"/>
  <c r="AF1008" i="1" s="1"/>
  <c r="BE1008" i="1"/>
  <c r="AT1008" i="1"/>
  <c r="AS1008" i="1" s="1"/>
  <c r="AQ1008" i="1" s="1"/>
  <c r="AH1007" i="1"/>
  <c r="N1008" i="1"/>
  <c r="I1008" i="1"/>
  <c r="Q1008" i="1" s="1"/>
  <c r="AY1008" i="1"/>
  <c r="AM1008" i="1"/>
  <c r="V1008" i="1"/>
  <c r="AG1008" i="1" l="1"/>
  <c r="BA1008" i="1" s="1"/>
  <c r="AX1008" i="1"/>
  <c r="U1008" i="1" s="1"/>
  <c r="AL1008" i="1" s="1"/>
  <c r="AN1008" i="1" s="1"/>
  <c r="AO1008" i="1" s="1"/>
  <c r="O1008" i="1"/>
  <c r="I1009" i="1" s="1"/>
  <c r="Q1009" i="1" s="1"/>
  <c r="AT1009" i="1" l="1"/>
  <c r="AS1009" i="1" s="1"/>
  <c r="P1009" i="1"/>
  <c r="BE1009" i="1" s="1"/>
  <c r="AH1008" i="1"/>
  <c r="N1009" i="1"/>
  <c r="O1009" i="1" s="1"/>
  <c r="N1010" i="1" s="1"/>
  <c r="AM1009" i="1"/>
  <c r="AY1009" i="1" l="1"/>
  <c r="V1009" i="1"/>
  <c r="AQ1009" i="1"/>
  <c r="Y1009" i="1"/>
  <c r="X1009" i="1" s="1"/>
  <c r="AF1009" i="1" s="1"/>
  <c r="AT1010" i="1"/>
  <c r="AS1010" i="1" s="1"/>
  <c r="AM1010" i="1"/>
  <c r="I1010" i="1"/>
  <c r="Q1010" i="1" s="1"/>
  <c r="P1010" i="1"/>
  <c r="BE1010" i="1" s="1"/>
  <c r="AX1009" i="1" l="1"/>
  <c r="U1009" i="1" s="1"/>
  <c r="AL1009" i="1" s="1"/>
  <c r="AN1009" i="1" s="1"/>
  <c r="AO1009" i="1" s="1"/>
  <c r="AP1009" i="1" s="1"/>
  <c r="AG1009" i="1"/>
  <c r="BA1009" i="1" s="1"/>
  <c r="AH1009" i="1"/>
  <c r="O1010" i="1"/>
  <c r="AT1011" i="1" s="1"/>
  <c r="AS1011" i="1" s="1"/>
  <c r="V1010" i="1"/>
  <c r="AQ1010" i="1"/>
  <c r="Y1010" i="1"/>
  <c r="X1010" i="1" s="1"/>
  <c r="AF1010" i="1" s="1"/>
  <c r="AG1010" i="1" s="1"/>
  <c r="AY1010" i="1"/>
  <c r="N1011" i="1" l="1"/>
  <c r="I1011" i="1"/>
  <c r="Q1011" i="1" s="1"/>
  <c r="P1011" i="1"/>
  <c r="BE1011" i="1" s="1"/>
  <c r="BA1010" i="1"/>
  <c r="AX1010" i="1"/>
  <c r="U1010" i="1" s="1"/>
  <c r="AL1010" i="1" s="1"/>
  <c r="AN1010" i="1" s="1"/>
  <c r="AO1010" i="1" s="1"/>
  <c r="AP1010" i="1" s="1"/>
  <c r="AM1011" i="1"/>
  <c r="AH1010" i="1"/>
  <c r="O1011" i="1" l="1"/>
  <c r="AT1012" i="1" s="1"/>
  <c r="AS1012" i="1" s="1"/>
  <c r="Y1011" i="1"/>
  <c r="X1011" i="1" s="1"/>
  <c r="AF1011" i="1" s="1"/>
  <c r="AG1011" i="1" s="1"/>
  <c r="AQ1011" i="1"/>
  <c r="V1011" i="1"/>
  <c r="AY1011" i="1"/>
  <c r="I1012" i="1" l="1"/>
  <c r="Q1012" i="1" s="1"/>
  <c r="N1012" i="1"/>
  <c r="P1012" i="1"/>
  <c r="AM1012" i="1"/>
  <c r="BA1011" i="1"/>
  <c r="AH1011" i="1"/>
  <c r="AX1011" i="1"/>
  <c r="U1011" i="1" s="1"/>
  <c r="AL1011" i="1" s="1"/>
  <c r="AN1011" i="1" s="1"/>
  <c r="AO1011" i="1" s="1"/>
  <c r="AP1011" i="1" s="1"/>
  <c r="Y1012" i="1" l="1"/>
  <c r="X1012" i="1" s="1"/>
  <c r="AF1012" i="1" s="1"/>
  <c r="AG1012" i="1" s="1"/>
  <c r="BE1012" i="1"/>
  <c r="O1012" i="1"/>
  <c r="P1013" i="1" s="1"/>
  <c r="AY1012" i="1"/>
  <c r="V1012" i="1"/>
  <c r="AQ1012" i="1"/>
  <c r="Y1013" i="1" l="1"/>
  <c r="X1013" i="1" s="1"/>
  <c r="AF1013" i="1" s="1"/>
  <c r="BE1013" i="1"/>
  <c r="N1013" i="1"/>
  <c r="AY1013" i="1"/>
  <c r="V1013" i="1"/>
  <c r="AM1013" i="1"/>
  <c r="AT1013" i="1"/>
  <c r="AS1013" i="1" s="1"/>
  <c r="AQ1013" i="1" s="1"/>
  <c r="AH1012" i="1"/>
  <c r="I1013" i="1"/>
  <c r="Q1013" i="1" s="1"/>
  <c r="AX1012" i="1"/>
  <c r="U1012" i="1" s="1"/>
  <c r="AL1012" i="1" s="1"/>
  <c r="AN1012" i="1" s="1"/>
  <c r="AO1012" i="1" s="1"/>
  <c r="AP1012" i="1" s="1"/>
  <c r="BA1012" i="1"/>
  <c r="AG1013" i="1" l="1"/>
  <c r="BA1013" i="1" s="1"/>
  <c r="O1013" i="1"/>
  <c r="N1014" i="1" s="1"/>
  <c r="AX1013" i="1"/>
  <c r="U1013" i="1" s="1"/>
  <c r="AL1013" i="1" s="1"/>
  <c r="AN1013" i="1" s="1"/>
  <c r="AO1013" i="1" s="1"/>
  <c r="AP1013" i="1" s="1"/>
  <c r="I1014" i="1" l="1"/>
  <c r="Q1014" i="1" s="1"/>
  <c r="AM1014" i="1"/>
  <c r="AT1014" i="1"/>
  <c r="AS1014" i="1" s="1"/>
  <c r="P1014" i="1"/>
  <c r="AH1013" i="1"/>
  <c r="AY1014" i="1" l="1"/>
  <c r="BE1014" i="1"/>
  <c r="O1014" i="1"/>
  <c r="P1015" i="1" s="1"/>
  <c r="Y1014" i="1"/>
  <c r="X1014" i="1" s="1"/>
  <c r="AF1014" i="1" s="1"/>
  <c r="AG1014" i="1" s="1"/>
  <c r="AQ1014" i="1"/>
  <c r="V1014" i="1"/>
  <c r="AX1014" i="1" l="1"/>
  <c r="U1014" i="1" s="1"/>
  <c r="AL1014" i="1" s="1"/>
  <c r="AN1014" i="1" s="1"/>
  <c r="AO1014" i="1" s="1"/>
  <c r="AP1014" i="1" s="1"/>
  <c r="V1015" i="1"/>
  <c r="BE1015" i="1"/>
  <c r="AT1015" i="1"/>
  <c r="AS1015" i="1" s="1"/>
  <c r="AQ1015" i="1" s="1"/>
  <c r="AY1015" i="1"/>
  <c r="N1015" i="1"/>
  <c r="I1015" i="1"/>
  <c r="Q1015" i="1" s="1"/>
  <c r="Y1015" i="1"/>
  <c r="X1015" i="1" s="1"/>
  <c r="AF1015" i="1" s="1"/>
  <c r="AM1015" i="1"/>
  <c r="BA1014" i="1"/>
  <c r="AH1014" i="1"/>
  <c r="O1015" i="1" l="1"/>
  <c r="P1016" i="1" s="1"/>
  <c r="BE1016" i="1" s="1"/>
  <c r="AG1015" i="1"/>
  <c r="BA1015" i="1" s="1"/>
  <c r="AX1015" i="1"/>
  <c r="U1015" i="1" s="1"/>
  <c r="AL1015" i="1" s="1"/>
  <c r="AN1015" i="1" s="1"/>
  <c r="AO1015" i="1" s="1"/>
  <c r="AP1015" i="1" s="1"/>
  <c r="V1016" i="1" l="1"/>
  <c r="AY1016" i="1"/>
  <c r="Y1016" i="1"/>
  <c r="X1016" i="1" s="1"/>
  <c r="AF1016" i="1" s="1"/>
  <c r="N1016" i="1"/>
  <c r="AT1016" i="1"/>
  <c r="AS1016" i="1" s="1"/>
  <c r="AQ1016" i="1" s="1"/>
  <c r="AH1015" i="1"/>
  <c r="I1016" i="1"/>
  <c r="Q1016" i="1" s="1"/>
  <c r="AM1016" i="1"/>
  <c r="O1016" i="1" l="1"/>
  <c r="AT1017" i="1" s="1"/>
  <c r="AS1017" i="1" s="1"/>
  <c r="AG1016" i="1"/>
  <c r="BA1016" i="1" s="1"/>
  <c r="AX1016" i="1"/>
  <c r="U1016" i="1" s="1"/>
  <c r="AL1016" i="1" s="1"/>
  <c r="AN1016" i="1" s="1"/>
  <c r="AO1016" i="1" s="1"/>
  <c r="AP1016" i="1" s="1"/>
  <c r="I1017" i="1" l="1"/>
  <c r="Q1017" i="1" s="1"/>
  <c r="AM1017" i="1"/>
  <c r="N1017" i="1"/>
  <c r="AH1016" i="1"/>
  <c r="P1017" i="1"/>
  <c r="V1017" i="1" l="1"/>
  <c r="BE1017" i="1"/>
  <c r="O1017" i="1"/>
  <c r="P1018" i="1" s="1"/>
  <c r="AY1017" i="1"/>
  <c r="Y1017" i="1"/>
  <c r="X1017" i="1" s="1"/>
  <c r="AF1017" i="1" s="1"/>
  <c r="AG1017" i="1" s="1"/>
  <c r="BA1017" i="1" s="1"/>
  <c r="AQ1017" i="1"/>
  <c r="AX1017" i="1" l="1"/>
  <c r="U1017" i="1" s="1"/>
  <c r="AL1017" i="1" s="1"/>
  <c r="AN1017" i="1" s="1"/>
  <c r="AO1017" i="1" s="1"/>
  <c r="AP1017" i="1" s="1"/>
  <c r="V1018" i="1"/>
  <c r="BE1018" i="1"/>
  <c r="N1018" i="1"/>
  <c r="I1018" i="1"/>
  <c r="Q1018" i="1" s="1"/>
  <c r="AM1018" i="1"/>
  <c r="AY1018" i="1"/>
  <c r="AT1018" i="1"/>
  <c r="AS1018" i="1" s="1"/>
  <c r="AQ1018" i="1" s="1"/>
  <c r="Y1018" i="1"/>
  <c r="X1018" i="1" s="1"/>
  <c r="AF1018" i="1" s="1"/>
  <c r="AH1017" i="1"/>
  <c r="O1018" i="1" l="1"/>
  <c r="N1019" i="1" s="1"/>
  <c r="AX1018" i="1"/>
  <c r="U1018" i="1" s="1"/>
  <c r="AL1018" i="1" s="1"/>
  <c r="AN1018" i="1" s="1"/>
  <c r="AO1018" i="1" s="1"/>
  <c r="AP1018" i="1" s="1"/>
  <c r="AG1018" i="1"/>
  <c r="BA1018" i="1" s="1"/>
  <c r="AM1019" i="1" l="1"/>
  <c r="AT1019" i="1"/>
  <c r="AS1019" i="1" s="1"/>
  <c r="P1019" i="1"/>
  <c r="AH1018" i="1"/>
  <c r="I1019" i="1"/>
  <c r="Q1019" i="1" s="1"/>
  <c r="V1019" i="1" l="1"/>
  <c r="BE1019" i="1"/>
  <c r="O1019" i="1"/>
  <c r="I1020" i="1" s="1"/>
  <c r="Q1020" i="1" s="1"/>
  <c r="AY1019" i="1"/>
  <c r="Y1019" i="1"/>
  <c r="X1019" i="1" s="1"/>
  <c r="AF1019" i="1" s="1"/>
  <c r="AQ1019" i="1"/>
  <c r="AX1019" i="1" l="1"/>
  <c r="U1019" i="1" s="1"/>
  <c r="AL1019" i="1" s="1"/>
  <c r="AN1019" i="1" s="1"/>
  <c r="AO1019" i="1" s="1"/>
  <c r="AP1019" i="1" s="1"/>
  <c r="AH1019" i="1"/>
  <c r="P1020" i="1"/>
  <c r="BE1020" i="1" s="1"/>
  <c r="N1020" i="1"/>
  <c r="O1020" i="1" s="1"/>
  <c r="P1021" i="1" s="1"/>
  <c r="AT1020" i="1"/>
  <c r="AS1020" i="1" s="1"/>
  <c r="AM1020" i="1"/>
  <c r="AG1019" i="1"/>
  <c r="BA1019" i="1" s="1"/>
  <c r="AQ1020" i="1" l="1"/>
  <c r="AY1021" i="1"/>
  <c r="BE1021" i="1"/>
  <c r="N1021" i="1"/>
  <c r="Y1021" i="1"/>
  <c r="AM1021" i="1"/>
  <c r="I1021" i="1"/>
  <c r="Q1021" i="1" s="1"/>
  <c r="AY1020" i="1"/>
  <c r="V1021" i="1"/>
  <c r="V1020" i="1"/>
  <c r="AT1021" i="1"/>
  <c r="AS1021" i="1" s="1"/>
  <c r="AQ1021" i="1" s="1"/>
  <c r="Y1020" i="1"/>
  <c r="X1020" i="1" s="1"/>
  <c r="AF1020" i="1" s="1"/>
  <c r="AG1020" i="1" s="1"/>
  <c r="X1021" i="1" l="1"/>
  <c r="AF1021" i="1" s="1"/>
  <c r="AX1020" i="1"/>
  <c r="U1020" i="1" s="1"/>
  <c r="AL1020" i="1" s="1"/>
  <c r="AN1020" i="1" s="1"/>
  <c r="AO1020" i="1" s="1"/>
  <c r="BA1020" i="1"/>
  <c r="O1021" i="1"/>
  <c r="P1022" i="1" s="1"/>
  <c r="AH1020" i="1"/>
  <c r="AX1021" i="1" s="1"/>
  <c r="U1021" i="1" s="1"/>
  <c r="AL1021" i="1" s="1"/>
  <c r="AN1021" i="1" s="1"/>
  <c r="AO1021" i="1" s="1"/>
  <c r="AP1021" i="1" s="1"/>
  <c r="AY1022" i="1" l="1"/>
  <c r="BE1022" i="1"/>
  <c r="AG1021" i="1"/>
  <c r="BA1021" i="1" s="1"/>
  <c r="Y1022" i="1"/>
  <c r="X1022" i="1" s="1"/>
  <c r="AF1022" i="1" s="1"/>
  <c r="AM1022" i="1"/>
  <c r="AT1022" i="1"/>
  <c r="AS1022" i="1" s="1"/>
  <c r="AQ1022" i="1" s="1"/>
  <c r="I1022" i="1"/>
  <c r="Q1022" i="1" s="1"/>
  <c r="AH1021" i="1"/>
  <c r="N1022" i="1"/>
  <c r="V1022" i="1"/>
  <c r="AX1022" i="1" l="1"/>
  <c r="U1022" i="1" s="1"/>
  <c r="AL1022" i="1" s="1"/>
  <c r="AN1022" i="1" s="1"/>
  <c r="AO1022" i="1" s="1"/>
  <c r="AP1022" i="1" s="1"/>
  <c r="O1022" i="1"/>
  <c r="AT1023" i="1" s="1"/>
  <c r="AS1023" i="1" s="1"/>
  <c r="AG1022" i="1"/>
  <c r="BA1022" i="1" s="1"/>
  <c r="AM1023" i="1" l="1"/>
  <c r="N1023" i="1"/>
  <c r="AH1022" i="1"/>
  <c r="P1023" i="1"/>
  <c r="BE1023" i="1" s="1"/>
  <c r="I1023" i="1"/>
  <c r="Q1023" i="1" s="1"/>
  <c r="AY1023" i="1" l="1"/>
  <c r="AQ1023" i="1"/>
  <c r="V1023" i="1"/>
  <c r="Y1023" i="1"/>
  <c r="X1023" i="1" s="1"/>
  <c r="AF1023" i="1" s="1"/>
  <c r="AG1023" i="1" s="1"/>
  <c r="O1023" i="1"/>
  <c r="AM1024" i="1" s="1"/>
  <c r="BA1023" i="1" l="1"/>
  <c r="AT1024" i="1"/>
  <c r="AS1024" i="1" s="1"/>
  <c r="AX1023" i="1"/>
  <c r="U1023" i="1" s="1"/>
  <c r="AL1023" i="1" s="1"/>
  <c r="AN1023" i="1" s="1"/>
  <c r="AO1023" i="1" s="1"/>
  <c r="AP1023" i="1" s="1"/>
  <c r="P1024" i="1"/>
  <c r="I1024" i="1"/>
  <c r="Q1024" i="1" s="1"/>
  <c r="N1024" i="1"/>
  <c r="AH1023" i="1"/>
  <c r="V1024" i="1" l="1"/>
  <c r="BE1024" i="1"/>
  <c r="AY1024" i="1"/>
  <c r="AQ1024" i="1"/>
  <c r="Y1024" i="1"/>
  <c r="X1024" i="1" s="1"/>
  <c r="AF1024" i="1" s="1"/>
  <c r="AG1024" i="1" s="1"/>
  <c r="BA1024" i="1" s="1"/>
  <c r="O1024" i="1"/>
  <c r="P1025" i="1" s="1"/>
  <c r="AX1024" i="1" l="1"/>
  <c r="U1024" i="1" s="1"/>
  <c r="AL1024" i="1" s="1"/>
  <c r="AN1024" i="1" s="1"/>
  <c r="AO1024" i="1" s="1"/>
  <c r="AP1024" i="1" s="1"/>
  <c r="V1025" i="1"/>
  <c r="BE1025" i="1"/>
  <c r="AT1025" i="1"/>
  <c r="AS1025" i="1" s="1"/>
  <c r="AQ1025" i="1" s="1"/>
  <c r="I1025" i="1"/>
  <c r="Q1025" i="1" s="1"/>
  <c r="AH1024" i="1"/>
  <c r="Y1025" i="1"/>
  <c r="X1025" i="1" s="1"/>
  <c r="AF1025" i="1" s="1"/>
  <c r="N1025" i="1"/>
  <c r="AY1025" i="1"/>
  <c r="AM1025" i="1"/>
  <c r="AX1025" i="1" l="1"/>
  <c r="U1025" i="1" s="1"/>
  <c r="AL1025" i="1" s="1"/>
  <c r="AN1025" i="1" s="1"/>
  <c r="AO1025" i="1" s="1"/>
  <c r="AP1025" i="1" s="1"/>
  <c r="O1025" i="1"/>
  <c r="N1026" i="1" s="1"/>
  <c r="AG1025" i="1"/>
  <c r="BA1025" i="1" s="1"/>
  <c r="AH1025" i="1" l="1"/>
  <c r="AT1026" i="1"/>
  <c r="AS1026" i="1" s="1"/>
  <c r="I1026" i="1"/>
  <c r="Q1026" i="1" s="1"/>
  <c r="P1026" i="1"/>
  <c r="BE1026" i="1" s="1"/>
  <c r="AM1026" i="1"/>
  <c r="O1026" i="1" l="1"/>
  <c r="P1027" i="1" s="1"/>
  <c r="BE1027" i="1" s="1"/>
  <c r="V1026" i="1"/>
  <c r="Y1026" i="1"/>
  <c r="X1026" i="1" s="1"/>
  <c r="AF1026" i="1" s="1"/>
  <c r="AY1026" i="1"/>
  <c r="AQ1026" i="1"/>
  <c r="AY1027" i="1" l="1"/>
  <c r="I1027" i="1"/>
  <c r="Q1027" i="1" s="1"/>
  <c r="AM1027" i="1"/>
  <c r="AT1027" i="1"/>
  <c r="AS1027" i="1" s="1"/>
  <c r="AQ1027" i="1" s="1"/>
  <c r="Y1027" i="1"/>
  <c r="X1027" i="1" s="1"/>
  <c r="AF1027" i="1" s="1"/>
  <c r="N1027" i="1"/>
  <c r="V1027" i="1"/>
  <c r="AX1026" i="1"/>
  <c r="U1026" i="1" s="1"/>
  <c r="AL1026" i="1" s="1"/>
  <c r="AN1026" i="1" s="1"/>
  <c r="AO1026" i="1" s="1"/>
  <c r="AP1026" i="1" s="1"/>
  <c r="AH1026" i="1"/>
  <c r="AG1026" i="1"/>
  <c r="BA1026" i="1" s="1"/>
  <c r="AG1027" i="1" l="1"/>
  <c r="BA1027" i="1" s="1"/>
  <c r="O1027" i="1"/>
  <c r="P1028" i="1" s="1"/>
  <c r="BE1028" i="1" s="1"/>
  <c r="AX1027" i="1"/>
  <c r="U1027" i="1" s="1"/>
  <c r="AL1027" i="1" s="1"/>
  <c r="AN1027" i="1" s="1"/>
  <c r="AO1027" i="1" s="1"/>
  <c r="AP1027" i="1" s="1"/>
  <c r="AT1028" i="1" l="1"/>
  <c r="AS1028" i="1" s="1"/>
  <c r="AQ1028" i="1" s="1"/>
  <c r="I1028" i="1"/>
  <c r="Q1028" i="1" s="1"/>
  <c r="AH1027" i="1"/>
  <c r="AM1028" i="1"/>
  <c r="N1028" i="1"/>
  <c r="Y1028" i="1"/>
  <c r="X1028" i="1" s="1"/>
  <c r="V1028" i="1"/>
  <c r="AY1028" i="1"/>
  <c r="O1028" i="1" l="1"/>
  <c r="N1029" i="1" s="1"/>
  <c r="AX1028" i="1"/>
  <c r="U1028" i="1" s="1"/>
  <c r="AL1028" i="1" s="1"/>
  <c r="AN1028" i="1" s="1"/>
  <c r="AO1028" i="1" s="1"/>
  <c r="AP1028" i="1" s="1"/>
  <c r="AF1028" i="1"/>
  <c r="AT1029" i="1" l="1"/>
  <c r="AS1029" i="1" s="1"/>
  <c r="AM1029" i="1"/>
  <c r="P1029" i="1"/>
  <c r="BE1029" i="1" s="1"/>
  <c r="I1029" i="1"/>
  <c r="Q1029" i="1" s="1"/>
  <c r="AH1028" i="1"/>
  <c r="AG1028" i="1"/>
  <c r="BA1028" i="1" s="1"/>
  <c r="AQ1029" i="1" l="1"/>
  <c r="AY1029" i="1"/>
  <c r="Y1029" i="1"/>
  <c r="X1029" i="1" s="1"/>
  <c r="AF1029" i="1" s="1"/>
  <c r="V1029" i="1"/>
  <c r="O1029" i="1"/>
  <c r="P1030" i="1" s="1"/>
  <c r="BE1030" i="1" s="1"/>
  <c r="AX1029" i="1" l="1"/>
  <c r="U1029" i="1" s="1"/>
  <c r="AL1029" i="1" s="1"/>
  <c r="AN1029" i="1" s="1"/>
  <c r="AO1029" i="1" s="1"/>
  <c r="AP1029" i="1" s="1"/>
  <c r="AT1030" i="1"/>
  <c r="AS1030" i="1" s="1"/>
  <c r="AQ1030" i="1" s="1"/>
  <c r="AH1029" i="1"/>
  <c r="AM1030" i="1"/>
  <c r="AG1029" i="1"/>
  <c r="BA1029" i="1" s="1"/>
  <c r="I1030" i="1"/>
  <c r="N1030" i="1"/>
  <c r="V1030" i="1"/>
  <c r="AY1030" i="1"/>
  <c r="Y1030" i="1"/>
  <c r="X1030" i="1" s="1"/>
  <c r="O1030" i="1" l="1"/>
  <c r="I1031" i="1" s="1"/>
  <c r="Q1030" i="1"/>
  <c r="AX1030" i="1"/>
  <c r="U1030" i="1" s="1"/>
  <c r="AL1030" i="1" s="1"/>
  <c r="AN1030" i="1" s="1"/>
  <c r="AO1030" i="1" s="1"/>
  <c r="AP1030" i="1" s="1"/>
  <c r="AF1030" i="1"/>
  <c r="AM1031" i="1" l="1"/>
  <c r="P1031" i="1"/>
  <c r="AT1031" i="1"/>
  <c r="AS1031" i="1" s="1"/>
  <c r="N1031" i="1"/>
  <c r="O1031" i="1" s="1"/>
  <c r="Q1031" i="1"/>
  <c r="AG1030" i="1"/>
  <c r="BA1030" i="1" s="1"/>
  <c r="AH1030" i="1"/>
  <c r="V1031" i="1" l="1"/>
  <c r="BE1031" i="1"/>
  <c r="AY1031" i="1"/>
  <c r="Y1031" i="1"/>
  <c r="X1031" i="1" s="1"/>
  <c r="AF1031" i="1" s="1"/>
  <c r="AG1031" i="1" s="1"/>
  <c r="AQ1031" i="1"/>
  <c r="AM1032" i="1"/>
  <c r="P1032" i="1"/>
  <c r="BE1032" i="1" s="1"/>
  <c r="AT1032" i="1"/>
  <c r="AS1032" i="1" s="1"/>
  <c r="N1032" i="1"/>
  <c r="I1032" i="1"/>
  <c r="BA1031" i="1" l="1"/>
  <c r="AX1031" i="1"/>
  <c r="U1031" i="1" s="1"/>
  <c r="AL1031" i="1" s="1"/>
  <c r="AN1031" i="1" s="1"/>
  <c r="AO1031" i="1" s="1"/>
  <c r="AP1031" i="1" s="1"/>
  <c r="AH1031" i="1"/>
  <c r="Q1032" i="1"/>
  <c r="O1032" i="1"/>
  <c r="V1032" i="1"/>
  <c r="Y1032" i="1"/>
  <c r="X1032" i="1" s="1"/>
  <c r="AF1032" i="1" s="1"/>
  <c r="AY1032" i="1"/>
  <c r="AQ1032" i="1"/>
  <c r="AX1032" i="1" l="1"/>
  <c r="U1032" i="1" s="1"/>
  <c r="AL1032" i="1" s="1"/>
  <c r="AN1032" i="1" s="1"/>
  <c r="AO1032" i="1" s="1"/>
  <c r="AT1033" i="1"/>
  <c r="AS1033" i="1" s="1"/>
  <c r="N1033" i="1"/>
  <c r="I1033" i="1"/>
  <c r="AM1033" i="1"/>
  <c r="P1033" i="1"/>
  <c r="BE1033" i="1" s="1"/>
  <c r="AG1032" i="1"/>
  <c r="BA1032" i="1" s="1"/>
  <c r="AH1032" i="1"/>
  <c r="Q1033" i="1" l="1"/>
  <c r="O1033" i="1"/>
  <c r="V1033" i="1"/>
  <c r="AQ1033" i="1"/>
  <c r="AY1033" i="1"/>
  <c r="Y1033" i="1"/>
  <c r="X1033" i="1" s="1"/>
  <c r="AF1033" i="1" s="1"/>
  <c r="AX1033" i="1" l="1"/>
  <c r="U1033" i="1" s="1"/>
  <c r="AL1033" i="1" s="1"/>
  <c r="AN1033" i="1" s="1"/>
  <c r="AO1033" i="1" s="1"/>
  <c r="AP1033" i="1" s="1"/>
  <c r="AM1034" i="1"/>
  <c r="N1034" i="1"/>
  <c r="AT1034" i="1"/>
  <c r="AS1034" i="1" s="1"/>
  <c r="I1034" i="1"/>
  <c r="Q1034" i="1" s="1"/>
  <c r="P1034" i="1"/>
  <c r="BE1034" i="1" s="1"/>
  <c r="AG1033" i="1"/>
  <c r="BA1033" i="1" s="1"/>
  <c r="AH1033" i="1"/>
  <c r="O1034" i="1" l="1"/>
  <c r="Y1034" i="1"/>
  <c r="X1034" i="1" s="1"/>
  <c r="AF1034" i="1" s="1"/>
  <c r="V1034" i="1"/>
  <c r="AQ1034" i="1"/>
  <c r="AY1034" i="1"/>
  <c r="AX1034" i="1" l="1"/>
  <c r="U1034" i="1" s="1"/>
  <c r="AL1034" i="1" s="1"/>
  <c r="AN1034" i="1" s="1"/>
  <c r="AO1034" i="1" s="1"/>
  <c r="AP1034" i="1" s="1"/>
  <c r="AT1035" i="1"/>
  <c r="AS1035" i="1" s="1"/>
  <c r="AM1035" i="1"/>
  <c r="N1035" i="1"/>
  <c r="I1035" i="1"/>
  <c r="Q1035" i="1" s="1"/>
  <c r="P1035" i="1"/>
  <c r="BE1035" i="1" s="1"/>
  <c r="AG1034" i="1"/>
  <c r="BA1034" i="1" s="1"/>
  <c r="AH1034" i="1"/>
  <c r="O1035" i="1" l="1"/>
  <c r="AY1035" i="1"/>
  <c r="AQ1035" i="1"/>
  <c r="Y1035" i="1"/>
  <c r="X1035" i="1" s="1"/>
  <c r="V1035" i="1"/>
  <c r="AX1035" i="1" l="1"/>
  <c r="U1035" i="1" s="1"/>
  <c r="AL1035" i="1" s="1"/>
  <c r="AN1035" i="1" s="1"/>
  <c r="AO1035" i="1" s="1"/>
  <c r="AP1035" i="1" s="1"/>
  <c r="AF1035" i="1"/>
  <c r="P1036" i="1"/>
  <c r="BE1036" i="1" s="1"/>
  <c r="AT1036" i="1"/>
  <c r="AS1036" i="1" s="1"/>
  <c r="N1036" i="1"/>
  <c r="I1036" i="1"/>
  <c r="AM1036" i="1"/>
  <c r="AQ1036" i="1" l="1"/>
  <c r="V1036" i="1"/>
  <c r="Y1036" i="1"/>
  <c r="X1036" i="1" s="1"/>
  <c r="AF1036" i="1" s="1"/>
  <c r="AY1036" i="1"/>
  <c r="Q1036" i="1"/>
  <c r="O1036" i="1"/>
  <c r="AG1035" i="1"/>
  <c r="BA1035" i="1" s="1"/>
  <c r="AH1035" i="1"/>
  <c r="AX1036" i="1" l="1"/>
  <c r="U1036" i="1" s="1"/>
  <c r="AL1036" i="1" s="1"/>
  <c r="AN1036" i="1" s="1"/>
  <c r="AO1036" i="1" s="1"/>
  <c r="AP1036" i="1" s="1"/>
  <c r="AG1036" i="1"/>
  <c r="BA1036" i="1" s="1"/>
  <c r="AH1036" i="1"/>
  <c r="N1037" i="1"/>
  <c r="AT1037" i="1"/>
  <c r="AS1037" i="1" s="1"/>
  <c r="AM1037" i="1"/>
  <c r="I1037" i="1"/>
  <c r="P1037" i="1"/>
  <c r="BE1037" i="1" s="1"/>
  <c r="Q1037" i="1" l="1"/>
  <c r="O1037" i="1"/>
  <c r="V1037" i="1"/>
  <c r="AQ1037" i="1"/>
  <c r="Y1037" i="1"/>
  <c r="X1037" i="1" s="1"/>
  <c r="AY1037" i="1"/>
  <c r="AX1037" i="1" l="1"/>
  <c r="U1037" i="1" s="1"/>
  <c r="AL1037" i="1" s="1"/>
  <c r="AN1037" i="1" s="1"/>
  <c r="AO1037" i="1" s="1"/>
  <c r="AP1037" i="1" s="1"/>
  <c r="P1038" i="1"/>
  <c r="BE1038" i="1" s="1"/>
  <c r="AT1038" i="1"/>
  <c r="AS1038" i="1" s="1"/>
  <c r="N1038" i="1"/>
  <c r="I1038" i="1"/>
  <c r="AM1038" i="1"/>
  <c r="AF1037" i="1"/>
  <c r="AQ1038" i="1" l="1"/>
  <c r="Q1038" i="1"/>
  <c r="O1038" i="1"/>
  <c r="AG1037" i="1"/>
  <c r="BA1037" i="1" s="1"/>
  <c r="AH1037" i="1"/>
  <c r="AY1038" i="1"/>
  <c r="Y1038" i="1"/>
  <c r="X1038" i="1" s="1"/>
  <c r="AF1038" i="1" s="1"/>
  <c r="V1038" i="1"/>
  <c r="AX1038" i="1" l="1"/>
  <c r="U1038" i="1" s="1"/>
  <c r="AL1038" i="1" s="1"/>
  <c r="AN1038" i="1" s="1"/>
  <c r="AO1038" i="1" s="1"/>
  <c r="AP1038" i="1" s="1"/>
  <c r="AG1038" i="1"/>
  <c r="BA1038" i="1" s="1"/>
  <c r="AH1038" i="1"/>
  <c r="AM1039" i="1"/>
  <c r="P1039" i="1"/>
  <c r="BE1039" i="1" s="1"/>
  <c r="AT1039" i="1"/>
  <c r="AS1039" i="1" s="1"/>
  <c r="N1039" i="1"/>
  <c r="I1039" i="1"/>
  <c r="Q1039" i="1" l="1"/>
  <c r="O1039" i="1"/>
  <c r="AY1039" i="1"/>
  <c r="V1039" i="1"/>
  <c r="AQ1039" i="1"/>
  <c r="Y1039" i="1"/>
  <c r="X1039" i="1" s="1"/>
  <c r="AF1039" i="1" s="1"/>
  <c r="AG1039" i="1" s="1"/>
  <c r="AX1039" i="1" l="1"/>
  <c r="U1039" i="1" s="1"/>
  <c r="AL1039" i="1" s="1"/>
  <c r="AN1039" i="1" s="1"/>
  <c r="AO1039" i="1" s="1"/>
  <c r="AP1039" i="1" s="1"/>
  <c r="BA1039" i="1"/>
  <c r="AH1039" i="1"/>
  <c r="AT1040" i="1"/>
  <c r="AS1040" i="1" s="1"/>
  <c r="N1040" i="1"/>
  <c r="AM1040" i="1"/>
  <c r="I1040" i="1"/>
  <c r="P1040" i="1"/>
  <c r="BE1040" i="1" s="1"/>
  <c r="AY1040" i="1" l="1"/>
  <c r="V1040" i="1"/>
  <c r="AQ1040" i="1"/>
  <c r="Y1040" i="1"/>
  <c r="X1040" i="1" s="1"/>
  <c r="AF1040" i="1" s="1"/>
  <c r="Q1040" i="1"/>
  <c r="O1040" i="1"/>
  <c r="AX1040" i="1" l="1"/>
  <c r="U1040" i="1" s="1"/>
  <c r="AL1040" i="1" s="1"/>
  <c r="AN1040" i="1" s="1"/>
  <c r="AO1040" i="1" s="1"/>
  <c r="AP1040" i="1" s="1"/>
  <c r="AM1041" i="1"/>
  <c r="N1041" i="1"/>
  <c r="I1041" i="1"/>
  <c r="Q1041" i="1" s="1"/>
  <c r="P1041" i="1"/>
  <c r="BE1041" i="1" s="1"/>
  <c r="AT1041" i="1"/>
  <c r="AS1041" i="1" s="1"/>
  <c r="AG1040" i="1"/>
  <c r="BA1040" i="1" s="1"/>
  <c r="AH1040" i="1"/>
  <c r="V1041" i="1" l="1"/>
  <c r="Y1041" i="1"/>
  <c r="X1041" i="1" s="1"/>
  <c r="AF1041" i="1" s="1"/>
  <c r="AY1041" i="1"/>
  <c r="O1041" i="1"/>
  <c r="AQ1041" i="1"/>
  <c r="AX1041" i="1" l="1"/>
  <c r="U1041" i="1" s="1"/>
  <c r="AL1041" i="1" s="1"/>
  <c r="AN1041" i="1" s="1"/>
  <c r="AO1041" i="1" s="1"/>
  <c r="AP1041" i="1" s="1"/>
  <c r="P1042" i="1"/>
  <c r="BE1042" i="1" s="1"/>
  <c r="I1042" i="1"/>
  <c r="Q1042" i="1" s="1"/>
  <c r="N1042" i="1"/>
  <c r="AM1042" i="1"/>
  <c r="AT1042" i="1"/>
  <c r="AS1042" i="1" s="1"/>
  <c r="AH1041" i="1"/>
  <c r="AG1041" i="1"/>
  <c r="BA1041" i="1" s="1"/>
  <c r="AQ1042" i="1" l="1"/>
  <c r="O1042" i="1"/>
  <c r="P1043" i="1" s="1"/>
  <c r="V1042" i="1"/>
  <c r="AY1042" i="1"/>
  <c r="Y1042" i="1"/>
  <c r="X1042" i="1" s="1"/>
  <c r="AF1042" i="1" s="1"/>
  <c r="Y1043" i="1" l="1"/>
  <c r="BE1043" i="1"/>
  <c r="AX1042" i="1"/>
  <c r="U1042" i="1" s="1"/>
  <c r="AL1042" i="1" s="1"/>
  <c r="AN1042" i="1" s="1"/>
  <c r="AO1042" i="1" s="1"/>
  <c r="AP1042" i="1" s="1"/>
  <c r="V1043" i="1"/>
  <c r="AT1043" i="1"/>
  <c r="AS1043" i="1" s="1"/>
  <c r="AQ1043" i="1" s="1"/>
  <c r="I1043" i="1"/>
  <c r="Q1043" i="1" s="1"/>
  <c r="AM1043" i="1"/>
  <c r="AY1043" i="1"/>
  <c r="N1043" i="1"/>
  <c r="AG1042" i="1"/>
  <c r="BA1042" i="1" s="1"/>
  <c r="AH1042" i="1"/>
  <c r="X1043" i="1"/>
  <c r="AF1043" i="1" s="1"/>
  <c r="AX1043" i="1" l="1"/>
  <c r="U1043" i="1" s="1"/>
  <c r="AL1043" i="1" s="1"/>
  <c r="AN1043" i="1" s="1"/>
  <c r="AO1043" i="1" s="1"/>
  <c r="AP1043" i="1" s="1"/>
  <c r="O1043" i="1"/>
  <c r="N1044" i="1" s="1"/>
  <c r="AG1043" i="1"/>
  <c r="BA1043" i="1" s="1"/>
  <c r="AT1044" i="1" l="1"/>
  <c r="AS1044" i="1" s="1"/>
  <c r="I1044" i="1"/>
  <c r="Q1044" i="1" s="1"/>
  <c r="AM1044" i="1"/>
  <c r="AH1043" i="1"/>
  <c r="P1044" i="1"/>
  <c r="BE1044" i="1" s="1"/>
  <c r="O1044" i="1" l="1"/>
  <c r="P1045" i="1" s="1"/>
  <c r="AQ1044" i="1"/>
  <c r="V1044" i="1"/>
  <c r="Y1044" i="1"/>
  <c r="X1044" i="1" s="1"/>
  <c r="AF1044" i="1" s="1"/>
  <c r="AY1044" i="1"/>
  <c r="Y1045" i="1" l="1"/>
  <c r="X1045" i="1" s="1"/>
  <c r="AF1045" i="1" s="1"/>
  <c r="BE1045" i="1"/>
  <c r="AX1044" i="1"/>
  <c r="U1044" i="1" s="1"/>
  <c r="AL1044" i="1" s="1"/>
  <c r="AN1044" i="1" s="1"/>
  <c r="AO1044" i="1" s="1"/>
  <c r="AY1045" i="1"/>
  <c r="AT1045" i="1"/>
  <c r="AS1045" i="1" s="1"/>
  <c r="AQ1045" i="1" s="1"/>
  <c r="AM1045" i="1"/>
  <c r="N1045" i="1"/>
  <c r="V1045" i="1"/>
  <c r="I1045" i="1"/>
  <c r="Q1045" i="1" s="1"/>
  <c r="AH1044" i="1"/>
  <c r="AG1044" i="1"/>
  <c r="BA1044" i="1" s="1"/>
  <c r="AX1045" i="1" l="1"/>
  <c r="U1045" i="1" s="1"/>
  <c r="AL1045" i="1" s="1"/>
  <c r="AN1045" i="1" s="1"/>
  <c r="AO1045" i="1" s="1"/>
  <c r="AP1045" i="1" s="1"/>
  <c r="AG1045" i="1"/>
  <c r="BA1045" i="1" s="1"/>
  <c r="O1045" i="1"/>
  <c r="P1046" i="1" s="1"/>
  <c r="BE1046" i="1" s="1"/>
  <c r="AT1046" i="1" l="1"/>
  <c r="AS1046" i="1" s="1"/>
  <c r="AQ1046" i="1" s="1"/>
  <c r="AH1045" i="1"/>
  <c r="I1046" i="1"/>
  <c r="Q1046" i="1" s="1"/>
  <c r="Y1046" i="1"/>
  <c r="X1046" i="1" s="1"/>
  <c r="AF1046" i="1" s="1"/>
  <c r="V1046" i="1"/>
  <c r="N1046" i="1"/>
  <c r="AM1046" i="1"/>
  <c r="AY1046" i="1"/>
  <c r="AX1046" i="1" l="1"/>
  <c r="U1046" i="1" s="1"/>
  <c r="AL1046" i="1" s="1"/>
  <c r="AN1046" i="1" s="1"/>
  <c r="AO1046" i="1" s="1"/>
  <c r="AP1046" i="1" s="1"/>
  <c r="AG1046" i="1"/>
  <c r="BA1046" i="1" s="1"/>
  <c r="O1046" i="1"/>
  <c r="I1047" i="1" l="1"/>
  <c r="Q1047" i="1" s="1"/>
  <c r="P1047" i="1"/>
  <c r="BE1047" i="1" s="1"/>
  <c r="AM1047" i="1"/>
  <c r="AH1046" i="1"/>
  <c r="AT1047" i="1"/>
  <c r="AS1047" i="1" s="1"/>
  <c r="N1047" i="1"/>
  <c r="O1047" i="1" l="1"/>
  <c r="P1048" i="1" s="1"/>
  <c r="BE1048" i="1" s="1"/>
  <c r="Y1047" i="1"/>
  <c r="X1047" i="1" s="1"/>
  <c r="AY1047" i="1"/>
  <c r="AQ1047" i="1"/>
  <c r="V1047" i="1"/>
  <c r="AX1047" i="1" l="1"/>
  <c r="U1047" i="1" s="1"/>
  <c r="AL1047" i="1" s="1"/>
  <c r="AN1047" i="1" s="1"/>
  <c r="AO1047" i="1" s="1"/>
  <c r="AP1047" i="1" s="1"/>
  <c r="AF1047" i="1"/>
  <c r="AH1047" i="1" s="1"/>
  <c r="AM1048" i="1"/>
  <c r="I1048" i="1"/>
  <c r="Q1048" i="1" s="1"/>
  <c r="AT1048" i="1"/>
  <c r="AS1048" i="1" s="1"/>
  <c r="AQ1048" i="1" s="1"/>
  <c r="N1048" i="1"/>
  <c r="AY1048" i="1"/>
  <c r="Y1048" i="1"/>
  <c r="X1048" i="1" s="1"/>
  <c r="AF1048" i="1" s="1"/>
  <c r="V1048" i="1"/>
  <c r="AX1048" i="1" l="1"/>
  <c r="U1048" i="1" s="1"/>
  <c r="AL1048" i="1" s="1"/>
  <c r="AN1048" i="1" s="1"/>
  <c r="AO1048" i="1" s="1"/>
  <c r="AP1048" i="1" s="1"/>
  <c r="AG1047" i="1"/>
  <c r="BA1047" i="1" s="1"/>
  <c r="O1048" i="1"/>
  <c r="AH1048" i="1" s="1"/>
  <c r="AG1048" i="1"/>
  <c r="BA1048" i="1" s="1"/>
  <c r="N1049" i="1" l="1"/>
  <c r="I1049" i="1"/>
  <c r="Q1049" i="1" s="1"/>
  <c r="P1049" i="1"/>
  <c r="AM1049" i="1"/>
  <c r="AT1049" i="1"/>
  <c r="AS1049" i="1" s="1"/>
  <c r="AY1049" i="1" l="1"/>
  <c r="BE1049" i="1"/>
  <c r="O1049" i="1"/>
  <c r="AT1050" i="1" s="1"/>
  <c r="AS1050" i="1" s="1"/>
  <c r="V1049" i="1"/>
  <c r="AQ1049" i="1"/>
  <c r="Y1049" i="1"/>
  <c r="X1049" i="1" s="1"/>
  <c r="AF1049" i="1" s="1"/>
  <c r="AH1049" i="1" l="1"/>
  <c r="AX1049" i="1"/>
  <c r="U1049" i="1" s="1"/>
  <c r="AL1049" i="1" s="1"/>
  <c r="AN1049" i="1" s="1"/>
  <c r="AO1049" i="1" s="1"/>
  <c r="AP1049" i="1" s="1"/>
  <c r="N1050" i="1"/>
  <c r="I1050" i="1"/>
  <c r="Q1050" i="1" s="1"/>
  <c r="AM1050" i="1"/>
  <c r="P1050" i="1"/>
  <c r="BE1050" i="1" s="1"/>
  <c r="AG1049" i="1"/>
  <c r="BA1049" i="1" s="1"/>
  <c r="O1050" i="1" l="1"/>
  <c r="P1051" i="1" s="1"/>
  <c r="BE1051" i="1" s="1"/>
  <c r="AQ1050" i="1"/>
  <c r="V1050" i="1"/>
  <c r="Y1050" i="1"/>
  <c r="X1050" i="1" s="1"/>
  <c r="AF1050" i="1" s="1"/>
  <c r="AY1050" i="1"/>
  <c r="AX1050" i="1" l="1"/>
  <c r="U1050" i="1" s="1"/>
  <c r="AL1050" i="1" s="1"/>
  <c r="AN1050" i="1" s="1"/>
  <c r="AO1050" i="1" s="1"/>
  <c r="AP1050" i="1" s="1"/>
  <c r="AH1050" i="1"/>
  <c r="AT1051" i="1"/>
  <c r="AS1051" i="1" s="1"/>
  <c r="AQ1051" i="1" s="1"/>
  <c r="Y1051" i="1"/>
  <c r="X1051" i="1" s="1"/>
  <c r="AF1051" i="1" s="1"/>
  <c r="N1051" i="1"/>
  <c r="I1051" i="1"/>
  <c r="Q1051" i="1" s="1"/>
  <c r="V1051" i="1"/>
  <c r="AY1051" i="1"/>
  <c r="AM1051" i="1"/>
  <c r="AG1050" i="1"/>
  <c r="BA1050" i="1" s="1"/>
  <c r="AX1051" i="1" l="1"/>
  <c r="U1051" i="1" s="1"/>
  <c r="AL1051" i="1" s="1"/>
  <c r="AN1051" i="1" s="1"/>
  <c r="AO1051" i="1" s="1"/>
  <c r="AP1051" i="1" s="1"/>
  <c r="AG1051" i="1"/>
  <c r="BA1051" i="1" s="1"/>
  <c r="O1051" i="1"/>
  <c r="N1052" i="1" s="1"/>
  <c r="P1052" i="1" l="1"/>
  <c r="BE1052" i="1" s="1"/>
  <c r="AM1052" i="1"/>
  <c r="AH1051" i="1"/>
  <c r="AT1052" i="1"/>
  <c r="AS1052" i="1" s="1"/>
  <c r="I1052" i="1"/>
  <c r="Q1052" i="1" s="1"/>
  <c r="O1052" i="1" l="1"/>
  <c r="I1053" i="1" s="1"/>
  <c r="Q1053" i="1" s="1"/>
  <c r="AQ1052" i="1"/>
  <c r="AY1052" i="1"/>
  <c r="Y1052" i="1"/>
  <c r="X1052" i="1" s="1"/>
  <c r="AF1052" i="1" s="1"/>
  <c r="AG1052" i="1" s="1"/>
  <c r="V1052" i="1"/>
  <c r="AX1052" i="1" l="1"/>
  <c r="U1052" i="1" s="1"/>
  <c r="AL1052" i="1" s="1"/>
  <c r="AN1052" i="1" s="1"/>
  <c r="AO1052" i="1" s="1"/>
  <c r="AP1052" i="1" s="1"/>
  <c r="N1053" i="1"/>
  <c r="O1053" i="1" s="1"/>
  <c r="P1054" i="1" s="1"/>
  <c r="BE1054" i="1" s="1"/>
  <c r="P1053" i="1"/>
  <c r="AM1053" i="1"/>
  <c r="AT1053" i="1"/>
  <c r="AS1053" i="1" s="1"/>
  <c r="BA1052" i="1"/>
  <c r="AH1052" i="1"/>
  <c r="Y1053" i="1" l="1"/>
  <c r="X1053" i="1" s="1"/>
  <c r="AF1053" i="1" s="1"/>
  <c r="BE1053" i="1"/>
  <c r="AQ1053" i="1"/>
  <c r="V1053" i="1"/>
  <c r="AY1053" i="1"/>
  <c r="I1054" i="1"/>
  <c r="Q1054" i="1" s="1"/>
  <c r="AT1054" i="1"/>
  <c r="AS1054" i="1" s="1"/>
  <c r="AQ1054" i="1" s="1"/>
  <c r="AM1054" i="1"/>
  <c r="N1054" i="1"/>
  <c r="V1054" i="1"/>
  <c r="Y1054" i="1"/>
  <c r="AY1054" i="1"/>
  <c r="X1054" i="1" l="1"/>
  <c r="AF1054" i="1" s="1"/>
  <c r="AG1054" i="1" s="1"/>
  <c r="BA1054" i="1" s="1"/>
  <c r="AH1053" i="1"/>
  <c r="AG1053" i="1"/>
  <c r="BA1053" i="1" s="1"/>
  <c r="AX1053" i="1"/>
  <c r="U1053" i="1" s="1"/>
  <c r="AL1053" i="1" s="1"/>
  <c r="AN1053" i="1" s="1"/>
  <c r="AO1053" i="1" s="1"/>
  <c r="AP1053" i="1" s="1"/>
  <c r="O1054" i="1"/>
  <c r="N1055" i="1" s="1"/>
  <c r="AX1054" i="1" l="1"/>
  <c r="U1054" i="1" s="1"/>
  <c r="AL1054" i="1" s="1"/>
  <c r="AN1054" i="1" s="1"/>
  <c r="AO1054" i="1" s="1"/>
  <c r="AP1054" i="1" s="1"/>
  <c r="AH1054" i="1"/>
  <c r="AT1055" i="1"/>
  <c r="AS1055" i="1" s="1"/>
  <c r="I1055" i="1"/>
  <c r="Q1055" i="1" s="1"/>
  <c r="AM1055" i="1"/>
  <c r="P1055" i="1"/>
  <c r="V1055" i="1" l="1"/>
  <c r="BE1055" i="1"/>
  <c r="O1055" i="1"/>
  <c r="P1056" i="1" s="1"/>
  <c r="Y1055" i="1"/>
  <c r="X1055" i="1" s="1"/>
  <c r="AF1055" i="1" s="1"/>
  <c r="AY1055" i="1"/>
  <c r="AQ1055" i="1"/>
  <c r="V1056" i="1" l="1"/>
  <c r="BE1056" i="1"/>
  <c r="AX1055" i="1"/>
  <c r="U1055" i="1" s="1"/>
  <c r="AL1055" i="1" s="1"/>
  <c r="AN1055" i="1" s="1"/>
  <c r="AO1055" i="1" s="1"/>
  <c r="AP1055" i="1" s="1"/>
  <c r="N1056" i="1"/>
  <c r="I1056" i="1"/>
  <c r="Q1056" i="1" s="1"/>
  <c r="AY1056" i="1"/>
  <c r="Y1056" i="1"/>
  <c r="X1056" i="1" s="1"/>
  <c r="AF1056" i="1" s="1"/>
  <c r="AM1056" i="1"/>
  <c r="AT1056" i="1"/>
  <c r="AS1056" i="1" s="1"/>
  <c r="AQ1056" i="1" s="1"/>
  <c r="AH1055" i="1"/>
  <c r="AG1055" i="1"/>
  <c r="BA1055" i="1" s="1"/>
  <c r="AX1056" i="1" l="1"/>
  <c r="U1056" i="1" s="1"/>
  <c r="AL1056" i="1" s="1"/>
  <c r="AN1056" i="1" s="1"/>
  <c r="AO1056" i="1" s="1"/>
  <c r="O1056" i="1"/>
  <c r="N1057" i="1" s="1"/>
  <c r="AG1056" i="1"/>
  <c r="BA1056" i="1" s="1"/>
  <c r="I1057" i="1" l="1"/>
  <c r="Q1057" i="1" s="1"/>
  <c r="P1057" i="1"/>
  <c r="BE1057" i="1" s="1"/>
  <c r="AM1057" i="1"/>
  <c r="AH1056" i="1"/>
  <c r="AT1057" i="1"/>
  <c r="AS1057" i="1" s="1"/>
  <c r="V1057" i="1" l="1"/>
  <c r="AQ1057" i="1"/>
  <c r="O1057" i="1"/>
  <c r="AT1058" i="1" s="1"/>
  <c r="AS1058" i="1" s="1"/>
  <c r="AY1057" i="1"/>
  <c r="Y1057" i="1"/>
  <c r="X1057" i="1" s="1"/>
  <c r="AF1057" i="1" s="1"/>
  <c r="AX1057" i="1" l="1"/>
  <c r="U1057" i="1" s="1"/>
  <c r="AL1057" i="1" s="1"/>
  <c r="AN1057" i="1" s="1"/>
  <c r="AO1057" i="1" s="1"/>
  <c r="AP1057" i="1" s="1"/>
  <c r="N1058" i="1"/>
  <c r="P1058" i="1"/>
  <c r="I1058" i="1"/>
  <c r="Q1058" i="1" s="1"/>
  <c r="AM1058" i="1"/>
  <c r="AG1057" i="1"/>
  <c r="BA1057" i="1" s="1"/>
  <c r="AH1057" i="1"/>
  <c r="AY1058" i="1" l="1"/>
  <c r="BE1058" i="1"/>
  <c r="O1058" i="1"/>
  <c r="AT1059" i="1" s="1"/>
  <c r="AS1059" i="1" s="1"/>
  <c r="AQ1058" i="1"/>
  <c r="V1058" i="1"/>
  <c r="Y1058" i="1"/>
  <c r="X1058" i="1" s="1"/>
  <c r="AF1058" i="1" s="1"/>
  <c r="AX1058" i="1" l="1"/>
  <c r="U1058" i="1" s="1"/>
  <c r="AL1058" i="1" s="1"/>
  <c r="AN1058" i="1" s="1"/>
  <c r="AO1058" i="1" s="1"/>
  <c r="AP1058" i="1" s="1"/>
  <c r="N1059" i="1"/>
  <c r="I1059" i="1"/>
  <c r="Q1059" i="1" s="1"/>
  <c r="P1059" i="1"/>
  <c r="BE1059" i="1" s="1"/>
  <c r="AM1059" i="1"/>
  <c r="AH1058" i="1"/>
  <c r="AG1058" i="1"/>
  <c r="BA1058" i="1" s="1"/>
  <c r="AY1059" i="1" l="1"/>
  <c r="O1059" i="1"/>
  <c r="AT1060" i="1" s="1"/>
  <c r="AS1060" i="1" s="1"/>
  <c r="V1059" i="1"/>
  <c r="AQ1059" i="1"/>
  <c r="Y1059" i="1"/>
  <c r="X1059" i="1" s="1"/>
  <c r="AF1059" i="1" s="1"/>
  <c r="AX1059" i="1" l="1"/>
  <c r="U1059" i="1" s="1"/>
  <c r="AL1059" i="1" s="1"/>
  <c r="AN1059" i="1" s="1"/>
  <c r="AO1059" i="1" s="1"/>
  <c r="AP1059" i="1" s="1"/>
  <c r="N1060" i="1"/>
  <c r="AM1060" i="1"/>
  <c r="P1060" i="1"/>
  <c r="I1060" i="1"/>
  <c r="Q1060" i="1" s="1"/>
  <c r="AG1059" i="1"/>
  <c r="BA1059" i="1" s="1"/>
  <c r="AH1059" i="1"/>
  <c r="V1060" i="1" l="1"/>
  <c r="BE1060" i="1"/>
  <c r="AQ1060" i="1"/>
  <c r="Y1060" i="1"/>
  <c r="X1060" i="1" s="1"/>
  <c r="AF1060" i="1" s="1"/>
  <c r="AY1060" i="1"/>
  <c r="O1060" i="1"/>
  <c r="P1061" i="1" s="1"/>
  <c r="AY1061" i="1" l="1"/>
  <c r="BE1061" i="1"/>
  <c r="AX1060" i="1"/>
  <c r="U1060" i="1" s="1"/>
  <c r="AL1060" i="1" s="1"/>
  <c r="AN1060" i="1" s="1"/>
  <c r="AO1060" i="1" s="1"/>
  <c r="AP1060" i="1" s="1"/>
  <c r="AG1060" i="1"/>
  <c r="BA1060" i="1" s="1"/>
  <c r="AT1061" i="1"/>
  <c r="AS1061" i="1" s="1"/>
  <c r="AQ1061" i="1" s="1"/>
  <c r="Y1061" i="1"/>
  <c r="X1061" i="1" s="1"/>
  <c r="AF1061" i="1" s="1"/>
  <c r="AH1060" i="1"/>
  <c r="V1061" i="1"/>
  <c r="AM1061" i="1"/>
  <c r="I1061" i="1"/>
  <c r="Q1061" i="1" s="1"/>
  <c r="N1061" i="1"/>
  <c r="AX1061" i="1" l="1"/>
  <c r="U1061" i="1" s="1"/>
  <c r="AL1061" i="1" s="1"/>
  <c r="AN1061" i="1" s="1"/>
  <c r="AO1061" i="1" s="1"/>
  <c r="AP1061" i="1" s="1"/>
  <c r="AG1061" i="1"/>
  <c r="BA1061" i="1" s="1"/>
  <c r="O1061" i="1"/>
  <c r="N1062" i="1" s="1"/>
  <c r="P1062" i="1" l="1"/>
  <c r="BE1062" i="1" s="1"/>
  <c r="AT1062" i="1"/>
  <c r="AS1062" i="1" s="1"/>
  <c r="AH1061" i="1"/>
  <c r="AM1062" i="1"/>
  <c r="I1062" i="1"/>
  <c r="Q1062" i="1" s="1"/>
  <c r="V1062" i="1" l="1"/>
  <c r="AY1062" i="1"/>
  <c r="Y1062" i="1"/>
  <c r="X1062" i="1" s="1"/>
  <c r="AF1062" i="1" s="1"/>
  <c r="AQ1062" i="1"/>
  <c r="O1062" i="1"/>
  <c r="AM1063" i="1" s="1"/>
  <c r="AX1062" i="1" l="1"/>
  <c r="U1062" i="1" s="1"/>
  <c r="AL1062" i="1" s="1"/>
  <c r="AN1062" i="1" s="1"/>
  <c r="AO1062" i="1" s="1"/>
  <c r="AP1062" i="1" s="1"/>
  <c r="N1063" i="1"/>
  <c r="P1063" i="1"/>
  <c r="I1063" i="1"/>
  <c r="Q1063" i="1" s="1"/>
  <c r="AT1063" i="1"/>
  <c r="AS1063" i="1" s="1"/>
  <c r="AG1062" i="1"/>
  <c r="BA1062" i="1" s="1"/>
  <c r="AH1062" i="1"/>
  <c r="V1063" i="1" l="1"/>
  <c r="BE1063" i="1"/>
  <c r="AY1063" i="1"/>
  <c r="AQ1063" i="1"/>
  <c r="Y1063" i="1"/>
  <c r="X1063" i="1" s="1"/>
  <c r="AF1063" i="1" s="1"/>
  <c r="O1063" i="1"/>
  <c r="P1064" i="1" s="1"/>
  <c r="BE1064" i="1" s="1"/>
  <c r="AX1063" i="1" l="1"/>
  <c r="U1063" i="1" s="1"/>
  <c r="AL1063" i="1" s="1"/>
  <c r="AN1063" i="1" s="1"/>
  <c r="AO1063" i="1" s="1"/>
  <c r="AP1063" i="1" s="1"/>
  <c r="AT1064" i="1"/>
  <c r="AS1064" i="1" s="1"/>
  <c r="AQ1064" i="1" s="1"/>
  <c r="N1064" i="1"/>
  <c r="I1064" i="1"/>
  <c r="Q1064" i="1" s="1"/>
  <c r="AM1064" i="1"/>
  <c r="AH1063" i="1"/>
  <c r="AG1063" i="1"/>
  <c r="BA1063" i="1" s="1"/>
  <c r="Y1064" i="1"/>
  <c r="X1064" i="1" s="1"/>
  <c r="AF1064" i="1" s="1"/>
  <c r="V1064" i="1"/>
  <c r="AY1064" i="1"/>
  <c r="AG1064" i="1" l="1"/>
  <c r="BA1064" i="1" s="1"/>
  <c r="AX1064" i="1"/>
  <c r="U1064" i="1" s="1"/>
  <c r="AL1064" i="1" s="1"/>
  <c r="AN1064" i="1" s="1"/>
  <c r="AO1064" i="1" s="1"/>
  <c r="AP1064" i="1" s="1"/>
  <c r="O1064" i="1"/>
  <c r="P1065" i="1" s="1"/>
  <c r="BE1065" i="1" s="1"/>
  <c r="I1065" i="1" l="1"/>
  <c r="Q1065" i="1" s="1"/>
  <c r="V1065" i="1"/>
  <c r="AY1065" i="1"/>
  <c r="AM1065" i="1"/>
  <c r="Y1065" i="1"/>
  <c r="X1065" i="1" s="1"/>
  <c r="AF1065" i="1" s="1"/>
  <c r="AT1065" i="1"/>
  <c r="AS1065" i="1" s="1"/>
  <c r="AQ1065" i="1" s="1"/>
  <c r="AH1064" i="1"/>
  <c r="N1065" i="1"/>
  <c r="AX1065" i="1" l="1"/>
  <c r="U1065" i="1" s="1"/>
  <c r="AL1065" i="1" s="1"/>
  <c r="AN1065" i="1" s="1"/>
  <c r="AO1065" i="1" s="1"/>
  <c r="AP1065" i="1" s="1"/>
  <c r="AG1065" i="1"/>
  <c r="BA1065" i="1" s="1"/>
  <c r="O1065" i="1"/>
  <c r="I1066" i="1" s="1"/>
  <c r="Q1066" i="1" s="1"/>
  <c r="AT1066" i="1" l="1"/>
  <c r="AS1066" i="1" s="1"/>
  <c r="AM1066" i="1"/>
  <c r="P1066" i="1"/>
  <c r="AH1065" i="1"/>
  <c r="N1066" i="1"/>
  <c r="O1066" i="1" s="1"/>
  <c r="I1067" i="1" s="1"/>
  <c r="Q1067" i="1" s="1"/>
  <c r="V1066" i="1" l="1"/>
  <c r="BE1066" i="1"/>
  <c r="AY1066" i="1"/>
  <c r="AT1067" i="1"/>
  <c r="AS1067" i="1" s="1"/>
  <c r="AQ1066" i="1"/>
  <c r="Y1066" i="1"/>
  <c r="X1066" i="1" s="1"/>
  <c r="AF1066" i="1" s="1"/>
  <c r="AH1066" i="1" s="1"/>
  <c r="P1067" i="1"/>
  <c r="BE1067" i="1" s="1"/>
  <c r="N1067" i="1"/>
  <c r="O1067" i="1" s="1"/>
  <c r="AM1067" i="1"/>
  <c r="AX1066" i="1" l="1"/>
  <c r="U1066" i="1" s="1"/>
  <c r="AL1066" i="1" s="1"/>
  <c r="AN1066" i="1" s="1"/>
  <c r="AO1066" i="1" s="1"/>
  <c r="AP1066" i="1" s="1"/>
  <c r="Y1067" i="1"/>
  <c r="X1067" i="1" s="1"/>
  <c r="AF1067" i="1" s="1"/>
  <c r="AY1067" i="1"/>
  <c r="V1067" i="1"/>
  <c r="AQ1067" i="1"/>
  <c r="AG1066" i="1"/>
  <c r="BA1066" i="1" s="1"/>
  <c r="N1068" i="1"/>
  <c r="AT1068" i="1"/>
  <c r="AS1068" i="1" s="1"/>
  <c r="I1068" i="1"/>
  <c r="Q1068" i="1" s="1"/>
  <c r="P1068" i="1"/>
  <c r="BE1068" i="1" s="1"/>
  <c r="AM1068" i="1"/>
  <c r="AG1067" i="1" l="1"/>
  <c r="BA1067" i="1" s="1"/>
  <c r="AX1067" i="1"/>
  <c r="U1067" i="1" s="1"/>
  <c r="AL1067" i="1" s="1"/>
  <c r="AN1067" i="1" s="1"/>
  <c r="AO1067" i="1" s="1"/>
  <c r="AP1067" i="1" s="1"/>
  <c r="AH1067" i="1"/>
  <c r="O1068" i="1"/>
  <c r="AT1069" i="1" s="1"/>
  <c r="AS1069" i="1" s="1"/>
  <c r="AQ1068" i="1"/>
  <c r="Y1068" i="1"/>
  <c r="X1068" i="1" s="1"/>
  <c r="AF1068" i="1" s="1"/>
  <c r="AG1068" i="1" s="1"/>
  <c r="V1068" i="1"/>
  <c r="AY1068" i="1"/>
  <c r="N1069" i="1" l="1"/>
  <c r="AM1069" i="1"/>
  <c r="P1069" i="1"/>
  <c r="BE1069" i="1" s="1"/>
  <c r="I1069" i="1"/>
  <c r="Q1069" i="1" s="1"/>
  <c r="AX1068" i="1"/>
  <c r="U1068" i="1" s="1"/>
  <c r="AL1068" i="1" s="1"/>
  <c r="AN1068" i="1" s="1"/>
  <c r="AO1068" i="1" s="1"/>
  <c r="AH1068" i="1"/>
  <c r="BA1068" i="1"/>
  <c r="O1069" i="1" l="1"/>
  <c r="N1070" i="1" s="1"/>
  <c r="Y1069" i="1"/>
  <c r="X1069" i="1" s="1"/>
  <c r="AF1069" i="1" s="1"/>
  <c r="AQ1069" i="1"/>
  <c r="V1069" i="1"/>
  <c r="AY1069" i="1"/>
  <c r="AM1070" i="1" l="1"/>
  <c r="I1070" i="1"/>
  <c r="Q1070" i="1" s="1"/>
  <c r="P1070" i="1"/>
  <c r="AT1070" i="1"/>
  <c r="AS1070" i="1" s="1"/>
  <c r="AX1069" i="1"/>
  <c r="U1069" i="1" s="1"/>
  <c r="AL1069" i="1" s="1"/>
  <c r="AN1069" i="1" s="1"/>
  <c r="AO1069" i="1" s="1"/>
  <c r="AP1069" i="1" s="1"/>
  <c r="AG1069" i="1"/>
  <c r="BA1069" i="1" s="1"/>
  <c r="AH1069" i="1"/>
  <c r="Y1070" i="1" l="1"/>
  <c r="X1070" i="1" s="1"/>
  <c r="AF1070" i="1" s="1"/>
  <c r="BE1070" i="1"/>
  <c r="AQ1070" i="1"/>
  <c r="O1070" i="1"/>
  <c r="I1071" i="1" s="1"/>
  <c r="Q1071" i="1" s="1"/>
  <c r="AY1070" i="1"/>
  <c r="V1070" i="1"/>
  <c r="AG1070" i="1" l="1"/>
  <c r="BA1070" i="1" s="1"/>
  <c r="AX1070" i="1"/>
  <c r="U1070" i="1" s="1"/>
  <c r="AL1070" i="1" s="1"/>
  <c r="AN1070" i="1" s="1"/>
  <c r="AO1070" i="1" s="1"/>
  <c r="AP1070" i="1" s="1"/>
  <c r="AT1071" i="1"/>
  <c r="AS1071" i="1" s="1"/>
  <c r="AH1070" i="1"/>
  <c r="AM1071" i="1"/>
  <c r="N1071" i="1"/>
  <c r="O1071" i="1" s="1"/>
  <c r="AM1072" i="1" s="1"/>
  <c r="P1071" i="1"/>
  <c r="AY1071" i="1" l="1"/>
  <c r="BE1071" i="1"/>
  <c r="AQ1071" i="1"/>
  <c r="N1072" i="1"/>
  <c r="I1072" i="1"/>
  <c r="Q1072" i="1" s="1"/>
  <c r="P1072" i="1"/>
  <c r="AT1072" i="1"/>
  <c r="AS1072" i="1" s="1"/>
  <c r="V1071" i="1"/>
  <c r="Y1071" i="1"/>
  <c r="X1071" i="1" s="1"/>
  <c r="AF1071" i="1" s="1"/>
  <c r="AH1071" i="1" s="1"/>
  <c r="AX1071" i="1" l="1"/>
  <c r="U1071" i="1" s="1"/>
  <c r="AL1071" i="1" s="1"/>
  <c r="AN1071" i="1" s="1"/>
  <c r="AO1071" i="1" s="1"/>
  <c r="AP1071" i="1" s="1"/>
  <c r="Y1072" i="1"/>
  <c r="X1072" i="1" s="1"/>
  <c r="AF1072" i="1" s="1"/>
  <c r="BE1072" i="1"/>
  <c r="O1072" i="1"/>
  <c r="I1073" i="1" s="1"/>
  <c r="Q1073" i="1" s="1"/>
  <c r="V1072" i="1"/>
  <c r="AY1072" i="1"/>
  <c r="AQ1072" i="1"/>
  <c r="AG1071" i="1"/>
  <c r="BA1071" i="1" s="1"/>
  <c r="AM1073" i="1" l="1"/>
  <c r="N1073" i="1"/>
  <c r="O1073" i="1" s="1"/>
  <c r="P1074" i="1" s="1"/>
  <c r="BE1074" i="1" s="1"/>
  <c r="AT1073" i="1"/>
  <c r="AS1073" i="1" s="1"/>
  <c r="P1073" i="1"/>
  <c r="AG1072" i="1"/>
  <c r="BA1072" i="1" s="1"/>
  <c r="AH1072" i="1"/>
  <c r="AX1072" i="1"/>
  <c r="U1072" i="1" s="1"/>
  <c r="AL1072" i="1" s="1"/>
  <c r="AN1072" i="1" s="1"/>
  <c r="AO1072" i="1" s="1"/>
  <c r="AP1072" i="1" s="1"/>
  <c r="AY1073" i="1" l="1"/>
  <c r="BE1073" i="1"/>
  <c r="AQ1073" i="1"/>
  <c r="V1073" i="1"/>
  <c r="Y1073" i="1"/>
  <c r="X1073" i="1" s="1"/>
  <c r="AF1073" i="1" s="1"/>
  <c r="N1074" i="1"/>
  <c r="I1074" i="1"/>
  <c r="Q1074" i="1" s="1"/>
  <c r="AT1074" i="1"/>
  <c r="AS1074" i="1" s="1"/>
  <c r="AQ1074" i="1" s="1"/>
  <c r="AM1074" i="1"/>
  <c r="V1074" i="1"/>
  <c r="AY1074" i="1"/>
  <c r="Y1074" i="1"/>
  <c r="AX1073" i="1" l="1"/>
  <c r="U1073" i="1" s="1"/>
  <c r="AL1073" i="1" s="1"/>
  <c r="AN1073" i="1" s="1"/>
  <c r="AO1073" i="1" s="1"/>
  <c r="AP1073" i="1" s="1"/>
  <c r="X1074" i="1"/>
  <c r="AF1074" i="1" s="1"/>
  <c r="AH1073" i="1"/>
  <c r="AG1073" i="1"/>
  <c r="BA1073" i="1" s="1"/>
  <c r="O1074" i="1"/>
  <c r="P1075" i="1" s="1"/>
  <c r="BE1075" i="1" s="1"/>
  <c r="AX1074" i="1" l="1"/>
  <c r="U1074" i="1" s="1"/>
  <c r="AL1074" i="1" s="1"/>
  <c r="AN1074" i="1" s="1"/>
  <c r="AO1074" i="1" s="1"/>
  <c r="AP1074" i="1" s="1"/>
  <c r="N1075" i="1"/>
  <c r="AT1075" i="1"/>
  <c r="AS1075" i="1" s="1"/>
  <c r="AQ1075" i="1" s="1"/>
  <c r="AM1075" i="1"/>
  <c r="I1075" i="1"/>
  <c r="Q1075" i="1" s="1"/>
  <c r="AH1074" i="1"/>
  <c r="AG1074" i="1"/>
  <c r="BA1074" i="1" s="1"/>
  <c r="Y1075" i="1"/>
  <c r="X1075" i="1" s="1"/>
  <c r="AF1075" i="1" s="1"/>
  <c r="V1075" i="1"/>
  <c r="AY1075" i="1"/>
  <c r="AG1075" i="1" l="1"/>
  <c r="BA1075" i="1" s="1"/>
  <c r="O1075" i="1"/>
  <c r="AH1075" i="1" s="1"/>
  <c r="AX1075" i="1"/>
  <c r="U1075" i="1" s="1"/>
  <c r="AL1075" i="1" s="1"/>
  <c r="AN1075" i="1" s="1"/>
  <c r="AO1075" i="1" s="1"/>
  <c r="AP1075" i="1" s="1"/>
  <c r="AT1076" i="1" l="1"/>
  <c r="AS1076" i="1" s="1"/>
  <c r="P1076" i="1"/>
  <c r="I1076" i="1"/>
  <c r="Q1076" i="1" s="1"/>
  <c r="N1076" i="1"/>
  <c r="AM1076" i="1"/>
  <c r="V1076" i="1" l="1"/>
  <c r="BE1076" i="1"/>
  <c r="O1076" i="1"/>
  <c r="N1077" i="1" s="1"/>
  <c r="AY1076" i="1"/>
  <c r="Y1076" i="1"/>
  <c r="X1076" i="1" s="1"/>
  <c r="AF1076" i="1" s="1"/>
  <c r="AQ1076" i="1"/>
  <c r="AX1076" i="1" l="1"/>
  <c r="U1076" i="1" s="1"/>
  <c r="AL1076" i="1" s="1"/>
  <c r="AN1076" i="1" s="1"/>
  <c r="AO1076" i="1" s="1"/>
  <c r="AP1076" i="1" s="1"/>
  <c r="I1077" i="1"/>
  <c r="O1077" i="1" s="1"/>
  <c r="AM1078" i="1" s="1"/>
  <c r="P1077" i="1"/>
  <c r="BE1077" i="1" s="1"/>
  <c r="AH1076" i="1"/>
  <c r="AM1077" i="1"/>
  <c r="AT1077" i="1"/>
  <c r="AS1077" i="1" s="1"/>
  <c r="AG1076" i="1"/>
  <c r="BA1076" i="1" s="1"/>
  <c r="Q1077" i="1" l="1"/>
  <c r="AY1077" i="1"/>
  <c r="Y1077" i="1"/>
  <c r="X1077" i="1" s="1"/>
  <c r="AF1077" i="1" s="1"/>
  <c r="AG1077" i="1" s="1"/>
  <c r="I1078" i="1"/>
  <c r="Q1078" i="1" s="1"/>
  <c r="N1078" i="1"/>
  <c r="P1078" i="1"/>
  <c r="BE1078" i="1" s="1"/>
  <c r="AT1078" i="1"/>
  <c r="AS1078" i="1" s="1"/>
  <c r="AQ1077" i="1"/>
  <c r="V1077" i="1"/>
  <c r="O1078" i="1" l="1"/>
  <c r="I1079" i="1" s="1"/>
  <c r="Q1079" i="1" s="1"/>
  <c r="AH1077" i="1"/>
  <c r="BA1077" i="1"/>
  <c r="V1078" i="1"/>
  <c r="AQ1078" i="1"/>
  <c r="AY1078" i="1"/>
  <c r="Y1078" i="1"/>
  <c r="X1078" i="1" s="1"/>
  <c r="AF1078" i="1" s="1"/>
  <c r="AG1078" i="1" s="1"/>
  <c r="AX1077" i="1"/>
  <c r="U1077" i="1" s="1"/>
  <c r="AL1077" i="1" s="1"/>
  <c r="AN1077" i="1" s="1"/>
  <c r="AO1077" i="1" s="1"/>
  <c r="AP1077" i="1" s="1"/>
  <c r="P1079" i="1" l="1"/>
  <c r="AM1079" i="1"/>
  <c r="N1079" i="1"/>
  <c r="O1079" i="1" s="1"/>
  <c r="AT1080" i="1" s="1"/>
  <c r="AS1080" i="1" s="1"/>
  <c r="AT1079" i="1"/>
  <c r="AS1079" i="1" s="1"/>
  <c r="BA1078" i="1"/>
  <c r="AX1078" i="1"/>
  <c r="U1078" i="1" s="1"/>
  <c r="AL1078" i="1" s="1"/>
  <c r="AN1078" i="1" s="1"/>
  <c r="AO1078" i="1" s="1"/>
  <c r="AP1078" i="1" s="1"/>
  <c r="AH1078" i="1"/>
  <c r="V1079" i="1" l="1"/>
  <c r="BE1079" i="1"/>
  <c r="Y1079" i="1"/>
  <c r="X1079" i="1" s="1"/>
  <c r="AF1079" i="1" s="1"/>
  <c r="AG1079" i="1" s="1"/>
  <c r="AQ1079" i="1"/>
  <c r="AY1079" i="1"/>
  <c r="N1080" i="1"/>
  <c r="P1080" i="1"/>
  <c r="AM1080" i="1"/>
  <c r="I1080" i="1"/>
  <c r="Q1080" i="1" s="1"/>
  <c r="AX1079" i="1" l="1"/>
  <c r="U1079" i="1" s="1"/>
  <c r="AL1079" i="1" s="1"/>
  <c r="AN1079" i="1" s="1"/>
  <c r="AO1079" i="1" s="1"/>
  <c r="AP1079" i="1" s="1"/>
  <c r="BA1079" i="1"/>
  <c r="AQ1080" i="1"/>
  <c r="BE1080" i="1"/>
  <c r="AH1079" i="1"/>
  <c r="AY1080" i="1"/>
  <c r="V1080" i="1"/>
  <c r="O1080" i="1"/>
  <c r="I1081" i="1" s="1"/>
  <c r="Q1081" i="1" s="1"/>
  <c r="Y1080" i="1"/>
  <c r="X1080" i="1" s="1"/>
  <c r="AF1080" i="1" s="1"/>
  <c r="AG1080" i="1" s="1"/>
  <c r="AX1080" i="1" l="1"/>
  <c r="U1080" i="1" s="1"/>
  <c r="AL1080" i="1" s="1"/>
  <c r="AN1080" i="1" s="1"/>
  <c r="AO1080" i="1" s="1"/>
  <c r="AT1081" i="1"/>
  <c r="AS1081" i="1" s="1"/>
  <c r="P1081" i="1"/>
  <c r="N1081" i="1"/>
  <c r="O1081" i="1" s="1"/>
  <c r="N1082" i="1" s="1"/>
  <c r="BA1080" i="1"/>
  <c r="AM1081" i="1"/>
  <c r="AH1080" i="1"/>
  <c r="V1081" i="1" l="1"/>
  <c r="BE1081" i="1"/>
  <c r="AQ1081" i="1"/>
  <c r="AY1081" i="1"/>
  <c r="Y1081" i="1"/>
  <c r="X1081" i="1" s="1"/>
  <c r="AF1081" i="1" s="1"/>
  <c r="P1082" i="1"/>
  <c r="I1082" i="1"/>
  <c r="Q1082" i="1" s="1"/>
  <c r="AM1082" i="1"/>
  <c r="AT1082" i="1"/>
  <c r="AS1082" i="1" s="1"/>
  <c r="AY1082" i="1" l="1"/>
  <c r="BE1082" i="1"/>
  <c r="AX1081" i="1"/>
  <c r="U1081" i="1" s="1"/>
  <c r="AL1081" i="1" s="1"/>
  <c r="AN1081" i="1" s="1"/>
  <c r="AO1081" i="1" s="1"/>
  <c r="AP1081" i="1" s="1"/>
  <c r="AQ1082" i="1"/>
  <c r="AG1081" i="1"/>
  <c r="BA1081" i="1" s="1"/>
  <c r="AH1081" i="1"/>
  <c r="Y1082" i="1"/>
  <c r="X1082" i="1" s="1"/>
  <c r="AF1082" i="1" s="1"/>
  <c r="O1082" i="1"/>
  <c r="AM1083" i="1" s="1"/>
  <c r="V1082" i="1"/>
  <c r="AX1082" i="1" l="1"/>
  <c r="U1082" i="1" s="1"/>
  <c r="AL1082" i="1" s="1"/>
  <c r="AN1082" i="1" s="1"/>
  <c r="AO1082" i="1" s="1"/>
  <c r="AP1082" i="1" s="1"/>
  <c r="AT1083" i="1"/>
  <c r="AS1083" i="1" s="1"/>
  <c r="AG1082" i="1"/>
  <c r="BA1082" i="1" s="1"/>
  <c r="AH1082" i="1"/>
  <c r="I1083" i="1"/>
  <c r="Q1083" i="1" s="1"/>
  <c r="P1083" i="1"/>
  <c r="BE1083" i="1" s="1"/>
  <c r="N1083" i="1"/>
  <c r="O1083" i="1" l="1"/>
  <c r="AT1084" i="1" s="1"/>
  <c r="AS1084" i="1" s="1"/>
  <c r="AY1083" i="1"/>
  <c r="V1083" i="1"/>
  <c r="Y1083" i="1"/>
  <c r="X1083" i="1" s="1"/>
  <c r="AF1083" i="1" s="1"/>
  <c r="AG1083" i="1" s="1"/>
  <c r="AQ1083" i="1"/>
  <c r="AX1083" i="1" l="1"/>
  <c r="U1083" i="1" s="1"/>
  <c r="AL1083" i="1" s="1"/>
  <c r="AN1083" i="1" s="1"/>
  <c r="AO1083" i="1" s="1"/>
  <c r="AP1083" i="1" s="1"/>
  <c r="P1084" i="1"/>
  <c r="BE1084" i="1" s="1"/>
  <c r="AM1084" i="1"/>
  <c r="N1084" i="1"/>
  <c r="I1084" i="1"/>
  <c r="Q1084" i="1" s="1"/>
  <c r="AH1083" i="1"/>
  <c r="BA1083" i="1"/>
  <c r="V1084" i="1" l="1"/>
  <c r="AQ1084" i="1"/>
  <c r="AY1084" i="1"/>
  <c r="Y1084" i="1"/>
  <c r="X1084" i="1" s="1"/>
  <c r="AF1084" i="1" s="1"/>
  <c r="AG1084" i="1" s="1"/>
  <c r="O1084" i="1"/>
  <c r="AM1085" i="1" s="1"/>
  <c r="AX1084" i="1" l="1"/>
  <c r="U1084" i="1" s="1"/>
  <c r="AL1084" i="1" s="1"/>
  <c r="AN1084" i="1" s="1"/>
  <c r="AO1084" i="1" s="1"/>
  <c r="AP1084" i="1" s="1"/>
  <c r="BA1084" i="1"/>
  <c r="AH1084" i="1"/>
  <c r="AT1085" i="1"/>
  <c r="AS1085" i="1" s="1"/>
  <c r="P1085" i="1"/>
  <c r="BE1085" i="1" s="1"/>
  <c r="N1085" i="1"/>
  <c r="I1085" i="1"/>
  <c r="Q1085" i="1" s="1"/>
  <c r="AQ1085" i="1" l="1"/>
  <c r="AY1085" i="1"/>
  <c r="V1085" i="1"/>
  <c r="Y1085" i="1"/>
  <c r="X1085" i="1" s="1"/>
  <c r="AF1085" i="1" s="1"/>
  <c r="AG1085" i="1" s="1"/>
  <c r="O1085" i="1"/>
  <c r="N1086" i="1" s="1"/>
  <c r="AX1085" i="1" l="1"/>
  <c r="U1085" i="1" s="1"/>
  <c r="AL1085" i="1" s="1"/>
  <c r="AN1085" i="1" s="1"/>
  <c r="AO1085" i="1" s="1"/>
  <c r="AP1085" i="1" s="1"/>
  <c r="P1086" i="1"/>
  <c r="AM1086" i="1"/>
  <c r="AT1086" i="1"/>
  <c r="AS1086" i="1" s="1"/>
  <c r="BA1085" i="1"/>
  <c r="AH1085" i="1"/>
  <c r="I1086" i="1"/>
  <c r="Q1086" i="1" s="1"/>
  <c r="Y1086" i="1" l="1"/>
  <c r="X1086" i="1" s="1"/>
  <c r="AF1086" i="1" s="1"/>
  <c r="AG1086" i="1" s="1"/>
  <c r="BE1086" i="1"/>
  <c r="AY1086" i="1"/>
  <c r="V1086" i="1"/>
  <c r="AQ1086" i="1"/>
  <c r="O1086" i="1"/>
  <c r="P1087" i="1" s="1"/>
  <c r="BE1087" i="1" s="1"/>
  <c r="AX1086" i="1" l="1"/>
  <c r="U1086" i="1" s="1"/>
  <c r="AL1086" i="1" s="1"/>
  <c r="AN1086" i="1" s="1"/>
  <c r="AO1086" i="1" s="1"/>
  <c r="AP1086" i="1" s="1"/>
  <c r="BA1086" i="1"/>
  <c r="AH1086" i="1"/>
  <c r="AT1087" i="1"/>
  <c r="AS1087" i="1" s="1"/>
  <c r="AQ1087" i="1" s="1"/>
  <c r="V1087" i="1"/>
  <c r="I1087" i="1"/>
  <c r="Q1087" i="1" s="1"/>
  <c r="Y1087" i="1"/>
  <c r="X1087" i="1" s="1"/>
  <c r="AF1087" i="1" s="1"/>
  <c r="AY1087" i="1"/>
  <c r="AM1087" i="1"/>
  <c r="N1087" i="1"/>
  <c r="AX1087" i="1" l="1"/>
  <c r="U1087" i="1" s="1"/>
  <c r="AL1087" i="1" s="1"/>
  <c r="AN1087" i="1" s="1"/>
  <c r="AO1087" i="1" s="1"/>
  <c r="AP1087" i="1" s="1"/>
  <c r="O1087" i="1"/>
  <c r="I1088" i="1" s="1"/>
  <c r="AG1087" i="1"/>
  <c r="BA1087" i="1" s="1"/>
  <c r="P1088" i="1" l="1"/>
  <c r="AT1088" i="1"/>
  <c r="AS1088" i="1" s="1"/>
  <c r="AM1088" i="1"/>
  <c r="N1088" i="1"/>
  <c r="O1088" i="1" s="1"/>
  <c r="AH1087" i="1"/>
  <c r="Q1088" i="1"/>
  <c r="V1088" i="1" l="1"/>
  <c r="BE1088" i="1"/>
  <c r="AY1088" i="1"/>
  <c r="Y1088" i="1"/>
  <c r="X1088" i="1" s="1"/>
  <c r="AF1088" i="1" s="1"/>
  <c r="AQ1088" i="1"/>
  <c r="I1089" i="1"/>
  <c r="Q1089" i="1" s="1"/>
  <c r="N1089" i="1"/>
  <c r="P1089" i="1"/>
  <c r="BE1089" i="1" s="1"/>
  <c r="AT1089" i="1"/>
  <c r="AS1089" i="1" s="1"/>
  <c r="AM1089" i="1"/>
  <c r="AX1088" i="1" l="1"/>
  <c r="U1088" i="1" s="1"/>
  <c r="AL1088" i="1" s="1"/>
  <c r="AN1088" i="1" s="1"/>
  <c r="AO1088" i="1" s="1"/>
  <c r="AP1088" i="1" s="1"/>
  <c r="AG1088" i="1"/>
  <c r="BA1088" i="1" s="1"/>
  <c r="AH1088" i="1"/>
  <c r="O1089" i="1"/>
  <c r="P1090" i="1" s="1"/>
  <c r="BE1090" i="1" s="1"/>
  <c r="AY1089" i="1"/>
  <c r="V1089" i="1"/>
  <c r="AQ1089" i="1"/>
  <c r="Y1089" i="1"/>
  <c r="X1089" i="1" s="1"/>
  <c r="AX1089" i="1" l="1"/>
  <c r="U1089" i="1" s="1"/>
  <c r="AL1089" i="1" s="1"/>
  <c r="AN1089" i="1" s="1"/>
  <c r="AO1089" i="1" s="1"/>
  <c r="AP1089" i="1" s="1"/>
  <c r="N1090" i="1"/>
  <c r="AT1090" i="1"/>
  <c r="AS1090" i="1" s="1"/>
  <c r="AQ1090" i="1" s="1"/>
  <c r="AM1090" i="1"/>
  <c r="I1090" i="1"/>
  <c r="AF1089" i="1"/>
  <c r="Y1090" i="1"/>
  <c r="X1090" i="1" s="1"/>
  <c r="AF1090" i="1" s="1"/>
  <c r="V1090" i="1"/>
  <c r="AY1090" i="1"/>
  <c r="O1090" i="1" l="1"/>
  <c r="AT1091" i="1" s="1"/>
  <c r="AS1091" i="1" s="1"/>
  <c r="Q1090" i="1"/>
  <c r="AH1089" i="1"/>
  <c r="AG1089" i="1"/>
  <c r="BA1089" i="1" s="1"/>
  <c r="AG1090" i="1"/>
  <c r="AX1090" i="1" l="1"/>
  <c r="U1090" i="1" s="1"/>
  <c r="AL1090" i="1" s="1"/>
  <c r="AN1090" i="1" s="1"/>
  <c r="AO1090" i="1" s="1"/>
  <c r="AP1090" i="1" s="1"/>
  <c r="P1091" i="1"/>
  <c r="AH1090" i="1"/>
  <c r="I1091" i="1"/>
  <c r="Q1091" i="1" s="1"/>
  <c r="AM1091" i="1"/>
  <c r="BA1090" i="1"/>
  <c r="N1091" i="1"/>
  <c r="Y1091" i="1" l="1"/>
  <c r="X1091" i="1" s="1"/>
  <c r="AF1091" i="1" s="1"/>
  <c r="AG1091" i="1" s="1"/>
  <c r="BE1091" i="1"/>
  <c r="AQ1091" i="1"/>
  <c r="AY1091" i="1"/>
  <c r="V1091" i="1"/>
  <c r="O1091" i="1"/>
  <c r="AT1092" i="1" s="1"/>
  <c r="AS1092" i="1" s="1"/>
  <c r="AX1091" i="1" l="1"/>
  <c r="U1091" i="1" s="1"/>
  <c r="AL1091" i="1" s="1"/>
  <c r="AN1091" i="1" s="1"/>
  <c r="AO1091" i="1" s="1"/>
  <c r="AP1091" i="1" s="1"/>
  <c r="AM1092" i="1"/>
  <c r="AH1091" i="1"/>
  <c r="I1092" i="1"/>
  <c r="Q1092" i="1" s="1"/>
  <c r="N1092" i="1"/>
  <c r="P1092" i="1"/>
  <c r="BA1091" i="1"/>
  <c r="V1092" i="1" l="1"/>
  <c r="BE1092" i="1"/>
  <c r="AY1092" i="1"/>
  <c r="O1092" i="1"/>
  <c r="N1093" i="1" s="1"/>
  <c r="AQ1092" i="1"/>
  <c r="Y1092" i="1"/>
  <c r="X1092" i="1" s="1"/>
  <c r="AF1092" i="1" s="1"/>
  <c r="AG1092" i="1" s="1"/>
  <c r="BA1092" i="1" l="1"/>
  <c r="AT1093" i="1"/>
  <c r="AS1093" i="1" s="1"/>
  <c r="I1093" i="1"/>
  <c r="Q1093" i="1" s="1"/>
  <c r="AX1092" i="1"/>
  <c r="U1092" i="1" s="1"/>
  <c r="AL1092" i="1" s="1"/>
  <c r="AN1092" i="1" s="1"/>
  <c r="AO1092" i="1" s="1"/>
  <c r="P1093" i="1"/>
  <c r="BE1093" i="1" s="1"/>
  <c r="AM1093" i="1"/>
  <c r="AH1092" i="1"/>
  <c r="O1093" i="1" l="1"/>
  <c r="I1094" i="1" s="1"/>
  <c r="Q1094" i="1" s="1"/>
  <c r="AY1093" i="1"/>
  <c r="AQ1093" i="1"/>
  <c r="V1093" i="1"/>
  <c r="Y1093" i="1"/>
  <c r="X1093" i="1" s="1"/>
  <c r="AF1093" i="1" s="1"/>
  <c r="AT1094" i="1" l="1"/>
  <c r="AS1094" i="1" s="1"/>
  <c r="N1094" i="1"/>
  <c r="O1094" i="1" s="1"/>
  <c r="N1095" i="1" s="1"/>
  <c r="P1094" i="1"/>
  <c r="AM1094" i="1"/>
  <c r="AX1093" i="1"/>
  <c r="U1093" i="1" s="1"/>
  <c r="AL1093" i="1" s="1"/>
  <c r="AN1093" i="1" s="1"/>
  <c r="AO1093" i="1" s="1"/>
  <c r="AP1093" i="1" s="1"/>
  <c r="AG1093" i="1"/>
  <c r="BA1093" i="1" s="1"/>
  <c r="AH1093" i="1"/>
  <c r="Y1094" i="1" l="1"/>
  <c r="X1094" i="1" s="1"/>
  <c r="AF1094" i="1" s="1"/>
  <c r="AG1094" i="1" s="1"/>
  <c r="BE1094" i="1"/>
  <c r="AQ1094" i="1"/>
  <c r="AY1094" i="1"/>
  <c r="V1094" i="1"/>
  <c r="AM1095" i="1"/>
  <c r="AT1095" i="1"/>
  <c r="AS1095" i="1" s="1"/>
  <c r="P1095" i="1"/>
  <c r="I1095" i="1"/>
  <c r="Q1095" i="1" s="1"/>
  <c r="BA1094" i="1" l="1"/>
  <c r="AH1094" i="1"/>
  <c r="Y1095" i="1"/>
  <c r="X1095" i="1" s="1"/>
  <c r="AF1095" i="1" s="1"/>
  <c r="BE1095" i="1"/>
  <c r="AX1094" i="1"/>
  <c r="U1094" i="1" s="1"/>
  <c r="AL1094" i="1" s="1"/>
  <c r="AN1094" i="1" s="1"/>
  <c r="AO1094" i="1" s="1"/>
  <c r="AP1094" i="1" s="1"/>
  <c r="AY1095" i="1"/>
  <c r="AQ1095" i="1"/>
  <c r="V1095" i="1"/>
  <c r="O1095" i="1"/>
  <c r="P1096" i="1" s="1"/>
  <c r="AY1096" i="1" l="1"/>
  <c r="BE1096" i="1"/>
  <c r="AX1095" i="1"/>
  <c r="U1095" i="1" s="1"/>
  <c r="AL1095" i="1" s="1"/>
  <c r="AN1095" i="1" s="1"/>
  <c r="AO1095" i="1" s="1"/>
  <c r="AP1095" i="1" s="1"/>
  <c r="N1096" i="1"/>
  <c r="I1096" i="1"/>
  <c r="Q1096" i="1" s="1"/>
  <c r="Y1096" i="1"/>
  <c r="X1096" i="1" s="1"/>
  <c r="AF1096" i="1" s="1"/>
  <c r="V1096" i="1"/>
  <c r="AM1096" i="1"/>
  <c r="AT1096" i="1"/>
  <c r="AS1096" i="1" s="1"/>
  <c r="AQ1096" i="1" s="1"/>
  <c r="AG1095" i="1"/>
  <c r="BA1095" i="1" s="1"/>
  <c r="AH1095" i="1"/>
  <c r="AG1096" i="1" l="1"/>
  <c r="BA1096" i="1" s="1"/>
  <c r="O1096" i="1"/>
  <c r="P1097" i="1" s="1"/>
  <c r="AX1096" i="1"/>
  <c r="U1096" i="1" s="1"/>
  <c r="AL1096" i="1" s="1"/>
  <c r="AN1096" i="1" s="1"/>
  <c r="AO1096" i="1" s="1"/>
  <c r="AP1096" i="1" s="1"/>
  <c r="AY1097" i="1" l="1"/>
  <c r="BE1097" i="1"/>
  <c r="AM1097" i="1"/>
  <c r="N1097" i="1"/>
  <c r="AH1096" i="1"/>
  <c r="V1097" i="1"/>
  <c r="Y1097" i="1"/>
  <c r="X1097" i="1" s="1"/>
  <c r="AF1097" i="1" s="1"/>
  <c r="AT1097" i="1"/>
  <c r="AS1097" i="1" s="1"/>
  <c r="AQ1097" i="1" s="1"/>
  <c r="I1097" i="1"/>
  <c r="Q1097" i="1" s="1"/>
  <c r="AG1097" i="1" l="1"/>
  <c r="BA1097" i="1" s="1"/>
  <c r="AX1097" i="1"/>
  <c r="U1097" i="1" s="1"/>
  <c r="AL1097" i="1" s="1"/>
  <c r="AN1097" i="1" s="1"/>
  <c r="AO1097" i="1" s="1"/>
  <c r="AP1097" i="1" s="1"/>
  <c r="O1097" i="1"/>
  <c r="AH1097" i="1" s="1"/>
  <c r="AM1098" i="1" l="1"/>
  <c r="N1098" i="1"/>
  <c r="P1098" i="1"/>
  <c r="BE1098" i="1" s="1"/>
  <c r="I1098" i="1"/>
  <c r="Q1098" i="1" s="1"/>
  <c r="AT1098" i="1"/>
  <c r="AS1098" i="1" s="1"/>
  <c r="O1098" i="1" l="1"/>
  <c r="P1099" i="1" s="1"/>
  <c r="BE1099" i="1" s="1"/>
  <c r="V1098" i="1"/>
  <c r="AY1098" i="1"/>
  <c r="Y1098" i="1"/>
  <c r="X1098" i="1" s="1"/>
  <c r="AF1098" i="1" s="1"/>
  <c r="AQ1098" i="1"/>
  <c r="AX1098" i="1" l="1"/>
  <c r="U1098" i="1" s="1"/>
  <c r="AL1098" i="1" s="1"/>
  <c r="AN1098" i="1" s="1"/>
  <c r="AO1098" i="1" s="1"/>
  <c r="AP1098" i="1" s="1"/>
  <c r="Y1099" i="1"/>
  <c r="X1099" i="1" s="1"/>
  <c r="AF1099" i="1" s="1"/>
  <c r="N1099" i="1"/>
  <c r="AY1099" i="1"/>
  <c r="I1099" i="1"/>
  <c r="Q1099" i="1" s="1"/>
  <c r="V1099" i="1"/>
  <c r="AM1099" i="1"/>
  <c r="AT1099" i="1"/>
  <c r="AS1099" i="1" s="1"/>
  <c r="AQ1099" i="1" s="1"/>
  <c r="AH1098" i="1"/>
  <c r="AG1098" i="1"/>
  <c r="BA1098" i="1" s="1"/>
  <c r="AG1099" i="1" l="1"/>
  <c r="BA1099" i="1" s="1"/>
  <c r="O1099" i="1"/>
  <c r="AM1100" i="1" s="1"/>
  <c r="AX1099" i="1"/>
  <c r="U1099" i="1" s="1"/>
  <c r="AL1099" i="1" s="1"/>
  <c r="AN1099" i="1" s="1"/>
  <c r="AO1099" i="1" s="1"/>
  <c r="AP1099" i="1" s="1"/>
  <c r="AT1100" i="1" l="1"/>
  <c r="AS1100" i="1" s="1"/>
  <c r="P1100" i="1"/>
  <c r="I1100" i="1"/>
  <c r="Q1100" i="1" s="1"/>
  <c r="N1100" i="1"/>
  <c r="AH1099" i="1"/>
  <c r="V1100" i="1" l="1"/>
  <c r="BE1100" i="1"/>
  <c r="Y1100" i="1"/>
  <c r="X1100" i="1" s="1"/>
  <c r="AF1100" i="1" s="1"/>
  <c r="O1100" i="1"/>
  <c r="AT1101" i="1" s="1"/>
  <c r="AS1101" i="1" s="1"/>
  <c r="AQ1100" i="1"/>
  <c r="AY1100" i="1"/>
  <c r="AX1100" i="1" l="1"/>
  <c r="U1100" i="1" s="1"/>
  <c r="AL1100" i="1" s="1"/>
  <c r="AN1100" i="1" s="1"/>
  <c r="AO1100" i="1" s="1"/>
  <c r="AP1100" i="1" s="1"/>
  <c r="P1101" i="1"/>
  <c r="I1101" i="1"/>
  <c r="Q1101" i="1" s="1"/>
  <c r="N1101" i="1"/>
  <c r="AM1101" i="1"/>
  <c r="AG1100" i="1"/>
  <c r="BA1100" i="1" s="1"/>
  <c r="AH1100" i="1"/>
  <c r="O1101" i="1" l="1"/>
  <c r="P1102" i="1" s="1"/>
  <c r="V1102" i="1" s="1"/>
  <c r="V1101" i="1"/>
  <c r="BE1101" i="1"/>
  <c r="AY1101" i="1"/>
  <c r="Y1101" i="1"/>
  <c r="X1101" i="1" s="1"/>
  <c r="AF1101" i="1" s="1"/>
  <c r="AG1101" i="1" s="1"/>
  <c r="AQ1101" i="1"/>
  <c r="AT1102" i="1" l="1"/>
  <c r="AS1102" i="1" s="1"/>
  <c r="AQ1102" i="1" s="1"/>
  <c r="AM1102" i="1"/>
  <c r="I1102" i="1"/>
  <c r="Q1102" i="1" s="1"/>
  <c r="Y1102" i="1"/>
  <c r="X1102" i="1" s="1"/>
  <c r="AF1102" i="1" s="1"/>
  <c r="AY1102" i="1"/>
  <c r="N1102" i="1"/>
  <c r="BE1102" i="1"/>
  <c r="BA1101" i="1"/>
  <c r="AX1101" i="1"/>
  <c r="U1101" i="1" s="1"/>
  <c r="AL1101" i="1" s="1"/>
  <c r="AN1101" i="1" s="1"/>
  <c r="AO1101" i="1" s="1"/>
  <c r="AP1101" i="1" s="1"/>
  <c r="AH1101" i="1"/>
  <c r="O1102" i="1" l="1"/>
  <c r="P1103" i="1" s="1"/>
  <c r="AY1103" i="1" s="1"/>
  <c r="AG1102" i="1"/>
  <c r="BA1102" i="1" s="1"/>
  <c r="AX1102" i="1"/>
  <c r="U1102" i="1" s="1"/>
  <c r="AL1102" i="1" s="1"/>
  <c r="AN1102" i="1" s="1"/>
  <c r="AO1102" i="1" s="1"/>
  <c r="AP1102" i="1" s="1"/>
  <c r="AT1103" i="1" l="1"/>
  <c r="AS1103" i="1" s="1"/>
  <c r="AQ1103" i="1" s="1"/>
  <c r="V1103" i="1"/>
  <c r="AM1103" i="1"/>
  <c r="I1103" i="1"/>
  <c r="Q1103" i="1" s="1"/>
  <c r="N1103" i="1"/>
  <c r="Y1103" i="1"/>
  <c r="X1103" i="1" s="1"/>
  <c r="AF1103" i="1" s="1"/>
  <c r="AH1102" i="1"/>
  <c r="BE1103" i="1"/>
  <c r="O1103" i="1" l="1"/>
  <c r="AM1104" i="1" s="1"/>
  <c r="AX1103" i="1"/>
  <c r="U1103" i="1" s="1"/>
  <c r="AL1103" i="1" s="1"/>
  <c r="AN1103" i="1" s="1"/>
  <c r="AO1103" i="1" s="1"/>
  <c r="AP1103" i="1" s="1"/>
  <c r="AG1103" i="1"/>
  <c r="BA1103" i="1" s="1"/>
  <c r="AT1104" i="1" l="1"/>
  <c r="AS1104" i="1" s="1"/>
  <c r="P1104" i="1"/>
  <c r="V1104" i="1" s="1"/>
  <c r="I1104" i="1"/>
  <c r="Q1104" i="1" s="1"/>
  <c r="N1104" i="1"/>
  <c r="AH1103" i="1"/>
  <c r="BE1104" i="1" l="1"/>
  <c r="AY1104" i="1"/>
  <c r="AX1104" i="1" s="1"/>
  <c r="U1104" i="1" s="1"/>
  <c r="Y1104" i="1"/>
  <c r="X1104" i="1" s="1"/>
  <c r="AF1104" i="1" s="1"/>
  <c r="O1104" i="1"/>
  <c r="N1105" i="1" s="1"/>
  <c r="AQ1104" i="1"/>
  <c r="AT1105" i="1" l="1"/>
  <c r="AS1105" i="1" s="1"/>
  <c r="AM1105" i="1"/>
  <c r="I1105" i="1"/>
  <c r="Q1105" i="1" s="1"/>
  <c r="P1105" i="1"/>
  <c r="BE1105" i="1" s="1"/>
  <c r="AG1104" i="1"/>
  <c r="BA1104" i="1" s="1"/>
  <c r="AH1104" i="1"/>
  <c r="AL1104" i="1"/>
  <c r="AN1104" i="1" s="1"/>
  <c r="AO1104" i="1" s="1"/>
  <c r="O1105" i="1"/>
  <c r="N1106" i="1" s="1"/>
  <c r="AQ1105" i="1" l="1"/>
  <c r="AY1105" i="1"/>
  <c r="V1105" i="1"/>
  <c r="AX1105" i="1" s="1"/>
  <c r="U1105" i="1" s="1"/>
  <c r="Y1105" i="1"/>
  <c r="X1105" i="1" s="1"/>
  <c r="AF1105" i="1" s="1"/>
  <c r="AM1106" i="1"/>
  <c r="I1106" i="1"/>
  <c r="Q1106" i="1" s="1"/>
  <c r="AT1106" i="1"/>
  <c r="AS1106" i="1" s="1"/>
  <c r="P1106" i="1"/>
  <c r="BE1106" i="1" s="1"/>
  <c r="AL1105" i="1" l="1"/>
  <c r="AN1105" i="1" s="1"/>
  <c r="AO1105" i="1" s="1"/>
  <c r="AP1105" i="1" s="1"/>
  <c r="AH1105" i="1"/>
  <c r="AG1105" i="1"/>
  <c r="BA1105" i="1" s="1"/>
  <c r="O1106" i="1"/>
  <c r="P1107" i="1" s="1"/>
  <c r="AQ1106" i="1"/>
  <c r="AY1106" i="1"/>
  <c r="V1106" i="1"/>
  <c r="Y1106" i="1"/>
  <c r="X1106" i="1" s="1"/>
  <c r="AF1106" i="1" s="1"/>
  <c r="AG1106" i="1" s="1"/>
  <c r="V1107" i="1" l="1"/>
  <c r="BE1107" i="1"/>
  <c r="AM1107" i="1"/>
  <c r="N1107" i="1"/>
  <c r="AY1107" i="1"/>
  <c r="I1107" i="1"/>
  <c r="Q1107" i="1" s="1"/>
  <c r="Y1107" i="1"/>
  <c r="X1107" i="1" s="1"/>
  <c r="AF1107" i="1" s="1"/>
  <c r="AT1107" i="1"/>
  <c r="AS1107" i="1" s="1"/>
  <c r="AQ1107" i="1" s="1"/>
  <c r="AX1106" i="1"/>
  <c r="U1106" i="1" s="1"/>
  <c r="AL1106" i="1" s="1"/>
  <c r="AN1106" i="1" s="1"/>
  <c r="AO1106" i="1" s="1"/>
  <c r="AP1106" i="1" s="1"/>
  <c r="BA1106" i="1"/>
  <c r="AH1106" i="1"/>
  <c r="O1107" i="1" l="1"/>
  <c r="P1108" i="1" s="1"/>
  <c r="BE1108" i="1" s="1"/>
  <c r="AX1107" i="1"/>
  <c r="U1107" i="1" s="1"/>
  <c r="AL1107" i="1" s="1"/>
  <c r="AN1107" i="1" s="1"/>
  <c r="AO1107" i="1" s="1"/>
  <c r="AP1107" i="1" s="1"/>
  <c r="AG1107" i="1"/>
  <c r="BA1107" i="1" s="1"/>
  <c r="AT1108" i="1" l="1"/>
  <c r="AS1108" i="1" s="1"/>
  <c r="AQ1108" i="1" s="1"/>
  <c r="AM1108" i="1"/>
  <c r="N1108" i="1"/>
  <c r="I1108" i="1"/>
  <c r="Q1108" i="1" s="1"/>
  <c r="AH1107" i="1"/>
  <c r="V1108" i="1"/>
  <c r="Y1108" i="1"/>
  <c r="X1108" i="1" s="1"/>
  <c r="AF1108" i="1" s="1"/>
  <c r="AY1108" i="1"/>
  <c r="O1108" i="1" l="1"/>
  <c r="P1109" i="1" s="1"/>
  <c r="AX1108" i="1"/>
  <c r="U1108" i="1" s="1"/>
  <c r="AL1108" i="1" s="1"/>
  <c r="AN1108" i="1" s="1"/>
  <c r="AO1108" i="1" s="1"/>
  <c r="AP1108" i="1" s="1"/>
  <c r="AG1108" i="1"/>
  <c r="BA1108" i="1" s="1"/>
  <c r="V1109" i="1" l="1"/>
  <c r="BE1109" i="1"/>
  <c r="N1109" i="1"/>
  <c r="AT1109" i="1"/>
  <c r="AS1109" i="1" s="1"/>
  <c r="AQ1109" i="1" s="1"/>
  <c r="AH1108" i="1"/>
  <c r="I1109" i="1"/>
  <c r="Q1109" i="1" s="1"/>
  <c r="AM1109" i="1"/>
  <c r="AY1109" i="1"/>
  <c r="Y1109" i="1"/>
  <c r="X1109" i="1" s="1"/>
  <c r="AF1109" i="1" s="1"/>
  <c r="AG1109" i="1" l="1"/>
  <c r="BA1109" i="1" s="1"/>
  <c r="AX1109" i="1"/>
  <c r="U1109" i="1" s="1"/>
  <c r="AL1109" i="1" s="1"/>
  <c r="AN1109" i="1" s="1"/>
  <c r="AO1109" i="1" s="1"/>
  <c r="AP1109" i="1" s="1"/>
  <c r="O1109" i="1"/>
  <c r="AH1109" i="1" s="1"/>
  <c r="I1110" i="1" l="1"/>
  <c r="Q1110" i="1" s="1"/>
  <c r="N1110" i="1"/>
  <c r="AT1110" i="1"/>
  <c r="AS1110" i="1" s="1"/>
  <c r="P1110" i="1"/>
  <c r="BE1110" i="1" s="1"/>
  <c r="AM1110" i="1"/>
  <c r="O1110" i="1" l="1"/>
  <c r="N1111" i="1" s="1"/>
  <c r="V1110" i="1"/>
  <c r="AY1110" i="1"/>
  <c r="Y1110" i="1"/>
  <c r="X1110" i="1" s="1"/>
  <c r="AF1110" i="1" s="1"/>
  <c r="AQ1110" i="1"/>
  <c r="AH1110" i="1" l="1"/>
  <c r="I1111" i="1"/>
  <c r="Q1111" i="1" s="1"/>
  <c r="AM1111" i="1"/>
  <c r="AT1111" i="1"/>
  <c r="AS1111" i="1" s="1"/>
  <c r="P1111" i="1"/>
  <c r="AG1110" i="1"/>
  <c r="BA1110" i="1" s="1"/>
  <c r="AX1110" i="1"/>
  <c r="U1110" i="1" s="1"/>
  <c r="AL1110" i="1" s="1"/>
  <c r="AN1110" i="1" s="1"/>
  <c r="AO1110" i="1" s="1"/>
  <c r="AP1110" i="1" s="1"/>
  <c r="V1111" i="1" l="1"/>
  <c r="BE1111" i="1"/>
  <c r="O1111" i="1"/>
  <c r="AM1112" i="1" s="1"/>
  <c r="Y1111" i="1"/>
  <c r="X1111" i="1" s="1"/>
  <c r="AF1111" i="1" s="1"/>
  <c r="AG1111" i="1" s="1"/>
  <c r="AQ1111" i="1"/>
  <c r="AY1111" i="1"/>
  <c r="BA1111" i="1" l="1"/>
  <c r="AX1111" i="1"/>
  <c r="U1111" i="1" s="1"/>
  <c r="AL1111" i="1" s="1"/>
  <c r="AN1111" i="1" s="1"/>
  <c r="AO1111" i="1" s="1"/>
  <c r="AP1111" i="1" s="1"/>
  <c r="I1112" i="1"/>
  <c r="Q1112" i="1" s="1"/>
  <c r="P1112" i="1"/>
  <c r="BE1112" i="1" s="1"/>
  <c r="N1112" i="1"/>
  <c r="AT1112" i="1"/>
  <c r="AS1112" i="1" s="1"/>
  <c r="AH1111" i="1"/>
  <c r="O1112" i="1" l="1"/>
  <c r="P1113" i="1" s="1"/>
  <c r="AQ1112" i="1"/>
  <c r="Y1112" i="1"/>
  <c r="X1112" i="1" s="1"/>
  <c r="AF1112" i="1" s="1"/>
  <c r="AG1112" i="1" s="1"/>
  <c r="AY1112" i="1"/>
  <c r="V1112" i="1"/>
  <c r="Y1113" i="1" l="1"/>
  <c r="X1113" i="1" s="1"/>
  <c r="AF1113" i="1" s="1"/>
  <c r="BE1113" i="1"/>
  <c r="N1113" i="1"/>
  <c r="V1113" i="1"/>
  <c r="I1113" i="1"/>
  <c r="Q1113" i="1" s="1"/>
  <c r="AM1113" i="1"/>
  <c r="AY1113" i="1"/>
  <c r="AT1113" i="1"/>
  <c r="AS1113" i="1" s="1"/>
  <c r="AQ1113" i="1" s="1"/>
  <c r="AX1112" i="1"/>
  <c r="U1112" i="1" s="1"/>
  <c r="AL1112" i="1" s="1"/>
  <c r="AN1112" i="1" s="1"/>
  <c r="AO1112" i="1" s="1"/>
  <c r="AP1112" i="1" s="1"/>
  <c r="AH1112" i="1"/>
  <c r="BA1112" i="1"/>
  <c r="AG1113" i="1" l="1"/>
  <c r="BA1113" i="1" s="1"/>
  <c r="O1113" i="1"/>
  <c r="P1114" i="1" s="1"/>
  <c r="BE1114" i="1" s="1"/>
  <c r="AX1113" i="1"/>
  <c r="U1113" i="1" s="1"/>
  <c r="AL1113" i="1" s="1"/>
  <c r="AN1113" i="1" s="1"/>
  <c r="AO1113" i="1" s="1"/>
  <c r="AP1113" i="1" s="1"/>
  <c r="AM1114" i="1" l="1"/>
  <c r="AH1113" i="1"/>
  <c r="AT1114" i="1"/>
  <c r="AS1114" i="1" s="1"/>
  <c r="AQ1114" i="1" s="1"/>
  <c r="Y1114" i="1"/>
  <c r="X1114" i="1" s="1"/>
  <c r="AF1114" i="1" s="1"/>
  <c r="N1114" i="1"/>
  <c r="I1114" i="1"/>
  <c r="Q1114" i="1" s="1"/>
  <c r="V1114" i="1"/>
  <c r="AY1114" i="1"/>
  <c r="AG1114" i="1" l="1"/>
  <c r="BA1114" i="1" s="1"/>
  <c r="O1114" i="1"/>
  <c r="I1115" i="1" s="1"/>
  <c r="Q1115" i="1" s="1"/>
  <c r="AX1114" i="1"/>
  <c r="U1114" i="1" s="1"/>
  <c r="AL1114" i="1" s="1"/>
  <c r="AN1114" i="1" s="1"/>
  <c r="AO1114" i="1" s="1"/>
  <c r="AP1114" i="1" s="1"/>
  <c r="AT1115" i="1" l="1"/>
  <c r="AS1115" i="1" s="1"/>
  <c r="AM1115" i="1"/>
  <c r="AH1114" i="1"/>
  <c r="N1115" i="1"/>
  <c r="O1115" i="1" s="1"/>
  <c r="I1116" i="1" s="1"/>
  <c r="Q1116" i="1" s="1"/>
  <c r="P1115" i="1"/>
  <c r="Y1115" i="1" l="1"/>
  <c r="X1115" i="1" s="1"/>
  <c r="AF1115" i="1" s="1"/>
  <c r="BE1115" i="1"/>
  <c r="AM1116" i="1"/>
  <c r="AT1116" i="1"/>
  <c r="AS1116" i="1" s="1"/>
  <c r="P1116" i="1"/>
  <c r="N1116" i="1"/>
  <c r="O1116" i="1" s="1"/>
  <c r="P1117" i="1" s="1"/>
  <c r="BE1117" i="1" s="1"/>
  <c r="AY1115" i="1"/>
  <c r="AQ1115" i="1"/>
  <c r="V1115" i="1"/>
  <c r="AG1115" i="1" l="1"/>
  <c r="BA1115" i="1" s="1"/>
  <c r="AH1115" i="1"/>
  <c r="Y1116" i="1"/>
  <c r="X1116" i="1" s="1"/>
  <c r="AF1116" i="1" s="1"/>
  <c r="BE1116" i="1"/>
  <c r="AQ1116" i="1"/>
  <c r="N1117" i="1"/>
  <c r="AY1116" i="1"/>
  <c r="V1116" i="1"/>
  <c r="Y1117" i="1"/>
  <c r="AT1117" i="1"/>
  <c r="AS1117" i="1" s="1"/>
  <c r="AQ1117" i="1" s="1"/>
  <c r="AM1117" i="1"/>
  <c r="V1117" i="1"/>
  <c r="AY1117" i="1"/>
  <c r="I1117" i="1"/>
  <c r="Q1117" i="1" s="1"/>
  <c r="AX1115" i="1"/>
  <c r="U1115" i="1" s="1"/>
  <c r="AL1115" i="1" s="1"/>
  <c r="AN1115" i="1" s="1"/>
  <c r="AO1115" i="1" s="1"/>
  <c r="AP1115" i="1" s="1"/>
  <c r="X1117" i="1" l="1"/>
  <c r="AF1117" i="1" s="1"/>
  <c r="AG1116" i="1"/>
  <c r="BA1116" i="1" s="1"/>
  <c r="AH1116" i="1"/>
  <c r="AX1117" i="1" s="1"/>
  <c r="U1117" i="1" s="1"/>
  <c r="AL1117" i="1" s="1"/>
  <c r="AN1117" i="1" s="1"/>
  <c r="AO1117" i="1" s="1"/>
  <c r="AP1117" i="1" s="1"/>
  <c r="O1117" i="1"/>
  <c r="P1118" i="1" s="1"/>
  <c r="AX1116" i="1"/>
  <c r="U1116" i="1" s="1"/>
  <c r="AL1116" i="1" s="1"/>
  <c r="AN1116" i="1" s="1"/>
  <c r="AO1116" i="1" s="1"/>
  <c r="AG1117" i="1" l="1"/>
  <c r="BA1117" i="1" s="1"/>
  <c r="Y1118" i="1"/>
  <c r="X1118" i="1" s="1"/>
  <c r="AF1118" i="1" s="1"/>
  <c r="BE1118" i="1"/>
  <c r="AH1117" i="1"/>
  <c r="AM1118" i="1"/>
  <c r="N1118" i="1"/>
  <c r="V1118" i="1"/>
  <c r="AT1118" i="1"/>
  <c r="AS1118" i="1" s="1"/>
  <c r="AQ1118" i="1" s="1"/>
  <c r="I1118" i="1"/>
  <c r="Q1118" i="1" s="1"/>
  <c r="AY1118" i="1"/>
  <c r="AG1118" i="1" l="1"/>
  <c r="BA1118" i="1" s="1"/>
  <c r="O1118" i="1"/>
  <c r="AT1119" i="1" s="1"/>
  <c r="AS1119" i="1" s="1"/>
  <c r="AX1118" i="1"/>
  <c r="U1118" i="1" s="1"/>
  <c r="AL1118" i="1" s="1"/>
  <c r="AN1118" i="1" s="1"/>
  <c r="AO1118" i="1" s="1"/>
  <c r="AP1118" i="1" s="1"/>
  <c r="AM1119" i="1" l="1"/>
  <c r="N1119" i="1"/>
  <c r="AH1118" i="1"/>
  <c r="I1119" i="1"/>
  <c r="Q1119" i="1" s="1"/>
  <c r="P1119" i="1"/>
  <c r="V1119" i="1" l="1"/>
  <c r="BE1119" i="1"/>
  <c r="Y1119" i="1"/>
  <c r="X1119" i="1" s="1"/>
  <c r="AF1119" i="1" s="1"/>
  <c r="AG1119" i="1" s="1"/>
  <c r="O1119" i="1"/>
  <c r="P1120" i="1" s="1"/>
  <c r="AY1119" i="1"/>
  <c r="AQ1119" i="1"/>
  <c r="AX1119" i="1" l="1"/>
  <c r="U1119" i="1" s="1"/>
  <c r="AL1119" i="1" s="1"/>
  <c r="AN1119" i="1" s="1"/>
  <c r="AO1119" i="1" s="1"/>
  <c r="AP1119" i="1" s="1"/>
  <c r="BA1119" i="1"/>
  <c r="V1120" i="1"/>
  <c r="BE1120" i="1"/>
  <c r="AM1120" i="1"/>
  <c r="I1120" i="1"/>
  <c r="Q1120" i="1" s="1"/>
  <c r="AT1120" i="1"/>
  <c r="AS1120" i="1" s="1"/>
  <c r="AQ1120" i="1" s="1"/>
  <c r="N1120" i="1"/>
  <c r="AY1120" i="1"/>
  <c r="AH1119" i="1"/>
  <c r="Y1120" i="1"/>
  <c r="X1120" i="1" s="1"/>
  <c r="AF1120" i="1" s="1"/>
  <c r="O1120" i="1" l="1"/>
  <c r="AT1121" i="1" s="1"/>
  <c r="AS1121" i="1" s="1"/>
  <c r="AX1120" i="1"/>
  <c r="U1120" i="1" s="1"/>
  <c r="AL1120" i="1" s="1"/>
  <c r="AN1120" i="1" s="1"/>
  <c r="AO1120" i="1" s="1"/>
  <c r="AP1120" i="1" s="1"/>
  <c r="AG1120" i="1"/>
  <c r="BA1120" i="1" s="1"/>
  <c r="AH1120" i="1" l="1"/>
  <c r="AM1121" i="1"/>
  <c r="N1121" i="1"/>
  <c r="P1121" i="1"/>
  <c r="I1121" i="1"/>
  <c r="Q1121" i="1" s="1"/>
  <c r="V1121" i="1" l="1"/>
  <c r="BE1121" i="1"/>
  <c r="O1121" i="1"/>
  <c r="P1122" i="1" s="1"/>
  <c r="AY1121" i="1"/>
  <c r="Y1121" i="1"/>
  <c r="X1121" i="1" s="1"/>
  <c r="AF1121" i="1" s="1"/>
  <c r="AQ1121" i="1"/>
  <c r="AX1121" i="1" l="1"/>
  <c r="U1121" i="1" s="1"/>
  <c r="AL1121" i="1" s="1"/>
  <c r="AN1121" i="1" s="1"/>
  <c r="AO1121" i="1" s="1"/>
  <c r="AP1121" i="1" s="1"/>
  <c r="AY1122" i="1"/>
  <c r="BE1122" i="1"/>
  <c r="I1122" i="1"/>
  <c r="Q1122" i="1" s="1"/>
  <c r="N1122" i="1"/>
  <c r="V1122" i="1"/>
  <c r="AT1122" i="1"/>
  <c r="AS1122" i="1" s="1"/>
  <c r="AQ1122" i="1" s="1"/>
  <c r="Y1122" i="1"/>
  <c r="X1122" i="1" s="1"/>
  <c r="AF1122" i="1" s="1"/>
  <c r="AM1122" i="1"/>
  <c r="AH1121" i="1"/>
  <c r="AG1121" i="1"/>
  <c r="BA1121" i="1" s="1"/>
  <c r="O1122" i="1" l="1"/>
  <c r="N1123" i="1" s="1"/>
  <c r="AG1122" i="1"/>
  <c r="BA1122" i="1" s="1"/>
  <c r="AX1122" i="1"/>
  <c r="U1122" i="1" s="1"/>
  <c r="AL1122" i="1" s="1"/>
  <c r="AN1122" i="1" s="1"/>
  <c r="AO1122" i="1" s="1"/>
  <c r="AP1122" i="1" s="1"/>
  <c r="AM1123" i="1" l="1"/>
  <c r="AT1123" i="1"/>
  <c r="AS1123" i="1" s="1"/>
  <c r="I1123" i="1"/>
  <c r="Q1123" i="1" s="1"/>
  <c r="AH1122" i="1"/>
  <c r="P1123" i="1"/>
  <c r="BE1123" i="1" s="1"/>
  <c r="V1123" i="1" l="1"/>
  <c r="Y1123" i="1"/>
  <c r="X1123" i="1" s="1"/>
  <c r="AF1123" i="1" s="1"/>
  <c r="AG1123" i="1" s="1"/>
  <c r="AQ1123" i="1"/>
  <c r="O1123" i="1"/>
  <c r="P1124" i="1" s="1"/>
  <c r="BE1124" i="1" s="1"/>
  <c r="AY1123" i="1"/>
  <c r="AX1123" i="1" l="1"/>
  <c r="U1123" i="1" s="1"/>
  <c r="AL1123" i="1" s="1"/>
  <c r="AN1123" i="1" s="1"/>
  <c r="AO1123" i="1" s="1"/>
  <c r="AP1123" i="1" s="1"/>
  <c r="BA1123" i="1"/>
  <c r="Y1124" i="1"/>
  <c r="X1124" i="1" s="1"/>
  <c r="AF1124" i="1" s="1"/>
  <c r="N1124" i="1"/>
  <c r="AH1123" i="1"/>
  <c r="V1124" i="1"/>
  <c r="AY1124" i="1"/>
  <c r="AT1124" i="1"/>
  <c r="AS1124" i="1" s="1"/>
  <c r="AQ1124" i="1" s="1"/>
  <c r="I1124" i="1"/>
  <c r="Q1124" i="1" s="1"/>
  <c r="AM1124" i="1"/>
  <c r="AX1124" i="1" l="1"/>
  <c r="U1124" i="1" s="1"/>
  <c r="AL1124" i="1" s="1"/>
  <c r="AN1124" i="1" s="1"/>
  <c r="AO1124" i="1" s="1"/>
  <c r="AP1124" i="1" s="1"/>
  <c r="O1124" i="1"/>
  <c r="AH1124" i="1" s="1"/>
  <c r="AG1124" i="1"/>
  <c r="BA1124" i="1" s="1"/>
  <c r="AM1125" i="1" l="1"/>
  <c r="N1125" i="1"/>
  <c r="P1125" i="1"/>
  <c r="BE1125" i="1" s="1"/>
  <c r="I1125" i="1"/>
  <c r="Q1125" i="1" s="1"/>
  <c r="AT1125" i="1"/>
  <c r="AS1125" i="1" s="1"/>
  <c r="AQ1125" i="1" l="1"/>
  <c r="Y1125" i="1"/>
  <c r="X1125" i="1" s="1"/>
  <c r="AF1125" i="1" s="1"/>
  <c r="AG1125" i="1" s="1"/>
  <c r="V1125" i="1"/>
  <c r="O1125" i="1"/>
  <c r="AY1125" i="1"/>
  <c r="AX1125" i="1" l="1"/>
  <c r="U1125" i="1" s="1"/>
  <c r="AL1125" i="1" s="1"/>
  <c r="AN1125" i="1" s="1"/>
  <c r="AO1125" i="1" s="1"/>
  <c r="AP1125" i="1" s="1"/>
  <c r="BA1125" i="1"/>
  <c r="AH1125" i="1"/>
  <c r="P1126" i="1"/>
  <c r="BE1126" i="1" s="1"/>
  <c r="N1126" i="1"/>
  <c r="AT1126" i="1"/>
  <c r="AS1126" i="1" s="1"/>
  <c r="I1126" i="1"/>
  <c r="AM1126" i="1"/>
  <c r="AQ1126" i="1" l="1"/>
  <c r="AY1126" i="1"/>
  <c r="V1126" i="1"/>
  <c r="Y1126" i="1"/>
  <c r="X1126" i="1" s="1"/>
  <c r="AF1126" i="1" s="1"/>
  <c r="AG1126" i="1" s="1"/>
  <c r="Q1126" i="1"/>
  <c r="O1126" i="1"/>
  <c r="AX1126" i="1" l="1"/>
  <c r="U1126" i="1" s="1"/>
  <c r="AL1126" i="1" s="1"/>
  <c r="AN1126" i="1" s="1"/>
  <c r="AO1126" i="1" s="1"/>
  <c r="AP1126" i="1" s="1"/>
  <c r="P1127" i="1"/>
  <c r="BE1127" i="1" s="1"/>
  <c r="AM1127" i="1"/>
  <c r="N1127" i="1"/>
  <c r="AH1126" i="1"/>
  <c r="AT1127" i="1"/>
  <c r="AS1127" i="1" s="1"/>
  <c r="I1127" i="1"/>
  <c r="BA1126" i="1"/>
  <c r="Q1127" i="1" l="1"/>
  <c r="O1127" i="1"/>
  <c r="AQ1127" i="1"/>
  <c r="AY1127" i="1"/>
  <c r="Y1127" i="1"/>
  <c r="X1127" i="1" s="1"/>
  <c r="AF1127" i="1" s="1"/>
  <c r="V1127" i="1"/>
  <c r="AX1127" i="1" l="1"/>
  <c r="U1127" i="1" s="1"/>
  <c r="AL1127" i="1" s="1"/>
  <c r="AN1127" i="1" s="1"/>
  <c r="AO1127" i="1" s="1"/>
  <c r="AP1127" i="1" s="1"/>
  <c r="P1128" i="1"/>
  <c r="BE1128" i="1" s="1"/>
  <c r="N1128" i="1"/>
  <c r="I1128" i="1"/>
  <c r="AM1128" i="1"/>
  <c r="AT1128" i="1"/>
  <c r="AS1128" i="1" s="1"/>
  <c r="AG1127" i="1"/>
  <c r="BA1127" i="1" s="1"/>
  <c r="AH1127" i="1"/>
  <c r="AQ1128" i="1" l="1"/>
  <c r="O1128" i="1"/>
  <c r="Q1128" i="1"/>
  <c r="Y1128" i="1"/>
  <c r="X1128" i="1" s="1"/>
  <c r="AF1128" i="1" s="1"/>
  <c r="AY1128" i="1"/>
  <c r="V1128" i="1"/>
  <c r="AX1128" i="1" l="1"/>
  <c r="U1128" i="1" s="1"/>
  <c r="AL1128" i="1" s="1"/>
  <c r="AN1128" i="1" s="1"/>
  <c r="AO1128" i="1" s="1"/>
  <c r="AH1128" i="1"/>
  <c r="AG1128" i="1"/>
  <c r="BA1128" i="1" s="1"/>
  <c r="I1129" i="1"/>
  <c r="P1129" i="1"/>
  <c r="BE1129" i="1" s="1"/>
  <c r="AM1129" i="1"/>
  <c r="AT1129" i="1"/>
  <c r="AS1129" i="1" s="1"/>
  <c r="N1129" i="1"/>
  <c r="Q1129" i="1" l="1"/>
  <c r="O1129" i="1"/>
  <c r="AQ1129" i="1"/>
  <c r="Y1129" i="1"/>
  <c r="X1129" i="1" s="1"/>
  <c r="AF1129" i="1" s="1"/>
  <c r="V1129" i="1"/>
  <c r="AY1129" i="1"/>
  <c r="AG1129" i="1" l="1"/>
  <c r="BA1129" i="1" s="1"/>
  <c r="AH1129" i="1"/>
  <c r="P1130" i="1"/>
  <c r="BE1130" i="1" s="1"/>
  <c r="N1130" i="1"/>
  <c r="I1130" i="1"/>
  <c r="AM1130" i="1"/>
  <c r="AT1130" i="1"/>
  <c r="AS1130" i="1" s="1"/>
  <c r="AX1129" i="1"/>
  <c r="U1129" i="1" s="1"/>
  <c r="AL1129" i="1" s="1"/>
  <c r="AN1129" i="1" s="1"/>
  <c r="AO1129" i="1" s="1"/>
  <c r="AP1129" i="1" s="1"/>
  <c r="AQ1130" i="1" l="1"/>
  <c r="AY1130" i="1"/>
  <c r="Y1130" i="1"/>
  <c r="X1130" i="1" s="1"/>
  <c r="AF1130" i="1" s="1"/>
  <c r="V1130" i="1"/>
  <c r="Q1130" i="1"/>
  <c r="O1130" i="1"/>
  <c r="AX1130" i="1" l="1"/>
  <c r="U1130" i="1" s="1"/>
  <c r="AL1130" i="1" s="1"/>
  <c r="AN1130" i="1" s="1"/>
  <c r="AO1130" i="1" s="1"/>
  <c r="AP1130" i="1" s="1"/>
  <c r="AG1130" i="1"/>
  <c r="BA1130" i="1" s="1"/>
  <c r="AH1130" i="1"/>
  <c r="I1131" i="1"/>
  <c r="Q1131" i="1" s="1"/>
  <c r="P1131" i="1"/>
  <c r="BE1131" i="1" s="1"/>
  <c r="N1131" i="1"/>
  <c r="AM1131" i="1"/>
  <c r="AT1131" i="1"/>
  <c r="AS1131" i="1" s="1"/>
  <c r="O1131" i="1" l="1"/>
  <c r="AY1131" i="1"/>
  <c r="V1131" i="1"/>
  <c r="Y1131" i="1"/>
  <c r="X1131" i="1" s="1"/>
  <c r="AF1131" i="1" s="1"/>
  <c r="AQ1131" i="1"/>
  <c r="AX1131" i="1" l="1"/>
  <c r="U1131" i="1" s="1"/>
  <c r="AL1131" i="1" s="1"/>
  <c r="AN1131" i="1" s="1"/>
  <c r="AO1131" i="1" s="1"/>
  <c r="AP1131" i="1" s="1"/>
  <c r="AH1131" i="1"/>
  <c r="AG1131" i="1"/>
  <c r="BA1131" i="1" s="1"/>
  <c r="AM1132" i="1"/>
  <c r="I1132" i="1"/>
  <c r="AT1132" i="1"/>
  <c r="AS1132" i="1" s="1"/>
  <c r="N1132" i="1"/>
  <c r="P1132" i="1"/>
  <c r="BE1132" i="1" s="1"/>
  <c r="V1132" i="1" l="1"/>
  <c r="Y1132" i="1"/>
  <c r="X1132" i="1" s="1"/>
  <c r="AF1132" i="1" s="1"/>
  <c r="AQ1132" i="1"/>
  <c r="AY1132" i="1"/>
  <c r="Q1132" i="1"/>
  <c r="O1132" i="1"/>
  <c r="AX1132" i="1" l="1"/>
  <c r="U1132" i="1" s="1"/>
  <c r="AL1132" i="1" s="1"/>
  <c r="AN1132" i="1" s="1"/>
  <c r="AO1132" i="1" s="1"/>
  <c r="AP1132" i="1" s="1"/>
  <c r="AH1132" i="1"/>
  <c r="I1133" i="1"/>
  <c r="P1133" i="1"/>
  <c r="BE1133" i="1" s="1"/>
  <c r="AM1133" i="1"/>
  <c r="AT1133" i="1"/>
  <c r="AS1133" i="1" s="1"/>
  <c r="N1133" i="1"/>
  <c r="AG1132" i="1"/>
  <c r="BA1132" i="1" s="1"/>
  <c r="V1133" i="1" l="1"/>
  <c r="AY1133" i="1"/>
  <c r="AQ1133" i="1"/>
  <c r="Y1133" i="1"/>
  <c r="X1133" i="1" s="1"/>
  <c r="AF1133" i="1" s="1"/>
  <c r="Q1133" i="1"/>
  <c r="O1133" i="1"/>
  <c r="AM1134" i="1" l="1"/>
  <c r="I1134" i="1"/>
  <c r="P1134" i="1"/>
  <c r="BE1134" i="1" s="1"/>
  <c r="N1134" i="1"/>
  <c r="AT1134" i="1"/>
  <c r="AS1134" i="1" s="1"/>
  <c r="AX1133" i="1"/>
  <c r="U1133" i="1" s="1"/>
  <c r="AL1133" i="1" s="1"/>
  <c r="AN1133" i="1" s="1"/>
  <c r="AO1133" i="1" s="1"/>
  <c r="AP1133" i="1" s="1"/>
  <c r="AH1133" i="1"/>
  <c r="AG1133" i="1"/>
  <c r="BA1133" i="1" s="1"/>
  <c r="AY1134" i="1" l="1"/>
  <c r="AQ1134" i="1"/>
  <c r="V1134" i="1"/>
  <c r="Y1134" i="1"/>
  <c r="X1134" i="1" s="1"/>
  <c r="AF1134" i="1" s="1"/>
  <c r="Q1134" i="1"/>
  <c r="O1134" i="1"/>
  <c r="AX1134" i="1" l="1"/>
  <c r="U1134" i="1" s="1"/>
  <c r="AL1134" i="1" s="1"/>
  <c r="AN1134" i="1" s="1"/>
  <c r="AO1134" i="1" s="1"/>
  <c r="AP1134" i="1" s="1"/>
  <c r="AM1135" i="1"/>
  <c r="N1135" i="1"/>
  <c r="AT1135" i="1"/>
  <c r="AS1135" i="1" s="1"/>
  <c r="I1135" i="1"/>
  <c r="P1135" i="1"/>
  <c r="BE1135" i="1" s="1"/>
  <c r="AH1134" i="1"/>
  <c r="AG1134" i="1"/>
  <c r="BA1134" i="1" s="1"/>
  <c r="Q1135" i="1" l="1"/>
  <c r="O1135" i="1"/>
  <c r="AY1135" i="1"/>
  <c r="V1135" i="1"/>
  <c r="AQ1135" i="1"/>
  <c r="Y1135" i="1"/>
  <c r="X1135" i="1" s="1"/>
  <c r="AF1135" i="1" l="1"/>
  <c r="P1136" i="1"/>
  <c r="BE1136" i="1" s="1"/>
  <c r="I1136" i="1"/>
  <c r="AM1136" i="1"/>
  <c r="N1136" i="1"/>
  <c r="AT1136" i="1"/>
  <c r="AS1136" i="1" s="1"/>
  <c r="AX1135" i="1"/>
  <c r="U1135" i="1" s="1"/>
  <c r="AL1135" i="1" s="1"/>
  <c r="AN1135" i="1" s="1"/>
  <c r="AO1135" i="1" s="1"/>
  <c r="AP1135" i="1" s="1"/>
  <c r="AQ1136" i="1" l="1"/>
  <c r="AG1135" i="1"/>
  <c r="BA1135" i="1" s="1"/>
  <c r="AH1135" i="1"/>
  <c r="Q1136" i="1"/>
  <c r="O1136" i="1"/>
  <c r="AY1136" i="1"/>
  <c r="V1136" i="1"/>
  <c r="Y1136" i="1"/>
  <c r="X1136" i="1" s="1"/>
  <c r="AF1136" i="1" s="1"/>
  <c r="AG1136" i="1" l="1"/>
  <c r="BA1136" i="1" s="1"/>
  <c r="AX1136" i="1"/>
  <c r="U1136" i="1" s="1"/>
  <c r="AL1136" i="1" s="1"/>
  <c r="AN1136" i="1" s="1"/>
  <c r="AO1136" i="1" s="1"/>
  <c r="AP1136" i="1" s="1"/>
  <c r="AT1137" i="1"/>
  <c r="AS1137" i="1" s="1"/>
  <c r="AM1137" i="1"/>
  <c r="AH1136" i="1"/>
  <c r="N1137" i="1"/>
  <c r="P1137" i="1"/>
  <c r="BE1137" i="1" s="1"/>
  <c r="I1137" i="1"/>
  <c r="Q1137" i="1" s="1"/>
  <c r="O1137" i="1" l="1"/>
  <c r="I1138" i="1" s="1"/>
  <c r="Q1138" i="1" s="1"/>
  <c r="AQ1137" i="1"/>
  <c r="AY1137" i="1"/>
  <c r="V1137" i="1"/>
  <c r="Y1137" i="1"/>
  <c r="X1137" i="1" s="1"/>
  <c r="AF1137" i="1" s="1"/>
  <c r="AM1138" i="1" l="1"/>
  <c r="P1138" i="1"/>
  <c r="AT1138" i="1"/>
  <c r="AS1138" i="1" s="1"/>
  <c r="N1138" i="1"/>
  <c r="O1138" i="1" s="1"/>
  <c r="AX1137" i="1"/>
  <c r="U1137" i="1" s="1"/>
  <c r="AL1137" i="1" s="1"/>
  <c r="AN1137" i="1" s="1"/>
  <c r="AO1137" i="1" s="1"/>
  <c r="AP1137" i="1" s="1"/>
  <c r="AG1137" i="1"/>
  <c r="BA1137" i="1" s="1"/>
  <c r="AH1137" i="1"/>
  <c r="AY1138" i="1" l="1"/>
  <c r="BE1138" i="1"/>
  <c r="AQ1138" i="1"/>
  <c r="Y1138" i="1"/>
  <c r="X1138" i="1" s="1"/>
  <c r="AF1138" i="1" s="1"/>
  <c r="V1138" i="1"/>
  <c r="AM1139" i="1"/>
  <c r="N1139" i="1"/>
  <c r="I1139" i="1"/>
  <c r="P1139" i="1"/>
  <c r="BE1139" i="1" s="1"/>
  <c r="AT1139" i="1"/>
  <c r="AS1139" i="1" s="1"/>
  <c r="AX1138" i="1" l="1"/>
  <c r="U1138" i="1" s="1"/>
  <c r="AL1138" i="1" s="1"/>
  <c r="AN1138" i="1" s="1"/>
  <c r="AO1138" i="1" s="1"/>
  <c r="AP1138" i="1" s="1"/>
  <c r="AG1138" i="1"/>
  <c r="BA1138" i="1" s="1"/>
  <c r="AH1138" i="1"/>
  <c r="AY1139" i="1"/>
  <c r="AQ1139" i="1"/>
  <c r="V1139" i="1"/>
  <c r="Y1139" i="1"/>
  <c r="X1139" i="1" s="1"/>
  <c r="AF1139" i="1" s="1"/>
  <c r="Q1139" i="1"/>
  <c r="O1139" i="1"/>
  <c r="AX1139" i="1" l="1"/>
  <c r="U1139" i="1" s="1"/>
  <c r="AL1139" i="1" s="1"/>
  <c r="AN1139" i="1" s="1"/>
  <c r="AO1139" i="1" s="1"/>
  <c r="AP1139" i="1" s="1"/>
  <c r="AM1140" i="1"/>
  <c r="N1140" i="1"/>
  <c r="AT1140" i="1"/>
  <c r="AS1140" i="1" s="1"/>
  <c r="I1140" i="1"/>
  <c r="Q1140" i="1" s="1"/>
  <c r="P1140" i="1"/>
  <c r="BE1140" i="1" s="1"/>
  <c r="AH1139" i="1"/>
  <c r="AG1139" i="1"/>
  <c r="BA1139" i="1" s="1"/>
  <c r="O1140" i="1" l="1"/>
  <c r="Y1140" i="1"/>
  <c r="X1140" i="1" s="1"/>
  <c r="AF1140" i="1" s="1"/>
  <c r="V1140" i="1"/>
  <c r="AQ1140" i="1"/>
  <c r="AY1140" i="1"/>
  <c r="AX1140" i="1" l="1"/>
  <c r="U1140" i="1" s="1"/>
  <c r="AL1140" i="1" s="1"/>
  <c r="AN1140" i="1" s="1"/>
  <c r="AO1140" i="1" s="1"/>
  <c r="N1141" i="1"/>
  <c r="I1141" i="1"/>
  <c r="Q1141" i="1" s="1"/>
  <c r="P1141" i="1"/>
  <c r="BE1141" i="1" s="1"/>
  <c r="AT1141" i="1"/>
  <c r="AS1141" i="1" s="1"/>
  <c r="AM1141" i="1"/>
  <c r="AG1140" i="1"/>
  <c r="BA1140" i="1" s="1"/>
  <c r="AH1140" i="1"/>
  <c r="O1141" i="1" l="1"/>
  <c r="P1142" i="1" s="1"/>
  <c r="BE1142" i="1" s="1"/>
  <c r="V1141" i="1"/>
  <c r="Y1141" i="1"/>
  <c r="X1141" i="1" s="1"/>
  <c r="AF1141" i="1" s="1"/>
  <c r="AY1141" i="1"/>
  <c r="AQ1141" i="1"/>
  <c r="Y1142" i="1" l="1"/>
  <c r="X1142" i="1" s="1"/>
  <c r="AF1142" i="1" s="1"/>
  <c r="V1142" i="1"/>
  <c r="AY1142" i="1"/>
  <c r="AM1142" i="1"/>
  <c r="AX1141" i="1"/>
  <c r="U1141" i="1" s="1"/>
  <c r="AL1141" i="1" s="1"/>
  <c r="AN1141" i="1" s="1"/>
  <c r="AO1141" i="1" s="1"/>
  <c r="AP1141" i="1" s="1"/>
  <c r="I1142" i="1"/>
  <c r="AT1142" i="1"/>
  <c r="AS1142" i="1" s="1"/>
  <c r="AQ1142" i="1" s="1"/>
  <c r="N1142" i="1"/>
  <c r="AH1141" i="1"/>
  <c r="AG1141" i="1"/>
  <c r="BA1141" i="1" s="1"/>
  <c r="AG1142" i="1" l="1"/>
  <c r="AX1142" i="1"/>
  <c r="U1142" i="1" s="1"/>
  <c r="AL1142" i="1" s="1"/>
  <c r="AN1142" i="1" s="1"/>
  <c r="AO1142" i="1" s="1"/>
  <c r="AP1142" i="1" s="1"/>
  <c r="Q1142" i="1"/>
  <c r="O1142" i="1"/>
  <c r="BA1142" i="1" l="1"/>
  <c r="N1143" i="1"/>
  <c r="AH1142" i="1"/>
  <c r="AT1143" i="1"/>
  <c r="AS1143" i="1" s="1"/>
  <c r="AM1143" i="1"/>
  <c r="P1143" i="1"/>
  <c r="BE1143" i="1" s="1"/>
  <c r="I1143" i="1"/>
  <c r="Q1143" i="1" l="1"/>
  <c r="O1143" i="1"/>
  <c r="V1143" i="1"/>
  <c r="AY1143" i="1"/>
  <c r="Y1143" i="1"/>
  <c r="X1143" i="1" s="1"/>
  <c r="AF1143" i="1" s="1"/>
  <c r="AQ1143" i="1"/>
  <c r="AX1143" i="1" l="1"/>
  <c r="U1143" i="1" s="1"/>
  <c r="AL1143" i="1" s="1"/>
  <c r="AN1143" i="1" s="1"/>
  <c r="AO1143" i="1" s="1"/>
  <c r="AP1143" i="1" s="1"/>
  <c r="N1144" i="1"/>
  <c r="P1144" i="1"/>
  <c r="BE1144" i="1" s="1"/>
  <c r="AT1144" i="1"/>
  <c r="AS1144" i="1" s="1"/>
  <c r="I1144" i="1"/>
  <c r="AM1144" i="1"/>
  <c r="AG1143" i="1"/>
  <c r="BA1143" i="1" s="1"/>
  <c r="AH1143" i="1"/>
  <c r="AQ1144" i="1" l="1"/>
  <c r="AY1144" i="1"/>
  <c r="Y1144" i="1"/>
  <c r="X1144" i="1" s="1"/>
  <c r="AF1144" i="1" s="1"/>
  <c r="V1144" i="1"/>
  <c r="Q1144" i="1"/>
  <c r="O1144" i="1"/>
  <c r="AX1144" i="1" l="1"/>
  <c r="U1144" i="1" s="1"/>
  <c r="AL1144" i="1" s="1"/>
  <c r="AN1144" i="1" s="1"/>
  <c r="AO1144" i="1" s="1"/>
  <c r="AP1144" i="1" s="1"/>
  <c r="AM1145" i="1"/>
  <c r="N1145" i="1"/>
  <c r="P1145" i="1"/>
  <c r="BE1145" i="1" s="1"/>
  <c r="AT1145" i="1"/>
  <c r="AS1145" i="1" s="1"/>
  <c r="I1145" i="1"/>
  <c r="Q1145" i="1" s="1"/>
  <c r="AH1144" i="1"/>
  <c r="AG1144" i="1"/>
  <c r="BA1144" i="1" s="1"/>
  <c r="O1145" i="1" l="1"/>
  <c r="P1146" i="1" s="1"/>
  <c r="Y1145" i="1"/>
  <c r="X1145" i="1" s="1"/>
  <c r="AF1145" i="1" s="1"/>
  <c r="V1145" i="1"/>
  <c r="AQ1145" i="1"/>
  <c r="AY1145" i="1"/>
  <c r="V1146" i="1" l="1"/>
  <c r="BE1146" i="1"/>
  <c r="N1146" i="1"/>
  <c r="AY1146" i="1"/>
  <c r="AT1146" i="1"/>
  <c r="AS1146" i="1" s="1"/>
  <c r="AQ1146" i="1" s="1"/>
  <c r="AM1146" i="1"/>
  <c r="I1146" i="1"/>
  <c r="Q1146" i="1" s="1"/>
  <c r="Y1146" i="1"/>
  <c r="X1146" i="1" s="1"/>
  <c r="AF1146" i="1" s="1"/>
  <c r="AX1145" i="1"/>
  <c r="U1145" i="1" s="1"/>
  <c r="AL1145" i="1" s="1"/>
  <c r="AN1145" i="1" s="1"/>
  <c r="AO1145" i="1" s="1"/>
  <c r="AP1145" i="1" s="1"/>
  <c r="AH1145" i="1"/>
  <c r="AG1145" i="1"/>
  <c r="BA1145" i="1" s="1"/>
  <c r="AG1146" i="1" l="1"/>
  <c r="BA1146" i="1" s="1"/>
  <c r="O1146" i="1"/>
  <c r="AH1146" i="1" s="1"/>
  <c r="AX1146" i="1"/>
  <c r="U1146" i="1" s="1"/>
  <c r="AL1146" i="1" s="1"/>
  <c r="AN1146" i="1" s="1"/>
  <c r="AO1146" i="1" s="1"/>
  <c r="AP1146" i="1" s="1"/>
  <c r="AM1147" i="1" l="1"/>
  <c r="P1147" i="1"/>
  <c r="BE1147" i="1" s="1"/>
  <c r="N1147" i="1"/>
  <c r="AT1147" i="1"/>
  <c r="AS1147" i="1" s="1"/>
  <c r="I1147" i="1"/>
  <c r="AQ1147" i="1" l="1"/>
  <c r="Q1147" i="1"/>
  <c r="O1147" i="1"/>
  <c r="AY1147" i="1"/>
  <c r="Y1147" i="1"/>
  <c r="X1147" i="1" s="1"/>
  <c r="AF1147" i="1" s="1"/>
  <c r="V1147" i="1"/>
  <c r="AX1147" i="1" l="1"/>
  <c r="U1147" i="1" s="1"/>
  <c r="AL1147" i="1" s="1"/>
  <c r="AN1147" i="1" s="1"/>
  <c r="AO1147" i="1" s="1"/>
  <c r="AP1147" i="1" s="1"/>
  <c r="P1148" i="1"/>
  <c r="BE1148" i="1" s="1"/>
  <c r="AT1148" i="1"/>
  <c r="AS1148" i="1" s="1"/>
  <c r="AM1148" i="1"/>
  <c r="I1148" i="1"/>
  <c r="N1148" i="1"/>
  <c r="AG1147" i="1"/>
  <c r="BA1147" i="1" s="1"/>
  <c r="AH1147" i="1"/>
  <c r="AQ1148" i="1" l="1"/>
  <c r="Q1148" i="1"/>
  <c r="O1148" i="1"/>
  <c r="V1148" i="1"/>
  <c r="Y1148" i="1"/>
  <c r="X1148" i="1" s="1"/>
  <c r="AF1148" i="1" s="1"/>
  <c r="AY1148" i="1"/>
  <c r="AX1148" i="1" l="1"/>
  <c r="U1148" i="1" s="1"/>
  <c r="AL1148" i="1" s="1"/>
  <c r="AN1148" i="1" s="1"/>
  <c r="AO1148" i="1" s="1"/>
  <c r="AP1148" i="1" s="1"/>
  <c r="P1149" i="1"/>
  <c r="BE1149" i="1" s="1"/>
  <c r="AT1149" i="1"/>
  <c r="AS1149" i="1" s="1"/>
  <c r="I1149" i="1"/>
  <c r="Q1149" i="1" s="1"/>
  <c r="N1149" i="1"/>
  <c r="AM1149" i="1"/>
  <c r="AG1148" i="1"/>
  <c r="BA1148" i="1" s="1"/>
  <c r="AH1148" i="1"/>
  <c r="AQ1149" i="1" l="1"/>
  <c r="O1149" i="1"/>
  <c r="AM1150" i="1" s="1"/>
  <c r="AY1149" i="1"/>
  <c r="Y1149" i="1"/>
  <c r="X1149" i="1" s="1"/>
  <c r="AF1149" i="1" s="1"/>
  <c r="V1149" i="1"/>
  <c r="I1150" i="1" l="1"/>
  <c r="Q1150" i="1" s="1"/>
  <c r="P1150" i="1"/>
  <c r="BE1150" i="1" s="1"/>
  <c r="N1150" i="1"/>
  <c r="AT1150" i="1"/>
  <c r="AS1150" i="1" s="1"/>
  <c r="AX1149" i="1"/>
  <c r="U1149" i="1" s="1"/>
  <c r="AL1149" i="1" s="1"/>
  <c r="AN1149" i="1" s="1"/>
  <c r="AO1149" i="1" s="1"/>
  <c r="AP1149" i="1" s="1"/>
  <c r="AG1149" i="1"/>
  <c r="BA1149" i="1" s="1"/>
  <c r="AH1149" i="1"/>
  <c r="O1150" i="1" l="1"/>
  <c r="I1151" i="1" s="1"/>
  <c r="Q1151" i="1" s="1"/>
  <c r="AQ1150" i="1"/>
  <c r="V1150" i="1"/>
  <c r="AY1150" i="1"/>
  <c r="Y1150" i="1"/>
  <c r="X1150" i="1" s="1"/>
  <c r="AF1150" i="1" s="1"/>
  <c r="AM1151" i="1" l="1"/>
  <c r="AT1151" i="1"/>
  <c r="AS1151" i="1" s="1"/>
  <c r="N1151" i="1"/>
  <c r="O1151" i="1" s="1"/>
  <c r="N1152" i="1" s="1"/>
  <c r="P1151" i="1"/>
  <c r="BE1151" i="1" s="1"/>
  <c r="AX1150" i="1"/>
  <c r="U1150" i="1" s="1"/>
  <c r="AL1150" i="1" s="1"/>
  <c r="AN1150" i="1" s="1"/>
  <c r="AO1150" i="1" s="1"/>
  <c r="AP1150" i="1" s="1"/>
  <c r="AG1150" i="1"/>
  <c r="BA1150" i="1" s="1"/>
  <c r="AH1150" i="1"/>
  <c r="P1152" i="1" l="1"/>
  <c r="I1152" i="1"/>
  <c r="O1152" i="1" s="1"/>
  <c r="AM1152" i="1"/>
  <c r="AT1152" i="1"/>
  <c r="AS1152" i="1" s="1"/>
  <c r="Y1151" i="1"/>
  <c r="X1151" i="1" s="1"/>
  <c r="AF1151" i="1" s="1"/>
  <c r="V1151" i="1"/>
  <c r="AY1151" i="1"/>
  <c r="AQ1151" i="1"/>
  <c r="Q1152" i="1" l="1"/>
  <c r="Y1152" i="1"/>
  <c r="X1152" i="1" s="1"/>
  <c r="AF1152" i="1" s="1"/>
  <c r="AG1152" i="1" s="1"/>
  <c r="BE1152" i="1"/>
  <c r="AQ1152" i="1"/>
  <c r="AY1152" i="1"/>
  <c r="V1152" i="1"/>
  <c r="AX1151" i="1"/>
  <c r="U1151" i="1" s="1"/>
  <c r="AL1151" i="1" s="1"/>
  <c r="AN1151" i="1" s="1"/>
  <c r="AO1151" i="1" s="1"/>
  <c r="AP1151" i="1" s="1"/>
  <c r="AG1151" i="1"/>
  <c r="BA1151" i="1" s="1"/>
  <c r="AH1151" i="1"/>
  <c r="I1153" i="1"/>
  <c r="Q1153" i="1" s="1"/>
  <c r="AT1153" i="1"/>
  <c r="AS1153" i="1" s="1"/>
  <c r="N1153" i="1"/>
  <c r="AM1153" i="1"/>
  <c r="P1153" i="1"/>
  <c r="BE1153" i="1" s="1"/>
  <c r="BA1152" i="1" l="1"/>
  <c r="AH1152" i="1"/>
  <c r="AX1152" i="1"/>
  <c r="U1152" i="1" s="1"/>
  <c r="AL1152" i="1" s="1"/>
  <c r="AN1152" i="1" s="1"/>
  <c r="AO1152" i="1" s="1"/>
  <c r="Y1153" i="1"/>
  <c r="X1153" i="1" s="1"/>
  <c r="AQ1153" i="1"/>
  <c r="V1153" i="1"/>
  <c r="AY1153" i="1"/>
  <c r="O1153" i="1"/>
  <c r="AF1153" i="1" l="1"/>
  <c r="AX1153" i="1"/>
  <c r="U1153" i="1" s="1"/>
  <c r="AL1153" i="1" s="1"/>
  <c r="AN1153" i="1" s="1"/>
  <c r="AO1153" i="1" s="1"/>
  <c r="AP1153" i="1" s="1"/>
  <c r="P1154" i="1"/>
  <c r="BE1154" i="1" s="1"/>
  <c r="AT1154" i="1"/>
  <c r="AS1154" i="1" s="1"/>
  <c r="N1154" i="1"/>
  <c r="I1154" i="1"/>
  <c r="Q1154" i="1" s="1"/>
  <c r="AM1154" i="1"/>
  <c r="AH1153" i="1" l="1"/>
  <c r="AG1153" i="1"/>
  <c r="BA1153" i="1" s="1"/>
  <c r="AQ1154" i="1"/>
  <c r="O1154" i="1"/>
  <c r="V1154" i="1"/>
  <c r="AY1154" i="1"/>
  <c r="Y1154" i="1"/>
  <c r="X1154" i="1" s="1"/>
  <c r="AF1154" i="1" s="1"/>
  <c r="AG1154" i="1" s="1"/>
  <c r="AX1154" i="1" l="1"/>
  <c r="U1154" i="1" s="1"/>
  <c r="AL1154" i="1" s="1"/>
  <c r="AN1154" i="1" s="1"/>
  <c r="AO1154" i="1" s="1"/>
  <c r="AP1154" i="1" s="1"/>
  <c r="BA1154" i="1"/>
  <c r="AT1155" i="1"/>
  <c r="AS1155" i="1" s="1"/>
  <c r="AM1155" i="1"/>
  <c r="P1155" i="1"/>
  <c r="BE1155" i="1" s="1"/>
  <c r="I1155" i="1"/>
  <c r="Q1155" i="1" s="1"/>
  <c r="N1155" i="1"/>
  <c r="AH1154" i="1"/>
  <c r="O1155" i="1" l="1"/>
  <c r="P1156" i="1" s="1"/>
  <c r="BE1156" i="1" s="1"/>
  <c r="AY1155" i="1"/>
  <c r="AQ1155" i="1"/>
  <c r="Y1155" i="1"/>
  <c r="X1155" i="1" s="1"/>
  <c r="AF1155" i="1" s="1"/>
  <c r="V1155" i="1"/>
  <c r="AT1156" i="1" l="1"/>
  <c r="AS1156" i="1" s="1"/>
  <c r="AQ1156" i="1" s="1"/>
  <c r="AM1156" i="1"/>
  <c r="N1156" i="1"/>
  <c r="I1156" i="1"/>
  <c r="Q1156" i="1" s="1"/>
  <c r="AX1155" i="1"/>
  <c r="U1155" i="1" s="1"/>
  <c r="AL1155" i="1" s="1"/>
  <c r="AN1155" i="1" s="1"/>
  <c r="AO1155" i="1" s="1"/>
  <c r="AP1155" i="1" s="1"/>
  <c r="AG1155" i="1"/>
  <c r="BA1155" i="1" s="1"/>
  <c r="AH1155" i="1"/>
  <c r="Y1156" i="1"/>
  <c r="X1156" i="1" s="1"/>
  <c r="AF1156" i="1" s="1"/>
  <c r="V1156" i="1"/>
  <c r="AY1156" i="1"/>
  <c r="O1156" i="1" l="1"/>
  <c r="P1157" i="1" s="1"/>
  <c r="BE1157" i="1" s="1"/>
  <c r="AX1156" i="1"/>
  <c r="U1156" i="1" s="1"/>
  <c r="AL1156" i="1" s="1"/>
  <c r="AN1156" i="1" s="1"/>
  <c r="AO1156" i="1" s="1"/>
  <c r="AP1156" i="1" s="1"/>
  <c r="AG1156" i="1"/>
  <c r="BA1156" i="1" s="1"/>
  <c r="AT1157" i="1" l="1"/>
  <c r="AS1157" i="1" s="1"/>
  <c r="AQ1157" i="1" s="1"/>
  <c r="AM1157" i="1"/>
  <c r="N1157" i="1"/>
  <c r="AH1156" i="1"/>
  <c r="I1157" i="1"/>
  <c r="Q1157" i="1" s="1"/>
  <c r="V1157" i="1"/>
  <c r="AY1157" i="1"/>
  <c r="Y1157" i="1"/>
  <c r="X1157" i="1" s="1"/>
  <c r="AF1157" i="1" s="1"/>
  <c r="O1157" i="1" l="1"/>
  <c r="P1158" i="1" s="1"/>
  <c r="BE1158" i="1" s="1"/>
  <c r="AX1157" i="1"/>
  <c r="U1157" i="1" s="1"/>
  <c r="AL1157" i="1" s="1"/>
  <c r="AN1157" i="1" s="1"/>
  <c r="AO1157" i="1" s="1"/>
  <c r="AP1157" i="1" s="1"/>
  <c r="AG1157" i="1"/>
  <c r="BA1157" i="1" s="1"/>
  <c r="AH1157" i="1" l="1"/>
  <c r="AM1158" i="1"/>
  <c r="AT1158" i="1"/>
  <c r="AS1158" i="1" s="1"/>
  <c r="AQ1158" i="1" s="1"/>
  <c r="I1158" i="1"/>
  <c r="Q1158" i="1" s="1"/>
  <c r="N1158" i="1"/>
  <c r="AY1158" i="1"/>
  <c r="Y1158" i="1"/>
  <c r="X1158" i="1" s="1"/>
  <c r="AF1158" i="1" s="1"/>
  <c r="V1158" i="1"/>
  <c r="O1158" i="1" l="1"/>
  <c r="P1159" i="1" s="1"/>
  <c r="BE1159" i="1" s="1"/>
  <c r="AX1158" i="1"/>
  <c r="U1158" i="1" s="1"/>
  <c r="AL1158" i="1" s="1"/>
  <c r="AN1158" i="1" s="1"/>
  <c r="AO1158" i="1" s="1"/>
  <c r="AP1158" i="1" s="1"/>
  <c r="AG1158" i="1"/>
  <c r="BA1158" i="1" s="1"/>
  <c r="V1159" i="1" l="1"/>
  <c r="AY1159" i="1"/>
  <c r="AH1158" i="1"/>
  <c r="AM1159" i="1"/>
  <c r="Y1159" i="1"/>
  <c r="X1159" i="1" s="1"/>
  <c r="AF1159" i="1" s="1"/>
  <c r="AT1159" i="1"/>
  <c r="AS1159" i="1" s="1"/>
  <c r="AQ1159" i="1" s="1"/>
  <c r="I1159" i="1"/>
  <c r="Q1159" i="1" s="1"/>
  <c r="N1159" i="1"/>
  <c r="AG1159" i="1" l="1"/>
  <c r="BA1159" i="1" s="1"/>
  <c r="AX1159" i="1"/>
  <c r="U1159" i="1" s="1"/>
  <c r="AL1159" i="1" s="1"/>
  <c r="AN1159" i="1" s="1"/>
  <c r="AO1159" i="1" s="1"/>
  <c r="AP1159" i="1" s="1"/>
  <c r="O1159" i="1"/>
  <c r="AH1159" i="1" s="1"/>
  <c r="AM1160" i="1" l="1"/>
  <c r="N1160" i="1"/>
  <c r="I1160" i="1"/>
  <c r="Q1160" i="1" s="1"/>
  <c r="P1160" i="1"/>
  <c r="BE1160" i="1" s="1"/>
  <c r="AT1160" i="1"/>
  <c r="AS1160" i="1" s="1"/>
  <c r="O1160" i="1" l="1"/>
  <c r="P1161" i="1" s="1"/>
  <c r="V1160" i="1"/>
  <c r="AY1160" i="1"/>
  <c r="AQ1160" i="1"/>
  <c r="Y1160" i="1"/>
  <c r="X1160" i="1" s="1"/>
  <c r="AF1160" i="1" s="1"/>
  <c r="V1161" i="1" l="1"/>
  <c r="BE1161" i="1"/>
  <c r="Y1161" i="1"/>
  <c r="X1161" i="1" s="1"/>
  <c r="AF1161" i="1" s="1"/>
  <c r="I1161" i="1"/>
  <c r="Q1161" i="1" s="1"/>
  <c r="AY1161" i="1"/>
  <c r="N1161" i="1"/>
  <c r="AM1161" i="1"/>
  <c r="AT1161" i="1"/>
  <c r="AS1161" i="1" s="1"/>
  <c r="AQ1161" i="1" s="1"/>
  <c r="AH1160" i="1"/>
  <c r="AX1160" i="1"/>
  <c r="U1160" i="1" s="1"/>
  <c r="AL1160" i="1" s="1"/>
  <c r="AN1160" i="1" s="1"/>
  <c r="AO1160" i="1" s="1"/>
  <c r="AP1160" i="1" s="1"/>
  <c r="AG1160" i="1"/>
  <c r="BA1160" i="1" s="1"/>
  <c r="AX1161" i="1" l="1"/>
  <c r="U1161" i="1" s="1"/>
  <c r="AL1161" i="1" s="1"/>
  <c r="AN1161" i="1" s="1"/>
  <c r="AO1161" i="1" s="1"/>
  <c r="AP1161" i="1" s="1"/>
  <c r="O1161" i="1"/>
  <c r="P1162" i="1" s="1"/>
  <c r="BE1162" i="1" s="1"/>
  <c r="AG1161" i="1"/>
  <c r="BA1161" i="1" s="1"/>
  <c r="AT1162" i="1" l="1"/>
  <c r="AS1162" i="1" s="1"/>
  <c r="AQ1162" i="1" s="1"/>
  <c r="N1162" i="1"/>
  <c r="AM1162" i="1"/>
  <c r="AY1162" i="1"/>
  <c r="AH1161" i="1"/>
  <c r="Y1162" i="1"/>
  <c r="X1162" i="1" s="1"/>
  <c r="AF1162" i="1" s="1"/>
  <c r="AG1162" i="1" s="1"/>
  <c r="I1162" i="1"/>
  <c r="Q1162" i="1" s="1"/>
  <c r="V1162" i="1"/>
  <c r="O1162" i="1" l="1"/>
  <c r="AH1162" i="1" s="1"/>
  <c r="AX1162" i="1"/>
  <c r="U1162" i="1" s="1"/>
  <c r="AL1162" i="1" s="1"/>
  <c r="AN1162" i="1" s="1"/>
  <c r="AO1162" i="1" s="1"/>
  <c r="AP1162" i="1" s="1"/>
  <c r="BA1162" i="1"/>
  <c r="I1163" i="1" l="1"/>
  <c r="Q1163" i="1" s="1"/>
  <c r="AM1163" i="1"/>
  <c r="P1163" i="1"/>
  <c r="N1163" i="1"/>
  <c r="AT1163" i="1"/>
  <c r="AS1163" i="1" s="1"/>
  <c r="AY1163" i="1" l="1"/>
  <c r="BE1163" i="1"/>
  <c r="AQ1163" i="1"/>
  <c r="O1163" i="1"/>
  <c r="I1164" i="1" s="1"/>
  <c r="Q1164" i="1" s="1"/>
  <c r="Y1163" i="1"/>
  <c r="X1163" i="1" s="1"/>
  <c r="AF1163" i="1" s="1"/>
  <c r="AG1163" i="1" s="1"/>
  <c r="V1163" i="1"/>
  <c r="AX1163" i="1" l="1"/>
  <c r="U1163" i="1" s="1"/>
  <c r="AL1163" i="1" s="1"/>
  <c r="AN1163" i="1" s="1"/>
  <c r="AO1163" i="1" s="1"/>
  <c r="AP1163" i="1" s="1"/>
  <c r="N1164" i="1"/>
  <c r="O1164" i="1" s="1"/>
  <c r="AT1164" i="1"/>
  <c r="AS1164" i="1" s="1"/>
  <c r="P1164" i="1"/>
  <c r="AM1164" i="1"/>
  <c r="BA1163" i="1"/>
  <c r="AH1163" i="1"/>
  <c r="Y1164" i="1" l="1"/>
  <c r="X1164" i="1" s="1"/>
  <c r="AF1164" i="1" s="1"/>
  <c r="AG1164" i="1" s="1"/>
  <c r="BE1164" i="1"/>
  <c r="AQ1164" i="1"/>
  <c r="AY1164" i="1"/>
  <c r="V1164" i="1"/>
  <c r="N1165" i="1"/>
  <c r="I1165" i="1"/>
  <c r="AT1165" i="1"/>
  <c r="AS1165" i="1" s="1"/>
  <c r="P1165" i="1"/>
  <c r="BE1165" i="1" s="1"/>
  <c r="AM1165" i="1"/>
  <c r="AH1164" i="1" l="1"/>
  <c r="AX1164" i="1"/>
  <c r="U1164" i="1" s="1"/>
  <c r="AL1164" i="1" s="1"/>
  <c r="AN1164" i="1" s="1"/>
  <c r="AO1164" i="1" s="1"/>
  <c r="BA1164" i="1"/>
  <c r="V1165" i="1"/>
  <c r="AY1165" i="1"/>
  <c r="AQ1165" i="1"/>
  <c r="Y1165" i="1"/>
  <c r="X1165" i="1" s="1"/>
  <c r="AF1165" i="1" s="1"/>
  <c r="Q1165" i="1"/>
  <c r="O1165" i="1"/>
  <c r="AX1165" i="1" l="1"/>
  <c r="U1165" i="1" s="1"/>
  <c r="AL1165" i="1" s="1"/>
  <c r="AN1165" i="1" s="1"/>
  <c r="AO1165" i="1" s="1"/>
  <c r="AP1165" i="1" s="1"/>
  <c r="P1166" i="1"/>
  <c r="BE1166" i="1" s="1"/>
  <c r="I1166" i="1"/>
  <c r="Q1166" i="1" s="1"/>
  <c r="AT1166" i="1"/>
  <c r="AS1166" i="1" s="1"/>
  <c r="AM1166" i="1"/>
  <c r="N1166" i="1"/>
  <c r="AG1165" i="1"/>
  <c r="BA1165" i="1" s="1"/>
  <c r="AH1165" i="1"/>
  <c r="O1166" i="1" l="1"/>
  <c r="AQ1166" i="1"/>
  <c r="V1166" i="1"/>
  <c r="AY1166" i="1"/>
  <c r="Y1166" i="1"/>
  <c r="X1166" i="1" s="1"/>
  <c r="AF1166" i="1" s="1"/>
  <c r="AX1166" i="1" l="1"/>
  <c r="U1166" i="1" s="1"/>
  <c r="AL1166" i="1" s="1"/>
  <c r="AN1166" i="1" s="1"/>
  <c r="AO1166" i="1" s="1"/>
  <c r="AP1166" i="1" s="1"/>
  <c r="AM1167" i="1"/>
  <c r="AT1167" i="1"/>
  <c r="AS1167" i="1" s="1"/>
  <c r="P1167" i="1"/>
  <c r="BE1167" i="1" s="1"/>
  <c r="N1167" i="1"/>
  <c r="I1167" i="1"/>
  <c r="AH1166" i="1"/>
  <c r="AG1166" i="1"/>
  <c r="BA1166" i="1" s="1"/>
  <c r="V1167" i="1" l="1"/>
  <c r="Y1167" i="1"/>
  <c r="X1167" i="1" s="1"/>
  <c r="AF1167" i="1" s="1"/>
  <c r="AY1167" i="1"/>
  <c r="AQ1167" i="1"/>
  <c r="Q1167" i="1"/>
  <c r="O1167" i="1"/>
  <c r="AX1167" i="1" l="1"/>
  <c r="U1167" i="1" s="1"/>
  <c r="AL1167" i="1" s="1"/>
  <c r="AN1167" i="1" s="1"/>
  <c r="AO1167" i="1" s="1"/>
  <c r="AP1167" i="1" s="1"/>
  <c r="P1168" i="1"/>
  <c r="BE1168" i="1" s="1"/>
  <c r="AM1168" i="1"/>
  <c r="I1168" i="1"/>
  <c r="Q1168" i="1" s="1"/>
  <c r="AT1168" i="1"/>
  <c r="AS1168" i="1" s="1"/>
  <c r="N1168" i="1"/>
  <c r="AG1167" i="1"/>
  <c r="BA1167" i="1" s="1"/>
  <c r="AH1167" i="1"/>
  <c r="O1168" i="1" l="1"/>
  <c r="AQ1168" i="1"/>
  <c r="Y1168" i="1"/>
  <c r="X1168" i="1" s="1"/>
  <c r="AF1168" i="1" s="1"/>
  <c r="V1168" i="1"/>
  <c r="AY1168" i="1"/>
  <c r="AX1168" i="1" l="1"/>
  <c r="U1168" i="1" s="1"/>
  <c r="AL1168" i="1" s="1"/>
  <c r="AN1168" i="1" s="1"/>
  <c r="AO1168" i="1" s="1"/>
  <c r="AP1168" i="1" s="1"/>
  <c r="I1169" i="1"/>
  <c r="N1169" i="1"/>
  <c r="AT1169" i="1"/>
  <c r="AS1169" i="1" s="1"/>
  <c r="AM1169" i="1"/>
  <c r="P1169" i="1"/>
  <c r="BE1169" i="1" s="1"/>
  <c r="AH1168" i="1"/>
  <c r="AG1168" i="1"/>
  <c r="BA1168" i="1" s="1"/>
  <c r="AY1169" i="1" l="1"/>
  <c r="AQ1169" i="1"/>
  <c r="Y1169" i="1"/>
  <c r="X1169" i="1" s="1"/>
  <c r="AF1169" i="1" s="1"/>
  <c r="V1169" i="1"/>
  <c r="Q1169" i="1"/>
  <c r="O1169" i="1"/>
  <c r="AX1169" i="1" l="1"/>
  <c r="U1169" i="1" s="1"/>
  <c r="AL1169" i="1" s="1"/>
  <c r="AN1169" i="1" s="1"/>
  <c r="AO1169" i="1" s="1"/>
  <c r="AP1169" i="1" s="1"/>
  <c r="AM1170" i="1"/>
  <c r="P1170" i="1"/>
  <c r="BE1170" i="1" s="1"/>
  <c r="AT1170" i="1"/>
  <c r="AS1170" i="1" s="1"/>
  <c r="N1170" i="1"/>
  <c r="I1170" i="1"/>
  <c r="Q1170" i="1" s="1"/>
  <c r="AG1169" i="1"/>
  <c r="BA1169" i="1" s="1"/>
  <c r="AH1169" i="1"/>
  <c r="AY1170" i="1" l="1"/>
  <c r="V1170" i="1"/>
  <c r="AQ1170" i="1"/>
  <c r="Y1170" i="1"/>
  <c r="X1170" i="1" s="1"/>
  <c r="AF1170" i="1" s="1"/>
  <c r="AG1170" i="1" s="1"/>
  <c r="O1170" i="1"/>
  <c r="AX1170" i="1" l="1"/>
  <c r="U1170" i="1" s="1"/>
  <c r="AL1170" i="1" s="1"/>
  <c r="AN1170" i="1" s="1"/>
  <c r="AO1170" i="1" s="1"/>
  <c r="AP1170" i="1" s="1"/>
  <c r="P1171" i="1"/>
  <c r="BE1171" i="1" s="1"/>
  <c r="N1171" i="1"/>
  <c r="AT1171" i="1"/>
  <c r="AS1171" i="1" s="1"/>
  <c r="I1171" i="1"/>
  <c r="Q1171" i="1" s="1"/>
  <c r="AM1171" i="1"/>
  <c r="BA1170" i="1"/>
  <c r="AH1170" i="1"/>
  <c r="AY1171" i="1" l="1"/>
  <c r="V1171" i="1"/>
  <c r="AQ1171" i="1"/>
  <c r="Y1171" i="1"/>
  <c r="X1171" i="1" s="1"/>
  <c r="AF1171" i="1" s="1"/>
  <c r="O1171" i="1"/>
  <c r="AX1171" i="1" l="1"/>
  <c r="U1171" i="1" s="1"/>
  <c r="AL1171" i="1" s="1"/>
  <c r="AN1171" i="1" s="1"/>
  <c r="AO1171" i="1" s="1"/>
  <c r="AP1171" i="1" s="1"/>
  <c r="I1172" i="1"/>
  <c r="Q1172" i="1" s="1"/>
  <c r="N1172" i="1"/>
  <c r="AM1172" i="1"/>
  <c r="AT1172" i="1"/>
  <c r="AS1172" i="1" s="1"/>
  <c r="P1172" i="1"/>
  <c r="BE1172" i="1" s="1"/>
  <c r="AG1171" i="1"/>
  <c r="BA1171" i="1" s="1"/>
  <c r="AH1171" i="1"/>
  <c r="O1172" i="1" l="1"/>
  <c r="P1173" i="1" s="1"/>
  <c r="BE1173" i="1" s="1"/>
  <c r="Y1172" i="1"/>
  <c r="X1172" i="1" s="1"/>
  <c r="AY1172" i="1"/>
  <c r="V1172" i="1"/>
  <c r="AQ1172" i="1"/>
  <c r="AM1173" i="1" l="1"/>
  <c r="AT1173" i="1"/>
  <c r="AS1173" i="1" s="1"/>
  <c r="AQ1173" i="1" s="1"/>
  <c r="I1173" i="1"/>
  <c r="N1173" i="1"/>
  <c r="AX1172" i="1"/>
  <c r="U1172" i="1" s="1"/>
  <c r="AL1172" i="1" s="1"/>
  <c r="AN1172" i="1" s="1"/>
  <c r="AO1172" i="1" s="1"/>
  <c r="AP1172" i="1" s="1"/>
  <c r="AY1173" i="1"/>
  <c r="V1173" i="1"/>
  <c r="Y1173" i="1"/>
  <c r="X1173" i="1" s="1"/>
  <c r="AF1173" i="1" s="1"/>
  <c r="AF1172" i="1"/>
  <c r="O1173" i="1" l="1"/>
  <c r="I1174" i="1" s="1"/>
  <c r="Q1174" i="1" s="1"/>
  <c r="Q1173" i="1"/>
  <c r="AG1173" i="1"/>
  <c r="AG1172" i="1"/>
  <c r="BA1172" i="1" s="1"/>
  <c r="AH1172" i="1"/>
  <c r="AX1173" i="1" s="1"/>
  <c r="U1173" i="1" s="1"/>
  <c r="AL1173" i="1" s="1"/>
  <c r="AN1173" i="1" s="1"/>
  <c r="AO1173" i="1" s="1"/>
  <c r="AP1173" i="1" s="1"/>
  <c r="AH1173" i="1" l="1"/>
  <c r="AM1174" i="1"/>
  <c r="N1174" i="1"/>
  <c r="O1174" i="1" s="1"/>
  <c r="AT1174" i="1"/>
  <c r="AS1174" i="1" s="1"/>
  <c r="P1174" i="1"/>
  <c r="BA1173" i="1"/>
  <c r="Y1174" i="1" l="1"/>
  <c r="X1174" i="1" s="1"/>
  <c r="AF1174" i="1" s="1"/>
  <c r="BE1174" i="1"/>
  <c r="AQ1174" i="1"/>
  <c r="AY1174" i="1"/>
  <c r="V1174" i="1"/>
  <c r="AT1175" i="1"/>
  <c r="AS1175" i="1" s="1"/>
  <c r="AM1175" i="1"/>
  <c r="N1175" i="1"/>
  <c r="P1175" i="1"/>
  <c r="BE1175" i="1" s="1"/>
  <c r="I1175" i="1"/>
  <c r="Q1175" i="1" s="1"/>
  <c r="AH1174" i="1" l="1"/>
  <c r="AG1174" i="1"/>
  <c r="BA1174" i="1" s="1"/>
  <c r="AX1174" i="1"/>
  <c r="U1174" i="1" s="1"/>
  <c r="AL1174" i="1" s="1"/>
  <c r="AN1174" i="1" s="1"/>
  <c r="AO1174" i="1" s="1"/>
  <c r="AP1174" i="1" s="1"/>
  <c r="O1175" i="1"/>
  <c r="AM1176" i="1" s="1"/>
  <c r="AQ1175" i="1"/>
  <c r="AY1175" i="1"/>
  <c r="Y1175" i="1"/>
  <c r="X1175" i="1" s="1"/>
  <c r="AF1175" i="1" s="1"/>
  <c r="V1175" i="1"/>
  <c r="P1176" i="1" l="1"/>
  <c r="AT1176" i="1"/>
  <c r="AS1176" i="1" s="1"/>
  <c r="I1176" i="1"/>
  <c r="Q1176" i="1" s="1"/>
  <c r="N1176" i="1"/>
  <c r="AX1175" i="1"/>
  <c r="U1175" i="1" s="1"/>
  <c r="AL1175" i="1" s="1"/>
  <c r="AN1175" i="1" s="1"/>
  <c r="AO1175" i="1" s="1"/>
  <c r="AP1175" i="1" s="1"/>
  <c r="AG1175" i="1"/>
  <c r="BA1175" i="1" s="1"/>
  <c r="AH1175" i="1"/>
  <c r="AY1176" i="1" l="1"/>
  <c r="BE1176" i="1"/>
  <c r="Y1176" i="1"/>
  <c r="X1176" i="1" s="1"/>
  <c r="AF1176" i="1" s="1"/>
  <c r="AG1176" i="1" s="1"/>
  <c r="V1176" i="1"/>
  <c r="AQ1176" i="1"/>
  <c r="O1176" i="1"/>
  <c r="AM1177" i="1" s="1"/>
  <c r="AX1176" i="1" l="1"/>
  <c r="U1176" i="1" s="1"/>
  <c r="AL1176" i="1" s="1"/>
  <c r="AN1176" i="1" s="1"/>
  <c r="AO1176" i="1" s="1"/>
  <c r="N1177" i="1"/>
  <c r="I1177" i="1"/>
  <c r="Q1177" i="1" s="1"/>
  <c r="P1177" i="1"/>
  <c r="AT1177" i="1"/>
  <c r="AS1177" i="1" s="1"/>
  <c r="BA1176" i="1"/>
  <c r="AH1176" i="1"/>
  <c r="AY1177" i="1" l="1"/>
  <c r="BE1177" i="1"/>
  <c r="O1177" i="1"/>
  <c r="N1178" i="1" s="1"/>
  <c r="Y1177" i="1"/>
  <c r="X1177" i="1" s="1"/>
  <c r="AF1177" i="1" s="1"/>
  <c r="AG1177" i="1" s="1"/>
  <c r="V1177" i="1"/>
  <c r="AQ1177" i="1"/>
  <c r="AX1177" i="1" l="1"/>
  <c r="U1177" i="1" s="1"/>
  <c r="AL1177" i="1" s="1"/>
  <c r="AN1177" i="1" s="1"/>
  <c r="AO1177" i="1" s="1"/>
  <c r="AP1177" i="1" s="1"/>
  <c r="AM1178" i="1"/>
  <c r="I1178" i="1"/>
  <c r="Q1178" i="1" s="1"/>
  <c r="P1178" i="1"/>
  <c r="BE1178" i="1" s="1"/>
  <c r="AT1178" i="1"/>
  <c r="AS1178" i="1" s="1"/>
  <c r="BA1177" i="1"/>
  <c r="AH1177" i="1"/>
  <c r="O1178" i="1" l="1"/>
  <c r="P1179" i="1" s="1"/>
  <c r="AY1178" i="1"/>
  <c r="AQ1178" i="1"/>
  <c r="Y1178" i="1"/>
  <c r="X1178" i="1" s="1"/>
  <c r="AF1178" i="1" s="1"/>
  <c r="AG1178" i="1" s="1"/>
  <c r="V1178" i="1"/>
  <c r="Y1179" i="1" l="1"/>
  <c r="BE1179" i="1"/>
  <c r="I1179" i="1"/>
  <c r="Q1179" i="1" s="1"/>
  <c r="N1179" i="1"/>
  <c r="AM1179" i="1"/>
  <c r="AT1179" i="1"/>
  <c r="AS1179" i="1" s="1"/>
  <c r="AQ1179" i="1" s="1"/>
  <c r="AY1179" i="1"/>
  <c r="V1179" i="1"/>
  <c r="AX1178" i="1"/>
  <c r="U1178" i="1" s="1"/>
  <c r="AL1178" i="1" s="1"/>
  <c r="AN1178" i="1" s="1"/>
  <c r="AO1178" i="1" s="1"/>
  <c r="AP1178" i="1" s="1"/>
  <c r="BA1178" i="1"/>
  <c r="AH1178" i="1"/>
  <c r="X1179" i="1"/>
  <c r="AF1179" i="1" s="1"/>
  <c r="AG1179" i="1" l="1"/>
  <c r="BA1179" i="1" s="1"/>
  <c r="O1179" i="1"/>
  <c r="N1180" i="1" s="1"/>
  <c r="AX1179" i="1"/>
  <c r="U1179" i="1" s="1"/>
  <c r="AL1179" i="1" s="1"/>
  <c r="AN1179" i="1" s="1"/>
  <c r="AO1179" i="1" s="1"/>
  <c r="AP1179" i="1" s="1"/>
  <c r="AT1180" i="1" l="1"/>
  <c r="AS1180" i="1" s="1"/>
  <c r="P1180" i="1"/>
  <c r="AH1179" i="1"/>
  <c r="AM1180" i="1"/>
  <c r="I1180" i="1"/>
  <c r="Q1180" i="1" s="1"/>
  <c r="V1180" i="1" l="1"/>
  <c r="BE1180" i="1"/>
  <c r="Y1180" i="1"/>
  <c r="X1180" i="1" s="1"/>
  <c r="AF1180" i="1" s="1"/>
  <c r="AG1180" i="1" s="1"/>
  <c r="AQ1180" i="1"/>
  <c r="AY1180" i="1"/>
  <c r="O1180" i="1"/>
  <c r="N1181" i="1" s="1"/>
  <c r="AX1180" i="1" l="1"/>
  <c r="U1180" i="1" s="1"/>
  <c r="AL1180" i="1" s="1"/>
  <c r="AN1180" i="1" s="1"/>
  <c r="AO1180" i="1" s="1"/>
  <c r="AP1180" i="1" s="1"/>
  <c r="BA1180" i="1"/>
  <c r="P1181" i="1"/>
  <c r="BE1181" i="1" s="1"/>
  <c r="AH1180" i="1"/>
  <c r="I1181" i="1"/>
  <c r="Q1181" i="1" s="1"/>
  <c r="AM1181" i="1"/>
  <c r="AT1181" i="1"/>
  <c r="AS1181" i="1" s="1"/>
  <c r="AQ1181" i="1" l="1"/>
  <c r="V1181" i="1"/>
  <c r="AY1181" i="1"/>
  <c r="Y1181" i="1"/>
  <c r="X1181" i="1" s="1"/>
  <c r="AF1181" i="1" s="1"/>
  <c r="AG1181" i="1" s="1"/>
  <c r="O1181" i="1"/>
  <c r="AM1182" i="1" s="1"/>
  <c r="BA1181" i="1" l="1"/>
  <c r="AX1181" i="1"/>
  <c r="U1181" i="1" s="1"/>
  <c r="AL1181" i="1" s="1"/>
  <c r="AN1181" i="1" s="1"/>
  <c r="AO1181" i="1" s="1"/>
  <c r="AP1181" i="1" s="1"/>
  <c r="AT1182" i="1"/>
  <c r="AS1182" i="1" s="1"/>
  <c r="AH1181" i="1"/>
  <c r="N1182" i="1"/>
  <c r="I1182" i="1"/>
  <c r="P1182" i="1"/>
  <c r="BE1182" i="1" s="1"/>
  <c r="V1182" i="1" l="1"/>
  <c r="Y1182" i="1"/>
  <c r="X1182" i="1" s="1"/>
  <c r="AF1182" i="1" s="1"/>
  <c r="AY1182" i="1"/>
  <c r="Q1182" i="1"/>
  <c r="O1182" i="1"/>
  <c r="AQ1182" i="1"/>
  <c r="AH1182" i="1" l="1"/>
  <c r="AG1182" i="1"/>
  <c r="BA1182" i="1" s="1"/>
  <c r="I1183" i="1"/>
  <c r="Q1183" i="1" s="1"/>
  <c r="N1183" i="1"/>
  <c r="AT1183" i="1"/>
  <c r="AS1183" i="1" s="1"/>
  <c r="AM1183" i="1"/>
  <c r="P1183" i="1"/>
  <c r="BE1183" i="1" s="1"/>
  <c r="AX1182" i="1"/>
  <c r="U1182" i="1" s="1"/>
  <c r="AL1182" i="1" s="1"/>
  <c r="AN1182" i="1" s="1"/>
  <c r="AO1182" i="1" s="1"/>
  <c r="AP1182" i="1" s="1"/>
  <c r="AY1183" i="1" l="1"/>
  <c r="AQ1183" i="1"/>
  <c r="Y1183" i="1"/>
  <c r="X1183" i="1" s="1"/>
  <c r="AF1183" i="1" s="1"/>
  <c r="V1183" i="1"/>
  <c r="O1183" i="1"/>
  <c r="AX1183" i="1" l="1"/>
  <c r="U1183" i="1" s="1"/>
  <c r="AL1183" i="1" s="1"/>
  <c r="AN1183" i="1" s="1"/>
  <c r="AO1183" i="1" s="1"/>
  <c r="AP1183" i="1" s="1"/>
  <c r="AH1183" i="1"/>
  <c r="AG1183" i="1"/>
  <c r="BA1183" i="1" s="1"/>
  <c r="I1184" i="1"/>
  <c r="Q1184" i="1" s="1"/>
  <c r="N1184" i="1"/>
  <c r="AT1184" i="1"/>
  <c r="AS1184" i="1" s="1"/>
  <c r="AM1184" i="1"/>
  <c r="P1184" i="1"/>
  <c r="BE1184" i="1" s="1"/>
  <c r="V1184" i="1" l="1"/>
  <c r="AQ1184" i="1"/>
  <c r="Y1184" i="1"/>
  <c r="X1184" i="1" s="1"/>
  <c r="AF1184" i="1" s="1"/>
  <c r="AY1184" i="1"/>
  <c r="O1184" i="1"/>
  <c r="AX1184" i="1" l="1"/>
  <c r="U1184" i="1" s="1"/>
  <c r="AL1184" i="1" s="1"/>
  <c r="AN1184" i="1" s="1"/>
  <c r="AO1184" i="1" s="1"/>
  <c r="AP1184" i="1" s="1"/>
  <c r="N1185" i="1"/>
  <c r="P1185" i="1"/>
  <c r="BE1185" i="1" s="1"/>
  <c r="AM1185" i="1"/>
  <c r="I1185" i="1"/>
  <c r="Q1185" i="1" s="1"/>
  <c r="AT1185" i="1"/>
  <c r="AS1185" i="1" s="1"/>
  <c r="AH1184" i="1"/>
  <c r="AG1184" i="1"/>
  <c r="BA1184" i="1" s="1"/>
  <c r="O1185" i="1" l="1"/>
  <c r="AY1185" i="1"/>
  <c r="V1185" i="1"/>
  <c r="AQ1185" i="1"/>
  <c r="Y1185" i="1"/>
  <c r="X1185" i="1" s="1"/>
  <c r="AF1185" i="1" s="1"/>
  <c r="AX1185" i="1" l="1"/>
  <c r="U1185" i="1" s="1"/>
  <c r="AL1185" i="1" s="1"/>
  <c r="AN1185" i="1" s="1"/>
  <c r="AO1185" i="1" s="1"/>
  <c r="AP1185" i="1" s="1"/>
  <c r="I1186" i="1"/>
  <c r="Q1186" i="1" s="1"/>
  <c r="AT1186" i="1"/>
  <c r="AS1186" i="1" s="1"/>
  <c r="N1186" i="1"/>
  <c r="P1186" i="1"/>
  <c r="BE1186" i="1" s="1"/>
  <c r="AM1186" i="1"/>
  <c r="AH1185" i="1"/>
  <c r="AG1185" i="1"/>
  <c r="BA1185" i="1" s="1"/>
  <c r="O1186" i="1" l="1"/>
  <c r="N1187" i="1" s="1"/>
  <c r="AY1186" i="1"/>
  <c r="AQ1186" i="1"/>
  <c r="Y1186" i="1"/>
  <c r="X1186" i="1" s="1"/>
  <c r="AF1186" i="1" s="1"/>
  <c r="V1186" i="1"/>
  <c r="I1187" i="1" l="1"/>
  <c r="Q1187" i="1" s="1"/>
  <c r="AM1187" i="1"/>
  <c r="P1187" i="1"/>
  <c r="AT1187" i="1"/>
  <c r="AS1187" i="1" s="1"/>
  <c r="AX1186" i="1"/>
  <c r="U1186" i="1" s="1"/>
  <c r="AL1186" i="1" s="1"/>
  <c r="AN1186" i="1" s="1"/>
  <c r="AO1186" i="1" s="1"/>
  <c r="AP1186" i="1" s="1"/>
  <c r="AG1186" i="1"/>
  <c r="BA1186" i="1" s="1"/>
  <c r="AH1186" i="1"/>
  <c r="V1187" i="1" l="1"/>
  <c r="BE1187" i="1"/>
  <c r="O1187" i="1"/>
  <c r="P1188" i="1" s="1"/>
  <c r="BE1188" i="1" s="1"/>
  <c r="Y1187" i="1"/>
  <c r="X1187" i="1" s="1"/>
  <c r="AF1187" i="1" s="1"/>
  <c r="AY1187" i="1"/>
  <c r="AQ1187" i="1"/>
  <c r="AX1187" i="1" l="1"/>
  <c r="U1187" i="1" s="1"/>
  <c r="AL1187" i="1" s="1"/>
  <c r="AN1187" i="1" s="1"/>
  <c r="AO1187" i="1" s="1"/>
  <c r="AP1187" i="1" s="1"/>
  <c r="AT1188" i="1"/>
  <c r="AS1188" i="1" s="1"/>
  <c r="AQ1188" i="1" s="1"/>
  <c r="N1188" i="1"/>
  <c r="AM1188" i="1"/>
  <c r="I1188" i="1"/>
  <c r="Q1188" i="1" s="1"/>
  <c r="AH1187" i="1"/>
  <c r="AG1187" i="1"/>
  <c r="BA1187" i="1" s="1"/>
  <c r="Y1188" i="1"/>
  <c r="X1188" i="1" s="1"/>
  <c r="AF1188" i="1" s="1"/>
  <c r="V1188" i="1"/>
  <c r="AY1188" i="1"/>
  <c r="O1188" i="1" l="1"/>
  <c r="N1189" i="1" s="1"/>
  <c r="AX1188" i="1"/>
  <c r="U1188" i="1" s="1"/>
  <c r="AL1188" i="1" s="1"/>
  <c r="AN1188" i="1" s="1"/>
  <c r="AO1188" i="1" s="1"/>
  <c r="AG1188" i="1"/>
  <c r="BA1188" i="1" s="1"/>
  <c r="AT1189" i="1" l="1"/>
  <c r="AS1189" i="1" s="1"/>
  <c r="AH1188" i="1"/>
  <c r="I1189" i="1"/>
  <c r="Q1189" i="1" s="1"/>
  <c r="AM1189" i="1"/>
  <c r="P1189" i="1"/>
  <c r="BE1189" i="1" s="1"/>
  <c r="AQ1189" i="1" l="1"/>
  <c r="V1189" i="1"/>
  <c r="Y1189" i="1"/>
  <c r="X1189" i="1" s="1"/>
  <c r="AF1189" i="1" s="1"/>
  <c r="AG1189" i="1" s="1"/>
  <c r="AY1189" i="1"/>
  <c r="O1189" i="1"/>
  <c r="AT1190" i="1" s="1"/>
  <c r="AS1190" i="1" s="1"/>
  <c r="AX1189" i="1" l="1"/>
  <c r="U1189" i="1" s="1"/>
  <c r="AL1189" i="1" s="1"/>
  <c r="AN1189" i="1" s="1"/>
  <c r="AO1189" i="1" s="1"/>
  <c r="AP1189" i="1" s="1"/>
  <c r="BA1189" i="1"/>
  <c r="N1190" i="1"/>
  <c r="AH1189" i="1"/>
  <c r="AM1190" i="1"/>
  <c r="P1190" i="1"/>
  <c r="BE1190" i="1" s="1"/>
  <c r="I1190" i="1"/>
  <c r="O1190" i="1" l="1"/>
  <c r="AM1191" i="1" s="1"/>
  <c r="Q1190" i="1"/>
  <c r="V1190" i="1"/>
  <c r="AY1190" i="1"/>
  <c r="Y1190" i="1"/>
  <c r="X1190" i="1" s="1"/>
  <c r="AF1190" i="1" s="1"/>
  <c r="AG1190" i="1" s="1"/>
  <c r="AQ1190" i="1"/>
  <c r="P1191" i="1" l="1"/>
  <c r="BE1191" i="1" s="1"/>
  <c r="AT1191" i="1"/>
  <c r="AS1191" i="1" s="1"/>
  <c r="N1191" i="1"/>
  <c r="I1191" i="1"/>
  <c r="Q1191" i="1" s="1"/>
  <c r="AX1190" i="1"/>
  <c r="U1190" i="1" s="1"/>
  <c r="AL1190" i="1" s="1"/>
  <c r="AN1190" i="1" s="1"/>
  <c r="AO1190" i="1" s="1"/>
  <c r="AP1190" i="1" s="1"/>
  <c r="BA1190" i="1"/>
  <c r="AH1190" i="1"/>
  <c r="Y1191" i="1" l="1"/>
  <c r="X1191" i="1" s="1"/>
  <c r="AF1191" i="1" s="1"/>
  <c r="AG1191" i="1" s="1"/>
  <c r="AY1191" i="1"/>
  <c r="V1191" i="1"/>
  <c r="AQ1191" i="1"/>
  <c r="O1191" i="1"/>
  <c r="I1192" i="1" s="1"/>
  <c r="AX1191" i="1" l="1"/>
  <c r="U1191" i="1" s="1"/>
  <c r="AL1191" i="1" s="1"/>
  <c r="AN1191" i="1" s="1"/>
  <c r="AO1191" i="1" s="1"/>
  <c r="AP1191" i="1" s="1"/>
  <c r="BA1191" i="1"/>
  <c r="N1192" i="1"/>
  <c r="O1192" i="1" s="1"/>
  <c r="AM1192" i="1"/>
  <c r="AT1192" i="1"/>
  <c r="AS1192" i="1" s="1"/>
  <c r="P1192" i="1"/>
  <c r="AH1191" i="1"/>
  <c r="Q1192" i="1"/>
  <c r="O1200" i="1"/>
  <c r="V1192" i="1" l="1"/>
  <c r="BE1192" i="1"/>
  <c r="Y1192" i="1"/>
  <c r="X1192" i="1" s="1"/>
  <c r="AF1192" i="1" s="1"/>
  <c r="AY1192" i="1"/>
  <c r="AQ1192" i="1"/>
  <c r="I1193" i="1"/>
  <c r="Q1193" i="1" s="1"/>
  <c r="P1193" i="1"/>
  <c r="BE1193" i="1" s="1"/>
  <c r="N1193" i="1"/>
  <c r="AT1193" i="1"/>
  <c r="AS1193" i="1" s="1"/>
  <c r="AM1193" i="1"/>
  <c r="I1201" i="1"/>
  <c r="Q1201" i="1" s="1"/>
  <c r="P1201" i="1"/>
  <c r="BE1201" i="1" s="1"/>
  <c r="AT1201" i="1"/>
  <c r="AS1201" i="1" s="1"/>
  <c r="N1201" i="1"/>
  <c r="AM1201" i="1"/>
  <c r="AX1192" i="1" l="1"/>
  <c r="U1192" i="1" s="1"/>
  <c r="AL1192" i="1" s="1"/>
  <c r="AN1192" i="1" s="1"/>
  <c r="AO1192" i="1" s="1"/>
  <c r="AP1192" i="1" s="1"/>
  <c r="AG1192" i="1"/>
  <c r="BA1192" i="1" s="1"/>
  <c r="AH1192" i="1"/>
  <c r="O1193" i="1"/>
  <c r="P1194" i="1" s="1"/>
  <c r="BE1194" i="1" s="1"/>
  <c r="AY1193" i="1"/>
  <c r="AQ1193" i="1"/>
  <c r="V1193" i="1"/>
  <c r="Y1193" i="1"/>
  <c r="X1193" i="1" s="1"/>
  <c r="AF1193" i="1" s="1"/>
  <c r="V1201" i="1"/>
  <c r="Y1201" i="1"/>
  <c r="AQ1201" i="1"/>
  <c r="AY1201" i="1"/>
  <c r="O1201" i="1"/>
  <c r="P1202" i="1" s="1"/>
  <c r="BE1202" i="1" s="1"/>
  <c r="AT1194" i="1" l="1"/>
  <c r="AS1194" i="1" s="1"/>
  <c r="AQ1194" i="1" s="1"/>
  <c r="AM1194" i="1"/>
  <c r="N1194" i="1"/>
  <c r="I1194" i="1"/>
  <c r="Q1194" i="1" s="1"/>
  <c r="AG1193" i="1"/>
  <c r="BA1193" i="1" s="1"/>
  <c r="AH1193" i="1"/>
  <c r="AX1193" i="1"/>
  <c r="U1193" i="1" s="1"/>
  <c r="AL1193" i="1" s="1"/>
  <c r="AN1193" i="1" s="1"/>
  <c r="AO1193" i="1" s="1"/>
  <c r="AP1193" i="1" s="1"/>
  <c r="V1194" i="1"/>
  <c r="AY1194" i="1"/>
  <c r="Y1194" i="1"/>
  <c r="X1194" i="1" s="1"/>
  <c r="AF1194" i="1" s="1"/>
  <c r="V1202" i="1"/>
  <c r="Y1202" i="1"/>
  <c r="AT1200" i="1"/>
  <c r="AS1200" i="1" s="1"/>
  <c r="AT1202" i="1"/>
  <c r="AS1202" i="1" s="1"/>
  <c r="N1202" i="1"/>
  <c r="O1202" i="1" s="1"/>
  <c r="P1203" i="1" s="1"/>
  <c r="BE1203" i="1" s="1"/>
  <c r="I1202" i="1"/>
  <c r="Q1202" i="1" s="1"/>
  <c r="AM1202" i="1"/>
  <c r="O1194" i="1" l="1"/>
  <c r="AM1195" i="1" s="1"/>
  <c r="AX1194" i="1"/>
  <c r="U1194" i="1" s="1"/>
  <c r="AL1194" i="1" s="1"/>
  <c r="AN1194" i="1" s="1"/>
  <c r="AO1194" i="1" s="1"/>
  <c r="AP1194" i="1" s="1"/>
  <c r="AG1194" i="1"/>
  <c r="BA1194" i="1" s="1"/>
  <c r="V1203" i="1"/>
  <c r="Y1203" i="1"/>
  <c r="AQ1202" i="1"/>
  <c r="AY1202" i="1"/>
  <c r="N1203" i="1"/>
  <c r="I1203" i="1"/>
  <c r="Q1203" i="1" s="1"/>
  <c r="AT1203" i="1"/>
  <c r="AS1203" i="1" s="1"/>
  <c r="AM1203" i="1"/>
  <c r="O1203" i="1"/>
  <c r="P1195" i="1" l="1"/>
  <c r="N1195" i="1"/>
  <c r="I1195" i="1"/>
  <c r="Q1195" i="1" s="1"/>
  <c r="AH1194" i="1"/>
  <c r="AT1195" i="1"/>
  <c r="AS1195" i="1" s="1"/>
  <c r="AQ1195" i="1" s="1"/>
  <c r="N1204" i="1"/>
  <c r="P1204" i="1"/>
  <c r="BE1204" i="1" s="1"/>
  <c r="AQ1203" i="1"/>
  <c r="AY1203" i="1"/>
  <c r="AM1204" i="1"/>
  <c r="I1204" i="1"/>
  <c r="Q1204" i="1" s="1"/>
  <c r="AT1204" i="1"/>
  <c r="AS1204" i="1" s="1"/>
  <c r="Y1195" i="1" l="1"/>
  <c r="X1195" i="1" s="1"/>
  <c r="AF1195" i="1" s="1"/>
  <c r="AG1195" i="1" s="1"/>
  <c r="BE1195" i="1"/>
  <c r="V1195" i="1"/>
  <c r="AY1195" i="1"/>
  <c r="O1195" i="1"/>
  <c r="N1196" i="1" s="1"/>
  <c r="V1204" i="1"/>
  <c r="Y1204" i="1"/>
  <c r="AQ1204" i="1"/>
  <c r="O1204" i="1"/>
  <c r="AY1204" i="1"/>
  <c r="AT1205" i="1"/>
  <c r="AS1205" i="1" s="1"/>
  <c r="AT1196" i="1" l="1"/>
  <c r="AS1196" i="1" s="1"/>
  <c r="AX1195" i="1"/>
  <c r="U1195" i="1" s="1"/>
  <c r="AL1195" i="1" s="1"/>
  <c r="AN1195" i="1" s="1"/>
  <c r="AO1195" i="1" s="1"/>
  <c r="AP1195" i="1" s="1"/>
  <c r="BA1195" i="1"/>
  <c r="P1196" i="1"/>
  <c r="AH1195" i="1"/>
  <c r="I1196" i="1"/>
  <c r="Q1196" i="1" s="1"/>
  <c r="AM1196" i="1"/>
  <c r="AM1205" i="1"/>
  <c r="P1205" i="1"/>
  <c r="BE1205" i="1" s="1"/>
  <c r="I1205" i="1"/>
  <c r="Q1205" i="1" s="1"/>
  <c r="N1205" i="1"/>
  <c r="O1205" i="1"/>
  <c r="P1206" i="1" s="1"/>
  <c r="BE1206" i="1" s="1"/>
  <c r="V1196" i="1" l="1"/>
  <c r="BE1196" i="1"/>
  <c r="O1196" i="1"/>
  <c r="AT1197" i="1" s="1"/>
  <c r="AS1197" i="1" s="1"/>
  <c r="AY1196" i="1"/>
  <c r="Y1196" i="1"/>
  <c r="X1196" i="1" s="1"/>
  <c r="AF1196" i="1" s="1"/>
  <c r="AG1196" i="1" s="1"/>
  <c r="BA1196" i="1" s="1"/>
  <c r="AQ1196" i="1"/>
  <c r="V1205" i="1"/>
  <c r="Y1205" i="1"/>
  <c r="V1206" i="1"/>
  <c r="Y1206" i="1"/>
  <c r="AY1205" i="1"/>
  <c r="AQ1205" i="1"/>
  <c r="N1206" i="1"/>
  <c r="I1206" i="1"/>
  <c r="Q1206" i="1" s="1"/>
  <c r="AM1206" i="1"/>
  <c r="AT1206" i="1"/>
  <c r="AS1206" i="1" s="1"/>
  <c r="AX1196" i="1" l="1"/>
  <c r="U1196" i="1" s="1"/>
  <c r="AL1196" i="1" s="1"/>
  <c r="AN1196" i="1" s="1"/>
  <c r="AO1196" i="1" s="1"/>
  <c r="AP1196" i="1" s="1"/>
  <c r="AM1197" i="1"/>
  <c r="P1197" i="1"/>
  <c r="N1197" i="1"/>
  <c r="I1197" i="1"/>
  <c r="Q1197" i="1" s="1"/>
  <c r="AH1196" i="1"/>
  <c r="AQ1206" i="1"/>
  <c r="AY1206" i="1"/>
  <c r="O1206" i="1"/>
  <c r="P1207" i="1" s="1"/>
  <c r="BE1207" i="1" s="1"/>
  <c r="AQ1197" i="1" l="1"/>
  <c r="BE1197" i="1"/>
  <c r="O1197" i="1"/>
  <c r="P1198" i="1" s="1"/>
  <c r="V1197" i="1"/>
  <c r="Y1197" i="1"/>
  <c r="X1197" i="1" s="1"/>
  <c r="AF1197" i="1" s="1"/>
  <c r="AY1197" i="1"/>
  <c r="V1207" i="1"/>
  <c r="Y1207" i="1"/>
  <c r="AM1207" i="1"/>
  <c r="N1207" i="1"/>
  <c r="I1207" i="1"/>
  <c r="Q1207" i="1" s="1"/>
  <c r="AT1207" i="1"/>
  <c r="AS1207" i="1" s="1"/>
  <c r="Y1198" i="1" l="1"/>
  <c r="X1198" i="1" s="1"/>
  <c r="AF1198" i="1" s="1"/>
  <c r="BE1198" i="1"/>
  <c r="N1198" i="1"/>
  <c r="AT1198" i="1"/>
  <c r="AS1198" i="1" s="1"/>
  <c r="AQ1198" i="1" s="1"/>
  <c r="AY1198" i="1"/>
  <c r="I1198" i="1"/>
  <c r="Q1198" i="1" s="1"/>
  <c r="V1198" i="1"/>
  <c r="AM1198" i="1"/>
  <c r="AX1197" i="1"/>
  <c r="U1197" i="1" s="1"/>
  <c r="AL1197" i="1" s="1"/>
  <c r="AN1197" i="1" s="1"/>
  <c r="AO1197" i="1" s="1"/>
  <c r="AP1197" i="1" s="1"/>
  <c r="AG1197" i="1"/>
  <c r="BA1197" i="1" s="1"/>
  <c r="AH1197" i="1"/>
  <c r="AQ1207" i="1"/>
  <c r="AY1207" i="1"/>
  <c r="O1207" i="1"/>
  <c r="P1208" i="1" s="1"/>
  <c r="BE1208" i="1" s="1"/>
  <c r="AG1198" i="1" l="1"/>
  <c r="BA1198" i="1" s="1"/>
  <c r="O1198" i="1"/>
  <c r="AT1199" i="1" s="1"/>
  <c r="AS1199" i="1" s="1"/>
  <c r="AX1198" i="1"/>
  <c r="U1198" i="1" s="1"/>
  <c r="AL1198" i="1" s="1"/>
  <c r="AN1198" i="1" s="1"/>
  <c r="AO1198" i="1" s="1"/>
  <c r="AP1198" i="1" s="1"/>
  <c r="V1208" i="1"/>
  <c r="Y1208" i="1"/>
  <c r="AT1208" i="1"/>
  <c r="AS1208" i="1" s="1"/>
  <c r="AM1208" i="1"/>
  <c r="I1208" i="1"/>
  <c r="Q1208" i="1" s="1"/>
  <c r="N1208" i="1"/>
  <c r="I1199" i="1" l="1"/>
  <c r="Q1199" i="1" s="1"/>
  <c r="P1199" i="1"/>
  <c r="AM1199" i="1"/>
  <c r="N1199" i="1"/>
  <c r="AH1198" i="1"/>
  <c r="AQ1208" i="1"/>
  <c r="AY1208" i="1"/>
  <c r="O1208" i="1"/>
  <c r="P1209" i="1" s="1"/>
  <c r="BE1209" i="1" s="1"/>
  <c r="AQ1199" i="1" l="1"/>
  <c r="BE1199" i="1"/>
  <c r="O1199" i="1"/>
  <c r="P1200" i="1" s="1"/>
  <c r="V1199" i="1"/>
  <c r="Y1199" i="1"/>
  <c r="X1199" i="1" s="1"/>
  <c r="AF1199" i="1" s="1"/>
  <c r="AG1199" i="1" s="1"/>
  <c r="AY1199" i="1"/>
  <c r="V1209" i="1"/>
  <c r="Y1209" i="1"/>
  <c r="I1209" i="1"/>
  <c r="Q1209" i="1" s="1"/>
  <c r="AT1209" i="1"/>
  <c r="AS1209" i="1" s="1"/>
  <c r="AM1209" i="1"/>
  <c r="N1209" i="1"/>
  <c r="AQ1200" i="1" l="1"/>
  <c r="BE1200" i="1"/>
  <c r="BA1199" i="1"/>
  <c r="AY1200" i="1"/>
  <c r="AM1200" i="1"/>
  <c r="V1200" i="1"/>
  <c r="I1200" i="1"/>
  <c r="Q1200" i="1" s="1"/>
  <c r="N1200" i="1"/>
  <c r="Y1200" i="1"/>
  <c r="X1200" i="1" s="1"/>
  <c r="AF1200" i="1" s="1"/>
  <c r="AH1200" i="1" s="1"/>
  <c r="AX1201" i="1" s="1"/>
  <c r="U1201" i="1" s="1"/>
  <c r="AL1201" i="1" s="1"/>
  <c r="AN1201" i="1" s="1"/>
  <c r="AO1201" i="1" s="1"/>
  <c r="AP1201" i="1" s="1"/>
  <c r="AX1199" i="1"/>
  <c r="U1199" i="1" s="1"/>
  <c r="AL1199" i="1" s="1"/>
  <c r="AN1199" i="1" s="1"/>
  <c r="AO1199" i="1" s="1"/>
  <c r="AP1199" i="1" s="1"/>
  <c r="AH1199" i="1"/>
  <c r="AQ1209" i="1"/>
  <c r="AY1209" i="1"/>
  <c r="O1209" i="1"/>
  <c r="P1210" i="1" s="1"/>
  <c r="BE1210" i="1" s="1"/>
  <c r="X1201" i="1" l="1"/>
  <c r="AF1201" i="1" s="1"/>
  <c r="AH1201" i="1" s="1"/>
  <c r="AX1202" i="1" s="1"/>
  <c r="U1202" i="1" s="1"/>
  <c r="AL1202" i="1" s="1"/>
  <c r="AN1202" i="1" s="1"/>
  <c r="AO1202" i="1" s="1"/>
  <c r="AP1202" i="1" s="1"/>
  <c r="AX1200" i="1"/>
  <c r="U1200" i="1" s="1"/>
  <c r="AL1200" i="1" s="1"/>
  <c r="AN1200" i="1" s="1"/>
  <c r="AO1200" i="1" s="1"/>
  <c r="AG1200" i="1"/>
  <c r="BA1200" i="1" s="1"/>
  <c r="V1210" i="1"/>
  <c r="Y1210" i="1"/>
  <c r="AM1210" i="1"/>
  <c r="AT1210" i="1"/>
  <c r="AS1210" i="1" s="1"/>
  <c r="I1210" i="1"/>
  <c r="Q1210" i="1" s="1"/>
  <c r="N1210" i="1"/>
  <c r="X1202" i="1" l="1"/>
  <c r="X1203" i="1" s="1"/>
  <c r="X1204" i="1" s="1"/>
  <c r="AG1201" i="1"/>
  <c r="BA1201" i="1" s="1"/>
  <c r="AQ1210" i="1"/>
  <c r="AY1210" i="1"/>
  <c r="O1210" i="1"/>
  <c r="P1211" i="1" s="1"/>
  <c r="BE1211" i="1" s="1"/>
  <c r="AF1203" i="1" l="1"/>
  <c r="AG1203" i="1" s="1"/>
  <c r="BA1203" i="1" s="1"/>
  <c r="AF1202" i="1"/>
  <c r="AH1202" i="1" s="1"/>
  <c r="AX1203" i="1" s="1"/>
  <c r="U1203" i="1" s="1"/>
  <c r="AL1203" i="1" s="1"/>
  <c r="AN1203" i="1" s="1"/>
  <c r="AO1203" i="1" s="1"/>
  <c r="AP1203" i="1" s="1"/>
  <c r="AF1204" i="1"/>
  <c r="X1205" i="1"/>
  <c r="V1211" i="1"/>
  <c r="Y1211" i="1"/>
  <c r="AT1211" i="1"/>
  <c r="AS1211" i="1" s="1"/>
  <c r="I1211" i="1"/>
  <c r="Q1211" i="1" s="1"/>
  <c r="AM1211" i="1"/>
  <c r="N1211" i="1"/>
  <c r="AH1203" i="1" l="1"/>
  <c r="AX1204" i="1" s="1"/>
  <c r="U1204" i="1" s="1"/>
  <c r="AL1204" i="1" s="1"/>
  <c r="AN1204" i="1" s="1"/>
  <c r="AO1204" i="1" s="1"/>
  <c r="AP1204" i="1" s="1"/>
  <c r="AG1202" i="1"/>
  <c r="BA1202" i="1" s="1"/>
  <c r="AF1205" i="1"/>
  <c r="X1206" i="1"/>
  <c r="AG1204" i="1"/>
  <c r="BA1204" i="1" s="1"/>
  <c r="AH1204" i="1"/>
  <c r="AQ1211" i="1"/>
  <c r="AY1211" i="1"/>
  <c r="O1211" i="1"/>
  <c r="P1212" i="1" s="1"/>
  <c r="BE1212" i="1" s="1"/>
  <c r="AX1205" i="1" l="1"/>
  <c r="U1205" i="1" s="1"/>
  <c r="AL1205" i="1" s="1"/>
  <c r="AN1205" i="1" s="1"/>
  <c r="AO1205" i="1" s="1"/>
  <c r="AP1205" i="1" s="1"/>
  <c r="AF1206" i="1"/>
  <c r="X1207" i="1"/>
  <c r="AG1205" i="1"/>
  <c r="BA1205" i="1" s="1"/>
  <c r="AH1205" i="1"/>
  <c r="V1212" i="1"/>
  <c r="Y1212" i="1"/>
  <c r="AT1212" i="1"/>
  <c r="AS1212" i="1" s="1"/>
  <c r="N1212" i="1"/>
  <c r="I1212" i="1"/>
  <c r="Q1212" i="1" s="1"/>
  <c r="AM1212" i="1"/>
  <c r="AX1206" i="1" l="1"/>
  <c r="U1206" i="1" s="1"/>
  <c r="AL1206" i="1" s="1"/>
  <c r="AN1206" i="1" s="1"/>
  <c r="AO1206" i="1" s="1"/>
  <c r="AP1206" i="1" s="1"/>
  <c r="AF1207" i="1"/>
  <c r="X1208" i="1"/>
  <c r="AG1206" i="1"/>
  <c r="BA1206" i="1" s="1"/>
  <c r="AH1206" i="1"/>
  <c r="AQ1212" i="1"/>
  <c r="AY1212" i="1"/>
  <c r="O1212" i="1"/>
  <c r="AX1207" i="1" l="1"/>
  <c r="U1207" i="1" s="1"/>
  <c r="AL1207" i="1" s="1"/>
  <c r="AN1207" i="1" s="1"/>
  <c r="AO1207" i="1" s="1"/>
  <c r="AP1207" i="1" s="1"/>
  <c r="AF1208" i="1"/>
  <c r="X1209" i="1"/>
  <c r="AG1207" i="1"/>
  <c r="BA1207" i="1" s="1"/>
  <c r="AH1207" i="1"/>
  <c r="AX1208" i="1" l="1"/>
  <c r="U1208" i="1" s="1"/>
  <c r="AL1208" i="1" s="1"/>
  <c r="AN1208" i="1" s="1"/>
  <c r="AO1208" i="1" s="1"/>
  <c r="AP1208" i="1" s="1"/>
  <c r="AF1209" i="1"/>
  <c r="X1210" i="1"/>
  <c r="AG1208" i="1"/>
  <c r="BA1208" i="1" s="1"/>
  <c r="AH1208" i="1"/>
  <c r="AX1209" i="1" l="1"/>
  <c r="U1209" i="1" s="1"/>
  <c r="AL1209" i="1" s="1"/>
  <c r="AN1209" i="1" s="1"/>
  <c r="AO1209" i="1" s="1"/>
  <c r="AP1209" i="1" s="1"/>
  <c r="AF1210" i="1"/>
  <c r="X1211" i="1"/>
  <c r="AH1209" i="1"/>
  <c r="AG1209" i="1"/>
  <c r="BA1209" i="1" s="1"/>
  <c r="AX1210" i="1" l="1"/>
  <c r="U1210" i="1" s="1"/>
  <c r="AL1210" i="1" s="1"/>
  <c r="AN1210" i="1" s="1"/>
  <c r="AO1210" i="1" s="1"/>
  <c r="AP1210" i="1" s="1"/>
  <c r="X1212" i="1"/>
  <c r="AF1212" i="1" s="1"/>
  <c r="AF1211" i="1"/>
  <c r="AH1210" i="1"/>
  <c r="AG1210" i="1"/>
  <c r="BA1210" i="1" s="1"/>
  <c r="AX1211" i="1" l="1"/>
  <c r="U1211" i="1" s="1"/>
  <c r="AL1211" i="1" s="1"/>
  <c r="AN1211" i="1" s="1"/>
  <c r="AO1211" i="1" s="1"/>
  <c r="AP1211" i="1" s="1"/>
  <c r="AG1211" i="1"/>
  <c r="BA1211" i="1" s="1"/>
  <c r="AH1211" i="1"/>
  <c r="AH1212" i="1"/>
  <c r="AG1212" i="1"/>
  <c r="BA1212" i="1" s="1"/>
  <c r="AX1212" i="1" l="1"/>
  <c r="U1212" i="1" s="1"/>
  <c r="AL1212" i="1" s="1"/>
  <c r="AN1212" i="1" s="1"/>
  <c r="AO1212" i="1" s="1"/>
  <c r="AZ1211" i="1" l="1"/>
  <c r="AZ1210" i="1" s="1"/>
  <c r="AZ1209" i="1" s="1"/>
  <c r="AZ1208" i="1" s="1"/>
  <c r="AZ1207" i="1" s="1"/>
  <c r="AZ1206" i="1" s="1"/>
  <c r="AZ1205" i="1" s="1"/>
  <c r="AZ1204" i="1" s="1"/>
  <c r="AZ1203" i="1" s="1"/>
  <c r="AZ1202" i="1" s="1"/>
  <c r="AZ1201" i="1" s="1"/>
  <c r="AZ1200" i="1" s="1"/>
  <c r="AZ1199" i="1" s="1"/>
  <c r="AZ1198" i="1" s="1"/>
  <c r="AZ1197" i="1" s="1"/>
  <c r="AZ1196" i="1" s="1"/>
  <c r="AZ1195" i="1" s="1"/>
  <c r="AZ1194" i="1" s="1"/>
  <c r="AZ1193" i="1" s="1"/>
  <c r="AZ1192" i="1" s="1"/>
  <c r="AZ1191" i="1" s="1"/>
  <c r="AZ1190" i="1" s="1"/>
  <c r="AZ1189" i="1" s="1"/>
  <c r="AZ1188" i="1" s="1"/>
  <c r="AZ1187" i="1" s="1"/>
  <c r="AZ1186" i="1" s="1"/>
  <c r="AZ1185" i="1" s="1"/>
  <c r="AZ1184" i="1" s="1"/>
  <c r="AZ1183" i="1" s="1"/>
  <c r="AZ1182" i="1" s="1"/>
  <c r="AZ1181" i="1" s="1"/>
  <c r="AZ1180" i="1" s="1"/>
  <c r="AZ1179" i="1" s="1"/>
  <c r="AZ1178" i="1" s="1"/>
  <c r="AZ1177" i="1" s="1"/>
  <c r="AZ1176" i="1" s="1"/>
  <c r="AZ1175" i="1" s="1"/>
  <c r="AZ1174" i="1" s="1"/>
  <c r="AZ1173" i="1" s="1"/>
  <c r="AZ1172" i="1" s="1"/>
  <c r="AZ1171" i="1" s="1"/>
  <c r="AZ1170" i="1" s="1"/>
  <c r="AZ1169" i="1" s="1"/>
  <c r="AZ1168" i="1" s="1"/>
  <c r="AZ1167" i="1" s="1"/>
  <c r="AZ1166" i="1" s="1"/>
  <c r="AZ1165" i="1" s="1"/>
  <c r="AZ1164" i="1" s="1"/>
  <c r="AZ1163" i="1" s="1"/>
  <c r="AZ1162" i="1" s="1"/>
  <c r="AZ1161" i="1" s="1"/>
  <c r="AZ1160" i="1" s="1"/>
  <c r="AZ1159" i="1" s="1"/>
  <c r="AZ1158" i="1" s="1"/>
  <c r="AZ1157" i="1" s="1"/>
  <c r="AZ1156" i="1" s="1"/>
  <c r="AZ1155" i="1" s="1"/>
  <c r="AZ1154" i="1" s="1"/>
  <c r="AZ1153" i="1" s="1"/>
  <c r="AZ1152" i="1" s="1"/>
  <c r="AZ1151" i="1" s="1"/>
  <c r="AZ1150" i="1" s="1"/>
  <c r="AZ1149" i="1" s="1"/>
  <c r="AZ1148" i="1" s="1"/>
  <c r="AZ1147" i="1" s="1"/>
  <c r="AZ1146" i="1" s="1"/>
  <c r="AZ1145" i="1" s="1"/>
  <c r="AZ1144" i="1" s="1"/>
  <c r="AZ1143" i="1" s="1"/>
  <c r="AZ1142" i="1" s="1"/>
  <c r="AZ1141" i="1" s="1"/>
  <c r="AZ1140" i="1" s="1"/>
  <c r="AZ1139" i="1" s="1"/>
  <c r="AZ1138" i="1" s="1"/>
  <c r="AZ1137" i="1" s="1"/>
  <c r="AZ1136" i="1" s="1"/>
  <c r="AZ1135" i="1" s="1"/>
  <c r="AZ1134" i="1" s="1"/>
  <c r="AZ1133" i="1" s="1"/>
  <c r="AZ1132" i="1" s="1"/>
  <c r="AZ1131" i="1" s="1"/>
  <c r="AZ1130" i="1" s="1"/>
  <c r="AZ1129" i="1" s="1"/>
  <c r="AZ1128" i="1" s="1"/>
  <c r="AZ1127" i="1" s="1"/>
  <c r="AZ1126" i="1" s="1"/>
  <c r="AZ1125" i="1" s="1"/>
  <c r="AZ1124" i="1" s="1"/>
  <c r="AZ1123" i="1" s="1"/>
  <c r="AZ1122" i="1" s="1"/>
  <c r="AZ1121" i="1" s="1"/>
  <c r="AZ1120" i="1" s="1"/>
  <c r="AZ1119" i="1" s="1"/>
  <c r="AZ1118" i="1" s="1"/>
  <c r="AZ1117" i="1" s="1"/>
  <c r="AZ1116" i="1" s="1"/>
  <c r="AZ1115" i="1" s="1"/>
  <c r="AZ1114" i="1" s="1"/>
  <c r="AZ1113" i="1" s="1"/>
  <c r="AZ1112" i="1" s="1"/>
  <c r="AZ1111" i="1" s="1"/>
  <c r="AZ1110" i="1" s="1"/>
  <c r="AZ1109" i="1" s="1"/>
  <c r="AZ1108" i="1" s="1"/>
  <c r="AZ1107" i="1" s="1"/>
  <c r="AZ1106" i="1" s="1"/>
  <c r="AZ1105" i="1" s="1"/>
  <c r="AZ1104" i="1" s="1"/>
  <c r="AZ1103" i="1" s="1"/>
  <c r="AZ1102" i="1" s="1"/>
  <c r="AZ1101" i="1" s="1"/>
  <c r="AZ1100" i="1" s="1"/>
  <c r="AZ1099" i="1" s="1"/>
  <c r="AZ1098" i="1" s="1"/>
  <c r="AZ1097" i="1" s="1"/>
  <c r="AZ1096" i="1" s="1"/>
  <c r="AZ1095" i="1" s="1"/>
  <c r="AZ1094" i="1" s="1"/>
  <c r="AZ1093" i="1" s="1"/>
  <c r="AZ1092" i="1" s="1"/>
  <c r="AZ1091" i="1" s="1"/>
  <c r="AZ1090" i="1" s="1"/>
  <c r="AZ1089" i="1" s="1"/>
  <c r="AZ1088" i="1" s="1"/>
  <c r="AZ1087" i="1" s="1"/>
  <c r="AZ1086" i="1" s="1"/>
  <c r="AZ1085" i="1" s="1"/>
  <c r="AZ1084" i="1" s="1"/>
  <c r="AZ1083" i="1" s="1"/>
  <c r="AZ1082" i="1" s="1"/>
  <c r="AZ1081" i="1" s="1"/>
  <c r="AZ1080" i="1" s="1"/>
  <c r="AZ1079" i="1" s="1"/>
  <c r="AZ1078" i="1" s="1"/>
  <c r="AZ1077" i="1" s="1"/>
  <c r="AZ1076" i="1" s="1"/>
  <c r="AZ1075" i="1" s="1"/>
  <c r="AZ1074" i="1" s="1"/>
  <c r="AZ1073" i="1" s="1"/>
  <c r="AZ1072" i="1" s="1"/>
  <c r="AZ1071" i="1" s="1"/>
  <c r="AZ1070" i="1" s="1"/>
  <c r="AZ1069" i="1" s="1"/>
  <c r="AZ1068" i="1" s="1"/>
  <c r="AZ1067" i="1" s="1"/>
  <c r="AZ1066" i="1" s="1"/>
  <c r="AZ1065" i="1" s="1"/>
  <c r="AZ1064" i="1" s="1"/>
  <c r="AZ1063" i="1" s="1"/>
  <c r="AZ1062" i="1" s="1"/>
  <c r="AZ1061" i="1" s="1"/>
  <c r="AZ1060" i="1" s="1"/>
  <c r="AZ1059" i="1" s="1"/>
  <c r="AZ1058" i="1" s="1"/>
  <c r="AZ1057" i="1" s="1"/>
  <c r="AZ1056" i="1" s="1"/>
  <c r="AZ1055" i="1" s="1"/>
  <c r="AZ1054" i="1" s="1"/>
  <c r="AZ1053" i="1" s="1"/>
  <c r="AZ1052" i="1" s="1"/>
  <c r="AZ1051" i="1" s="1"/>
  <c r="AZ1050" i="1" s="1"/>
  <c r="AZ1049" i="1" s="1"/>
  <c r="AZ1048" i="1" s="1"/>
  <c r="AZ1047" i="1" s="1"/>
  <c r="AZ1046" i="1" s="1"/>
  <c r="AZ1045" i="1" s="1"/>
  <c r="AZ1044" i="1" s="1"/>
  <c r="AZ1043" i="1" s="1"/>
  <c r="AZ1042" i="1" s="1"/>
  <c r="AZ1041" i="1" s="1"/>
  <c r="AZ1040" i="1" s="1"/>
  <c r="AZ1039" i="1" s="1"/>
  <c r="AZ1038" i="1" s="1"/>
  <c r="AZ1037" i="1" s="1"/>
  <c r="AZ1036" i="1" s="1"/>
  <c r="AZ1035" i="1" s="1"/>
  <c r="AZ1034" i="1" s="1"/>
  <c r="AZ1033" i="1" s="1"/>
  <c r="AZ1032" i="1" s="1"/>
  <c r="AZ1031" i="1" s="1"/>
  <c r="AZ1030" i="1" s="1"/>
  <c r="AZ1029" i="1" s="1"/>
  <c r="AZ1028" i="1" s="1"/>
  <c r="AZ1027" i="1" s="1"/>
  <c r="AZ1026" i="1" s="1"/>
  <c r="AZ1025" i="1" s="1"/>
  <c r="AZ1024" i="1" s="1"/>
  <c r="AZ1023" i="1" s="1"/>
  <c r="AZ1022" i="1" s="1"/>
  <c r="AZ1021" i="1" s="1"/>
  <c r="AZ1020" i="1" s="1"/>
  <c r="AZ1019" i="1" s="1"/>
  <c r="AZ1018" i="1" s="1"/>
  <c r="AZ1017" i="1" s="1"/>
  <c r="AZ1016" i="1" s="1"/>
  <c r="AZ1015" i="1" s="1"/>
  <c r="AZ1014" i="1" s="1"/>
  <c r="AZ1013" i="1" s="1"/>
  <c r="AZ1012" i="1" s="1"/>
  <c r="AZ1011" i="1" s="1"/>
  <c r="AZ1010" i="1" s="1"/>
  <c r="AZ1009" i="1" s="1"/>
  <c r="AZ1008" i="1" s="1"/>
  <c r="AZ1007" i="1" s="1"/>
  <c r="AZ1006" i="1" s="1"/>
  <c r="AZ1005" i="1" s="1"/>
  <c r="AZ1004" i="1" s="1"/>
  <c r="AZ1003" i="1" s="1"/>
  <c r="AZ1002" i="1" s="1"/>
  <c r="AZ1001" i="1" s="1"/>
  <c r="AZ1000" i="1" s="1"/>
  <c r="AZ999" i="1" s="1"/>
  <c r="AZ998" i="1" s="1"/>
  <c r="AZ997" i="1" s="1"/>
  <c r="AZ996" i="1" s="1"/>
  <c r="AZ995" i="1" s="1"/>
  <c r="AZ994" i="1" s="1"/>
  <c r="AZ993" i="1" s="1"/>
  <c r="AZ992" i="1" s="1"/>
  <c r="AZ991" i="1" s="1"/>
  <c r="AZ990" i="1" s="1"/>
  <c r="AZ989" i="1" s="1"/>
  <c r="AZ988" i="1" s="1"/>
  <c r="AZ987" i="1" s="1"/>
  <c r="AZ986" i="1" s="1"/>
  <c r="AZ985" i="1" s="1"/>
  <c r="AZ984" i="1" s="1"/>
  <c r="AZ983" i="1" s="1"/>
  <c r="AZ982" i="1" s="1"/>
  <c r="AZ981" i="1" s="1"/>
  <c r="AZ980" i="1" s="1"/>
  <c r="AZ979" i="1" s="1"/>
  <c r="AZ978" i="1" s="1"/>
  <c r="AZ977" i="1" s="1"/>
  <c r="AZ976" i="1" s="1"/>
  <c r="AZ975" i="1" s="1"/>
  <c r="AZ974" i="1" s="1"/>
  <c r="AZ973" i="1" s="1"/>
  <c r="AZ972" i="1" s="1"/>
  <c r="AZ971" i="1" s="1"/>
  <c r="AZ970" i="1" s="1"/>
  <c r="AZ969" i="1" s="1"/>
  <c r="AZ968" i="1" s="1"/>
  <c r="AZ967" i="1" s="1"/>
  <c r="AZ966" i="1" s="1"/>
  <c r="AZ965" i="1" s="1"/>
  <c r="AZ964" i="1" s="1"/>
  <c r="AZ963" i="1" s="1"/>
  <c r="AZ962" i="1" s="1"/>
  <c r="AZ961" i="1" s="1"/>
  <c r="AZ960" i="1" s="1"/>
  <c r="AZ959" i="1" s="1"/>
  <c r="AZ958" i="1" s="1"/>
  <c r="AZ957" i="1" s="1"/>
  <c r="AZ956" i="1" s="1"/>
  <c r="AZ955" i="1" s="1"/>
  <c r="AZ954" i="1" s="1"/>
  <c r="AZ953" i="1" s="1"/>
  <c r="AZ952" i="1" s="1"/>
  <c r="AZ951" i="1" s="1"/>
  <c r="AZ950" i="1" s="1"/>
  <c r="AZ949" i="1" s="1"/>
  <c r="AZ948" i="1" s="1"/>
  <c r="AZ947" i="1" s="1"/>
  <c r="AZ946" i="1" s="1"/>
  <c r="AZ945" i="1" s="1"/>
  <c r="AZ944" i="1" s="1"/>
  <c r="AZ943" i="1" s="1"/>
  <c r="AZ942" i="1" s="1"/>
  <c r="AZ941" i="1" s="1"/>
  <c r="AZ940" i="1" s="1"/>
  <c r="AZ939" i="1" s="1"/>
  <c r="AZ938" i="1" s="1"/>
  <c r="AZ937" i="1" s="1"/>
  <c r="AZ936" i="1" s="1"/>
  <c r="AZ935" i="1" s="1"/>
  <c r="AZ934" i="1" s="1"/>
  <c r="AZ933" i="1" s="1"/>
  <c r="AZ932" i="1" s="1"/>
  <c r="AZ931" i="1" s="1"/>
  <c r="AZ930" i="1" s="1"/>
  <c r="AZ929" i="1" s="1"/>
  <c r="AZ928" i="1" s="1"/>
  <c r="AZ927" i="1" s="1"/>
  <c r="AZ926" i="1" s="1"/>
  <c r="AZ925" i="1" s="1"/>
  <c r="AZ924" i="1" s="1"/>
  <c r="AZ923" i="1" s="1"/>
  <c r="AZ922" i="1" s="1"/>
  <c r="AZ921" i="1" s="1"/>
  <c r="AZ920" i="1" s="1"/>
  <c r="AZ919" i="1" s="1"/>
  <c r="AZ918" i="1" s="1"/>
  <c r="AZ917" i="1" s="1"/>
  <c r="AZ916" i="1" s="1"/>
  <c r="AZ915" i="1" s="1"/>
  <c r="AZ914" i="1" s="1"/>
  <c r="AZ913" i="1" s="1"/>
  <c r="AZ912" i="1" s="1"/>
  <c r="AZ911" i="1" s="1"/>
  <c r="AZ910" i="1" s="1"/>
  <c r="AZ909" i="1" s="1"/>
  <c r="AZ908" i="1" s="1"/>
  <c r="AZ907" i="1" s="1"/>
  <c r="AZ906" i="1" s="1"/>
  <c r="AZ905" i="1" s="1"/>
  <c r="AZ904" i="1" s="1"/>
  <c r="AZ903" i="1" s="1"/>
  <c r="AZ902" i="1" s="1"/>
  <c r="AZ901" i="1" s="1"/>
  <c r="AZ900" i="1" s="1"/>
  <c r="AZ899" i="1" s="1"/>
  <c r="AZ898" i="1" s="1"/>
  <c r="AZ897" i="1" s="1"/>
  <c r="AZ896" i="1" s="1"/>
  <c r="AZ895" i="1" s="1"/>
  <c r="AZ894" i="1" s="1"/>
  <c r="AZ893" i="1" s="1"/>
  <c r="AZ892" i="1" s="1"/>
  <c r="AZ891" i="1" s="1"/>
  <c r="AZ890" i="1" s="1"/>
  <c r="AZ889" i="1" s="1"/>
  <c r="AZ888" i="1" s="1"/>
  <c r="AZ887" i="1" s="1"/>
  <c r="AZ886" i="1" s="1"/>
  <c r="AZ885" i="1" s="1"/>
  <c r="AZ884" i="1" s="1"/>
  <c r="AZ883" i="1" s="1"/>
  <c r="AZ882" i="1" s="1"/>
  <c r="AZ881" i="1" s="1"/>
  <c r="AZ880" i="1" s="1"/>
  <c r="AZ879" i="1" s="1"/>
  <c r="AZ878" i="1" s="1"/>
  <c r="AZ877" i="1" s="1"/>
  <c r="AZ876" i="1" s="1"/>
  <c r="AZ875" i="1" s="1"/>
  <c r="AZ874" i="1" s="1"/>
  <c r="AZ873" i="1" s="1"/>
  <c r="AZ872" i="1" s="1"/>
  <c r="AZ871" i="1" s="1"/>
  <c r="AZ870" i="1" s="1"/>
  <c r="AZ869" i="1" s="1"/>
  <c r="AZ868" i="1" s="1"/>
  <c r="AZ867" i="1" s="1"/>
  <c r="AZ866" i="1" s="1"/>
  <c r="AZ865" i="1" s="1"/>
  <c r="AZ864" i="1" s="1"/>
  <c r="AZ863" i="1" s="1"/>
  <c r="AZ862" i="1" s="1"/>
  <c r="AZ861" i="1" s="1"/>
  <c r="AZ860" i="1" s="1"/>
  <c r="AZ859" i="1" s="1"/>
  <c r="AZ858" i="1" s="1"/>
  <c r="AZ857" i="1" s="1"/>
  <c r="AZ856" i="1" s="1"/>
  <c r="AZ855" i="1" s="1"/>
  <c r="AZ854" i="1" s="1"/>
  <c r="AZ853" i="1" s="1"/>
  <c r="AZ852" i="1" s="1"/>
  <c r="AZ851" i="1" s="1"/>
  <c r="AZ850" i="1" s="1"/>
  <c r="AZ849" i="1" s="1"/>
  <c r="AZ848" i="1" s="1"/>
  <c r="AZ847" i="1" s="1"/>
  <c r="AZ846" i="1" s="1"/>
  <c r="AZ845" i="1" s="1"/>
  <c r="AZ844" i="1" s="1"/>
  <c r="AZ843" i="1" s="1"/>
  <c r="AZ842" i="1" s="1"/>
  <c r="AZ841" i="1" s="1"/>
  <c r="AZ840" i="1" s="1"/>
  <c r="AZ839" i="1" s="1"/>
  <c r="AZ838" i="1" s="1"/>
  <c r="AZ837" i="1" s="1"/>
  <c r="AZ836" i="1" s="1"/>
  <c r="AZ835" i="1" s="1"/>
  <c r="AZ834" i="1" s="1"/>
  <c r="AZ833" i="1" s="1"/>
  <c r="AZ832" i="1" s="1"/>
  <c r="AZ831" i="1" s="1"/>
  <c r="AZ830" i="1" s="1"/>
  <c r="AZ829" i="1" s="1"/>
  <c r="AZ828" i="1" s="1"/>
  <c r="AZ827" i="1" s="1"/>
  <c r="AZ826" i="1" s="1"/>
  <c r="AZ825" i="1" s="1"/>
  <c r="AZ824" i="1" s="1"/>
  <c r="AZ823" i="1" s="1"/>
  <c r="AZ822" i="1" s="1"/>
  <c r="AZ821" i="1" s="1"/>
  <c r="AZ820" i="1" s="1"/>
  <c r="AZ819" i="1" s="1"/>
  <c r="AZ818" i="1" s="1"/>
  <c r="AZ817" i="1" s="1"/>
  <c r="AZ816" i="1" s="1"/>
  <c r="AZ815" i="1" s="1"/>
  <c r="AZ814" i="1" s="1"/>
  <c r="AZ813" i="1" s="1"/>
  <c r="AZ812" i="1" s="1"/>
  <c r="AZ811" i="1" s="1"/>
  <c r="AZ810" i="1" s="1"/>
  <c r="AZ809" i="1" s="1"/>
  <c r="AZ808" i="1" s="1"/>
  <c r="AZ807" i="1" s="1"/>
  <c r="AZ806" i="1" s="1"/>
  <c r="AZ805" i="1" s="1"/>
  <c r="AZ804" i="1" s="1"/>
  <c r="AZ803" i="1" s="1"/>
  <c r="AZ802" i="1" s="1"/>
  <c r="AZ801" i="1" s="1"/>
  <c r="AZ800" i="1" s="1"/>
  <c r="AZ799" i="1" s="1"/>
  <c r="AZ798" i="1" s="1"/>
  <c r="AZ797" i="1" s="1"/>
  <c r="AZ796" i="1" s="1"/>
  <c r="AZ795" i="1" s="1"/>
  <c r="AZ794" i="1" s="1"/>
  <c r="AZ793" i="1" s="1"/>
  <c r="AZ792" i="1" s="1"/>
  <c r="AZ791" i="1" s="1"/>
  <c r="AZ790" i="1" s="1"/>
  <c r="AZ789" i="1" s="1"/>
  <c r="AZ788" i="1" s="1"/>
  <c r="AZ787" i="1" s="1"/>
  <c r="AZ786" i="1" s="1"/>
  <c r="AZ785" i="1" s="1"/>
  <c r="AZ784" i="1" s="1"/>
  <c r="AZ783" i="1" s="1"/>
  <c r="AZ782" i="1" s="1"/>
  <c r="AZ781" i="1" s="1"/>
  <c r="AZ780" i="1" s="1"/>
  <c r="AZ779" i="1" s="1"/>
  <c r="AZ778" i="1" s="1"/>
  <c r="AZ777" i="1" s="1"/>
  <c r="AZ776" i="1" s="1"/>
  <c r="AZ775" i="1" s="1"/>
  <c r="AZ774" i="1" s="1"/>
  <c r="AZ773" i="1" s="1"/>
  <c r="AZ772" i="1" s="1"/>
  <c r="AZ771" i="1" s="1"/>
  <c r="AZ770" i="1" s="1"/>
  <c r="AZ769" i="1" s="1"/>
  <c r="AZ768" i="1" s="1"/>
  <c r="AZ767" i="1" s="1"/>
  <c r="AZ766" i="1" s="1"/>
  <c r="AZ765" i="1" s="1"/>
  <c r="AZ764" i="1" s="1"/>
  <c r="AZ763" i="1" s="1"/>
  <c r="AZ762" i="1" s="1"/>
  <c r="AZ761" i="1" s="1"/>
  <c r="AZ760" i="1" s="1"/>
  <c r="AZ759" i="1" s="1"/>
  <c r="AZ758" i="1" s="1"/>
  <c r="AZ757" i="1" s="1"/>
  <c r="AZ756" i="1" s="1"/>
  <c r="AZ755" i="1" s="1"/>
  <c r="AZ754" i="1" s="1"/>
  <c r="AZ753" i="1" s="1"/>
  <c r="AZ752" i="1" s="1"/>
  <c r="AZ751" i="1" s="1"/>
  <c r="AZ750" i="1" s="1"/>
  <c r="AZ749" i="1" s="1"/>
  <c r="AZ748" i="1" s="1"/>
  <c r="AZ747" i="1" s="1"/>
  <c r="AZ746" i="1" s="1"/>
  <c r="AZ745" i="1" s="1"/>
  <c r="AZ744" i="1" s="1"/>
  <c r="AZ743" i="1" s="1"/>
  <c r="AZ742" i="1" s="1"/>
  <c r="AZ741" i="1" s="1"/>
  <c r="AZ740" i="1" s="1"/>
  <c r="AZ739" i="1" s="1"/>
  <c r="AZ738" i="1" s="1"/>
  <c r="AZ737" i="1" s="1"/>
  <c r="AZ736" i="1" s="1"/>
  <c r="AZ735" i="1" s="1"/>
  <c r="AZ734" i="1" s="1"/>
  <c r="AZ733" i="1" s="1"/>
  <c r="AZ732" i="1" s="1"/>
  <c r="AZ731" i="1" s="1"/>
  <c r="AZ730" i="1" s="1"/>
  <c r="AZ729" i="1" s="1"/>
  <c r="AZ728" i="1" s="1"/>
  <c r="AZ727" i="1" s="1"/>
  <c r="AZ726" i="1" s="1"/>
  <c r="AZ725" i="1" s="1"/>
  <c r="AZ724" i="1" s="1"/>
  <c r="AZ723" i="1" s="1"/>
  <c r="AZ722" i="1" s="1"/>
  <c r="AZ721" i="1" s="1"/>
  <c r="AZ720" i="1" s="1"/>
  <c r="AZ719" i="1" s="1"/>
  <c r="AZ718" i="1" s="1"/>
  <c r="AZ717" i="1" s="1"/>
  <c r="AZ716" i="1" s="1"/>
  <c r="AZ715" i="1" s="1"/>
  <c r="AZ714" i="1" s="1"/>
  <c r="AZ713" i="1" s="1"/>
  <c r="AZ712" i="1" s="1"/>
  <c r="AZ711" i="1" s="1"/>
  <c r="AZ710" i="1" s="1"/>
  <c r="AZ709" i="1" s="1"/>
  <c r="AZ708" i="1" s="1"/>
  <c r="AZ707" i="1" s="1"/>
  <c r="AZ706" i="1" s="1"/>
  <c r="AZ705" i="1" s="1"/>
  <c r="AZ704" i="1" s="1"/>
  <c r="AZ703" i="1" s="1"/>
  <c r="AZ702" i="1" s="1"/>
  <c r="AZ701" i="1" s="1"/>
  <c r="AZ700" i="1" s="1"/>
  <c r="AZ699" i="1" s="1"/>
  <c r="AZ698" i="1" s="1"/>
  <c r="AZ697" i="1" s="1"/>
  <c r="AZ696" i="1" s="1"/>
  <c r="AZ695" i="1" s="1"/>
  <c r="AZ694" i="1" s="1"/>
  <c r="AZ693" i="1" s="1"/>
  <c r="AZ692" i="1" s="1"/>
  <c r="AZ691" i="1" s="1"/>
  <c r="AZ690" i="1" s="1"/>
  <c r="AZ689" i="1" s="1"/>
  <c r="AZ688" i="1" s="1"/>
  <c r="AZ687" i="1" s="1"/>
  <c r="AZ686" i="1" s="1"/>
  <c r="AZ685" i="1" s="1"/>
  <c r="AZ684" i="1" s="1"/>
  <c r="AZ683" i="1" s="1"/>
  <c r="AZ682" i="1" s="1"/>
  <c r="AZ681" i="1" s="1"/>
  <c r="AZ680" i="1" s="1"/>
  <c r="AZ679" i="1" s="1"/>
  <c r="AZ678" i="1" s="1"/>
  <c r="AZ677" i="1" s="1"/>
  <c r="AZ676" i="1" s="1"/>
  <c r="AZ675" i="1" s="1"/>
  <c r="AZ674" i="1" s="1"/>
  <c r="AZ673" i="1" s="1"/>
  <c r="AZ672" i="1" s="1"/>
  <c r="AZ671" i="1" s="1"/>
  <c r="AZ670" i="1" s="1"/>
  <c r="AZ669" i="1" s="1"/>
  <c r="AZ668" i="1" s="1"/>
  <c r="AZ667" i="1" s="1"/>
  <c r="AZ666" i="1" s="1"/>
  <c r="AZ665" i="1" s="1"/>
  <c r="AZ664" i="1" s="1"/>
  <c r="AZ663" i="1" s="1"/>
  <c r="AZ662" i="1" s="1"/>
  <c r="AZ661" i="1" s="1"/>
  <c r="AZ660" i="1" s="1"/>
  <c r="AZ659" i="1" s="1"/>
  <c r="AZ658" i="1" s="1"/>
  <c r="AZ657" i="1" s="1"/>
  <c r="AZ656" i="1" s="1"/>
  <c r="AZ655" i="1" s="1"/>
  <c r="AZ654" i="1" s="1"/>
  <c r="AZ653" i="1" s="1"/>
  <c r="AZ652" i="1" s="1"/>
  <c r="AZ651" i="1" s="1"/>
  <c r="AZ650" i="1" s="1"/>
  <c r="AZ649" i="1" s="1"/>
  <c r="AZ648" i="1" s="1"/>
  <c r="AZ647" i="1" s="1"/>
  <c r="AZ646" i="1" s="1"/>
  <c r="AZ645" i="1" s="1"/>
  <c r="AZ644" i="1" s="1"/>
  <c r="AZ643" i="1" s="1"/>
  <c r="AZ642" i="1" s="1"/>
  <c r="AZ641" i="1" s="1"/>
  <c r="AZ640" i="1" s="1"/>
  <c r="AZ639" i="1" s="1"/>
  <c r="AZ638" i="1" s="1"/>
  <c r="AZ637" i="1" s="1"/>
  <c r="AZ636" i="1" s="1"/>
  <c r="AZ635" i="1" s="1"/>
  <c r="AZ634" i="1" s="1"/>
  <c r="AZ633" i="1" s="1"/>
  <c r="AZ632" i="1" s="1"/>
  <c r="AZ631" i="1" s="1"/>
  <c r="AZ630" i="1" s="1"/>
  <c r="AZ629" i="1" s="1"/>
  <c r="AZ628" i="1" s="1"/>
  <c r="AZ627" i="1" s="1"/>
  <c r="AZ626" i="1" s="1"/>
  <c r="AZ625" i="1" s="1"/>
  <c r="AZ624" i="1" s="1"/>
  <c r="AZ623" i="1" s="1"/>
  <c r="AZ622" i="1" s="1"/>
  <c r="AZ621" i="1" s="1"/>
  <c r="AZ620" i="1" s="1"/>
  <c r="AZ619" i="1" s="1"/>
  <c r="AZ618" i="1" s="1"/>
  <c r="AZ617" i="1" s="1"/>
  <c r="AZ616" i="1" s="1"/>
  <c r="AZ615" i="1" s="1"/>
  <c r="AZ614" i="1" s="1"/>
  <c r="AZ613" i="1" s="1"/>
  <c r="AZ612" i="1" s="1"/>
  <c r="AZ611" i="1" s="1"/>
  <c r="AZ610" i="1" s="1"/>
  <c r="AZ609" i="1" s="1"/>
  <c r="AZ608" i="1" s="1"/>
  <c r="AZ607" i="1" s="1"/>
  <c r="AZ606" i="1" s="1"/>
  <c r="AZ605" i="1" s="1"/>
  <c r="AZ604" i="1" s="1"/>
  <c r="AZ603" i="1" s="1"/>
  <c r="AZ602" i="1" s="1"/>
  <c r="AZ601" i="1" s="1"/>
  <c r="AZ600" i="1" s="1"/>
  <c r="AZ599" i="1" s="1"/>
  <c r="AZ598" i="1" s="1"/>
  <c r="AZ597" i="1" s="1"/>
  <c r="AZ596" i="1" s="1"/>
  <c r="AZ595" i="1" s="1"/>
  <c r="AZ594" i="1" s="1"/>
  <c r="AZ593" i="1" s="1"/>
  <c r="AZ592" i="1" s="1"/>
  <c r="AZ591" i="1" s="1"/>
  <c r="AZ590" i="1" s="1"/>
  <c r="AZ589" i="1" s="1"/>
  <c r="AZ588" i="1" s="1"/>
  <c r="AZ587" i="1" s="1"/>
  <c r="AZ586" i="1" s="1"/>
  <c r="AZ585" i="1" s="1"/>
  <c r="AZ584" i="1" s="1"/>
  <c r="AZ583" i="1" s="1"/>
  <c r="AZ582" i="1" s="1"/>
  <c r="AZ581" i="1" s="1"/>
  <c r="AZ580" i="1" s="1"/>
  <c r="AZ579" i="1" s="1"/>
  <c r="AZ578" i="1" s="1"/>
  <c r="AZ577" i="1" s="1"/>
  <c r="AZ576" i="1" s="1"/>
  <c r="AZ575" i="1" s="1"/>
  <c r="AZ574" i="1" s="1"/>
  <c r="AZ573" i="1" s="1"/>
  <c r="AZ572" i="1" s="1"/>
  <c r="AZ571" i="1" s="1"/>
  <c r="AZ570" i="1" s="1"/>
  <c r="AZ569" i="1" s="1"/>
  <c r="AZ568" i="1" s="1"/>
  <c r="AZ567" i="1" s="1"/>
  <c r="AZ566" i="1" s="1"/>
  <c r="AZ565" i="1" s="1"/>
  <c r="AZ564" i="1" s="1"/>
  <c r="AZ563" i="1" s="1"/>
  <c r="AZ562" i="1" s="1"/>
  <c r="AZ561" i="1" s="1"/>
  <c r="AZ560" i="1" s="1"/>
  <c r="AZ559" i="1" s="1"/>
  <c r="AZ558" i="1" s="1"/>
  <c r="AZ557" i="1" s="1"/>
  <c r="AZ556" i="1" s="1"/>
  <c r="AZ555" i="1" s="1"/>
  <c r="AZ554" i="1" s="1"/>
  <c r="AZ553" i="1" s="1"/>
  <c r="AZ552" i="1" s="1"/>
  <c r="AZ551" i="1" s="1"/>
  <c r="AZ550" i="1" s="1"/>
  <c r="AZ549" i="1" s="1"/>
  <c r="AZ548" i="1" s="1"/>
  <c r="AZ547" i="1" s="1"/>
  <c r="AZ546" i="1" s="1"/>
  <c r="AZ545" i="1" s="1"/>
  <c r="AZ544" i="1" s="1"/>
  <c r="AZ543" i="1" s="1"/>
  <c r="AZ542" i="1" s="1"/>
  <c r="AZ541" i="1" s="1"/>
  <c r="AZ540" i="1" s="1"/>
  <c r="AZ539" i="1" s="1"/>
  <c r="AZ538" i="1" s="1"/>
  <c r="AZ537" i="1" s="1"/>
  <c r="AZ536" i="1" s="1"/>
  <c r="AZ535" i="1" s="1"/>
  <c r="AZ534" i="1" s="1"/>
  <c r="AZ533" i="1" s="1"/>
  <c r="AZ532" i="1" s="1"/>
  <c r="AZ531" i="1" s="1"/>
  <c r="AZ530" i="1" s="1"/>
  <c r="AZ529" i="1" s="1"/>
  <c r="AZ528" i="1" s="1"/>
  <c r="AZ527" i="1" s="1"/>
  <c r="AZ526" i="1" s="1"/>
  <c r="AZ525" i="1" s="1"/>
  <c r="AZ524" i="1" s="1"/>
  <c r="AZ523" i="1" s="1"/>
  <c r="AZ522" i="1" s="1"/>
  <c r="AZ521" i="1" s="1"/>
  <c r="AZ520" i="1" s="1"/>
  <c r="AZ519" i="1" s="1"/>
  <c r="AZ518" i="1" s="1"/>
  <c r="AZ517" i="1" s="1"/>
  <c r="AZ516" i="1" s="1"/>
  <c r="AZ515" i="1" s="1"/>
  <c r="AZ514" i="1" s="1"/>
  <c r="AZ513" i="1" s="1"/>
  <c r="AZ512" i="1" s="1"/>
  <c r="AZ511" i="1" s="1"/>
  <c r="AZ510" i="1" s="1"/>
  <c r="AZ509" i="1" s="1"/>
  <c r="AZ508" i="1" s="1"/>
  <c r="AZ507" i="1" s="1"/>
  <c r="AZ506" i="1" s="1"/>
  <c r="AZ505" i="1" s="1"/>
  <c r="AZ504" i="1" s="1"/>
  <c r="AZ503" i="1" s="1"/>
  <c r="AZ502" i="1" s="1"/>
  <c r="AZ501" i="1" s="1"/>
  <c r="AZ500" i="1" s="1"/>
  <c r="AZ499" i="1" s="1"/>
  <c r="AZ498" i="1" s="1"/>
  <c r="AZ497" i="1" s="1"/>
  <c r="AZ496" i="1" s="1"/>
  <c r="AZ495" i="1" s="1"/>
  <c r="AZ494" i="1" s="1"/>
  <c r="AZ493" i="1" s="1"/>
  <c r="AZ492" i="1" s="1"/>
  <c r="AZ491" i="1" s="1"/>
  <c r="AZ490" i="1" s="1"/>
  <c r="AZ489" i="1" s="1"/>
  <c r="AZ488" i="1" s="1"/>
  <c r="AZ487" i="1" s="1"/>
  <c r="AZ486" i="1" s="1"/>
  <c r="AZ485" i="1" s="1"/>
  <c r="AZ484" i="1" s="1"/>
  <c r="AZ483" i="1" s="1"/>
  <c r="AZ482" i="1" s="1"/>
  <c r="AZ481" i="1" s="1"/>
  <c r="AZ480" i="1" s="1"/>
  <c r="AZ479" i="1" s="1"/>
  <c r="AZ478" i="1" s="1"/>
  <c r="AZ477" i="1" s="1"/>
  <c r="AZ476" i="1" s="1"/>
  <c r="AZ475" i="1" s="1"/>
  <c r="AZ474" i="1" s="1"/>
  <c r="AZ473" i="1" s="1"/>
  <c r="AZ472" i="1" s="1"/>
  <c r="AZ471" i="1" s="1"/>
  <c r="AZ470" i="1" s="1"/>
  <c r="AZ469" i="1" s="1"/>
  <c r="AZ468" i="1" s="1"/>
  <c r="AZ467" i="1" s="1"/>
  <c r="AZ466" i="1" s="1"/>
  <c r="AZ465" i="1" s="1"/>
  <c r="AZ464" i="1" s="1"/>
  <c r="AZ463" i="1" s="1"/>
  <c r="AZ462" i="1" s="1"/>
  <c r="AZ461" i="1" s="1"/>
  <c r="AZ460" i="1" s="1"/>
  <c r="AZ459" i="1" s="1"/>
  <c r="AZ458" i="1" s="1"/>
  <c r="AZ457" i="1" s="1"/>
  <c r="AZ456" i="1" s="1"/>
  <c r="AZ455" i="1" s="1"/>
  <c r="AZ454" i="1" s="1"/>
  <c r="AZ453" i="1" s="1"/>
  <c r="AZ452" i="1" s="1"/>
  <c r="AZ451" i="1" s="1"/>
  <c r="AZ450" i="1" s="1"/>
  <c r="AZ449" i="1" s="1"/>
  <c r="AZ448" i="1" s="1"/>
  <c r="AZ447" i="1" s="1"/>
  <c r="AZ446" i="1" s="1"/>
  <c r="AZ445" i="1" s="1"/>
  <c r="AZ444" i="1" s="1"/>
  <c r="AZ443" i="1" s="1"/>
  <c r="AZ442" i="1" s="1"/>
  <c r="AZ441" i="1" s="1"/>
  <c r="AZ440" i="1" s="1"/>
  <c r="AZ439" i="1" s="1"/>
  <c r="AZ438" i="1" s="1"/>
  <c r="AZ437" i="1" s="1"/>
  <c r="AZ436" i="1" s="1"/>
  <c r="AZ435" i="1" s="1"/>
  <c r="AZ434" i="1" s="1"/>
  <c r="AZ433" i="1" s="1"/>
  <c r="AZ432" i="1" s="1"/>
  <c r="AZ431" i="1" s="1"/>
  <c r="AZ430" i="1" s="1"/>
  <c r="AZ429" i="1" s="1"/>
  <c r="AZ428" i="1" s="1"/>
  <c r="AZ427" i="1" s="1"/>
  <c r="AZ426" i="1" s="1"/>
  <c r="AZ425" i="1" s="1"/>
  <c r="AZ424" i="1" s="1"/>
  <c r="AZ423" i="1" s="1"/>
  <c r="AZ422" i="1" s="1"/>
  <c r="AZ421" i="1" s="1"/>
  <c r="AZ420" i="1" s="1"/>
  <c r="AZ419" i="1" l="1"/>
  <c r="AZ418" i="1" l="1"/>
  <c r="AZ417" i="1" l="1"/>
  <c r="AZ416" i="1" s="1"/>
  <c r="AZ415" i="1" l="1"/>
  <c r="AZ414" i="1" l="1"/>
  <c r="AZ413" i="1" l="1"/>
  <c r="AZ412" i="1" l="1"/>
  <c r="AZ411" i="1" l="1"/>
  <c r="AZ410" i="1" l="1"/>
  <c r="AZ409" i="1" l="1"/>
  <c r="AZ408" i="1" l="1"/>
  <c r="AZ407" i="1" l="1"/>
  <c r="AZ406" i="1" l="1"/>
  <c r="AZ405" i="1" l="1"/>
  <c r="AZ404" i="1" l="1"/>
  <c r="AZ403" i="1" l="1"/>
  <c r="AZ402" i="1" l="1"/>
  <c r="AZ401" i="1" l="1"/>
  <c r="AZ400" i="1" l="1"/>
  <c r="AZ399" i="1" l="1"/>
  <c r="AZ398" i="1" l="1"/>
  <c r="AZ397" i="1" l="1"/>
  <c r="AZ396" i="1" l="1"/>
  <c r="AZ395" i="1" l="1"/>
  <c r="AZ394" i="1" l="1"/>
  <c r="AZ393" i="1" l="1"/>
  <c r="AZ392" i="1" l="1"/>
  <c r="AZ391" i="1" l="1"/>
  <c r="AZ390" i="1" l="1"/>
  <c r="AZ389" i="1" l="1"/>
  <c r="AZ388" i="1" l="1"/>
  <c r="AZ387" i="1" l="1"/>
  <c r="AZ386" i="1" l="1"/>
  <c r="AZ385" i="1" l="1"/>
  <c r="AZ384" i="1" l="1"/>
  <c r="AZ383" i="1" l="1"/>
  <c r="AZ382" i="1" l="1"/>
  <c r="AZ381" i="1" l="1"/>
  <c r="AZ380" i="1" l="1"/>
  <c r="AZ379" i="1" l="1"/>
  <c r="AZ378" i="1" l="1"/>
  <c r="AZ377" i="1" l="1"/>
  <c r="AZ376" i="1" l="1"/>
  <c r="AZ375" i="1" l="1"/>
  <c r="AZ374" i="1" l="1"/>
  <c r="AZ373" i="1" l="1"/>
  <c r="AZ372" i="1" l="1"/>
  <c r="AZ371" i="1" l="1"/>
  <c r="AZ370" i="1" l="1"/>
  <c r="AZ369" i="1" l="1"/>
  <c r="AZ368" i="1" l="1"/>
  <c r="AZ367" i="1" l="1"/>
  <c r="AZ366" i="1" l="1"/>
  <c r="AZ365" i="1" l="1"/>
  <c r="AZ364" i="1" l="1"/>
  <c r="AZ363" i="1" l="1"/>
  <c r="AZ362" i="1" l="1"/>
  <c r="AZ361" i="1" l="1"/>
  <c r="AZ360" i="1" l="1"/>
  <c r="AZ359" i="1" l="1"/>
  <c r="AZ358" i="1" l="1"/>
  <c r="AZ357" i="1" l="1"/>
  <c r="AZ356" i="1" l="1"/>
  <c r="AZ355" i="1" l="1"/>
  <c r="AZ354" i="1" l="1"/>
  <c r="AZ353" i="1" l="1"/>
  <c r="AZ352" i="1" l="1"/>
  <c r="AZ351" i="1" l="1"/>
  <c r="AZ350" i="1" l="1"/>
  <c r="AZ349" i="1" l="1"/>
  <c r="AZ348" i="1" l="1"/>
  <c r="AZ347" i="1" l="1"/>
  <c r="AZ346" i="1" l="1"/>
  <c r="AZ345" i="1" l="1"/>
  <c r="AZ344" i="1" l="1"/>
  <c r="AZ343" i="1" l="1"/>
  <c r="AZ342" i="1" l="1"/>
  <c r="AZ341" i="1" l="1"/>
  <c r="AZ340" i="1" l="1"/>
  <c r="AZ339" i="1" l="1"/>
  <c r="AZ338" i="1" l="1"/>
  <c r="AZ337" i="1" l="1"/>
  <c r="AZ336" i="1" l="1"/>
  <c r="AZ335" i="1" l="1"/>
  <c r="AZ334" i="1" l="1"/>
  <c r="AZ333" i="1" l="1"/>
  <c r="AZ332" i="1" l="1"/>
  <c r="AZ331" i="1" l="1"/>
  <c r="AZ330" i="1" l="1"/>
  <c r="AZ329" i="1" l="1"/>
  <c r="AZ328" i="1" l="1"/>
  <c r="AZ327" i="1" l="1"/>
  <c r="AZ326" i="1" l="1"/>
  <c r="AZ325" i="1" l="1"/>
  <c r="AZ324" i="1" l="1"/>
  <c r="AZ323" i="1" l="1"/>
  <c r="AZ322" i="1" l="1"/>
  <c r="AZ321" i="1" l="1"/>
  <c r="AZ320" i="1" l="1"/>
  <c r="AZ319" i="1" l="1"/>
  <c r="AZ318" i="1" l="1"/>
  <c r="AZ317" i="1" l="1"/>
  <c r="AZ316" i="1" l="1"/>
  <c r="AZ315" i="1" l="1"/>
  <c r="AZ314" i="1" l="1"/>
  <c r="AZ313" i="1" l="1"/>
  <c r="AZ312" i="1" l="1"/>
  <c r="AZ311" i="1" l="1"/>
  <c r="AZ310" i="1" l="1"/>
  <c r="AZ309" i="1" l="1"/>
  <c r="AZ308" i="1" l="1"/>
  <c r="AZ307" i="1" l="1"/>
  <c r="AZ306" i="1" l="1"/>
  <c r="AZ305" i="1" l="1"/>
  <c r="AZ304" i="1" l="1"/>
  <c r="AZ303" i="1" l="1"/>
  <c r="AZ302" i="1" l="1"/>
  <c r="AZ301" i="1" l="1"/>
  <c r="AZ300" i="1" l="1"/>
  <c r="AZ299" i="1" l="1"/>
  <c r="AZ298" i="1" l="1"/>
  <c r="AZ297" i="1" l="1"/>
  <c r="AZ296" i="1" l="1"/>
  <c r="AZ295" i="1" l="1"/>
  <c r="AZ294" i="1" l="1"/>
  <c r="AZ293" i="1" l="1"/>
  <c r="AZ292" i="1" l="1"/>
  <c r="AZ291" i="1" l="1"/>
  <c r="AZ290" i="1" l="1"/>
  <c r="AZ289" i="1" l="1"/>
  <c r="AZ288" i="1" l="1"/>
  <c r="AZ287" i="1" l="1"/>
  <c r="AZ286" i="1" l="1"/>
  <c r="AZ285" i="1" l="1"/>
  <c r="AZ284" i="1" l="1"/>
  <c r="AZ283" i="1" l="1"/>
  <c r="AZ282" i="1" l="1"/>
  <c r="AZ281" i="1" l="1"/>
  <c r="AZ280" i="1" l="1"/>
  <c r="AZ279" i="1" l="1"/>
  <c r="AZ278" i="1" l="1"/>
  <c r="AZ277" i="1" l="1"/>
  <c r="AZ276" i="1" l="1"/>
  <c r="AZ275" i="1" l="1"/>
  <c r="AZ274" i="1" l="1"/>
  <c r="AZ273" i="1" l="1"/>
  <c r="AZ272" i="1" l="1"/>
  <c r="AZ271" i="1" l="1"/>
  <c r="AZ270" i="1" l="1"/>
  <c r="AZ269" i="1" l="1"/>
  <c r="AZ268" i="1" l="1"/>
  <c r="AZ267" i="1" l="1"/>
  <c r="AZ266" i="1" l="1"/>
  <c r="AZ265" i="1" l="1"/>
  <c r="AZ264" i="1" l="1"/>
  <c r="AZ263" i="1" l="1"/>
  <c r="AZ262" i="1" l="1"/>
  <c r="AZ261" i="1" l="1"/>
  <c r="AZ260" i="1" l="1"/>
  <c r="AZ259" i="1" l="1"/>
  <c r="AZ258" i="1" l="1"/>
  <c r="AZ257" i="1" l="1"/>
  <c r="AZ256" i="1" l="1"/>
  <c r="AZ255" i="1" l="1"/>
  <c r="AZ254" i="1" l="1"/>
  <c r="AZ253" i="1" l="1"/>
  <c r="AZ252" i="1" l="1"/>
  <c r="AZ251" i="1" l="1"/>
  <c r="AZ250" i="1" l="1"/>
  <c r="AZ249" i="1" l="1"/>
  <c r="AZ248" i="1" l="1"/>
  <c r="AZ247" i="1" l="1"/>
  <c r="AZ246" i="1" l="1"/>
  <c r="AZ245" i="1" l="1"/>
  <c r="AZ244" i="1" l="1"/>
  <c r="AZ243" i="1" l="1"/>
  <c r="AZ242" i="1" l="1"/>
  <c r="AZ241" i="1" l="1"/>
  <c r="AZ240" i="1" l="1"/>
  <c r="AZ239" i="1" l="1"/>
  <c r="AZ238" i="1" l="1"/>
  <c r="AZ237" i="1" l="1"/>
  <c r="AZ236" i="1" l="1"/>
  <c r="AZ235" i="1" l="1"/>
  <c r="AZ234" i="1" l="1"/>
  <c r="AZ233" i="1" l="1"/>
  <c r="AZ232" i="1" l="1"/>
  <c r="AZ231" i="1" l="1"/>
  <c r="AZ230" i="1" l="1"/>
  <c r="AZ229" i="1" l="1"/>
  <c r="AZ228" i="1" l="1"/>
  <c r="AZ227" i="1" l="1"/>
  <c r="AZ226" i="1" l="1"/>
  <c r="AZ225" i="1" l="1"/>
  <c r="AZ224" i="1" l="1"/>
  <c r="AZ223" i="1" l="1"/>
  <c r="AZ222" i="1" l="1"/>
  <c r="AZ221" i="1" l="1"/>
  <c r="AZ220" i="1" l="1"/>
  <c r="AZ219" i="1" l="1"/>
  <c r="AZ218" i="1" l="1"/>
  <c r="AZ217" i="1" l="1"/>
  <c r="AZ216" i="1" l="1"/>
  <c r="AZ215" i="1" l="1"/>
  <c r="AZ214" i="1" l="1"/>
  <c r="AZ213" i="1" l="1"/>
  <c r="AZ212" i="1" l="1"/>
  <c r="AZ211" i="1" l="1"/>
  <c r="AZ210" i="1" l="1"/>
  <c r="AZ209" i="1" l="1"/>
  <c r="AZ208" i="1" l="1"/>
  <c r="AZ207" i="1" l="1"/>
  <c r="AZ206" i="1" l="1"/>
  <c r="AZ205" i="1" l="1"/>
  <c r="AZ204" i="1" l="1"/>
  <c r="AZ203" i="1" l="1"/>
  <c r="AZ202" i="1" l="1"/>
  <c r="AZ201" i="1" l="1"/>
  <c r="AZ200" i="1" l="1"/>
  <c r="AZ199" i="1" l="1"/>
  <c r="AZ198" i="1" l="1"/>
  <c r="AZ197" i="1" l="1"/>
  <c r="AZ196" i="1" l="1"/>
  <c r="AZ195" i="1" l="1"/>
  <c r="AZ194" i="1" l="1"/>
  <c r="AZ193" i="1" l="1"/>
  <c r="AZ192" i="1" l="1"/>
  <c r="AZ191" i="1" l="1"/>
  <c r="AZ190" i="1" l="1"/>
  <c r="AZ189" i="1" l="1"/>
  <c r="AZ188" i="1" l="1"/>
  <c r="AZ187" i="1" l="1"/>
  <c r="AZ186" i="1" l="1"/>
  <c r="AZ185" i="1" l="1"/>
  <c r="AZ184" i="1" l="1"/>
  <c r="AZ183" i="1" l="1"/>
  <c r="AZ182" i="1" l="1"/>
  <c r="AZ181" i="1" l="1"/>
  <c r="AZ180" i="1" l="1"/>
  <c r="AZ179" i="1" l="1"/>
  <c r="AZ178" i="1" l="1"/>
  <c r="AZ177" i="1" l="1"/>
  <c r="AZ176" i="1" l="1"/>
  <c r="AZ175" i="1" l="1"/>
  <c r="AZ174" i="1" l="1"/>
  <c r="AZ173" i="1" l="1"/>
  <c r="AZ172" i="1" l="1"/>
  <c r="AZ171" i="1" l="1"/>
  <c r="AZ170" i="1" l="1"/>
  <c r="AZ169" i="1" l="1"/>
  <c r="AZ168" i="1" l="1"/>
  <c r="AZ167" i="1" l="1"/>
  <c r="AZ166" i="1" l="1"/>
  <c r="AZ165" i="1" l="1"/>
  <c r="AZ164" i="1" l="1"/>
  <c r="AZ163" i="1" l="1"/>
  <c r="AZ162" i="1" l="1"/>
  <c r="AZ161" i="1" l="1"/>
  <c r="AZ160" i="1" l="1"/>
  <c r="AZ159" i="1" l="1"/>
  <c r="AZ158" i="1" l="1"/>
  <c r="AZ157" i="1" l="1"/>
  <c r="AZ156" i="1" l="1"/>
  <c r="AZ155" i="1" l="1"/>
  <c r="AZ154" i="1" l="1"/>
  <c r="AZ153" i="1" l="1"/>
  <c r="AZ152" i="1" l="1"/>
  <c r="AZ151" i="1" l="1"/>
  <c r="AZ150" i="1" l="1"/>
  <c r="AZ149" i="1" l="1"/>
  <c r="AZ148" i="1" l="1"/>
  <c r="AZ147" i="1" l="1"/>
  <c r="AZ146" i="1" l="1"/>
  <c r="AZ145" i="1" l="1"/>
  <c r="AZ144" i="1" l="1"/>
  <c r="AZ143" i="1" l="1"/>
  <c r="AZ142" i="1" l="1"/>
  <c r="AZ141" i="1" l="1"/>
  <c r="AZ140" i="1" l="1"/>
  <c r="AZ139" i="1" l="1"/>
  <c r="AZ138" i="1" l="1"/>
  <c r="AZ137" i="1" l="1"/>
  <c r="AZ136" i="1" l="1"/>
  <c r="AZ135" i="1" l="1"/>
  <c r="AZ134" i="1" l="1"/>
  <c r="AZ133" i="1" l="1"/>
  <c r="AZ132" i="1" l="1"/>
  <c r="AZ131" i="1" l="1"/>
  <c r="AZ130" i="1" l="1"/>
  <c r="AZ129" i="1" l="1"/>
  <c r="AZ128" i="1" l="1"/>
  <c r="AZ127" i="1" l="1"/>
  <c r="AZ126" i="1" l="1"/>
  <c r="AZ125" i="1" l="1"/>
  <c r="AZ124" i="1" l="1"/>
  <c r="AZ123" i="1" l="1"/>
  <c r="AZ122" i="1" l="1"/>
  <c r="AZ121" i="1" l="1"/>
  <c r="AZ120" i="1" l="1"/>
  <c r="AZ119" i="1" l="1"/>
  <c r="AZ118" i="1" l="1"/>
  <c r="AZ117" i="1" l="1"/>
  <c r="AZ116" i="1" l="1"/>
  <c r="AZ115" i="1" l="1"/>
  <c r="AZ114" i="1" l="1"/>
  <c r="AZ113" i="1" l="1"/>
  <c r="AZ112" i="1" l="1"/>
  <c r="AZ111" i="1" l="1"/>
  <c r="AZ110" i="1" l="1"/>
  <c r="AZ109" i="1" l="1"/>
  <c r="AZ108" i="1" l="1"/>
  <c r="AZ107" i="1" l="1"/>
  <c r="AZ106" i="1" l="1"/>
  <c r="AZ105" i="1" l="1"/>
  <c r="AZ104" i="1" l="1"/>
  <c r="AZ103" i="1" l="1"/>
  <c r="AZ102" i="1" l="1"/>
  <c r="AZ101" i="1" l="1"/>
  <c r="AZ100" i="1" l="1"/>
  <c r="AZ99" i="1" l="1"/>
  <c r="AZ98" i="1" l="1"/>
  <c r="AZ97" i="1" l="1"/>
  <c r="AZ96" i="1" l="1"/>
  <c r="AZ95" i="1" l="1"/>
  <c r="AZ94" i="1" l="1"/>
  <c r="AZ93" i="1" l="1"/>
  <c r="AZ92" i="1" l="1"/>
  <c r="AZ91" i="1" l="1"/>
  <c r="AZ90" i="1" l="1"/>
  <c r="AZ89" i="1" l="1"/>
  <c r="AZ88" i="1" l="1"/>
  <c r="AZ87" i="1" l="1"/>
  <c r="AZ86" i="1" l="1"/>
  <c r="AZ85" i="1" l="1"/>
  <c r="AZ84" i="1" l="1"/>
  <c r="AZ83" i="1" l="1"/>
  <c r="AZ82" i="1" l="1"/>
  <c r="AZ81" i="1" l="1"/>
  <c r="AZ80" i="1" l="1"/>
  <c r="AZ79" i="1" l="1"/>
  <c r="AZ78" i="1" l="1"/>
  <c r="AZ77" i="1" l="1"/>
  <c r="AZ76" i="1" l="1"/>
  <c r="AZ75" i="1" l="1"/>
  <c r="AZ74" i="1" l="1"/>
  <c r="AZ73" i="1" l="1"/>
  <c r="AZ72" i="1" l="1"/>
  <c r="AZ71" i="1" l="1"/>
  <c r="AZ70" i="1" l="1"/>
  <c r="AZ69" i="1" l="1"/>
  <c r="AZ68" i="1" l="1"/>
  <c r="AZ67" i="1" l="1"/>
  <c r="AZ66" i="1" l="1"/>
  <c r="AZ65" i="1" l="1"/>
  <c r="AZ64" i="1" l="1"/>
  <c r="AZ63" i="1" l="1"/>
  <c r="AZ62" i="1" l="1"/>
  <c r="AZ61" i="1" l="1"/>
  <c r="AZ60" i="1" l="1"/>
  <c r="AZ59" i="1" l="1"/>
  <c r="AZ58" i="1" l="1"/>
  <c r="AZ57" i="1" l="1"/>
  <c r="AZ56" i="1" l="1"/>
  <c r="AZ55" i="1" l="1"/>
  <c r="AZ54" i="1" l="1"/>
  <c r="AZ53" i="1" l="1"/>
  <c r="AZ52" i="1" l="1"/>
  <c r="AZ51" i="1" l="1"/>
  <c r="AZ50" i="1" l="1"/>
  <c r="AZ49" i="1" l="1"/>
  <c r="AZ48" i="1" l="1"/>
  <c r="AZ47" i="1" l="1"/>
  <c r="AZ46" i="1" l="1"/>
  <c r="AZ45" i="1" l="1"/>
  <c r="AZ44" i="1" l="1"/>
  <c r="AZ43" i="1" l="1"/>
  <c r="AZ42" i="1" l="1"/>
  <c r="AZ41" i="1" l="1"/>
  <c r="AZ40" i="1" l="1"/>
  <c r="AZ39" i="1" l="1"/>
  <c r="AZ38" i="1" l="1"/>
  <c r="AZ37" i="1" l="1"/>
  <c r="AZ36" i="1" l="1"/>
  <c r="AZ35" i="1" l="1"/>
  <c r="AZ34" i="1" l="1"/>
  <c r="AZ33" i="1" l="1"/>
  <c r="AZ32" i="1" l="1"/>
  <c r="AZ31" i="1" l="1"/>
  <c r="AZ30" i="1" l="1"/>
  <c r="AZ29" i="1" l="1"/>
  <c r="AZ28" i="1" l="1"/>
  <c r="AZ27" i="1" l="1"/>
  <c r="AZ26" i="1" l="1"/>
  <c r="AZ25" i="1" l="1"/>
  <c r="AZ24" i="1" l="1"/>
  <c r="AZ23" i="1" l="1"/>
  <c r="AZ22" i="1" l="1"/>
  <c r="AZ21" i="1" l="1"/>
  <c r="AZ20" i="1" l="1"/>
  <c r="AZ19" i="1" l="1"/>
  <c r="AZ18" i="1" l="1"/>
  <c r="AZ17" i="1" l="1"/>
  <c r="AZ16" i="1" l="1"/>
  <c r="AZ15" i="1" l="1"/>
  <c r="AZ14" i="1" l="1"/>
  <c r="AZ13" i="1" l="1"/>
  <c r="AZ1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8D9D6-6EB3-4480-A21C-82AE119F1FA6}" name="Lancer la requête à partir de AS4001" type="1" refreshedVersion="6" background="1" saveData="1">
    <dbPr connection="DRIVER={iSeries Access ODBC Driver};SYSTEM=10.254.25.1;DBQ=VFICSUI;DFTPKGLIB=VFICSUI;LANGUAGEID=ENU;PKG=VFICSUI/DEFAULT(IBM),2,0,1,0,512;QRYSTGLMT=-1;SIGNON=1;" command="SELECT _x000d__x000a_POL_NUMERO,_x000d__x000a_POL_INTER_GARAN,_x000d__x000a_POL_CAPITAL,_x000d__x000a_POL_INTER_GARAN,_x000d__x000a_POLTBMORT,_x000d__x000a_POLRISQ1,_x000d__x000a_POLRISQ3,_x000d__x000a_POLRISQ4,_x000d__x000a_POLRISQ5,_x000d__x000a_POLRISQ6,_x000d__x000a_POLRISQ9,_x000d__x000a_POLRISQA,_x000d__x000a_POL_DUREE_ASSUR,_x000d__x000a_POLPRCPL1,_x000d__x000a_POLPRCPL2,_x000d__x000a_POLPRCPL3,_x000d__x000a_POLPRCPL4,_x000d__x000a_POLPRCPL5,_x000d__x000a_POLPRCPL6,_x000d__x000a_POLPRCPL7,_x000d__x000a_POLPRCPL8,_x000d__x000a_POLPRCPL9,_x000d__x000a_POLPRCPLA,_x000d__x000a_POL_MODALITE, _x000d__x000a_POL_ETATCONTRA, _x000d__x000a_POL_DATDEBUT, _x000d__x000a_POL_DATNAISS, _x000d__x000a_POL_DATNAISS_2, _x000d__x000a_POL_SEX_ASSURE, _x000d__x000a_POL_NB_TETES, _x000d__x000a_POL_SEX_ASSURE2, _x000d__x000a_POL_FRACTIONNE,_x000d__x000a_PMBPRVMAT,_x000d__x000a_POL_PRIM_TOTAL,_x000d__x000a_POL_INDEXATION,_x000d__x000a_POL_PRIM_VIE_HT,_x000d__x000a_POL_PRIM_TECH,_x000d__x000a__x000d__x000a_POLPRCPLA,_x000d__x000a_POLOPTION,_x000d__x000a_PMBREC,_x000d__x000a_PMBRECCPL,_x000d__x000a_PMBPBEN,_x000d__x000a_POLNUM,_x000d__x000a_POL_RESERVEMATH,_x000d__x000a_poltbmort,_x000d__x000a_polpreparg,_x000d__x000a_POLSIT,_x000d__x000a_PMBRACHAT,_x000d__x000a_POL_SIT_CONTRA_x000d__x000a_FROM _x000d__x000a_S44B4384.VLOGPRDSUI.VPOL201812 VPOL201812,_x000d__x000a_S44B4384.VLOGPRDSUI.VPMB201812 VPMB201812_x000d__x000a_WHERE (POL_MODALITE=11) _x000d__x000a_AND POL_NUMERO = PMBPOL"/>
  </connection>
</connections>
</file>

<file path=xl/sharedStrings.xml><?xml version="1.0" encoding="utf-8"?>
<sst xmlns="http://schemas.openxmlformats.org/spreadsheetml/2006/main" count="2082" uniqueCount="276">
  <si>
    <t>!</t>
  </si>
  <si>
    <t>POL NUMERO</t>
  </si>
  <si>
    <t>Age at entry</t>
  </si>
  <si>
    <t>CA1_PREM_PC</t>
  </si>
  <si>
    <t>CA2_PREM_PC</t>
  </si>
  <si>
    <t>CA3_PREM_PC</t>
  </si>
  <si>
    <t>Chargement Gestion sur prime</t>
  </si>
  <si>
    <t>Duration if</t>
  </si>
  <si>
    <t>ESC_RATE_PC</t>
  </si>
  <si>
    <t>Cpl1 = POL PR DC</t>
  </si>
  <si>
    <t>Cpl2</t>
  </si>
  <si>
    <t>Cpl3</t>
  </si>
  <si>
    <t>Cpl4</t>
  </si>
  <si>
    <t>Cpl5</t>
  </si>
  <si>
    <t>Cpl6</t>
  </si>
  <si>
    <t>Cpl7=A</t>
  </si>
  <si>
    <t>Cpl8</t>
  </si>
  <si>
    <t>Cpl9</t>
  </si>
  <si>
    <t>ANN_RIDER_PP</t>
  </si>
  <si>
    <t>POL_TERM_Y</t>
  </si>
  <si>
    <t>PREM_FREQ</t>
  </si>
  <si>
    <t>VAL_INT_PC</t>
  </si>
  <si>
    <t>ANNUAL_PREM</t>
  </si>
  <si>
    <t>INIT_EPG_PP</t>
  </si>
  <si>
    <t>INIT_PB_ACQ</t>
  </si>
  <si>
    <t>INIT_POLS_IF</t>
  </si>
  <si>
    <t>RC_RATE_PC</t>
  </si>
  <si>
    <t>IC_RATE1_PC</t>
  </si>
  <si>
    <t>IC_RATE2_PC</t>
  </si>
  <si>
    <t>IC_RATE3_PC</t>
  </si>
  <si>
    <t>MTHS_TO_SALE</t>
  </si>
  <si>
    <t>SEX</t>
  </si>
  <si>
    <t>SEX2</t>
  </si>
  <si>
    <t>CODE_TABLE</t>
  </si>
  <si>
    <t>TEST</t>
  </si>
  <si>
    <t>POL_Term_M</t>
  </si>
  <si>
    <t/>
  </si>
  <si>
    <t>POL_NUMERO</t>
  </si>
  <si>
    <t>POL_INTER_GARAN</t>
  </si>
  <si>
    <t>POL_CAPITAL</t>
  </si>
  <si>
    <t>POLTBMORT</t>
  </si>
  <si>
    <t>POLRISQ1</t>
  </si>
  <si>
    <t>POLRISQ3</t>
  </si>
  <si>
    <t>POLRISQ4</t>
  </si>
  <si>
    <t>POLRISQ5</t>
  </si>
  <si>
    <t>POLRISQ6</t>
  </si>
  <si>
    <t>POLRISQ9</t>
  </si>
  <si>
    <t>POLRISQA</t>
  </si>
  <si>
    <t>POL_DUREE_ASSUR</t>
  </si>
  <si>
    <t>POLPRCPL1</t>
  </si>
  <si>
    <t>POLPRCPL2</t>
  </si>
  <si>
    <t>POLPRCPL3</t>
  </si>
  <si>
    <t>POLPRCPL4</t>
  </si>
  <si>
    <t>POLPRCPL5</t>
  </si>
  <si>
    <t>POLPRCPL6</t>
  </si>
  <si>
    <t>POLPRCPL7</t>
  </si>
  <si>
    <t>POLPRCPL8</t>
  </si>
  <si>
    <t>POLPRCPL9</t>
  </si>
  <si>
    <t>POLPRCPLA</t>
  </si>
  <si>
    <t>POL_MODALITE</t>
  </si>
  <si>
    <t>POL_ETATCONTRA</t>
  </si>
  <si>
    <t>POL_DATDEBUT</t>
  </si>
  <si>
    <t>POL_DATNAISS</t>
  </si>
  <si>
    <t>POL_DATNAISS_2</t>
  </si>
  <si>
    <t>POL_SEX_ASSURE</t>
  </si>
  <si>
    <t>POL_NB_TETES</t>
  </si>
  <si>
    <t>POL_SEX_ASSURE2</t>
  </si>
  <si>
    <t>POL_FRACTIONNE</t>
  </si>
  <si>
    <t>PMBPRVMAT</t>
  </si>
  <si>
    <t>POL_PRIM_TOTAL</t>
  </si>
  <si>
    <t>POL_INDEXATION</t>
  </si>
  <si>
    <t>POL_PRIM_VIE_HT</t>
  </si>
  <si>
    <t>POL_PRIM_TECH</t>
  </si>
  <si>
    <t>POLOPTION</t>
  </si>
  <si>
    <t>PMBREC</t>
  </si>
  <si>
    <t>PMBRECCPL</t>
  </si>
  <si>
    <t>PMBPBEN</t>
  </si>
  <si>
    <t>POLNUM</t>
  </si>
  <si>
    <t>POL_RESERVEMATH</t>
  </si>
  <si>
    <t>EKF05I1</t>
  </si>
  <si>
    <t>1103</t>
  </si>
  <si>
    <t>F</t>
  </si>
  <si>
    <t>EKM05I1</t>
  </si>
  <si>
    <t>M</t>
  </si>
  <si>
    <t>Date</t>
  </si>
  <si>
    <t>Duration IF</t>
  </si>
  <si>
    <t>Année écoulée</t>
  </si>
  <si>
    <t>Anniversary_Date</t>
  </si>
  <si>
    <t>Age Anniversary Date</t>
  </si>
  <si>
    <t>Q_EXP_PN</t>
  </si>
  <si>
    <t>Q_EXP avec %ekm</t>
  </si>
  <si>
    <t>Montly Death Rate</t>
  </si>
  <si>
    <t>Number of Deaths</t>
  </si>
  <si>
    <t>Annual Lapse Probability</t>
  </si>
  <si>
    <t>Premium Payment</t>
  </si>
  <si>
    <t>Aux Lapse</t>
  </si>
  <si>
    <t>Monthly Lapse Probability</t>
  </si>
  <si>
    <t>Number of Surrenders</t>
  </si>
  <si>
    <t>Date du profit-test</t>
  </si>
  <si>
    <t>Mortality BE</t>
  </si>
  <si>
    <t>of ekm</t>
  </si>
  <si>
    <t>Sensitivity</t>
  </si>
  <si>
    <t xml:space="preserve">Mortality  </t>
  </si>
  <si>
    <t>Lapse/rachat Probability</t>
  </si>
  <si>
    <t>Lapse rate BE</t>
  </si>
  <si>
    <t xml:space="preserve">Lapse rate  </t>
  </si>
  <si>
    <t>Reduction Probability</t>
  </si>
  <si>
    <t>Reduced rate BE</t>
  </si>
  <si>
    <t>reducs.fac ?</t>
  </si>
  <si>
    <t xml:space="preserve">Reduced rate  </t>
  </si>
  <si>
    <t>Taux de Zilmerisation</t>
  </si>
  <si>
    <t>Investment Yield and PB Rate</t>
  </si>
  <si>
    <t>rdt</t>
  </si>
  <si>
    <t>Décès</t>
  </si>
  <si>
    <t>Taux de sinistre par complémentaire</t>
  </si>
  <si>
    <t>GC1</t>
  </si>
  <si>
    <t>GC2</t>
  </si>
  <si>
    <t>GC3</t>
  </si>
  <si>
    <t>GC4</t>
  </si>
  <si>
    <t>GC5</t>
  </si>
  <si>
    <t>GC6</t>
  </si>
  <si>
    <t>GC7=A</t>
  </si>
  <si>
    <t>GC8</t>
  </si>
  <si>
    <t>GC9</t>
  </si>
  <si>
    <t>Ratio</t>
  </si>
  <si>
    <t>Frais gestion</t>
  </si>
  <si>
    <t>Frais Gestion</t>
  </si>
  <si>
    <t>paramgticompl.fac</t>
  </si>
  <si>
    <t>Prime pure</t>
  </si>
  <si>
    <t>Prime Pure = (1-Frais Gest)</t>
  </si>
  <si>
    <t>Fixed Anual Expense</t>
  </si>
  <si>
    <t>Reserves Expenses</t>
  </si>
  <si>
    <t>RE_RESERV_PC</t>
  </si>
  <si>
    <t>Expense inflation</t>
  </si>
  <si>
    <t>Max number of months</t>
  </si>
  <si>
    <t>Nombre de polices</t>
  </si>
  <si>
    <t>Commissions</t>
  </si>
  <si>
    <t>Mois</t>
  </si>
  <si>
    <t>x</t>
  </si>
  <si>
    <t>qx</t>
  </si>
  <si>
    <t>qy</t>
  </si>
  <si>
    <t>Number In Force</t>
  </si>
  <si>
    <t>Prime epargne</t>
  </si>
  <si>
    <t>ANN_RIDER PP</t>
  </si>
  <si>
    <t>Init_pol if</t>
  </si>
  <si>
    <t>Sex2</t>
  </si>
  <si>
    <t>Code Table</t>
  </si>
  <si>
    <t>POL_TERM_M</t>
  </si>
  <si>
    <t>Months to End</t>
  </si>
  <si>
    <t>Date début</t>
  </si>
  <si>
    <t>Date naissance 1</t>
  </si>
  <si>
    <t>POLPRCPLA2</t>
  </si>
  <si>
    <t>Age</t>
  </si>
  <si>
    <t>Premium Homme</t>
  </si>
  <si>
    <t>Premium Femme</t>
  </si>
  <si>
    <t>Lx</t>
  </si>
  <si>
    <t>Ly</t>
  </si>
  <si>
    <t>Dx</t>
  </si>
  <si>
    <t>Dy</t>
  </si>
  <si>
    <t>Nx</t>
  </si>
  <si>
    <t>Ny</t>
  </si>
  <si>
    <t>Décès Non accidentel</t>
  </si>
  <si>
    <t>&gt;12 mois</t>
  </si>
  <si>
    <t>Décès Accidentel</t>
  </si>
  <si>
    <t>&lt;= 12 mois</t>
  </si>
  <si>
    <t>SOMME PRIME EP CUM</t>
  </si>
  <si>
    <t>Capital assuré</t>
  </si>
  <si>
    <t>Age max risk DC</t>
  </si>
  <si>
    <t>EKF 05</t>
  </si>
  <si>
    <t>EKM 05</t>
  </si>
  <si>
    <t>POLTBMORT3</t>
  </si>
  <si>
    <t>Mx</t>
  </si>
  <si>
    <t>My</t>
  </si>
  <si>
    <t>Gamma1</t>
  </si>
  <si>
    <t>Gamma2</t>
  </si>
  <si>
    <t>PA' Inventaire X</t>
  </si>
  <si>
    <t>Frais acquisition</t>
  </si>
  <si>
    <t>Frais encaissement</t>
  </si>
  <si>
    <t>PA'' Inventaire x</t>
  </si>
  <si>
    <t>ä x</t>
  </si>
  <si>
    <t>PA Inventaire x</t>
  </si>
  <si>
    <t>VAPfrais</t>
  </si>
  <si>
    <t>PU' Inventaire</t>
  </si>
  <si>
    <t>PU pure</t>
  </si>
  <si>
    <t>PU'' commercial</t>
  </si>
  <si>
    <t>PA'' Commercial x</t>
  </si>
  <si>
    <t>Expenses inflation</t>
  </si>
  <si>
    <t>POLPREPARG</t>
  </si>
  <si>
    <t>Acquis expenses</t>
  </si>
  <si>
    <t>X</t>
  </si>
  <si>
    <t>Coûts commissions par CHF</t>
  </si>
  <si>
    <t>Taux commissions de gestion</t>
  </si>
  <si>
    <t xml:space="preserve">Age maximum </t>
  </si>
  <si>
    <t>Année</t>
  </si>
  <si>
    <t>Taux commissions de la prime annuelle</t>
  </si>
  <si>
    <t>Coût commissions par mois</t>
  </si>
  <si>
    <t>POLSIT</t>
  </si>
  <si>
    <t>CF_Premiums</t>
  </si>
  <si>
    <t>CF_Claims</t>
  </si>
  <si>
    <t>CF_Comission</t>
  </si>
  <si>
    <t>CF_Expenses</t>
  </si>
  <si>
    <t>BEL</t>
  </si>
  <si>
    <t>CF_Maturities</t>
  </si>
  <si>
    <t>Reserve Zillmérisée avec PB</t>
  </si>
  <si>
    <t>Aux</t>
  </si>
  <si>
    <t>PMBRACHAT</t>
  </si>
  <si>
    <t>Valeur rachat AUJD</t>
  </si>
  <si>
    <t>PU x+k = PU x+k+1</t>
  </si>
  <si>
    <t>Aux interp</t>
  </si>
  <si>
    <t>Chargement de gestion</t>
  </si>
  <si>
    <t>Rider INC PP</t>
  </si>
  <si>
    <t>RiderCOST_PP</t>
  </si>
  <si>
    <t>ADUE_VAL</t>
  </si>
  <si>
    <t>VALNETP_FAC</t>
  </si>
  <si>
    <t>NET_PREMIUM</t>
  </si>
  <si>
    <t>VAL_NET_PREM</t>
  </si>
  <si>
    <t>Pr_INVENT_PP</t>
  </si>
  <si>
    <t>CG_SA_POL_PC/100</t>
  </si>
  <si>
    <t>CG_SA_PRI_PC/100</t>
  </si>
  <si>
    <t>Zillmérisation</t>
  </si>
  <si>
    <t>F_Math_Res_IF</t>
  </si>
  <si>
    <t>Res FIN fin mois</t>
  </si>
  <si>
    <t>Rfin ANN NC</t>
  </si>
  <si>
    <t>O_EXP</t>
  </si>
  <si>
    <t>Prov_MATH_AJ</t>
  </si>
  <si>
    <t>REN_EXP</t>
  </si>
  <si>
    <t>TOT_COMM</t>
  </si>
  <si>
    <t>M_UFII</t>
  </si>
  <si>
    <t>UFII_PC</t>
  </si>
  <si>
    <t>ADJ_MATHRES2</t>
  </si>
  <si>
    <t>PREM_INC</t>
  </si>
  <si>
    <t>BEL_B</t>
  </si>
  <si>
    <t>TOT_PREST</t>
  </si>
  <si>
    <t>TOT_EXP</t>
  </si>
  <si>
    <t>MATH_RES_PP</t>
  </si>
  <si>
    <t>SURRENDER_OUTGO</t>
  </si>
  <si>
    <t>-</t>
  </si>
  <si>
    <t>DEATH_OUTGO</t>
  </si>
  <si>
    <t>RIDERC_OUTGO</t>
  </si>
  <si>
    <t>Age max COMPL</t>
  </si>
  <si>
    <t>MATH_RES_BA</t>
  </si>
  <si>
    <t>prov</t>
  </si>
  <si>
    <t>REN_COMM</t>
  </si>
  <si>
    <t>INIT_COMM</t>
  </si>
  <si>
    <t>IC_PAID</t>
  </si>
  <si>
    <t>IC_PAYBL_PP</t>
  </si>
  <si>
    <t>Nombre mois max</t>
  </si>
  <si>
    <t>CF Primes</t>
  </si>
  <si>
    <t>CF Claim</t>
  </si>
  <si>
    <t>CF Commissions</t>
  </si>
  <si>
    <t>CF Dépenses</t>
  </si>
  <si>
    <t>Profits</t>
  </si>
  <si>
    <t>PV Profits</t>
  </si>
  <si>
    <t>PV Primes</t>
  </si>
  <si>
    <t>NPV</t>
  </si>
  <si>
    <t>PV Primes Futures</t>
  </si>
  <si>
    <t>Profit Margin</t>
  </si>
  <si>
    <t>Break even</t>
  </si>
  <si>
    <t>POL_SIT_CONTRA</t>
  </si>
  <si>
    <t>POLSITCONTRA</t>
  </si>
  <si>
    <t>VAL_PREC_PP</t>
  </si>
  <si>
    <t>Rider_INC_PP</t>
  </si>
  <si>
    <t>Pas de rachat avant mois:</t>
  </si>
  <si>
    <t>Corriger Q_EXP pour les tables de mortalité (uniquement table M pris en compte)</t>
  </si>
  <si>
    <t>PPURE_ENC</t>
  </si>
  <si>
    <t>VAL_ZILLMER</t>
  </si>
  <si>
    <t>PMG_SA1_PC</t>
  </si>
  <si>
    <t>PMG_SA2_PC</t>
  </si>
  <si>
    <t>VAL_POL_FAC</t>
  </si>
  <si>
    <t>PMG_SA_PC</t>
  </si>
  <si>
    <t>PROV_GEST_PP</t>
  </si>
  <si>
    <t>PR_PURE</t>
  </si>
  <si>
    <t>DEATH_BEN_PP</t>
  </si>
  <si>
    <t>Prime par payement</t>
  </si>
  <si>
    <t>PREM_INC_PP</t>
  </si>
  <si>
    <t>UFII_PC rdt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</si>
</sst>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"/>
    <numFmt numFmtId="165" formatCode="0.000000000"/>
    <numFmt numFmtId="166" formatCode="General_)"/>
    <numFmt numFmtId="167" formatCode="0.0000000_)"/>
    <numFmt numFmtId="168" formatCode="#,##0.000"/>
    <numFmt numFmtId="169" formatCode="#,##0.00000000"/>
    <numFmt numFmtId="170" formatCode="0.0000%"/>
    <numFmt numFmtId="171" formatCode="0.00000000"/>
    <numFmt numFmtId="172" formatCode="0.0000000000"/>
  </numFmts>
  <fonts count="1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4"/>
      <color theme="1"/>
      <name val="Calibri"/>
      <family val="2"/>
      <scheme val="minor"/>
    </font>
    <font>
      <b/>
      <sz val="14"/>
      <name val="Arial"/>
      <family val="2"/>
    </font>
    <font>
      <sz val="9"/>
      <name val="Arial"/>
      <family val="2"/>
    </font>
    <font>
      <b/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Courier"/>
      <family val="3"/>
    </font>
    <font>
      <sz val="10"/>
      <name val="Arial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4" fillId="0" borderId="0"/>
    <xf numFmtId="9" fontId="4" fillId="0" borderId="0" applyFont="0" applyFill="0" applyBorder="0" applyAlignment="0" applyProtection="0"/>
    <xf numFmtId="0" fontId="8" fillId="0" borderId="0"/>
    <xf numFmtId="0" fontId="11" fillId="0" borderId="0"/>
    <xf numFmtId="166" fontId="14" fillId="0" borderId="0"/>
  </cellStyleXfs>
  <cellXfs count="146">
    <xf numFmtId="0" fontId="0" fillId="0" borderId="0" xfId="0"/>
    <xf numFmtId="0" fontId="3" fillId="2" borderId="1" xfId="0" applyFont="1" applyFill="1" applyBorder="1"/>
    <xf numFmtId="0" fontId="3" fillId="2" borderId="1" xfId="1" applyFont="1" applyFill="1" applyBorder="1"/>
    <xf numFmtId="0" fontId="3" fillId="0" borderId="1" xfId="0" applyFont="1" applyBorder="1"/>
    <xf numFmtId="0" fontId="0" fillId="3" borderId="0" xfId="0" applyFill="1"/>
    <xf numFmtId="0" fontId="3" fillId="4" borderId="2" xfId="0" applyFont="1" applyFill="1" applyBorder="1"/>
    <xf numFmtId="14" fontId="0" fillId="0" borderId="0" xfId="0" applyNumberFormat="1"/>
    <xf numFmtId="14" fontId="0" fillId="6" borderId="0" xfId="0" applyNumberFormat="1" applyFill="1"/>
    <xf numFmtId="165" fontId="0" fillId="0" borderId="0" xfId="0" applyNumberFormat="1"/>
    <xf numFmtId="0" fontId="3" fillId="7" borderId="4" xfId="1" applyFont="1" applyFill="1" applyBorder="1"/>
    <xf numFmtId="10" fontId="3" fillId="5" borderId="4" xfId="1" applyNumberFormat="1" applyFont="1" applyFill="1" applyBorder="1"/>
    <xf numFmtId="0" fontId="4" fillId="0" borderId="0" xfId="1"/>
    <xf numFmtId="0" fontId="3" fillId="8" borderId="5" xfId="1" applyFont="1" applyFill="1" applyBorder="1"/>
    <xf numFmtId="9" fontId="4" fillId="9" borderId="6" xfId="1" applyNumberFormat="1" applyFill="1" applyBorder="1"/>
    <xf numFmtId="0" fontId="3" fillId="8" borderId="7" xfId="1" applyFont="1" applyFill="1" applyBorder="1"/>
    <xf numFmtId="10" fontId="4" fillId="9" borderId="8" xfId="1" applyNumberFormat="1" applyFill="1" applyBorder="1"/>
    <xf numFmtId="0" fontId="5" fillId="0" borderId="0" xfId="1" applyFont="1"/>
    <xf numFmtId="0" fontId="2" fillId="10" borderId="4" xfId="1" applyFont="1" applyFill="1" applyBorder="1"/>
    <xf numFmtId="0" fontId="2" fillId="11" borderId="4" xfId="1" applyFont="1" applyFill="1" applyBorder="1"/>
    <xf numFmtId="10" fontId="4" fillId="5" borderId="4" xfId="1" applyNumberFormat="1" applyFill="1" applyBorder="1"/>
    <xf numFmtId="10" fontId="2" fillId="11" borderId="4" xfId="1" applyNumberFormat="1" applyFont="1" applyFill="1" applyBorder="1"/>
    <xf numFmtId="10" fontId="4" fillId="0" borderId="4" xfId="1" applyNumberFormat="1" applyBorder="1"/>
    <xf numFmtId="0" fontId="4" fillId="0" borderId="4" xfId="1" applyBorder="1"/>
    <xf numFmtId="10" fontId="4" fillId="0" borderId="0" xfId="1" applyNumberFormat="1"/>
    <xf numFmtId="0" fontId="4" fillId="5" borderId="4" xfId="1" applyFill="1" applyBorder="1"/>
    <xf numFmtId="0" fontId="6" fillId="8" borderId="9" xfId="1" applyFont="1" applyFill="1" applyBorder="1"/>
    <xf numFmtId="9" fontId="6" fillId="0" borderId="10" xfId="1" applyNumberFormat="1" applyFont="1" applyBorder="1"/>
    <xf numFmtId="0" fontId="4" fillId="5" borderId="5" xfId="1" applyFill="1" applyBorder="1"/>
    <xf numFmtId="0" fontId="4" fillId="5" borderId="0" xfId="1" applyFill="1"/>
    <xf numFmtId="0" fontId="4" fillId="5" borderId="11" xfId="1" applyFill="1" applyBorder="1"/>
    <xf numFmtId="0" fontId="2" fillId="7" borderId="13" xfId="1" applyFont="1" applyFill="1" applyBorder="1"/>
    <xf numFmtId="0" fontId="4" fillId="5" borderId="7" xfId="1" applyFill="1" applyBorder="1"/>
    <xf numFmtId="0" fontId="4" fillId="5" borderId="1" xfId="1" applyFill="1" applyBorder="1"/>
    <xf numFmtId="0" fontId="4" fillId="5" borderId="12" xfId="1" applyFill="1" applyBorder="1"/>
    <xf numFmtId="0" fontId="3" fillId="0" borderId="0" xfId="1" applyFont="1"/>
    <xf numFmtId="0" fontId="2" fillId="7" borderId="9" xfId="1" applyFont="1" applyFill="1" applyBorder="1" applyAlignment="1">
      <alignment horizontal="center"/>
    </xf>
    <xf numFmtId="0" fontId="2" fillId="7" borderId="3" xfId="1" applyFont="1" applyFill="1" applyBorder="1" applyAlignment="1">
      <alignment horizontal="center"/>
    </xf>
    <xf numFmtId="0" fontId="2" fillId="7" borderId="10" xfId="1" applyFont="1" applyFill="1" applyBorder="1" applyAlignment="1">
      <alignment horizontal="center"/>
    </xf>
    <xf numFmtId="0" fontId="2" fillId="11" borderId="15" xfId="1" applyFont="1" applyFill="1" applyBorder="1"/>
    <xf numFmtId="10" fontId="4" fillId="5" borderId="16" xfId="1" applyNumberFormat="1" applyFill="1" applyBorder="1"/>
    <xf numFmtId="9" fontId="4" fillId="5" borderId="13" xfId="1" applyNumberFormat="1" applyFill="1" applyBorder="1"/>
    <xf numFmtId="10" fontId="4" fillId="5" borderId="13" xfId="1" applyNumberFormat="1" applyFill="1" applyBorder="1"/>
    <xf numFmtId="10" fontId="4" fillId="5" borderId="14" xfId="1" applyNumberFormat="1" applyFill="1" applyBorder="1"/>
    <xf numFmtId="0" fontId="2" fillId="11" borderId="6" xfId="1" applyFont="1" applyFill="1" applyBorder="1"/>
    <xf numFmtId="9" fontId="4" fillId="5" borderId="5" xfId="1" applyNumberFormat="1" applyFill="1" applyBorder="1"/>
    <xf numFmtId="9" fontId="4" fillId="5" borderId="0" xfId="1" applyNumberFormat="1" applyFill="1"/>
    <xf numFmtId="9" fontId="4" fillId="5" borderId="11" xfId="1" applyNumberFormat="1" applyFill="1" applyBorder="1"/>
    <xf numFmtId="0" fontId="2" fillId="11" borderId="8" xfId="1" applyFont="1" applyFill="1" applyBorder="1"/>
    <xf numFmtId="9" fontId="0" fillId="5" borderId="7" xfId="2" applyFont="1" applyFill="1" applyBorder="1"/>
    <xf numFmtId="9" fontId="0" fillId="5" borderId="1" xfId="2" applyFont="1" applyFill="1" applyBorder="1"/>
    <xf numFmtId="9" fontId="0" fillId="5" borderId="12" xfId="2" applyFont="1" applyFill="1" applyBorder="1"/>
    <xf numFmtId="0" fontId="2" fillId="7" borderId="15" xfId="1" applyFont="1" applyFill="1" applyBorder="1"/>
    <xf numFmtId="0" fontId="4" fillId="5" borderId="15" xfId="1" applyFill="1" applyBorder="1"/>
    <xf numFmtId="0" fontId="2" fillId="7" borderId="6" xfId="1" applyFont="1" applyFill="1" applyBorder="1"/>
    <xf numFmtId="10" fontId="4" fillId="5" borderId="6" xfId="1" applyNumberFormat="1" applyFill="1" applyBorder="1"/>
    <xf numFmtId="0" fontId="2" fillId="7" borderId="8" xfId="1" applyFont="1" applyFill="1" applyBorder="1"/>
    <xf numFmtId="10" fontId="4" fillId="5" borderId="8" xfId="1" applyNumberFormat="1" applyFill="1" applyBorder="1"/>
    <xf numFmtId="9" fontId="4" fillId="0" borderId="0" xfId="1" applyNumberFormat="1"/>
    <xf numFmtId="0" fontId="4" fillId="0" borderId="8" xfId="1" applyBorder="1"/>
    <xf numFmtId="0" fontId="7" fillId="0" borderId="0" xfId="1" applyFont="1"/>
    <xf numFmtId="0" fontId="3" fillId="0" borderId="0" xfId="1" applyFont="1" applyAlignment="1">
      <alignment horizontal="right"/>
    </xf>
    <xf numFmtId="0" fontId="3" fillId="7" borderId="16" xfId="1" applyFont="1" applyFill="1" applyBorder="1"/>
    <xf numFmtId="0" fontId="3" fillId="7" borderId="13" xfId="1" applyFont="1" applyFill="1" applyBorder="1"/>
    <xf numFmtId="0" fontId="3" fillId="7" borderId="14" xfId="1" applyFont="1" applyFill="1" applyBorder="1"/>
    <xf numFmtId="10" fontId="3" fillId="0" borderId="0" xfId="1" applyNumberFormat="1" applyFont="1" applyAlignment="1">
      <alignment horizontal="right"/>
    </xf>
    <xf numFmtId="0" fontId="9" fillId="0" borderId="15" xfId="3" applyFont="1" applyBorder="1" applyAlignment="1">
      <alignment horizontal="center"/>
    </xf>
    <xf numFmtId="0" fontId="10" fillId="0" borderId="15" xfId="3" applyFont="1" applyBorder="1" applyAlignment="1">
      <alignment horizontal="center"/>
    </xf>
    <xf numFmtId="0" fontId="9" fillId="0" borderId="15" xfId="4" applyFont="1" applyBorder="1" applyAlignment="1">
      <alignment horizontal="center"/>
    </xf>
    <xf numFmtId="1" fontId="12" fillId="0" borderId="9" xfId="3" applyNumberFormat="1" applyFont="1" applyBorder="1" applyAlignment="1">
      <alignment horizontal="center"/>
    </xf>
    <xf numFmtId="0" fontId="13" fillId="0" borderId="8" xfId="3" applyFont="1" applyBorder="1" applyAlignment="1">
      <alignment horizontal="center"/>
    </xf>
    <xf numFmtId="0" fontId="13" fillId="0" borderId="8" xfId="4" applyFont="1" applyBorder="1" applyAlignment="1">
      <alignment horizontal="center"/>
    </xf>
    <xf numFmtId="1" fontId="11" fillId="0" borderId="5" xfId="3" applyNumberFormat="1" applyFont="1" applyBorder="1" applyAlignment="1">
      <alignment horizontal="center"/>
    </xf>
    <xf numFmtId="167" fontId="13" fillId="0" borderId="17" xfId="5" applyNumberFormat="1" applyFont="1" applyBorder="1"/>
    <xf numFmtId="167" fontId="13" fillId="0" borderId="18" xfId="5" applyNumberFormat="1" applyFont="1" applyBorder="1"/>
    <xf numFmtId="167" fontId="13" fillId="0" borderId="6" xfId="5" applyNumberFormat="1" applyFont="1" applyBorder="1"/>
    <xf numFmtId="4" fontId="11" fillId="0" borderId="0" xfId="3" applyNumberFormat="1" applyFont="1"/>
    <xf numFmtId="1" fontId="11" fillId="0" borderId="7" xfId="3" applyNumberFormat="1" applyFont="1" applyBorder="1" applyAlignment="1">
      <alignment horizontal="center"/>
    </xf>
    <xf numFmtId="167" fontId="13" fillId="0" borderId="8" xfId="5" applyNumberFormat="1" applyFont="1" applyBorder="1"/>
    <xf numFmtId="0" fontId="3" fillId="4" borderId="0" xfId="0" applyFont="1" applyFill="1"/>
    <xf numFmtId="0" fontId="3" fillId="2" borderId="1" xfId="1" applyFont="1" applyFill="1" applyBorder="1" applyAlignment="1">
      <alignment horizontal="center"/>
    </xf>
    <xf numFmtId="14" fontId="4" fillId="0" borderId="0" xfId="1" applyNumberFormat="1"/>
    <xf numFmtId="0" fontId="3" fillId="4" borderId="2" xfId="1" applyFont="1" applyFill="1" applyBorder="1"/>
    <xf numFmtId="1" fontId="3" fillId="4" borderId="2" xfId="1" applyNumberFormat="1" applyFont="1" applyFill="1" applyBorder="1"/>
    <xf numFmtId="0" fontId="4" fillId="4" borderId="0" xfId="1" applyFill="1"/>
    <xf numFmtId="1" fontId="4" fillId="0" borderId="0" xfId="1" applyNumberFormat="1"/>
    <xf numFmtId="0" fontId="3" fillId="12" borderId="4" xfId="1" applyFont="1" applyFill="1" applyBorder="1"/>
    <xf numFmtId="0" fontId="0" fillId="0" borderId="4" xfId="0" applyBorder="1"/>
    <xf numFmtId="10" fontId="0" fillId="0" borderId="4" xfId="0" applyNumberFormat="1" applyBorder="1"/>
    <xf numFmtId="3" fontId="1" fillId="0" borderId="0" xfId="0" applyNumberFormat="1" applyFont="1"/>
    <xf numFmtId="3" fontId="0" fillId="0" borderId="0" xfId="0" applyNumberFormat="1"/>
    <xf numFmtId="168" fontId="0" fillId="0" borderId="0" xfId="0" applyNumberFormat="1"/>
    <xf numFmtId="10" fontId="0" fillId="0" borderId="0" xfId="0" applyNumberFormat="1"/>
    <xf numFmtId="169" fontId="0" fillId="0" borderId="0" xfId="0" applyNumberFormat="1"/>
    <xf numFmtId="1" fontId="3" fillId="13" borderId="2" xfId="1" applyNumberFormat="1" applyFont="1" applyFill="1" applyBorder="1"/>
    <xf numFmtId="4" fontId="0" fillId="0" borderId="0" xfId="0" applyNumberFormat="1"/>
    <xf numFmtId="170" fontId="0" fillId="0" borderId="0" xfId="0" applyNumberFormat="1"/>
    <xf numFmtId="0" fontId="0" fillId="15" borderId="4" xfId="0" applyFill="1" applyBorder="1"/>
    <xf numFmtId="0" fontId="4" fillId="5" borderId="13" xfId="1" applyFill="1" applyBorder="1"/>
    <xf numFmtId="0" fontId="0" fillId="0" borderId="0" xfId="0" applyAlignment="1">
      <alignment horizontal="center"/>
    </xf>
    <xf numFmtId="0" fontId="2" fillId="7" borderId="16" xfId="1" applyFont="1" applyFill="1" applyBorder="1"/>
    <xf numFmtId="0" fontId="2" fillId="7" borderId="7" xfId="1" applyFont="1" applyFill="1" applyBorder="1"/>
    <xf numFmtId="0" fontId="2" fillId="7" borderId="5" xfId="1" applyFont="1" applyFill="1" applyBorder="1"/>
    <xf numFmtId="0" fontId="0" fillId="0" borderId="15" xfId="0" applyBorder="1"/>
    <xf numFmtId="0" fontId="0" fillId="0" borderId="8" xfId="0" applyBorder="1"/>
    <xf numFmtId="9" fontId="4" fillId="5" borderId="10" xfId="1" applyNumberFormat="1" applyFill="1" applyBorder="1"/>
    <xf numFmtId="10" fontId="4" fillId="5" borderId="9" xfId="1" applyNumberFormat="1" applyFill="1" applyBorder="1"/>
    <xf numFmtId="10" fontId="4" fillId="5" borderId="15" xfId="1" applyNumberFormat="1" applyFill="1" applyBorder="1"/>
    <xf numFmtId="0" fontId="4" fillId="5" borderId="8" xfId="1" applyFill="1" applyBorder="1"/>
    <xf numFmtId="9" fontId="4" fillId="5" borderId="4" xfId="1" applyNumberFormat="1" applyFill="1" applyBorder="1"/>
    <xf numFmtId="10" fontId="4" fillId="0" borderId="9" xfId="1" applyNumberFormat="1" applyBorder="1"/>
    <xf numFmtId="0" fontId="3" fillId="2" borderId="4" xfId="0" applyFont="1" applyFill="1" applyBorder="1"/>
    <xf numFmtId="4" fontId="3" fillId="2" borderId="3" xfId="0" applyNumberFormat="1" applyFont="1" applyFill="1" applyBorder="1"/>
    <xf numFmtId="0" fontId="3" fillId="2" borderId="10" xfId="0" applyFont="1" applyFill="1" applyBorder="1"/>
    <xf numFmtId="14" fontId="0" fillId="16" borderId="6" xfId="0" applyNumberFormat="1" applyFill="1" applyBorder="1"/>
    <xf numFmtId="14" fontId="0" fillId="16" borderId="8" xfId="0" applyNumberFormat="1" applyFill="1" applyBorder="1"/>
    <xf numFmtId="0" fontId="0" fillId="0" borderId="0" xfId="0" applyAlignment="1">
      <alignment horizontal="right"/>
    </xf>
    <xf numFmtId="4" fontId="3" fillId="0" borderId="1" xfId="0" applyNumberFormat="1" applyFont="1" applyBorder="1"/>
    <xf numFmtId="14" fontId="0" fillId="17" borderId="0" xfId="0" applyNumberFormat="1" applyFill="1"/>
    <xf numFmtId="0" fontId="0" fillId="17" borderId="0" xfId="0" applyFill="1"/>
    <xf numFmtId="9" fontId="0" fillId="0" borderId="4" xfId="0" applyNumberFormat="1" applyBorder="1"/>
    <xf numFmtId="0" fontId="0" fillId="16" borderId="0" xfId="0" applyFill="1"/>
    <xf numFmtId="0" fontId="4" fillId="0" borderId="0" xfId="0" applyFont="1"/>
    <xf numFmtId="171" fontId="0" fillId="0" borderId="0" xfId="0" applyNumberFormat="1"/>
    <xf numFmtId="172" fontId="0" fillId="0" borderId="0" xfId="0" applyNumberFormat="1"/>
    <xf numFmtId="0" fontId="15" fillId="0" borderId="0" xfId="0" applyFont="1" applyAlignment="1">
      <alignment horizontal="center"/>
    </xf>
    <xf numFmtId="3" fontId="3" fillId="0" borderId="1" xfId="0" applyNumberFormat="1" applyFont="1" applyBorder="1"/>
    <xf numFmtId="3" fontId="4" fillId="5" borderId="14" xfId="1" applyNumberFormat="1" applyFill="1" applyBorder="1"/>
    <xf numFmtId="3" fontId="4" fillId="5" borderId="12" xfId="1" applyNumberFormat="1" applyFill="1" applyBorder="1"/>
    <xf numFmtId="0" fontId="0" fillId="16" borderId="6" xfId="0" applyFill="1" applyBorder="1"/>
    <xf numFmtId="0" fontId="0" fillId="16" borderId="8" xfId="0" applyFill="1" applyBorder="1"/>
    <xf numFmtId="0" fontId="2" fillId="16" borderId="15" xfId="0" applyFont="1" applyFill="1" applyBorder="1"/>
    <xf numFmtId="0" fontId="2" fillId="16" borderId="6" xfId="0" applyFont="1" applyFill="1" applyBorder="1"/>
    <xf numFmtId="0" fontId="2" fillId="16" borderId="8" xfId="0" applyFont="1" applyFill="1" applyBorder="1"/>
    <xf numFmtId="0" fontId="0" fillId="6" borderId="0" xfId="0" applyFill="1"/>
    <xf numFmtId="0" fontId="0" fillId="15" borderId="0" xfId="0" applyFill="1"/>
    <xf numFmtId="164" fontId="4" fillId="6" borderId="0" xfId="0" applyNumberFormat="1" applyFont="1" applyFill="1"/>
    <xf numFmtId="0" fontId="3" fillId="14" borderId="2" xfId="0" applyFont="1" applyFill="1" applyBorder="1"/>
    <xf numFmtId="4" fontId="3" fillId="0" borderId="0" xfId="0" applyNumberFormat="1" applyFont="1"/>
    <xf numFmtId="14" fontId="2" fillId="5" borderId="4" xfId="0" applyNumberFormat="1" applyFont="1" applyFill="1" applyBorder="1"/>
    <xf numFmtId="0" fontId="0" fillId="5" borderId="4" xfId="0" applyFill="1" applyBorder="1"/>
    <xf numFmtId="3" fontId="17" fillId="18" borderId="4" xfId="0" applyNumberFormat="1" applyFont="1" applyFill="1" applyBorder="1"/>
    <xf numFmtId="3" fontId="2" fillId="2" borderId="9" xfId="0" applyNumberFormat="1" applyFont="1" applyFill="1" applyBorder="1"/>
    <xf numFmtId="3" fontId="2" fillId="2" borderId="3" xfId="0" applyNumberFormat="1" applyFont="1" applyFill="1" applyBorder="1"/>
    <xf numFmtId="10" fontId="2" fillId="2" borderId="3" xfId="0" applyNumberFormat="1" applyFont="1" applyFill="1" applyBorder="1"/>
    <xf numFmtId="0" fontId="2" fillId="2" borderId="3" xfId="0" applyFont="1" applyFill="1" applyBorder="1"/>
    <xf numFmtId="0" fontId="2" fillId="2" borderId="10" xfId="0" applyFont="1" applyFill="1" applyBorder="1"/>
  </cellXfs>
  <cellStyles count="6">
    <cellStyle name="Normal" xfId="0" builtinId="0"/>
    <cellStyle name="Normal 2" xfId="1" xr:uid="{6F3AB814-A400-4223-A275-1413C8B3FF41}"/>
    <cellStyle name="Normal 2 2" xfId="3" xr:uid="{64CD027F-4E34-4AD8-BFDE-6E87D0824A64}"/>
    <cellStyle name="Normal 3" xfId="4" xr:uid="{40069E05-8F0A-4216-9191-23244BDB1687}"/>
    <cellStyle name="Normal_EKM-EKF95" xfId="5" xr:uid="{92A4AD3D-7B64-4CA1-8450-135E289CC110}"/>
    <cellStyle name="Pourcentage 2" xfId="2" xr:uid="{CE01BEDD-3604-4317-9C0E-892B6E67EC27}"/>
  </cellStyles>
  <dxfs count="10"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3</xdr:row>
          <xdr:rowOff>161925</xdr:rowOff>
        </xdr:from>
        <xdr:to>
          <xdr:col>19</xdr:col>
          <xdr:colOff>466725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PROFIT-TEST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artage%20Autoris&#233;/Jo&#235;l%20Oliveira/Profit%20testing/36-Epargne%20projet/Profit%20test%203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l Portfolio"/>
      <sheetName val="Resumo"/>
      <sheetName val="Résultats"/>
      <sheetName val="Proj Cash Flows"/>
      <sheetName val="Information par police"/>
      <sheetName val="Real assumptions"/>
      <sheetName val="QRY Portfolio"/>
      <sheetName val="Info"/>
      <sheetName val="EKM_F05"/>
      <sheetName val="Premiums Rate"/>
    </sheetNames>
    <sheetDataSet>
      <sheetData sheetId="0"/>
      <sheetData sheetId="1"/>
      <sheetData sheetId="2"/>
      <sheetData sheetId="3">
        <row r="2">
          <cell r="V2">
            <v>0</v>
          </cell>
        </row>
      </sheetData>
      <sheetData sheetId="4"/>
      <sheetData sheetId="5"/>
      <sheetData sheetId="6"/>
      <sheetData sheetId="7"/>
      <sheetData sheetId="8"/>
      <sheetData sheetId="9">
        <row r="53">
          <cell r="C53">
            <v>2.7428821170964852E-3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ancer la requête à partir de AS400" connectionId="1" xr16:uid="{BC2BF164-508A-4A23-9CE7-285BB9B94AD7}" autoFormatId="16" applyNumberFormats="0" applyBorderFormats="0" applyFontFormats="0" applyPatternFormats="0" applyAlignmentFormats="0" applyWidthHeightFormats="0">
  <queryTableRefresh nextId="112">
    <queryTableFields count="68">
      <queryTableField id="1" name="POL_NUMERO" tableColumnId="1"/>
      <queryTableField id="45" dataBound="0" tableColumnId="45"/>
      <queryTableField id="79" dataBound="0" tableColumnId="65"/>
      <queryTableField id="78" dataBound="0" tableColumnId="64"/>
      <queryTableField id="77" dataBound="0" tableColumnId="63"/>
      <queryTableField id="76" dataBound="0" tableColumnId="62"/>
      <queryTableField id="46" dataBound="0" tableColumnId="46"/>
      <queryTableField id="34" name="POL_INDEXATION" tableColumnId="34"/>
      <queryTableField id="14" name="POLPRCPL1" tableColumnId="14"/>
      <queryTableField id="15" name="POLPRCPL2" tableColumnId="15"/>
      <queryTableField id="16" name="POLPRCPL3" tableColumnId="16"/>
      <queryTableField id="17" name="POLPRCPL4" tableColumnId="17"/>
      <queryTableField id="18" name="POLPRCPL5" tableColumnId="18"/>
      <queryTableField id="19" name="POLPRCPL6" tableColumnId="19"/>
      <queryTableField id="23" name="POLPRCPLA" tableColumnId="23"/>
      <queryTableField id="21" name="POLPRCPL8" tableColumnId="21"/>
      <queryTableField id="22" name="POLPRCPL9" tableColumnId="22"/>
      <queryTableField id="56" dataBound="0" tableColumnId="47"/>
      <queryTableField id="13" name="POL_DUREE_ASSUR" tableColumnId="13"/>
      <queryTableField id="32" name="POL_FRACTIONNE" tableColumnId="32"/>
      <queryTableField id="2" name="POL_INTER_GARAN" tableColumnId="2"/>
      <queryTableField id="33" name="POL_PRIM_TOTAL" tableColumnId="33"/>
      <queryTableField id="61" name="PMBPRVMAT" tableColumnId="48"/>
      <queryTableField id="42" name="PMBPBEN" tableColumnId="42"/>
      <queryTableField id="66" dataBound="0" tableColumnId="52"/>
      <queryTableField id="71" dataBound="0" tableColumnId="57"/>
      <queryTableField id="70" dataBound="0" tableColumnId="56"/>
      <queryTableField id="69" dataBound="0" tableColumnId="55"/>
      <queryTableField id="68" dataBound="0" tableColumnId="54"/>
      <queryTableField id="67" dataBound="0" tableColumnId="53"/>
      <queryTableField id="72" dataBound="0" tableColumnId="58"/>
      <queryTableField id="73" dataBound="0" tableColumnId="59"/>
      <queryTableField id="74" dataBound="0" tableColumnId="60"/>
      <queryTableField id="3" name="POL_CAPITAL" tableColumnId="3"/>
      <queryTableField id="75" dataBound="0" tableColumnId="61"/>
      <queryTableField id="96" name="POLPREPARG" tableColumnId="51"/>
      <queryTableField id="100" name="PMBRACHAT" tableColumnId="66"/>
      <queryTableField id="110" name="POL_SIT_CONTRA" tableColumnId="69"/>
      <queryTableField id="6" name="POLRISQ1" tableColumnId="6"/>
      <queryTableField id="7" name="POLRISQ3" tableColumnId="7"/>
      <queryTableField id="87" dataBound="0" tableColumnId="68"/>
      <queryTableField id="8" name="POLRISQ4" tableColumnId="8"/>
      <queryTableField id="9" name="POLRISQ5" tableColumnId="9"/>
      <queryTableField id="10" name="POLRISQ6" tableColumnId="10"/>
      <queryTableField id="11" name="POLRISQ9" tableColumnId="11"/>
      <queryTableField id="12" name="POLRISQA" tableColumnId="12"/>
      <queryTableField id="20" name="POLPRCPL7" tableColumnId="20"/>
      <queryTableField id="24" name="POL_MODALITE" tableColumnId="24"/>
      <queryTableField id="25" name="POL_ETATCONTRA" tableColumnId="25"/>
      <queryTableField id="26" name="POL_DATDEBUT" tableColumnId="26"/>
      <queryTableField id="44" dataBound="0" tableColumnId="44"/>
      <queryTableField id="27" name="POL_DATNAISS" tableColumnId="27"/>
      <queryTableField id="43" dataBound="0" tableColumnId="43"/>
      <queryTableField id="28" name="POL_DATNAISS_2" tableColumnId="28"/>
      <queryTableField id="29" name="POL_SEX_ASSURE" tableColumnId="29"/>
      <queryTableField id="30" name="POL_NB_TETES" tableColumnId="30"/>
      <queryTableField id="31" name="POL_SEX_ASSURE2" tableColumnId="31"/>
      <queryTableField id="35" name="POL_PRIM_VIE_HT" tableColumnId="35"/>
      <queryTableField id="36" name="POL_PRIM_TECH" tableColumnId="36"/>
      <queryTableField id="38" name="POLPRCPLA" tableColumnId="38"/>
      <queryTableField id="5" name="POLTBMORT" tableColumnId="5"/>
      <queryTableField id="39" name="POLOPTION" tableColumnId="39"/>
      <queryTableField id="40" name="PMBREC" tableColumnId="40"/>
      <queryTableField id="41" name="PMBRECCPL" tableColumnId="41"/>
      <queryTableField id="92" name="POLNUM" tableColumnId="50"/>
      <queryTableField id="91" name="POL_RESERVEMATH" tableColumnId="49"/>
      <queryTableField id="95" name="POLTBMORT" tableColumnId="4"/>
      <queryTableField id="99" name="POLSIT" tableColumnId="37"/>
    </queryTableFields>
    <queryTableDeletedFields count="1">
      <deletedField name="POL_INTER_GARAN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88BEB7-C5CA-4399-842E-C15EC775A266}" name="Tableau_Lancer_la_requête_à_partir_de_AS4003" displayName="Tableau_Lancer_la_requête_à_partir_de_AS4003" ref="B3:BQ161" tableType="queryTable" totalsRowShown="0">
  <autoFilter ref="B3:BQ161" xr:uid="{9EBA600B-F20D-4C79-8E4D-32E3982D7112}"/>
  <tableColumns count="68">
    <tableColumn id="1" xr3:uid="{7C33C10B-86F6-40D5-9450-ECF65EFCFAC3}" uniqueName="1" name="POL_NUMERO" queryTableFieldId="1" dataCellStyle="Normal 2"/>
    <tableColumn id="45" xr3:uid="{5A93F50D-109D-4215-AC8F-8F94CCD7242F}" uniqueName="45" name="Age at entry" queryTableFieldId="45" dataDxfId="9" dataCellStyle="Normal 2">
      <calculatedColumnFormula>ROUND(DAYS360(Tableau_Lancer_la_requête_à_partir_de_AS4003[[#This Row],[Date naissance 1]],Tableau_Lancer_la_requête_à_partir_de_AS4003[[#This Row],[Date début]])/360,0)</calculatedColumnFormula>
    </tableColumn>
    <tableColumn id="65" xr3:uid="{47661B56-B125-4224-9754-A3B786DBB393}" uniqueName="65" name="CA1_PREM_PC" queryTableFieldId="79" dataCellStyle="Normal 2"/>
    <tableColumn id="64" xr3:uid="{AA71A57A-EE6E-4BA5-995A-B7A080F09851}" uniqueName="64" name="CA2_PREM_PC" queryTableFieldId="78" dataCellStyle="Normal 2"/>
    <tableColumn id="63" xr3:uid="{1E06522A-1939-47AD-9C25-9EDCBD5A07B9}" uniqueName="63" name="CA3_PREM_PC" queryTableFieldId="77" dataCellStyle="Normal 2"/>
    <tableColumn id="62" xr3:uid="{A2E36E9E-C47C-4B61-A2D7-A631D9532124}" uniqueName="62" name="Chargement Gestion sur prime" queryTableFieldId="76" dataCellStyle="Normal 2"/>
    <tableColumn id="46" xr3:uid="{FAC16361-A51E-42CC-B37F-1AC8A65AEE4A}" uniqueName="46" name="Duration IF" queryTableFieldId="46" dataDxfId="8" dataCellStyle="Normal 2">
      <calculatedColumnFormula>ROUND(DAYS360(Tableau_Lancer_la_requête_à_partir_de_AS4003[[#This Row],[Date début]],'Cash flows par police'!$C$4)/30,0)</calculatedColumnFormula>
    </tableColumn>
    <tableColumn id="34" xr3:uid="{1E9A3F7A-2039-4BE8-917F-31540739C6C5}" uniqueName="34" name="POL_INDEXATION" queryTableFieldId="34" dataCellStyle="Normal 2"/>
    <tableColumn id="14" xr3:uid="{87BF33E0-A0CC-4E5B-8C8D-96EC831C7F69}" uniqueName="14" name="POLPRCPL1" queryTableFieldId="14" dataCellStyle="Normal 2"/>
    <tableColumn id="15" xr3:uid="{997C9622-2FE8-4963-9998-E7E812A81188}" uniqueName="15" name="POLPRCPL2" queryTableFieldId="15" dataCellStyle="Normal 2"/>
    <tableColumn id="16" xr3:uid="{E99DA920-80AB-44A6-9198-7AE43654DDBA}" uniqueName="16" name="POLPRCPL3" queryTableFieldId="16" dataCellStyle="Normal 2"/>
    <tableColumn id="17" xr3:uid="{CA65280F-D830-4138-B83C-575E534DCD59}" uniqueName="17" name="POLPRCPL4" queryTableFieldId="17" dataCellStyle="Normal 2"/>
    <tableColumn id="18" xr3:uid="{704CFF6B-7FD9-4961-B180-7356DD4ED611}" uniqueName="18" name="POLPRCPL5" queryTableFieldId="18" dataCellStyle="Normal 2"/>
    <tableColumn id="19" xr3:uid="{55F459E1-0B87-4388-BB1F-E3A77B40AA90}" uniqueName="19" name="POLPRCPL6" queryTableFieldId="19" dataCellStyle="Normal 2"/>
    <tableColumn id="23" xr3:uid="{614EDC6A-A128-440C-810E-959F2F02002C}" uniqueName="23" name="POLPRCPLA" queryTableFieldId="23" dataCellStyle="Normal 2"/>
    <tableColumn id="21" xr3:uid="{07F254AC-9A6F-4F6C-9C6E-DCF98D607B3F}" uniqueName="21" name="POLPRCPL8" queryTableFieldId="21" dataCellStyle="Normal 2"/>
    <tableColumn id="22" xr3:uid="{0F83DF26-A7EF-42A1-9B5A-CF718D4A79BF}" uniqueName="22" name="POLPRCPL9" queryTableFieldId="22" dataCellStyle="Normal 2"/>
    <tableColumn id="47" xr3:uid="{701299C5-6B67-45C3-9423-CF1FC8B9FC56}" uniqueName="47" name="ANN_RIDER PP" queryTableFieldId="56" dataDxfId="7" dataCellStyle="Normal 2">
      <calculatedColumnFormula>SUM(Tableau_Lancer_la_requête_à_partir_de_AS4003[[#This Row],[POLPRCPL2]:[POLPRCPL9]])</calculatedColumnFormula>
    </tableColumn>
    <tableColumn id="13" xr3:uid="{B63EF626-459C-4935-973F-9EAA0E44E3D2}" uniqueName="13" name="POL_DUREE_ASSUR" queryTableFieldId="13" dataCellStyle="Normal 2"/>
    <tableColumn id="32" xr3:uid="{B12580EE-5D87-46CF-ACE8-9604530C8B82}" uniqueName="32" name="POL_FRACTIONNE" queryTableFieldId="32" dataCellStyle="Normal 2"/>
    <tableColumn id="2" xr3:uid="{35F5C9AF-F7D4-4EA1-8616-FDB419ED250A}" uniqueName="2" name="POL_INTER_GARAN" queryTableFieldId="2" dataCellStyle="Normal 2"/>
    <tableColumn id="33" xr3:uid="{214C9FFD-4830-45DD-8F0E-9888AC245624}" uniqueName="33" name="POL_PRIM_TOTAL" queryTableFieldId="33" dataCellStyle="Normal 2"/>
    <tableColumn id="48" xr3:uid="{52DF1DCF-7886-427F-9FB5-A105867B3D4D}" uniqueName="48" name="PMBPRVMAT" queryTableFieldId="61" dataCellStyle="Normal 2"/>
    <tableColumn id="42" xr3:uid="{59F2FB92-0D4A-4B5C-A494-B5A9D855C392}" uniqueName="42" name="PMBPBEN" queryTableFieldId="42" dataCellStyle="Normal 2"/>
    <tableColumn id="52" xr3:uid="{AFB958B8-BBEE-46CC-87D2-8DAE0ACA8C4D}" uniqueName="52" name="Init_pol if" queryTableFieldId="66" dataCellStyle="Normal 2"/>
    <tableColumn id="57" xr3:uid="{64ABD736-B60B-4D44-9FB4-F5915015EC2D}" uniqueName="57" name="RC_RATE_PC" queryTableFieldId="71" dataCellStyle="Normal 2"/>
    <tableColumn id="56" xr3:uid="{ED30D80C-366B-4B8E-B80C-F556AA1FFCF3}" uniqueName="56" name="IC_RATE1_PC" queryTableFieldId="70" dataCellStyle="Normal 2"/>
    <tableColumn id="55" xr3:uid="{2470C4D6-A715-4C06-B8BD-A56E77DCFD74}" uniqueName="55" name="IC_RATE2_PC" queryTableFieldId="69" dataCellStyle="Normal 2"/>
    <tableColumn id="54" xr3:uid="{97B31ED0-2A18-493F-8476-A0207F756E85}" uniqueName="54" name="IC_RATE3_PC" queryTableFieldId="68" dataCellStyle="Normal 2"/>
    <tableColumn id="53" xr3:uid="{C3C379E8-2876-445A-AF26-B72A493E6EF1}" uniqueName="53" name="MTHS_TO_SALE" queryTableFieldId="67" dataCellStyle="Normal 2"/>
    <tableColumn id="58" xr3:uid="{047C9102-1A5B-465E-B17E-84B17DE9D4C6}" uniqueName="58" name="SEX" queryTableFieldId="72" dataDxfId="6" dataCellStyle="Normal 2">
      <calculatedColumnFormula>IF(Tableau_Lancer_la_requête_à_partir_de_AS4003[[#This Row],[POL_SEX_ASSURE]]="M",0,1)</calculatedColumnFormula>
    </tableColumn>
    <tableColumn id="59" xr3:uid="{610563D0-39C7-40CE-98D4-6632F733A392}" uniqueName="59" name="Sex2" queryTableFieldId="73" dataDxfId="5" dataCellStyle="Normal 2">
      <calculatedColumnFormula>IF(Tableau_Lancer_la_requête_à_partir_de_AS4003[[#This Row],[POL_SEX_ASSURE2]]="","",IF(Tableau_Lancer_la_requête_à_partir_de_AS4003[[#This Row],[POL_SEX_ASSURE2]]="M",0,1))</calculatedColumnFormula>
    </tableColumn>
    <tableColumn id="60" xr3:uid="{92618C1F-2AEC-4160-AD55-22E9713C180A}" uniqueName="60" name="Code Table" queryTableFieldId="74" dataDxfId="4" dataCellStyle="Normal 2">
      <calculatedColumnFormula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calculatedColumnFormula>
    </tableColumn>
    <tableColumn id="3" xr3:uid="{CB01E186-F113-4804-A081-B13FDE41D4C7}" uniqueName="3" name="POL_CAPITAL" queryTableFieldId="3" dataCellStyle="Normal 2"/>
    <tableColumn id="61" xr3:uid="{F4297C4C-6AED-4F93-AFD1-266185C52FF3}" uniqueName="61" name="POL_TERM_M" queryTableFieldId="75" dataDxfId="3" dataCellStyle="Normal 2">
      <calculatedColumnFormula>Tableau_Lancer_la_requête_à_partir_de_AS4003[[#This Row],[POL_DUREE_ASSUR]]*12</calculatedColumnFormula>
    </tableColumn>
    <tableColumn id="51" xr3:uid="{F00D6C10-CE6E-4F67-996C-33A6DCC6FDEE}" uniqueName="51" name="POLPREPARG" queryTableFieldId="96" dataCellStyle="Normal 2"/>
    <tableColumn id="66" xr3:uid="{565DF3E8-5BA2-477E-B515-E3CD34EEE702}" uniqueName="66" name="PMBRACHAT" queryTableFieldId="100" dataCellStyle="Normal 2"/>
    <tableColumn id="69" xr3:uid="{DDDF5A40-A5D7-4308-8115-E91F3089BCA1}" uniqueName="69" name="POL_SIT_CONTRA" queryTableFieldId="110" dataCellStyle="Normal 2"/>
    <tableColumn id="6" xr3:uid="{6F429907-E899-4821-AE90-BD28A65967EA}" uniqueName="6" name="POLRISQ1" queryTableFieldId="6" dataCellStyle="Normal 2"/>
    <tableColumn id="7" xr3:uid="{552C8F95-628B-4611-819B-A56E4E8D4BC6}" uniqueName="7" name="POLRISQ3" queryTableFieldId="7" dataCellStyle="Normal 2"/>
    <tableColumn id="68" xr3:uid="{DC01EA72-22E6-4FDC-B7CB-6EFE25AD1C0E}" uniqueName="68" name="Months to End" queryTableFieldId="87" dataDxfId="2" dataCellStyle="Normal 2">
      <calculatedColumnFormula>Tableau_Lancer_la_requête_à_partir_de_AS4003[[#This Row],[POL_TERM_M]]-Tableau_Lancer_la_requête_à_partir_de_AS4003[[#This Row],[Duration IF]]</calculatedColumnFormula>
    </tableColumn>
    <tableColumn id="8" xr3:uid="{2B6A026C-70C7-4C35-9AD2-8162CF1FE881}" uniqueName="8" name="POLRISQ4" queryTableFieldId="8" dataCellStyle="Normal 2"/>
    <tableColumn id="9" xr3:uid="{D5D9C164-E79A-447E-B984-05B02B5B18D9}" uniqueName="9" name="POLRISQ5" queryTableFieldId="9" dataCellStyle="Normal 2"/>
    <tableColumn id="10" xr3:uid="{C7E363EC-8F3F-48D6-9AC7-83E315797EF0}" uniqueName="10" name="POLRISQ6" queryTableFieldId="10" dataCellStyle="Normal 2"/>
    <tableColumn id="11" xr3:uid="{04569E62-226D-436A-A0E8-A6807F73148D}" uniqueName="11" name="POLRISQ9" queryTableFieldId="11" dataCellStyle="Normal 2"/>
    <tableColumn id="12" xr3:uid="{EDA807E4-653F-46A4-BCF4-EAD3D6D6EE2E}" uniqueName="12" name="POLRISQA" queryTableFieldId="12" dataCellStyle="Normal 2"/>
    <tableColumn id="20" xr3:uid="{357B4D8E-DE1A-48C3-A3CE-E9E15B778A9C}" uniqueName="20" name="POLPRCPL7" queryTableFieldId="20" dataCellStyle="Normal 2"/>
    <tableColumn id="24" xr3:uid="{BB24BA82-34D2-45B8-897D-CC1330B27631}" uniqueName="24" name="POL_MODALITE" queryTableFieldId="24" dataCellStyle="Normal 2"/>
    <tableColumn id="25" xr3:uid="{6166FF25-E57F-40EA-9CD3-39721188B962}" uniqueName="25" name="POL_ETATCONTRA" queryTableFieldId="25" dataCellStyle="Normal 2"/>
    <tableColumn id="26" xr3:uid="{314A5887-E849-4D45-A786-140DF61D1A09}" uniqueName="26" name="POL_DATDEBUT" queryTableFieldId="26" dataCellStyle="Normal 2"/>
    <tableColumn id="44" xr3:uid="{890D2B85-C9A0-4E7F-9DC9-E35B2DD39CF8}" uniqueName="44" name="Date début" queryTableFieldId="44" dataDxfId="1" dataCellStyle="Normal 2">
      <calculatedColumnFormula>DATE(VALUE(LEFT(AY4,4)),VALUE(MID(AY4,5,2)),VALUE(RIGHT(AY4,2)))</calculatedColumnFormula>
    </tableColumn>
    <tableColumn id="27" xr3:uid="{2090B01C-831C-4F95-B379-FCF8EE3D2DFF}" uniqueName="27" name="POL_DATNAISS" queryTableFieldId="27" dataCellStyle="Normal 2"/>
    <tableColumn id="43" xr3:uid="{56D5C808-9B2C-4ABA-9E1E-5B838DEA4424}" uniqueName="43" name="Date naissance 1" queryTableFieldId="43" dataDxfId="0" dataCellStyle="Normal 2">
      <calculatedColumnFormula>DATE(VALUE(LEFT(BA4,4)),VALUE(MID(BA4,5,2)),VALUE(RIGHT(BA4,2)))</calculatedColumnFormula>
    </tableColumn>
    <tableColumn id="28" xr3:uid="{BF97E0E3-E702-49CF-8DB4-5323E091E896}" uniqueName="28" name="POL_DATNAISS_2" queryTableFieldId="28" dataCellStyle="Normal 2"/>
    <tableColumn id="29" xr3:uid="{DCA7AA66-B940-48E9-930D-A34DF973061C}" uniqueName="29" name="POL_SEX_ASSURE" queryTableFieldId="29" dataCellStyle="Normal 2"/>
    <tableColumn id="30" xr3:uid="{FE0A2ECE-E649-4925-82F3-956C57C53015}" uniqueName="30" name="POL_NB_TETES" queryTableFieldId="30" dataCellStyle="Normal 2"/>
    <tableColumn id="31" xr3:uid="{C7C57D31-873C-453E-8FB2-4939627E90F1}" uniqueName="31" name="POL_SEX_ASSURE2" queryTableFieldId="31" dataCellStyle="Normal 2"/>
    <tableColumn id="35" xr3:uid="{25622711-3BC8-4843-8089-8DBCA4CE14E7}" uniqueName="35" name="POL_PRIM_VIE_HT" queryTableFieldId="35" dataCellStyle="Normal 2"/>
    <tableColumn id="36" xr3:uid="{B5E17224-0284-4B39-9BE6-4E3B526141EA}" uniqueName="36" name="POL_PRIM_TECH" queryTableFieldId="36" dataCellStyle="Normal 2"/>
    <tableColumn id="38" xr3:uid="{E9A043EB-3296-491A-9655-410B56BFC249}" uniqueName="38" name="POLPRCPLA2" queryTableFieldId="38" dataCellStyle="Normal 2"/>
    <tableColumn id="5" xr3:uid="{E29C1E43-5734-4BF3-AAB9-019C44BBC5A1}" uniqueName="5" name="POLTBMORT" queryTableFieldId="5" dataCellStyle="Normal 2"/>
    <tableColumn id="39" xr3:uid="{9810C218-ADFE-44D2-8034-1D8CB4275205}" uniqueName="39" name="POLOPTION" queryTableFieldId="39" dataCellStyle="Normal 2"/>
    <tableColumn id="40" xr3:uid="{81B9944C-D611-4C1E-A028-79ECC6C70DB0}" uniqueName="40" name="PMBREC" queryTableFieldId="40" dataCellStyle="Normal 2"/>
    <tableColumn id="41" xr3:uid="{07382ACF-AAE6-4162-A9E2-F8CF38DDD933}" uniqueName="41" name="PMBRECCPL" queryTableFieldId="41" dataCellStyle="Normal 2"/>
    <tableColumn id="50" xr3:uid="{A7097A8C-F5D9-4616-9D0A-3626CF84AED6}" uniqueName="50" name="POLNUM" queryTableFieldId="92" dataCellStyle="Normal 2"/>
    <tableColumn id="49" xr3:uid="{6ADED99E-2FC8-459A-80E8-8B07F00F9ED6}" uniqueName="49" name="POL_RESERVEMATH" queryTableFieldId="91" dataCellStyle="Normal 2"/>
    <tableColumn id="4" xr3:uid="{B0E3A2A6-05FD-4BEB-80E0-28AFFBDA9A2C}" uniqueName="4" name="POLTBMORT3" queryTableFieldId="95" dataCellStyle="Normal 2"/>
    <tableColumn id="37" xr3:uid="{77F03F17-BB0C-4354-8C38-39874CE4A9BC}" uniqueName="37" name="POLSIT" queryTableFieldId="99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863BE-B882-4B55-A373-6957BD399316}">
  <sheetPr codeName="Feuil3"/>
  <dimension ref="A1:N49"/>
  <sheetViews>
    <sheetView workbookViewId="0">
      <selection activeCell="J17" sqref="J17"/>
    </sheetView>
  </sheetViews>
  <sheetFormatPr baseColWidth="10" defaultRowHeight="15" x14ac:dyDescent="0.25"/>
  <cols>
    <col min="4" max="4" width="19.42578125" customWidth="1"/>
    <col min="5" max="5" width="16.28515625" customWidth="1"/>
    <col min="10" max="10" width="17.28515625" bestFit="1" customWidth="1"/>
    <col min="11" max="11" width="12.7109375" bestFit="1" customWidth="1"/>
    <col min="13" max="13" width="12.28515625" bestFit="1" customWidth="1"/>
  </cols>
  <sheetData>
    <row r="1" spans="1:14" x14ac:dyDescent="0.25">
      <c r="A1" s="141" t="s">
        <v>193</v>
      </c>
      <c r="B1" s="142" t="s">
        <v>247</v>
      </c>
      <c r="C1" s="142" t="s">
        <v>248</v>
      </c>
      <c r="D1" s="142" t="s">
        <v>249</v>
      </c>
      <c r="E1" s="142" t="s">
        <v>250</v>
      </c>
      <c r="F1" s="142" t="s">
        <v>251</v>
      </c>
      <c r="G1" s="142" t="s">
        <v>252</v>
      </c>
      <c r="H1" s="142" t="s">
        <v>253</v>
      </c>
      <c r="I1" s="142" t="s">
        <v>254</v>
      </c>
      <c r="J1" s="142" t="s">
        <v>255</v>
      </c>
      <c r="K1" s="143" t="s">
        <v>256</v>
      </c>
      <c r="L1" s="144" t="s">
        <v>257</v>
      </c>
      <c r="M1" s="144" t="s">
        <v>231</v>
      </c>
      <c r="N1" s="145" t="s">
        <v>204</v>
      </c>
    </row>
    <row r="2" spans="1:14" ht="21" x14ac:dyDescent="0.35">
      <c r="A2" s="130">
        <f>YEAR('Cash flows par police'!C4)</f>
        <v>2018</v>
      </c>
      <c r="B2" s="89">
        <f>SUMIFS('Cash flows mensuel'!C:C,'Cash flows mensuel'!$B:$B,Synthèse!A2)</f>
        <v>0</v>
      </c>
      <c r="C2" s="89">
        <f>SUMIFS('Cash flows mensuel'!D:D,'Cash flows mensuel'!$B:$B,Synthèse!A2)</f>
        <v>0</v>
      </c>
      <c r="D2" s="89">
        <f>SUMIFS('Cash flows mensuel'!E:E,'Cash flows mensuel'!$B:$B,Synthèse!A2)</f>
        <v>0</v>
      </c>
      <c r="E2" s="89">
        <f>SUMIFS('Cash flows mensuel'!F:F,'Cash flows mensuel'!$B:$B,Synthèse!A2)</f>
        <v>0</v>
      </c>
      <c r="F2" s="89">
        <f>B2-C2-D2-E2</f>
        <v>0</v>
      </c>
      <c r="G2" s="89">
        <f>B2/(1+HLOOKUP(A2,'Real assumptions'!$A$21:$AK$22,2,TRUE)/100)^N2</f>
        <v>0</v>
      </c>
      <c r="H2" s="89">
        <f>B2/(1+HLOOKUP(A2,'Real assumptions'!$A$21:$AK$22,2,TRUE)/100)^N2</f>
        <v>0</v>
      </c>
      <c r="I2" s="89">
        <f>SUM($G$2:G2)</f>
        <v>0</v>
      </c>
      <c r="J2" s="89">
        <f>SUM($H$2:H2)</f>
        <v>0</v>
      </c>
      <c r="K2" s="91" t="e">
        <f>I2/J2</f>
        <v>#DIV/0!</v>
      </c>
      <c r="L2" s="89">
        <f t="shared" ref="L2:L49" si="0">IF(I2&gt;0,IF(I1&lt;0,N2,0),0)</f>
        <v>0</v>
      </c>
      <c r="M2" s="140">
        <f>SUMIFS('Cash flows mensuel'!$G:$G,'Cash flows mensuel'!$B:$B,Synthèse!A2)</f>
        <v>-201300.46196935145</v>
      </c>
      <c r="N2">
        <v>0</v>
      </c>
    </row>
    <row r="3" spans="1:14" x14ac:dyDescent="0.25">
      <c r="A3" s="131">
        <f>A2+1</f>
        <v>2019</v>
      </c>
      <c r="B3" s="89">
        <f>SUMIFS('Cash flows mensuel'!$C:$C,'Cash flows mensuel'!$B:$B,Synthèse!A3)</f>
        <v>74712.123083990649</v>
      </c>
      <c r="C3" s="89">
        <f>SUMIFS('Cash flows mensuel'!D:D,'Cash flows mensuel'!$B:$B,Synthèse!A3)</f>
        <v>20074.166031925626</v>
      </c>
      <c r="D3" s="89">
        <f>SUMIFS('Cash flows mensuel'!E:E,'Cash flows mensuel'!$B:$B,Synthèse!A3)</f>
        <v>11523.013029537386</v>
      </c>
      <c r="E3" s="89">
        <f>SUMIFS('Cash flows mensuel'!F:F,'Cash flows mensuel'!$B:$B,Synthèse!A3)</f>
        <v>18684.069918189991</v>
      </c>
      <c r="F3" s="89">
        <f>B3-C3-D3-E3</f>
        <v>24430.874104337643</v>
      </c>
      <c r="G3" s="89">
        <f>F3/(1+HLOOKUP(A3,'Real assumptions'!$A$21:$AK$22,2,TRUE)/100)^(N3+1)</f>
        <v>23754.39845174515</v>
      </c>
      <c r="H3" s="89">
        <f>B3/(1+HLOOKUP(A3,'Real assumptions'!$A$21:$AK$22,2,TRUE)/100)^N3</f>
        <v>73670.495941868576</v>
      </c>
      <c r="I3" s="89">
        <f>SUM($G$2:G3)</f>
        <v>23754.39845174515</v>
      </c>
      <c r="J3" s="89">
        <f>SUM($H$2:H3)</f>
        <v>73670.495941868576</v>
      </c>
      <c r="K3" s="91">
        <f t="shared" ref="K3:K49" si="1">I3/J3</f>
        <v>0.32244113668637597</v>
      </c>
      <c r="L3" s="89">
        <f t="shared" si="0"/>
        <v>0</v>
      </c>
      <c r="M3" s="89">
        <f>SUMIFS('Cash flows mensuel'!$G:$G,'Cash flows mensuel'!$B:$B,Synthèse!A3)</f>
        <v>-2277671.4883369473</v>
      </c>
      <c r="N3">
        <v>1</v>
      </c>
    </row>
    <row r="4" spans="1:14" x14ac:dyDescent="0.25">
      <c r="A4" s="131">
        <f t="shared" ref="A4:A49" si="2">A3+1</f>
        <v>2020</v>
      </c>
      <c r="B4" s="89">
        <f>SUMIFS('Cash flows mensuel'!$C:$C,'Cash flows mensuel'!$B:$B,Synthèse!A4)</f>
        <v>68881.507108469275</v>
      </c>
      <c r="C4" s="89">
        <f>SUMIFS('Cash flows mensuel'!D:D,'Cash flows mensuel'!$B:$B,Synthèse!A4)</f>
        <v>20614.218557126438</v>
      </c>
      <c r="D4" s="89">
        <f>SUMIFS('Cash flows mensuel'!E:E,'Cash flows mensuel'!$B:$B,Synthèse!A4)</f>
        <v>5707.5627328395967</v>
      </c>
      <c r="E4" s="89">
        <f>SUMIFS('Cash flows mensuel'!F:F,'Cash flows mensuel'!$B:$B,Synthèse!A4)</f>
        <v>17477.406289327806</v>
      </c>
      <c r="F4" s="89">
        <f t="shared" ref="F4:F49" si="3">B4-C4-D4-E4</f>
        <v>25082.319529175435</v>
      </c>
      <c r="G4" s="89">
        <f>F4/(1+HLOOKUP(A4,'Real assumptions'!$A$21:$AK$22,2,TRUE)/100)^(N4+1)</f>
        <v>23909.113352052158</v>
      </c>
      <c r="H4" s="89">
        <f>B4/(1+HLOOKUP(A4,'Real assumptions'!$A$21:$AK$22,2,TRUE)/100)^N4</f>
        <v>66716.485034179073</v>
      </c>
      <c r="I4" s="89">
        <f>SUM($G$2:G4)</f>
        <v>47663.511803797308</v>
      </c>
      <c r="J4" s="89">
        <f>SUM($H$2:H4)</f>
        <v>140386.98097604763</v>
      </c>
      <c r="K4" s="91">
        <f>I4/J4</f>
        <v>0.3395151849011519</v>
      </c>
      <c r="L4" s="89">
        <f t="shared" si="0"/>
        <v>0</v>
      </c>
      <c r="M4" s="89">
        <f>SUMIFS('Cash flows mensuel'!$G:$G,'Cash flows mensuel'!$B:$B,Synthèse!A4)</f>
        <v>-2009406.1270771646</v>
      </c>
      <c r="N4">
        <v>2</v>
      </c>
    </row>
    <row r="5" spans="1:14" x14ac:dyDescent="0.25">
      <c r="A5" s="131">
        <f t="shared" si="2"/>
        <v>2021</v>
      </c>
      <c r="B5" s="89">
        <f>SUMIFS('Cash flows mensuel'!$C:$C,'Cash flows mensuel'!$B:$B,Synthèse!A5)</f>
        <v>63282.762065941672</v>
      </c>
      <c r="C5" s="89">
        <f>SUMIFS('Cash flows mensuel'!D:D,'Cash flows mensuel'!$B:$B,Synthèse!A5)</f>
        <v>19334.5376281631</v>
      </c>
      <c r="D5" s="89">
        <f>SUMIFS('Cash flows mensuel'!E:E,'Cash flows mensuel'!$B:$B,Synthèse!A5)</f>
        <v>3432.2899699777417</v>
      </c>
      <c r="E5" s="89">
        <f>SUMIFS('Cash flows mensuel'!F:F,'Cash flows mensuel'!$B:$B,Synthèse!A5)</f>
        <v>16233.534058758218</v>
      </c>
      <c r="F5" s="89">
        <f t="shared" si="3"/>
        <v>24282.40040904261</v>
      </c>
      <c r="G5" s="89">
        <f>F5/(1+HLOOKUP(A5,'Real assumptions'!$A$21:$AK$22,2,TRUE)/100)^(N5+1)</f>
        <v>22826.18575247336</v>
      </c>
      <c r="H5" s="89">
        <f>B5/(1+HLOOKUP(A5,'Real assumptions'!$A$21:$AK$22,2,TRUE)/100)^N5</f>
        <v>60414.574969273155</v>
      </c>
      <c r="I5" s="89">
        <f>SUM($G$2:G5)</f>
        <v>70489.697556270665</v>
      </c>
      <c r="J5" s="89">
        <f>SUM($H$2:H5)</f>
        <v>200801.55594532078</v>
      </c>
      <c r="K5" s="91">
        <f t="shared" si="1"/>
        <v>0.35104159041210492</v>
      </c>
      <c r="L5" s="89">
        <f t="shared" si="0"/>
        <v>0</v>
      </c>
      <c r="M5" s="89">
        <f>SUMIFS('Cash flows mensuel'!$G:$G,'Cash flows mensuel'!$B:$B,Synthèse!A5)</f>
        <v>-1747237.5783008873</v>
      </c>
      <c r="N5">
        <v>3</v>
      </c>
    </row>
    <row r="6" spans="1:14" x14ac:dyDescent="0.25">
      <c r="A6" s="131">
        <f t="shared" si="2"/>
        <v>2022</v>
      </c>
      <c r="B6" s="89">
        <f>SUMIFS('Cash flows mensuel'!$C:$C,'Cash flows mensuel'!$B:$B,Synthèse!A6)</f>
        <v>58894.288314686768</v>
      </c>
      <c r="C6" s="89">
        <f>SUMIFS('Cash flows mensuel'!D:D,'Cash flows mensuel'!$B:$B,Synthèse!A6)</f>
        <v>18203.555881220549</v>
      </c>
      <c r="D6" s="89">
        <f>SUMIFS('Cash flows mensuel'!E:E,'Cash flows mensuel'!$B:$B,Synthèse!A6)</f>
        <v>0</v>
      </c>
      <c r="E6" s="89">
        <f>SUMIFS('Cash flows mensuel'!F:F,'Cash flows mensuel'!$B:$B,Synthèse!A6)</f>
        <v>15290.763464861251</v>
      </c>
      <c r="F6" s="89">
        <f t="shared" si="3"/>
        <v>25399.968968604968</v>
      </c>
      <c r="G6" s="89">
        <f>F6/(1+HLOOKUP(A6,'Real assumptions'!$A$21:$AK$22,2,TRUE)/100)^(N6+1)</f>
        <v>23485.778995602323</v>
      </c>
      <c r="H6" s="89">
        <f>B6/(1+HLOOKUP(A6,'Real assumptions'!$A$21:$AK$22,2,TRUE)/100)^N6</f>
        <v>55315.979256223822</v>
      </c>
      <c r="I6" s="89">
        <f>SUM($G$2:G6)</f>
        <v>93975.476551872984</v>
      </c>
      <c r="J6" s="89">
        <f>SUM($H$2:H6)</f>
        <v>256117.53520154461</v>
      </c>
      <c r="K6" s="91">
        <f t="shared" si="1"/>
        <v>0.36692324279132854</v>
      </c>
      <c r="L6" s="89">
        <f t="shared" si="0"/>
        <v>0</v>
      </c>
      <c r="M6" s="89">
        <f>SUMIFS('Cash flows mensuel'!$G:$G,'Cash flows mensuel'!$B:$B,Synthèse!A6)</f>
        <v>-1470013.4559729539</v>
      </c>
      <c r="N6">
        <v>4</v>
      </c>
    </row>
    <row r="7" spans="1:14" x14ac:dyDescent="0.25">
      <c r="A7" s="131">
        <f t="shared" si="2"/>
        <v>2023</v>
      </c>
      <c r="B7" s="89">
        <f>SUMIFS('Cash flows mensuel'!$C:$C,'Cash flows mensuel'!$B:$B,Synthèse!A7)</f>
        <v>55065.715132838799</v>
      </c>
      <c r="C7" s="89">
        <f>SUMIFS('Cash flows mensuel'!D:D,'Cash flows mensuel'!$B:$B,Synthèse!A7)</f>
        <v>17293.182747152612</v>
      </c>
      <c r="D7" s="89">
        <f>SUMIFS('Cash flows mensuel'!E:E,'Cash flows mensuel'!$B:$B,Synthèse!A7)</f>
        <v>0</v>
      </c>
      <c r="E7" s="89">
        <f>SUMIFS('Cash flows mensuel'!F:F,'Cash flows mensuel'!$B:$B,Synthèse!A7)</f>
        <v>14472.898281577758</v>
      </c>
      <c r="F7" s="89">
        <f t="shared" si="3"/>
        <v>23299.634104108431</v>
      </c>
      <c r="G7" s="89">
        <f>F7/(1+HLOOKUP(A7,'Real assumptions'!$A$21:$AK$22,2,TRUE)/100)^(N7+1)</f>
        <v>21172.590079661026</v>
      </c>
      <c r="H7" s="89">
        <f>B7/(1+HLOOKUP(A7,'Real assumptions'!$A$21:$AK$22,2,TRUE)/100)^N7</f>
        <v>50843.490418670117</v>
      </c>
      <c r="I7" s="89">
        <f>SUM($G$2:G7)</f>
        <v>115148.06663153401</v>
      </c>
      <c r="J7" s="89">
        <f>SUM($H$2:H7)</f>
        <v>306961.02562021476</v>
      </c>
      <c r="K7" s="91">
        <f t="shared" si="1"/>
        <v>0.37512275833349634</v>
      </c>
      <c r="L7" s="89">
        <f t="shared" si="0"/>
        <v>0</v>
      </c>
      <c r="M7" s="89">
        <f>SUMIFS('Cash flows mensuel'!$G:$G,'Cash flows mensuel'!$B:$B,Synthèse!A7)</f>
        <v>-1200057.121654249</v>
      </c>
      <c r="N7">
        <v>5</v>
      </c>
    </row>
    <row r="8" spans="1:14" x14ac:dyDescent="0.25">
      <c r="A8" s="131">
        <f t="shared" si="2"/>
        <v>2024</v>
      </c>
      <c r="B8" s="89">
        <f>SUMIFS('Cash flows mensuel'!$C:$C,'Cash flows mensuel'!$B:$B,Synthèse!A8)</f>
        <v>51614.74128746413</v>
      </c>
      <c r="C8" s="89">
        <f>SUMIFS('Cash flows mensuel'!D:D,'Cash flows mensuel'!$B:$B,Synthèse!A8)</f>
        <v>16378.597125545137</v>
      </c>
      <c r="D8" s="89">
        <f>SUMIFS('Cash flows mensuel'!E:E,'Cash flows mensuel'!$B:$B,Synthèse!A8)</f>
        <v>0</v>
      </c>
      <c r="E8" s="89">
        <f>SUMIFS('Cash flows mensuel'!F:F,'Cash flows mensuel'!$B:$B,Synthèse!A8)</f>
        <v>13739.881518029275</v>
      </c>
      <c r="F8" s="89">
        <f t="shared" si="3"/>
        <v>21496.26264388972</v>
      </c>
      <c r="G8" s="89">
        <f>F8/(1+HLOOKUP(A8,'Real assumptions'!$A$21:$AK$22,2,TRUE)/100)^(N8+1)</f>
        <v>19231.813195906656</v>
      </c>
      <c r="H8" s="89">
        <f>B8/(1+HLOOKUP(A8,'Real assumptions'!$A$21:$AK$22,2,TRUE)/100)^N8</f>
        <v>46917.745052328217</v>
      </c>
      <c r="I8" s="89">
        <f>SUM($G$2:G8)</f>
        <v>134379.87982744066</v>
      </c>
      <c r="J8" s="89">
        <f>SUM($H$2:H8)</f>
        <v>353878.77067254297</v>
      </c>
      <c r="K8" s="91">
        <f>I8/J8</f>
        <v>0.37973422246283117</v>
      </c>
      <c r="L8" s="89">
        <f t="shared" si="0"/>
        <v>0</v>
      </c>
      <c r="M8" s="89">
        <f>SUMIFS('Cash flows mensuel'!$G:$G,'Cash flows mensuel'!$B:$B,Synthèse!A8)</f>
        <v>-949818.26554177655</v>
      </c>
      <c r="N8">
        <v>6</v>
      </c>
    </row>
    <row r="9" spans="1:14" x14ac:dyDescent="0.25">
      <c r="A9" s="131">
        <f t="shared" si="2"/>
        <v>2025</v>
      </c>
      <c r="B9" s="89">
        <f>SUMIFS('Cash flows mensuel'!$C:$C,'Cash flows mensuel'!$B:$B,Synthèse!A9)</f>
        <v>48490.236333154353</v>
      </c>
      <c r="C9" s="89">
        <f>SUMIFS('Cash flows mensuel'!D:D,'Cash flows mensuel'!$B:$B,Synthèse!A9)</f>
        <v>15718.754716606652</v>
      </c>
      <c r="D9" s="89">
        <f>SUMIFS('Cash flows mensuel'!E:E,'Cash flows mensuel'!$B:$B,Synthèse!A9)</f>
        <v>0</v>
      </c>
      <c r="E9" s="89">
        <f>SUMIFS('Cash flows mensuel'!F:F,'Cash flows mensuel'!$B:$B,Synthèse!A9)</f>
        <v>13064.771133023536</v>
      </c>
      <c r="F9" s="89">
        <f t="shared" si="3"/>
        <v>19706.710483524166</v>
      </c>
      <c r="G9" s="89">
        <f>F9/(1+HLOOKUP(A9,'Real assumptions'!$A$21:$AK$22,2,TRUE)/100)^(N9+1)</f>
        <v>17363.290813350224</v>
      </c>
      <c r="H9" s="89">
        <f>B9/(1+HLOOKUP(A9,'Real assumptions'!$A$21:$AK$22,2,TRUE)/100)^N9</f>
        <v>43405.520237539116</v>
      </c>
      <c r="I9" s="89">
        <f>SUM($G$2:G9)</f>
        <v>151743.17064079089</v>
      </c>
      <c r="J9" s="89">
        <f>SUM($H$2:H9)</f>
        <v>397284.29091008211</v>
      </c>
      <c r="K9" s="91">
        <f t="shared" si="1"/>
        <v>0.38195109676545236</v>
      </c>
      <c r="L9" s="89">
        <f t="shared" si="0"/>
        <v>0</v>
      </c>
      <c r="M9" s="89">
        <f>SUMIFS('Cash flows mensuel'!$G:$G,'Cash flows mensuel'!$B:$B,Synthèse!A9)</f>
        <v>-716404.55644923786</v>
      </c>
      <c r="N9">
        <v>7</v>
      </c>
    </row>
    <row r="10" spans="1:14" x14ac:dyDescent="0.25">
      <c r="A10" s="131">
        <f t="shared" si="2"/>
        <v>2026</v>
      </c>
      <c r="B10" s="89">
        <f>SUMIFS('Cash flows mensuel'!$C:$C,'Cash flows mensuel'!$B:$B,Synthèse!A10)</f>
        <v>45829.143526457578</v>
      </c>
      <c r="C10" s="89">
        <f>SUMIFS('Cash flows mensuel'!D:D,'Cash flows mensuel'!$B:$B,Synthèse!A10)</f>
        <v>15165.276636371571</v>
      </c>
      <c r="D10" s="89">
        <f>SUMIFS('Cash flows mensuel'!E:E,'Cash flows mensuel'!$B:$B,Synthèse!A10)</f>
        <v>0</v>
      </c>
      <c r="E10" s="89">
        <f>SUMIFS('Cash flows mensuel'!F:F,'Cash flows mensuel'!$B:$B,Synthèse!A10)</f>
        <v>12508.438249756948</v>
      </c>
      <c r="F10" s="89">
        <f t="shared" si="3"/>
        <v>18155.428640329061</v>
      </c>
      <c r="G10" s="89">
        <f>F10/(1+HLOOKUP(A10,'Real assumptions'!$A$21:$AK$22,2,TRUE)/100)^(N10+1)</f>
        <v>15650.516737180176</v>
      </c>
      <c r="H10" s="89">
        <f>B10/(1+HLOOKUP(A10,'Real assumptions'!$A$21:$AK$22,2,TRUE)/100)^N10</f>
        <v>40163.18247348076</v>
      </c>
      <c r="I10" s="89">
        <f>SUM($G$2:G10)</f>
        <v>167393.68737797107</v>
      </c>
      <c r="J10" s="89">
        <f>SUM($H$2:H10)</f>
        <v>437447.47338356287</v>
      </c>
      <c r="K10" s="91">
        <f t="shared" si="1"/>
        <v>0.38266008506853777</v>
      </c>
      <c r="L10" s="89">
        <f t="shared" si="0"/>
        <v>0</v>
      </c>
      <c r="M10" s="89">
        <f>SUMIFS('Cash flows mensuel'!$G:$G,'Cash flows mensuel'!$B:$B,Synthèse!A10)</f>
        <v>-500412.95379151346</v>
      </c>
      <c r="N10">
        <v>8</v>
      </c>
    </row>
    <row r="11" spans="1:14" x14ac:dyDescent="0.25">
      <c r="A11" s="131">
        <f t="shared" si="2"/>
        <v>2027</v>
      </c>
      <c r="B11" s="89">
        <f>SUMIFS('Cash flows mensuel'!$C:$C,'Cash flows mensuel'!$B:$B,Synthèse!A11)</f>
        <v>43415.345379454564</v>
      </c>
      <c r="C11" s="89">
        <f>SUMIFS('Cash flows mensuel'!D:D,'Cash flows mensuel'!$B:$B,Synthèse!A11)</f>
        <v>14776.586492642176</v>
      </c>
      <c r="D11" s="89">
        <f>SUMIFS('Cash flows mensuel'!E:E,'Cash flows mensuel'!$B:$B,Synthèse!A11)</f>
        <v>0</v>
      </c>
      <c r="E11" s="89">
        <f>SUMIFS('Cash flows mensuel'!F:F,'Cash flows mensuel'!$B:$B,Synthèse!A11)</f>
        <v>12005.908767046096</v>
      </c>
      <c r="F11" s="89">
        <f t="shared" si="3"/>
        <v>16632.850119766292</v>
      </c>
      <c r="G11" s="89">
        <f>F11/(1+HLOOKUP(A11,'Real assumptions'!$A$21:$AK$22,2,TRUE)/100)^(N11+1)</f>
        <v>14015.223713987418</v>
      </c>
      <c r="H11" s="89">
        <f>B11/(1+HLOOKUP(A11,'Real assumptions'!$A$21:$AK$22,2,TRUE)/100)^N11</f>
        <v>37214.593940294231</v>
      </c>
      <c r="I11" s="89">
        <f>SUM($G$2:G11)</f>
        <v>181408.91109195849</v>
      </c>
      <c r="J11" s="89">
        <f>SUM($H$2:H11)</f>
        <v>474662.0673238571</v>
      </c>
      <c r="K11" s="91">
        <f t="shared" si="1"/>
        <v>0.38218539795004314</v>
      </c>
      <c r="L11" s="89">
        <f t="shared" si="0"/>
        <v>0</v>
      </c>
      <c r="M11" s="89">
        <f>SUMIFS('Cash flows mensuel'!$G:$G,'Cash flows mensuel'!$B:$B,Synthèse!A11)</f>
        <v>-298935.44206848199</v>
      </c>
      <c r="N11">
        <v>9</v>
      </c>
    </row>
    <row r="12" spans="1:14" x14ac:dyDescent="0.25">
      <c r="A12" s="131">
        <f t="shared" si="2"/>
        <v>2028</v>
      </c>
      <c r="B12" s="89">
        <f>SUMIFS('Cash flows mensuel'!$C:$C,'Cash flows mensuel'!$B:$B,Synthèse!A12)</f>
        <v>41333.914963347212</v>
      </c>
      <c r="C12" s="89">
        <f>SUMIFS('Cash flows mensuel'!D:D,'Cash flows mensuel'!$B:$B,Synthèse!A12)</f>
        <v>14620.93095185548</v>
      </c>
      <c r="D12" s="89">
        <f>SUMIFS('Cash flows mensuel'!E:E,'Cash flows mensuel'!$B:$B,Synthèse!A12)</f>
        <v>0</v>
      </c>
      <c r="E12" s="89">
        <f>SUMIFS('Cash flows mensuel'!F:F,'Cash flows mensuel'!$B:$B,Synthèse!A12)</f>
        <v>11586.461738558015</v>
      </c>
      <c r="F12" s="89">
        <f t="shared" si="3"/>
        <v>15126.522272933717</v>
      </c>
      <c r="G12" s="89">
        <f>F12/(1+HLOOKUP(A12,'Real assumptions'!$A$21:$AK$22,2,TRUE)/100)^(N12+1)</f>
        <v>12413.496547144314</v>
      </c>
      <c r="H12" s="89">
        <f>B12/(1+HLOOKUP(A12,'Real assumptions'!$A$21:$AK$22,2,TRUE)/100)^N12</f>
        <v>34535.493462011342</v>
      </c>
      <c r="I12" s="89">
        <f>SUM($G$2:G12)</f>
        <v>193822.40763910281</v>
      </c>
      <c r="J12" s="89">
        <f>SUM($H$2:H12)</f>
        <v>509197.56078586844</v>
      </c>
      <c r="K12" s="91">
        <f t="shared" si="1"/>
        <v>0.38064284388944758</v>
      </c>
      <c r="L12" s="89">
        <f t="shared" si="0"/>
        <v>0</v>
      </c>
      <c r="M12" s="89">
        <f>SUMIFS('Cash flows mensuel'!$G:$G,'Cash flows mensuel'!$B:$B,Synthèse!A12)</f>
        <v>-112853.13045076332</v>
      </c>
      <c r="N12">
        <v>10</v>
      </c>
    </row>
    <row r="13" spans="1:14" x14ac:dyDescent="0.25">
      <c r="A13" s="131">
        <f t="shared" si="2"/>
        <v>2029</v>
      </c>
      <c r="B13" s="89">
        <f>SUMIFS('Cash flows mensuel'!$C:$C,'Cash flows mensuel'!$B:$B,Synthèse!A13)</f>
        <v>39493.965247819033</v>
      </c>
      <c r="C13" s="89">
        <f>SUMIFS('Cash flows mensuel'!D:D,'Cash flows mensuel'!$B:$B,Synthèse!A13)</f>
        <v>14600.563626488634</v>
      </c>
      <c r="D13" s="89">
        <f>SUMIFS('Cash flows mensuel'!E:E,'Cash flows mensuel'!$B:$B,Synthèse!A13)</f>
        <v>0</v>
      </c>
      <c r="E13" s="89">
        <f>SUMIFS('Cash flows mensuel'!F:F,'Cash flows mensuel'!$B:$B,Synthèse!A13)</f>
        <v>11234.76268557002</v>
      </c>
      <c r="F13" s="89">
        <f t="shared" si="3"/>
        <v>13658.638935760378</v>
      </c>
      <c r="G13" s="89">
        <f>F13/(1+HLOOKUP(A13,'Real assumptions'!$A$21:$AK$22,2,TRUE)/100)^(N13+1)</f>
        <v>11045.924055231408</v>
      </c>
      <c r="H13" s="89">
        <f>B13/(1+HLOOKUP(A13,'Real assumptions'!$A$21:$AK$22,2,TRUE)/100)^N13</f>
        <v>32509.41458284733</v>
      </c>
      <c r="I13" s="89">
        <f>SUM($G$2:G13)</f>
        <v>204868.33169433422</v>
      </c>
      <c r="J13" s="89">
        <f>SUM($H$2:H13)</f>
        <v>541706.97536871582</v>
      </c>
      <c r="K13" s="91">
        <f>I13/J13</f>
        <v>0.37819031507742623</v>
      </c>
      <c r="L13" s="89">
        <f t="shared" si="0"/>
        <v>0</v>
      </c>
      <c r="M13" s="89">
        <f>SUMIFS('Cash flows mensuel'!$G:$G,'Cash flows mensuel'!$B:$B,Synthèse!A13)</f>
        <v>58556.754158183816</v>
      </c>
      <c r="N13">
        <v>11</v>
      </c>
    </row>
    <row r="14" spans="1:14" x14ac:dyDescent="0.25">
      <c r="A14" s="131">
        <f t="shared" si="2"/>
        <v>2030</v>
      </c>
      <c r="B14" s="89">
        <f>SUMIFS('Cash flows mensuel'!$C:$C,'Cash flows mensuel'!$B:$B,Synthèse!A14)</f>
        <v>37706.015478978261</v>
      </c>
      <c r="C14" s="89">
        <f>SUMIFS('Cash flows mensuel'!D:D,'Cash flows mensuel'!$B:$B,Synthèse!A14)</f>
        <v>14598.072526179963</v>
      </c>
      <c r="D14" s="89">
        <f>SUMIFS('Cash flows mensuel'!E:E,'Cash flows mensuel'!$B:$B,Synthèse!A14)</f>
        <v>0</v>
      </c>
      <c r="E14" s="89">
        <f>SUMIFS('Cash flows mensuel'!F:F,'Cash flows mensuel'!$B:$B,Synthèse!A14)</f>
        <v>10885.560473733489</v>
      </c>
      <c r="F14" s="89">
        <f t="shared" si="3"/>
        <v>12222.382479064809</v>
      </c>
      <c r="G14" s="89">
        <f>F14/(1+HLOOKUP(A14,'Real assumptions'!$A$21:$AK$22,2,TRUE)/100)^(N14+1)</f>
        <v>9611.2776741122707</v>
      </c>
      <c r="H14" s="89">
        <f>B14/(1+HLOOKUP(A14,'Real assumptions'!$A$21:$AK$22,2,TRUE)/100)^N14</f>
        <v>30204.018134571186</v>
      </c>
      <c r="I14" s="89">
        <f>SUM($G$2:G14)</f>
        <v>214479.60936844649</v>
      </c>
      <c r="J14" s="89">
        <f>SUM($H$2:H14)</f>
        <v>571910.99350328697</v>
      </c>
      <c r="K14" s="91">
        <f t="shared" si="1"/>
        <v>0.37502270773750007</v>
      </c>
      <c r="L14" s="89">
        <f t="shared" si="0"/>
        <v>0</v>
      </c>
      <c r="M14" s="89">
        <f>SUMIFS('Cash flows mensuel'!$G:$G,'Cash flows mensuel'!$B:$B,Synthèse!A14)</f>
        <v>215567.52157911583</v>
      </c>
      <c r="N14">
        <v>12</v>
      </c>
    </row>
    <row r="15" spans="1:14" x14ac:dyDescent="0.25">
      <c r="A15" s="131">
        <f t="shared" si="2"/>
        <v>2031</v>
      </c>
      <c r="B15" s="89">
        <f>SUMIFS('Cash flows mensuel'!$C:$C,'Cash flows mensuel'!$B:$B,Synthèse!A15)</f>
        <v>35966.452540705257</v>
      </c>
      <c r="C15" s="89">
        <f>SUMIFS('Cash flows mensuel'!D:D,'Cash flows mensuel'!$B:$B,Synthèse!A15)</f>
        <v>14611.013530770822</v>
      </c>
      <c r="D15" s="89">
        <f>SUMIFS('Cash flows mensuel'!E:E,'Cash flows mensuel'!$B:$B,Synthèse!A15)</f>
        <v>0</v>
      </c>
      <c r="E15" s="89">
        <f>SUMIFS('Cash flows mensuel'!F:F,'Cash flows mensuel'!$B:$B,Synthèse!A15)</f>
        <v>10538.040870497964</v>
      </c>
      <c r="F15" s="89">
        <f t="shared" si="3"/>
        <v>10817.398139436471</v>
      </c>
      <c r="G15" s="89">
        <f>F15/(1+HLOOKUP(A15,'Real assumptions'!$A$21:$AK$22,2,TRUE)/100)^(N15+1)</f>
        <v>8395.8643691600519</v>
      </c>
      <c r="H15" s="89">
        <f>B15/(1+HLOOKUP(A15,'Real assumptions'!$A$21:$AK$22,2,TRUE)/100)^N15</f>
        <v>28425.063727566667</v>
      </c>
      <c r="I15" s="89">
        <f>SUM($G$2:G15)</f>
        <v>222875.47373760655</v>
      </c>
      <c r="J15" s="89">
        <f>SUM($H$2:H15)</f>
        <v>600336.05723085359</v>
      </c>
      <c r="K15" s="91">
        <f t="shared" si="1"/>
        <v>0.37125118681968799</v>
      </c>
      <c r="L15" s="89">
        <f t="shared" si="0"/>
        <v>0</v>
      </c>
      <c r="M15" s="89">
        <f>SUMIFS('Cash flows mensuel'!$G:$G,'Cash flows mensuel'!$B:$B,Synthèse!A15)</f>
        <v>358250.27099407406</v>
      </c>
      <c r="N15">
        <v>13</v>
      </c>
    </row>
    <row r="16" spans="1:14" x14ac:dyDescent="0.25">
      <c r="A16" s="131">
        <f t="shared" si="2"/>
        <v>2032</v>
      </c>
      <c r="B16" s="89">
        <f>SUMIFS('Cash flows mensuel'!$C:$C,'Cash flows mensuel'!$B:$B,Synthèse!A16)</f>
        <v>34272.541592745227</v>
      </c>
      <c r="C16" s="89">
        <f>SUMIFS('Cash flows mensuel'!D:D,'Cash flows mensuel'!$B:$B,Synthèse!A16)</f>
        <v>14626.070456780262</v>
      </c>
      <c r="D16" s="89">
        <f>SUMIFS('Cash flows mensuel'!E:E,'Cash flows mensuel'!$B:$B,Synthèse!A16)</f>
        <v>0</v>
      </c>
      <c r="E16" s="89">
        <f>SUMIFS('Cash flows mensuel'!F:F,'Cash flows mensuel'!$B:$B,Synthèse!A16)</f>
        <v>10191.780429351365</v>
      </c>
      <c r="F16" s="89">
        <f t="shared" si="3"/>
        <v>9454.6907066136009</v>
      </c>
      <c r="G16" s="89">
        <f>F16/(1+HLOOKUP(A16,'Real assumptions'!$A$21:$AK$22,2,TRUE)/100)^(N16+1)</f>
        <v>7214.6441608518207</v>
      </c>
      <c r="H16" s="89">
        <f>B16/(1+HLOOKUP(A16,'Real assumptions'!$A$21:$AK$22,2,TRUE)/100)^N16</f>
        <v>26628.256338144478</v>
      </c>
      <c r="I16" s="89">
        <f>SUM($G$2:G16)</f>
        <v>230090.11789845835</v>
      </c>
      <c r="J16" s="89">
        <f>SUM($H$2:H16)</f>
        <v>626964.31356899813</v>
      </c>
      <c r="K16" s="91">
        <f t="shared" si="1"/>
        <v>0.3669907727102823</v>
      </c>
      <c r="L16" s="89">
        <f t="shared" si="0"/>
        <v>0</v>
      </c>
      <c r="M16" s="89">
        <f>SUMIFS('Cash flows mensuel'!$G:$G,'Cash flows mensuel'!$B:$B,Synthèse!A16)</f>
        <v>486776.86336706602</v>
      </c>
      <c r="N16">
        <v>14</v>
      </c>
    </row>
    <row r="17" spans="1:14" x14ac:dyDescent="0.25">
      <c r="A17" s="131">
        <f t="shared" si="2"/>
        <v>2033</v>
      </c>
      <c r="B17" s="89">
        <f>SUMIFS('Cash flows mensuel'!$C:$C,'Cash flows mensuel'!$B:$B,Synthèse!A17)</f>
        <v>32621.881506561222</v>
      </c>
      <c r="C17" s="89">
        <f>SUMIFS('Cash flows mensuel'!D:D,'Cash flows mensuel'!$B:$B,Synthèse!A17)</f>
        <v>14646.154783793867</v>
      </c>
      <c r="D17" s="89">
        <f>SUMIFS('Cash flows mensuel'!E:E,'Cash flows mensuel'!$B:$B,Synthèse!A17)</f>
        <v>0</v>
      </c>
      <c r="E17" s="89">
        <f>SUMIFS('Cash flows mensuel'!F:F,'Cash flows mensuel'!$B:$B,Synthèse!A17)</f>
        <v>9846.385653063855</v>
      </c>
      <c r="F17" s="89">
        <f t="shared" si="3"/>
        <v>8129.3410697034997</v>
      </c>
      <c r="G17" s="89">
        <f>F17/(1+HLOOKUP(A17,'Real assumptions'!$A$21:$AK$22,2,TRUE)/100)^(N17+1)</f>
        <v>5951.6823107809569</v>
      </c>
      <c r="H17" s="89">
        <f>B17/(1+HLOOKUP(A17,'Real assumptions'!$A$21:$AK$22,2,TRUE)/100)^N17</f>
        <v>24353.24722293195</v>
      </c>
      <c r="I17" s="89">
        <f>SUM($G$2:G17)</f>
        <v>236041.8002092393</v>
      </c>
      <c r="J17" s="89">
        <f>SUM($H$2:H17)</f>
        <v>651317.56079193007</v>
      </c>
      <c r="K17" s="91">
        <f t="shared" si="1"/>
        <v>0.36240662684150354</v>
      </c>
      <c r="L17" s="89">
        <f t="shared" si="0"/>
        <v>0</v>
      </c>
      <c r="M17" s="89">
        <f>SUMIFS('Cash flows mensuel'!$G:$G,'Cash flows mensuel'!$B:$B,Synthèse!A17)</f>
        <v>601855.33725007623</v>
      </c>
      <c r="N17">
        <v>15</v>
      </c>
    </row>
    <row r="18" spans="1:14" x14ac:dyDescent="0.25">
      <c r="A18" s="131">
        <f t="shared" si="2"/>
        <v>2034</v>
      </c>
      <c r="B18" s="89">
        <f>SUMIFS('Cash flows mensuel'!$C:$C,'Cash flows mensuel'!$B:$B,Synthèse!A18)</f>
        <v>31011.794330904017</v>
      </c>
      <c r="C18" s="89">
        <f>SUMIFS('Cash flows mensuel'!D:D,'Cash flows mensuel'!$B:$B,Synthèse!A18)</f>
        <v>14686.885858766436</v>
      </c>
      <c r="D18" s="89">
        <f>SUMIFS('Cash flows mensuel'!E:E,'Cash flows mensuel'!$B:$B,Synthèse!A18)</f>
        <v>0</v>
      </c>
      <c r="E18" s="89">
        <f>SUMIFS('Cash flows mensuel'!F:F,'Cash flows mensuel'!$B:$B,Synthèse!A18)</f>
        <v>9501.1063517162947</v>
      </c>
      <c r="F18" s="89">
        <f t="shared" si="3"/>
        <v>6823.8021204212855</v>
      </c>
      <c r="G18" s="89">
        <f>F18/(1+HLOOKUP(A18,'Real assumptions'!$A$21:$AK$22,2,TRUE)/100)^(N18+1)</f>
        <v>5054.7484603832663</v>
      </c>
      <c r="H18" s="89">
        <f>B18/(1+HLOOKUP(A18,'Real assumptions'!$A$21:$AK$22,2,TRUE)/100)^N18</f>
        <v>23381.173579388342</v>
      </c>
      <c r="I18" s="89">
        <f>SUM($G$2:G18)</f>
        <v>241096.54866962257</v>
      </c>
      <c r="J18" s="89">
        <f>SUM($H$2:H18)</f>
        <v>674698.73437131837</v>
      </c>
      <c r="K18" s="91">
        <f t="shared" si="1"/>
        <v>0.35733955969885639</v>
      </c>
      <c r="L18" s="89">
        <f t="shared" si="0"/>
        <v>0</v>
      </c>
      <c r="M18" s="89">
        <f>SUMIFS('Cash flows mensuel'!$G:$G,'Cash flows mensuel'!$B:$B,Synthèse!A18)</f>
        <v>702928.81830944808</v>
      </c>
      <c r="N18">
        <v>16</v>
      </c>
    </row>
    <row r="19" spans="1:14" x14ac:dyDescent="0.25">
      <c r="A19" s="131">
        <f t="shared" si="2"/>
        <v>2035</v>
      </c>
      <c r="B19" s="89">
        <f>SUMIFS('Cash flows mensuel'!$C:$C,'Cash flows mensuel'!$B:$B,Synthèse!A19)</f>
        <v>29439.860340110215</v>
      </c>
      <c r="C19" s="89">
        <f>SUMIFS('Cash flows mensuel'!D:D,'Cash flows mensuel'!$B:$B,Synthèse!A19)</f>
        <v>14718.787684809275</v>
      </c>
      <c r="D19" s="89">
        <f>SUMIFS('Cash flows mensuel'!E:E,'Cash flows mensuel'!$B:$B,Synthèse!A19)</f>
        <v>0</v>
      </c>
      <c r="E19" s="89">
        <f>SUMIFS('Cash flows mensuel'!F:F,'Cash flows mensuel'!$B:$B,Synthèse!A19)</f>
        <v>9155.9610003034431</v>
      </c>
      <c r="F19" s="89">
        <f t="shared" si="3"/>
        <v>5565.1116549974977</v>
      </c>
      <c r="G19" s="89">
        <f>F19/(1+HLOOKUP(A19,'Real assumptions'!$A$21:$AK$22,2,TRUE)/100)^(N19+1)</f>
        <v>3842.0671540759217</v>
      </c>
      <c r="H19" s="89">
        <f>B19/(1+HLOOKUP(A19,'Real assumptions'!$A$21:$AK$22,2,TRUE)/100)^N19</f>
        <v>20747.520374525804</v>
      </c>
      <c r="I19" s="89">
        <f>SUM($G$2:G19)</f>
        <v>244938.61582369849</v>
      </c>
      <c r="J19" s="89">
        <f>SUM($H$2:H19)</f>
        <v>695446.25474584417</v>
      </c>
      <c r="K19" s="91">
        <f t="shared" si="1"/>
        <v>0.35220351558757484</v>
      </c>
      <c r="L19" s="89">
        <f t="shared" si="0"/>
        <v>0</v>
      </c>
      <c r="M19" s="89">
        <f>SUMIFS('Cash flows mensuel'!$G:$G,'Cash flows mensuel'!$B:$B,Synthèse!A19)</f>
        <v>791001.82717155374</v>
      </c>
      <c r="N19">
        <v>17</v>
      </c>
    </row>
    <row r="20" spans="1:14" x14ac:dyDescent="0.25">
      <c r="A20" s="131">
        <f t="shared" si="2"/>
        <v>2036</v>
      </c>
      <c r="B20" s="89">
        <f>SUMIFS('Cash flows mensuel'!$C:$C,'Cash flows mensuel'!$B:$B,Synthèse!A20)</f>
        <v>27905.053406197178</v>
      </c>
      <c r="C20" s="89">
        <f>SUMIFS('Cash flows mensuel'!D:D,'Cash flows mensuel'!$B:$B,Synthèse!A20)</f>
        <v>14680.721682453532</v>
      </c>
      <c r="D20" s="89">
        <f>SUMIFS('Cash flows mensuel'!E:E,'Cash flows mensuel'!$B:$B,Synthèse!A20)</f>
        <v>0</v>
      </c>
      <c r="E20" s="89">
        <f>SUMIFS('Cash flows mensuel'!F:F,'Cash flows mensuel'!$B:$B,Synthèse!A20)</f>
        <v>8810.2978730247396</v>
      </c>
      <c r="F20" s="89">
        <f t="shared" si="3"/>
        <v>4414.0338507189063</v>
      </c>
      <c r="G20" s="89">
        <f>F20/(1+HLOOKUP(A20,'Real assumptions'!$A$21:$AK$22,2,TRUE)/100)^(N20+1)</f>
        <v>2996.2073042953411</v>
      </c>
      <c r="H20" s="89">
        <f>B20/(1+HLOOKUP(A20,'Real assumptions'!$A$21:$AK$22,2,TRUE)/100)^N20</f>
        <v>19331.922551880751</v>
      </c>
      <c r="I20" s="89">
        <f>SUM($G$2:G20)</f>
        <v>247934.82312799382</v>
      </c>
      <c r="J20" s="89">
        <f>SUM($H$2:H20)</f>
        <v>714778.17729772488</v>
      </c>
      <c r="K20" s="91">
        <f t="shared" si="1"/>
        <v>0.34686960374941905</v>
      </c>
      <c r="L20" s="89">
        <f t="shared" si="0"/>
        <v>0</v>
      </c>
      <c r="M20" s="89">
        <f>SUMIFS('Cash flows mensuel'!$G:$G,'Cash flows mensuel'!$B:$B,Synthèse!A20)</f>
        <v>867190.73500101501</v>
      </c>
      <c r="N20">
        <v>18</v>
      </c>
    </row>
    <row r="21" spans="1:14" x14ac:dyDescent="0.25">
      <c r="A21" s="131">
        <f t="shared" si="2"/>
        <v>2037</v>
      </c>
      <c r="B21" s="89">
        <f>SUMIFS('Cash flows mensuel'!$C:$C,'Cash flows mensuel'!$B:$B,Synthèse!A21)</f>
        <v>26406.2694230917</v>
      </c>
      <c r="C21" s="89">
        <f>SUMIFS('Cash flows mensuel'!D:D,'Cash flows mensuel'!$B:$B,Synthèse!A21)</f>
        <v>14669.949088488567</v>
      </c>
      <c r="D21" s="89">
        <f>SUMIFS('Cash flows mensuel'!E:E,'Cash flows mensuel'!$B:$B,Synthèse!A21)</f>
        <v>0</v>
      </c>
      <c r="E21" s="89">
        <f>SUMIFS('Cash flows mensuel'!F:F,'Cash flows mensuel'!$B:$B,Synthèse!A21)</f>
        <v>8464.1927667508535</v>
      </c>
      <c r="F21" s="89">
        <f t="shared" si="3"/>
        <v>3272.1275678522798</v>
      </c>
      <c r="G21" s="89">
        <f>F21/(1+HLOOKUP(A21,'Real assumptions'!$A$21:$AK$22,2,TRUE)/100)^(N21+1)</f>
        <v>2181.0829523188645</v>
      </c>
      <c r="H21" s="89">
        <f>B21/(1+HLOOKUP(A21,'Real assumptions'!$A$21:$AK$22,2,TRUE)/100)^N21</f>
        <v>17962.091677846867</v>
      </c>
      <c r="I21" s="89">
        <f>SUM($G$2:G21)</f>
        <v>250115.90608031268</v>
      </c>
      <c r="J21" s="89">
        <f>SUM($H$2:H21)</f>
        <v>732740.26897557173</v>
      </c>
      <c r="K21" s="91">
        <f t="shared" si="1"/>
        <v>0.34134319713313188</v>
      </c>
      <c r="L21" s="89">
        <f t="shared" si="0"/>
        <v>0</v>
      </c>
      <c r="M21" s="89">
        <f>SUMIFS('Cash flows mensuel'!$G:$G,'Cash flows mensuel'!$B:$B,Synthèse!A21)</f>
        <v>930979.63825324655</v>
      </c>
      <c r="N21">
        <v>19</v>
      </c>
    </row>
    <row r="22" spans="1:14" x14ac:dyDescent="0.25">
      <c r="A22" s="131">
        <f t="shared" si="2"/>
        <v>2038</v>
      </c>
      <c r="B22" s="89">
        <f>SUMIFS('Cash flows mensuel'!$C:$C,'Cash flows mensuel'!$B:$B,Synthèse!A22)</f>
        <v>24942.934198121271</v>
      </c>
      <c r="C22" s="89">
        <f>SUMIFS('Cash flows mensuel'!D:D,'Cash flows mensuel'!$B:$B,Synthèse!A22)</f>
        <v>14516.209161765262</v>
      </c>
      <c r="D22" s="89">
        <f>SUMIFS('Cash flows mensuel'!E:E,'Cash flows mensuel'!$B:$B,Synthèse!A22)</f>
        <v>0</v>
      </c>
      <c r="E22" s="89">
        <f>SUMIFS('Cash flows mensuel'!F:F,'Cash flows mensuel'!$B:$B,Synthèse!A22)</f>
        <v>8117.7415600116037</v>
      </c>
      <c r="F22" s="89">
        <f t="shared" si="3"/>
        <v>2308.9834763444051</v>
      </c>
      <c r="G22" s="89">
        <f>F22/(1+HLOOKUP(A22,'Real assumptions'!$A$21:$AK$22,2,TRUE)/100)^(N22+1)</f>
        <v>1506.2319672052854</v>
      </c>
      <c r="H22" s="89">
        <f>B22/(1+HLOOKUP(A22,'Real assumptions'!$A$21:$AK$22,2,TRUE)/100)^N22</f>
        <v>16605.550935870349</v>
      </c>
      <c r="I22" s="89">
        <f>SUM($G$2:G22)</f>
        <v>251622.13804751798</v>
      </c>
      <c r="J22" s="89">
        <f>SUM($H$2:H22)</f>
        <v>749345.81991144211</v>
      </c>
      <c r="K22" s="91">
        <f t="shared" si="1"/>
        <v>0.33578907276383385</v>
      </c>
      <c r="L22" s="89">
        <f t="shared" si="0"/>
        <v>0</v>
      </c>
      <c r="M22" s="89">
        <f>SUMIFS('Cash flows mensuel'!$G:$G,'Cash flows mensuel'!$B:$B,Synthèse!A22)</f>
        <v>983373.09695712058</v>
      </c>
      <c r="N22">
        <v>20</v>
      </c>
    </row>
    <row r="23" spans="1:14" x14ac:dyDescent="0.25">
      <c r="A23" s="131">
        <f t="shared" si="2"/>
        <v>2039</v>
      </c>
      <c r="B23" s="89">
        <f>SUMIFS('Cash flows mensuel'!$C:$C,'Cash flows mensuel'!$B:$B,Synthèse!A23)</f>
        <v>23514.158769838243</v>
      </c>
      <c r="C23" s="89">
        <f>SUMIFS('Cash flows mensuel'!D:D,'Cash flows mensuel'!$B:$B,Synthèse!A23)</f>
        <v>14416.890220619345</v>
      </c>
      <c r="D23" s="89">
        <f>SUMIFS('Cash flows mensuel'!E:E,'Cash flows mensuel'!$B:$B,Synthèse!A23)</f>
        <v>0</v>
      </c>
      <c r="E23" s="89">
        <f>SUMIFS('Cash flows mensuel'!F:F,'Cash flows mensuel'!$B:$B,Synthèse!A23)</f>
        <v>7770.8828839899124</v>
      </c>
      <c r="F23" s="89">
        <f t="shared" si="3"/>
        <v>1326.3856652289851</v>
      </c>
      <c r="G23" s="89">
        <f>F23/(1+HLOOKUP(A23,'Real assumptions'!$A$21:$AK$22,2,TRUE)/100)^(N23+1)</f>
        <v>816.19954126576988</v>
      </c>
      <c r="H23" s="89">
        <f>B23/(1+HLOOKUP(A23,'Real assumptions'!$A$21:$AK$22,2,TRUE)/100)^N23</f>
        <v>14792.484771494725</v>
      </c>
      <c r="I23" s="89">
        <f>SUM($G$2:G23)</f>
        <v>252438.33758878373</v>
      </c>
      <c r="J23" s="89">
        <f>SUM($H$2:H23)</f>
        <v>764138.30468293687</v>
      </c>
      <c r="K23" s="91">
        <f t="shared" si="1"/>
        <v>0.3303568687000028</v>
      </c>
      <c r="L23" s="89">
        <f t="shared" si="0"/>
        <v>0</v>
      </c>
      <c r="M23" s="89">
        <f>SUMIFS('Cash flows mensuel'!$G:$G,'Cash flows mensuel'!$B:$B,Synthèse!A23)</f>
        <v>1026059.1973139876</v>
      </c>
      <c r="N23">
        <v>21</v>
      </c>
    </row>
    <row r="24" spans="1:14" x14ac:dyDescent="0.25">
      <c r="A24" s="131">
        <f t="shared" si="2"/>
        <v>2040</v>
      </c>
      <c r="B24" s="89">
        <f>SUMIFS('Cash flows mensuel'!$C:$C,'Cash flows mensuel'!$B:$B,Synthèse!A24)</f>
        <v>22119.938500999164</v>
      </c>
      <c r="C24" s="89">
        <f>SUMIFS('Cash flows mensuel'!D:D,'Cash flows mensuel'!$B:$B,Synthèse!A24)</f>
        <v>14312.634240245259</v>
      </c>
      <c r="D24" s="89">
        <f>SUMIFS('Cash flows mensuel'!E:E,'Cash flows mensuel'!$B:$B,Synthèse!A24)</f>
        <v>0</v>
      </c>
      <c r="E24" s="89">
        <f>SUMIFS('Cash flows mensuel'!F:F,'Cash flows mensuel'!$B:$B,Synthèse!A24)</f>
        <v>7423.5356040450788</v>
      </c>
      <c r="F24" s="89">
        <f t="shared" si="3"/>
        <v>383.7686567088258</v>
      </c>
      <c r="G24" s="89">
        <f>F24/(1+HLOOKUP(A24,'Real assumptions'!$A$21:$AK$22,2,TRUE)/100)^(N24+1)</f>
        <v>232.54308277807283</v>
      </c>
      <c r="H24" s="89">
        <f>B24/(1+HLOOKUP(A24,'Real assumptions'!$A$21:$AK$22,2,TRUE)/100)^N24</f>
        <v>13698.633085149673</v>
      </c>
      <c r="I24" s="89">
        <f>SUM($G$2:G24)</f>
        <v>252670.88067156181</v>
      </c>
      <c r="J24" s="89">
        <f>SUM($H$2:H24)</f>
        <v>777836.93776808656</v>
      </c>
      <c r="K24" s="91">
        <f t="shared" si="1"/>
        <v>0.32483785277229416</v>
      </c>
      <c r="L24" s="89">
        <f t="shared" si="0"/>
        <v>0</v>
      </c>
      <c r="M24" s="89">
        <f>SUMIFS('Cash flows mensuel'!$G:$G,'Cash flows mensuel'!$B:$B,Synthèse!A24)</f>
        <v>1058621.2706388733</v>
      </c>
      <c r="N24">
        <v>22</v>
      </c>
    </row>
    <row r="25" spans="1:14" x14ac:dyDescent="0.25">
      <c r="A25" s="131">
        <f t="shared" si="2"/>
        <v>2041</v>
      </c>
      <c r="B25" s="89">
        <f>SUMIFS('Cash flows mensuel'!$C:$C,'Cash flows mensuel'!$B:$B,Synthèse!A25)</f>
        <v>20760.379212822485</v>
      </c>
      <c r="C25" s="89">
        <f>SUMIFS('Cash flows mensuel'!D:D,'Cash flows mensuel'!$B:$B,Synthèse!A25)</f>
        <v>13941.970851773542</v>
      </c>
      <c r="D25" s="89">
        <f>SUMIFS('Cash flows mensuel'!E:E,'Cash flows mensuel'!$B:$B,Synthèse!A25)</f>
        <v>0</v>
      </c>
      <c r="E25" s="89">
        <f>SUMIFS('Cash flows mensuel'!F:F,'Cash flows mensuel'!$B:$B,Synthèse!A25)</f>
        <v>7076.1593407688342</v>
      </c>
      <c r="F25" s="89">
        <f t="shared" si="3"/>
        <v>-257.75097971989089</v>
      </c>
      <c r="G25" s="89">
        <f>F25/(1+HLOOKUP(A25,'Real assumptions'!$A$21:$AK$22,2,TRUE)/100)^(N25+1)</f>
        <v>-153.49793868846723</v>
      </c>
      <c r="H25" s="89">
        <f>B25/(1+HLOOKUP(A25,'Real assumptions'!$A$21:$AK$22,2,TRUE)/100)^N25</f>
        <v>12633.293305402474</v>
      </c>
      <c r="I25" s="89">
        <f>SUM($G$2:G25)</f>
        <v>252517.38273287335</v>
      </c>
      <c r="J25" s="89">
        <f>SUM($H$2:H25)</f>
        <v>790470.23107348906</v>
      </c>
      <c r="K25" s="91">
        <f t="shared" si="1"/>
        <v>0.31945210939815533</v>
      </c>
      <c r="L25" s="89">
        <f t="shared" si="0"/>
        <v>0</v>
      </c>
      <c r="M25" s="89">
        <f>SUMIFS('Cash flows mensuel'!$G:$G,'Cash flows mensuel'!$B:$B,Synthèse!A25)</f>
        <v>1082063.4575313295</v>
      </c>
      <c r="N25">
        <v>23</v>
      </c>
    </row>
    <row r="26" spans="1:14" x14ac:dyDescent="0.25">
      <c r="A26" s="131">
        <f t="shared" si="2"/>
        <v>2042</v>
      </c>
      <c r="B26" s="89">
        <f>SUMIFS('Cash flows mensuel'!$C:$C,'Cash flows mensuel'!$B:$B,Synthèse!A26)</f>
        <v>19435.847162743419</v>
      </c>
      <c r="C26" s="89">
        <f>SUMIFS('Cash flows mensuel'!D:D,'Cash flows mensuel'!$B:$B,Synthèse!A26)</f>
        <v>13720.301140417063</v>
      </c>
      <c r="D26" s="89">
        <f>SUMIFS('Cash flows mensuel'!E:E,'Cash flows mensuel'!$B:$B,Synthèse!A26)</f>
        <v>0</v>
      </c>
      <c r="E26" s="89">
        <f>SUMIFS('Cash flows mensuel'!F:F,'Cash flows mensuel'!$B:$B,Synthèse!A26)</f>
        <v>6728.969923649548</v>
      </c>
      <c r="F26" s="89">
        <f t="shared" si="3"/>
        <v>-1013.4239013231918</v>
      </c>
      <c r="G26" s="89">
        <f>F26/(1+HLOOKUP(A26,'Real assumptions'!$A$21:$AK$22,2,TRUE)/100)^(N26+1)</f>
        <v>-592.84355044579308</v>
      </c>
      <c r="H26" s="89">
        <f>B26/(1+HLOOKUP(A26,'Real assumptions'!$A$21:$AK$22,2,TRUE)/100)^N26</f>
        <v>11616.264004024455</v>
      </c>
      <c r="I26" s="89">
        <f>SUM($G$2:G26)</f>
        <v>251924.53918242754</v>
      </c>
      <c r="J26" s="89">
        <f>SUM($H$2:H26)</f>
        <v>802086.49507751351</v>
      </c>
      <c r="K26" s="91">
        <f t="shared" si="1"/>
        <v>0.31408649906028102</v>
      </c>
      <c r="L26" s="89">
        <f t="shared" si="0"/>
        <v>0</v>
      </c>
      <c r="M26" s="89">
        <f>SUMIFS('Cash flows mensuel'!$G:$G,'Cash flows mensuel'!$B:$B,Synthèse!A26)</f>
        <v>1097676.9889717451</v>
      </c>
      <c r="N26">
        <v>24</v>
      </c>
    </row>
    <row r="27" spans="1:14" x14ac:dyDescent="0.25">
      <c r="A27" s="131">
        <f t="shared" si="2"/>
        <v>2043</v>
      </c>
      <c r="B27" s="89">
        <f>SUMIFS('Cash flows mensuel'!$C:$C,'Cash flows mensuel'!$B:$B,Synthèse!A27)</f>
        <v>18146.917364411234</v>
      </c>
      <c r="C27" s="89">
        <f>SUMIFS('Cash flows mensuel'!D:D,'Cash flows mensuel'!$B:$B,Synthèse!A27)</f>
        <v>13492.813514786925</v>
      </c>
      <c r="D27" s="89">
        <f>SUMIFS('Cash flows mensuel'!E:E,'Cash flows mensuel'!$B:$B,Synthèse!A27)</f>
        <v>0</v>
      </c>
      <c r="E27" s="89">
        <f>SUMIFS('Cash flows mensuel'!F:F,'Cash flows mensuel'!$B:$B,Synthèse!A27)</f>
        <v>6382.4333918635939</v>
      </c>
      <c r="F27" s="89">
        <f t="shared" si="3"/>
        <v>-1728.3295422392848</v>
      </c>
      <c r="G27" s="89">
        <f>F27/(1+HLOOKUP(A27,'Real assumptions'!$A$21:$AK$22,2,TRUE)/100)^(N27+1)</f>
        <v>-991.74708672828126</v>
      </c>
      <c r="H27" s="89">
        <f>B27/(1+HLOOKUP(A27,'Real assumptions'!$A$21:$AK$22,2,TRUE)/100)^N27</f>
        <v>10637.881545343098</v>
      </c>
      <c r="I27" s="89">
        <f>SUM($G$2:G27)</f>
        <v>250932.79209569926</v>
      </c>
      <c r="J27" s="89">
        <f>SUM($H$2:H27)</f>
        <v>812724.37662285659</v>
      </c>
      <c r="K27" s="91">
        <f t="shared" si="1"/>
        <v>0.30875509497870546</v>
      </c>
      <c r="L27" s="89">
        <f t="shared" si="0"/>
        <v>0</v>
      </c>
      <c r="M27" s="89">
        <f>SUMIFS('Cash flows mensuel'!$G:$G,'Cash flows mensuel'!$B:$B,Synthèse!A27)</f>
        <v>1104419.8629133734</v>
      </c>
      <c r="N27">
        <v>25</v>
      </c>
    </row>
    <row r="28" spans="1:14" x14ac:dyDescent="0.25">
      <c r="A28" s="131">
        <f t="shared" si="2"/>
        <v>2044</v>
      </c>
      <c r="B28" s="89">
        <f>SUMIFS('Cash flows mensuel'!$C:$C,'Cash flows mensuel'!$B:$B,Synthèse!A28)</f>
        <v>16894.319054912528</v>
      </c>
      <c r="C28" s="89">
        <f>SUMIFS('Cash flows mensuel'!D:D,'Cash flows mensuel'!$B:$B,Synthèse!A28)</f>
        <v>13180.733315275233</v>
      </c>
      <c r="D28" s="89">
        <f>SUMIFS('Cash flows mensuel'!E:E,'Cash flows mensuel'!$B:$B,Synthèse!A28)</f>
        <v>0</v>
      </c>
      <c r="E28" s="89">
        <f>SUMIFS('Cash flows mensuel'!F:F,'Cash flows mensuel'!$B:$B,Synthèse!A28)</f>
        <v>6037.1643054863116</v>
      </c>
      <c r="F28" s="89">
        <f t="shared" si="3"/>
        <v>-2323.5785658490158</v>
      </c>
      <c r="G28" s="89">
        <f>F28/(1+HLOOKUP(A28,'Real assumptions'!$A$21:$AK$22,2,TRUE)/100)^(N28+1)</f>
        <v>-1261.6768331698365</v>
      </c>
      <c r="H28" s="89">
        <f>B28/(1+HLOOKUP(A28,'Real assumptions'!$A$21:$AK$22,2,TRUE)/100)^N28</f>
        <v>9383.2658899538419</v>
      </c>
      <c r="I28" s="89">
        <f>SUM($G$2:G28)</f>
        <v>249671.11526252943</v>
      </c>
      <c r="J28" s="89">
        <f>SUM($H$2:H28)</f>
        <v>822107.64251281042</v>
      </c>
      <c r="K28" s="91">
        <f t="shared" si="1"/>
        <v>0.30369638031754337</v>
      </c>
      <c r="L28" s="89">
        <f t="shared" si="0"/>
        <v>0</v>
      </c>
      <c r="M28" s="89">
        <f>SUMIFS('Cash flows mensuel'!$G:$G,'Cash flows mensuel'!$B:$B,Synthèse!A28)</f>
        <v>1104161.4240104756</v>
      </c>
      <c r="N28">
        <v>26</v>
      </c>
    </row>
    <row r="29" spans="1:14" x14ac:dyDescent="0.25">
      <c r="A29" s="131">
        <f t="shared" si="2"/>
        <v>2045</v>
      </c>
      <c r="B29" s="89">
        <f>SUMIFS('Cash flows mensuel'!$C:$C,'Cash flows mensuel'!$B:$B,Synthèse!A29)</f>
        <v>15678.94364941065</v>
      </c>
      <c r="C29" s="89">
        <f>SUMIFS('Cash flows mensuel'!D:D,'Cash flows mensuel'!$B:$B,Synthèse!A29)</f>
        <v>12750.175301663916</v>
      </c>
      <c r="D29" s="89">
        <f>SUMIFS('Cash flows mensuel'!E:E,'Cash flows mensuel'!$B:$B,Synthèse!A29)</f>
        <v>0</v>
      </c>
      <c r="E29" s="89">
        <f>SUMIFS('Cash flows mensuel'!F:F,'Cash flows mensuel'!$B:$B,Synthèse!A29)</f>
        <v>5693.9757561440447</v>
      </c>
      <c r="F29" s="89">
        <f t="shared" si="3"/>
        <v>-2765.2074083973102</v>
      </c>
      <c r="G29" s="89">
        <f>F29/(1+HLOOKUP(A29,'Real assumptions'!$A$21:$AK$22,2,TRUE)/100)^(N29+1)</f>
        <v>-1254.7044095870276</v>
      </c>
      <c r="H29" s="89">
        <f>B29/(1+HLOOKUP(A29,'Real assumptions'!$A$21:$AK$22,2,TRUE)/100)^N29</f>
        <v>7317.9117009790898</v>
      </c>
      <c r="I29" s="89">
        <f>SUM($G$2:G29)</f>
        <v>248416.41085294241</v>
      </c>
      <c r="J29" s="89">
        <f>SUM($H$2:H29)</f>
        <v>829425.55421378952</v>
      </c>
      <c r="K29" s="91">
        <f t="shared" si="1"/>
        <v>0.29950416838605332</v>
      </c>
      <c r="L29" s="89">
        <f t="shared" si="0"/>
        <v>0</v>
      </c>
      <c r="M29" s="89">
        <f>SUMIFS('Cash flows mensuel'!$G:$G,'Cash flows mensuel'!$B:$B,Synthèse!A29)</f>
        <v>1101725.5053941093</v>
      </c>
      <c r="N29">
        <v>27</v>
      </c>
    </row>
    <row r="30" spans="1:14" x14ac:dyDescent="0.25">
      <c r="A30" s="131">
        <f t="shared" si="2"/>
        <v>2046</v>
      </c>
      <c r="B30" s="89">
        <f>SUMIFS('Cash flows mensuel'!$C:$C,'Cash flows mensuel'!$B:$B,Synthèse!A30)</f>
        <v>14501.831614091105</v>
      </c>
      <c r="C30" s="89">
        <f>SUMIFS('Cash flows mensuel'!D:D,'Cash flows mensuel'!$B:$B,Synthèse!A30)</f>
        <v>12365.432855949493</v>
      </c>
      <c r="D30" s="89">
        <f>SUMIFS('Cash flows mensuel'!E:E,'Cash flows mensuel'!$B:$B,Synthèse!A30)</f>
        <v>0</v>
      </c>
      <c r="E30" s="89">
        <f>SUMIFS('Cash flows mensuel'!F:F,'Cash flows mensuel'!$B:$B,Synthèse!A30)</f>
        <v>5352.6832628402299</v>
      </c>
      <c r="F30" s="89">
        <f t="shared" si="3"/>
        <v>-3216.2845046986185</v>
      </c>
      <c r="G30" s="89">
        <f>F30/(1+HLOOKUP(A30,'Real assumptions'!$A$21:$AK$22,2,TRUE)/100)^(N30+1)</f>
        <v>-1418.7684355970182</v>
      </c>
      <c r="H30" s="89">
        <f>B30/(1+HLOOKUP(A30,'Real assumptions'!$A$21:$AK$22,2,TRUE)/100)^N30</f>
        <v>6580.1617694329225</v>
      </c>
      <c r="I30" s="89">
        <f>SUM($G$2:G30)</f>
        <v>246997.6424173454</v>
      </c>
      <c r="J30" s="89">
        <f>SUM($H$2:H30)</f>
        <v>836005.71598322247</v>
      </c>
      <c r="K30" s="91">
        <f t="shared" si="1"/>
        <v>0.29544970530118042</v>
      </c>
      <c r="L30" s="89">
        <f t="shared" si="0"/>
        <v>0</v>
      </c>
      <c r="M30" s="89">
        <f>SUMIFS('Cash flows mensuel'!$G:$G,'Cash flows mensuel'!$B:$B,Synthèse!A30)</f>
        <v>1096819.9729163949</v>
      </c>
      <c r="N30">
        <v>28</v>
      </c>
    </row>
    <row r="31" spans="1:14" x14ac:dyDescent="0.25">
      <c r="A31" s="131">
        <f t="shared" si="2"/>
        <v>2047</v>
      </c>
      <c r="B31" s="89">
        <f>SUMIFS('Cash flows mensuel'!$C:$C,'Cash flows mensuel'!$B:$B,Synthèse!A31)</f>
        <v>13364.162985789893</v>
      </c>
      <c r="C31" s="89">
        <f>SUMIFS('Cash flows mensuel'!D:D,'Cash flows mensuel'!$B:$B,Synthèse!A31)</f>
        <v>12061.096278235158</v>
      </c>
      <c r="D31" s="89">
        <f>SUMIFS('Cash flows mensuel'!E:E,'Cash flows mensuel'!$B:$B,Synthèse!A31)</f>
        <v>0</v>
      </c>
      <c r="E31" s="89">
        <f>SUMIFS('Cash flows mensuel'!F:F,'Cash flows mensuel'!$B:$B,Synthèse!A31)</f>
        <v>5014.4559300865003</v>
      </c>
      <c r="F31" s="89">
        <f t="shared" si="3"/>
        <v>-3711.389222531765</v>
      </c>
      <c r="G31" s="89">
        <f>F31/(1+HLOOKUP(A31,'Real assumptions'!$A$21:$AK$22,2,TRUE)/100)^(N31+1)</f>
        <v>-1591.982315819148</v>
      </c>
      <c r="H31" s="89">
        <f>B31/(1+HLOOKUP(A31,'Real assumptions'!$A$21:$AK$22,2,TRUE)/100)^N31</f>
        <v>5896.5335764299725</v>
      </c>
      <c r="I31" s="89">
        <f>SUM($G$2:G31)</f>
        <v>245405.66010152624</v>
      </c>
      <c r="J31" s="89">
        <f>SUM($H$2:H31)</f>
        <v>841902.24955965241</v>
      </c>
      <c r="K31" s="91">
        <f t="shared" si="1"/>
        <v>0.29148949326347917</v>
      </c>
      <c r="L31" s="89">
        <f t="shared" si="0"/>
        <v>0</v>
      </c>
      <c r="M31" s="89">
        <f>SUMIFS('Cash flows mensuel'!$G:$G,'Cash flows mensuel'!$B:$B,Synthèse!A31)</f>
        <v>1085769.7093238942</v>
      </c>
      <c r="N31">
        <v>29</v>
      </c>
    </row>
    <row r="32" spans="1:14" x14ac:dyDescent="0.25">
      <c r="A32" s="131">
        <f t="shared" si="2"/>
        <v>2048</v>
      </c>
      <c r="B32" s="89">
        <f>SUMIFS('Cash flows mensuel'!$C:$C,'Cash flows mensuel'!$B:$B,Synthèse!A32)</f>
        <v>12267.249062532686</v>
      </c>
      <c r="C32" s="89">
        <f>SUMIFS('Cash flows mensuel'!D:D,'Cash flows mensuel'!$B:$B,Synthèse!A32)</f>
        <v>11669.935510917519</v>
      </c>
      <c r="D32" s="89">
        <f>SUMIFS('Cash flows mensuel'!E:E,'Cash flows mensuel'!$B:$B,Synthèse!A32)</f>
        <v>0</v>
      </c>
      <c r="E32" s="89">
        <f>SUMIFS('Cash flows mensuel'!F:F,'Cash flows mensuel'!$B:$B,Synthèse!A32)</f>
        <v>4680.1523480340365</v>
      </c>
      <c r="F32" s="89">
        <f t="shared" si="3"/>
        <v>-4082.8387964188696</v>
      </c>
      <c r="G32" s="89">
        <f>F32/(1+HLOOKUP(A32,'Real assumptions'!$A$21:$AK$22,2,TRUE)/100)^(N32+1)</f>
        <v>-1702.5411041256143</v>
      </c>
      <c r="H32" s="89">
        <f>B32/(1+HLOOKUP(A32,'Real assumptions'!$A$21:$AK$22,2,TRUE)/100)^N32</f>
        <v>5261.8232232474866</v>
      </c>
      <c r="I32" s="89">
        <f>SUM($G$2:G32)</f>
        <v>243703.11899740063</v>
      </c>
      <c r="J32" s="89">
        <f>SUM($H$2:H32)</f>
        <v>847164.07278289995</v>
      </c>
      <c r="K32" s="91">
        <f t="shared" si="1"/>
        <v>0.28766932737934187</v>
      </c>
      <c r="L32" s="89">
        <f t="shared" si="0"/>
        <v>0</v>
      </c>
      <c r="M32" s="89">
        <f>SUMIFS('Cash flows mensuel'!$G:$G,'Cash flows mensuel'!$B:$B,Synthèse!A32)</f>
        <v>1069197.8298221652</v>
      </c>
      <c r="N32">
        <v>30</v>
      </c>
    </row>
    <row r="33" spans="1:14" x14ac:dyDescent="0.25">
      <c r="A33" s="131">
        <f t="shared" si="2"/>
        <v>2049</v>
      </c>
      <c r="B33" s="89">
        <f>SUMIFS('Cash flows mensuel'!$C:$C,'Cash flows mensuel'!$B:$B,Synthèse!A33)</f>
        <v>11212.522360296092</v>
      </c>
      <c r="C33" s="89">
        <f>SUMIFS('Cash flows mensuel'!D:D,'Cash flows mensuel'!$B:$B,Synthèse!A33)</f>
        <v>11270.11843987005</v>
      </c>
      <c r="D33" s="89">
        <f>SUMIFS('Cash flows mensuel'!E:E,'Cash flows mensuel'!$B:$B,Synthèse!A33)</f>
        <v>0</v>
      </c>
      <c r="E33" s="89">
        <f>SUMIFS('Cash flows mensuel'!F:F,'Cash flows mensuel'!$B:$B,Synthèse!A33)</f>
        <v>4350.6409167173124</v>
      </c>
      <c r="F33" s="89">
        <f t="shared" si="3"/>
        <v>-4408.2369962912699</v>
      </c>
      <c r="G33" s="89">
        <f>F33/(1+HLOOKUP(A33,'Real assumptions'!$A$21:$AK$22,2,TRUE)/100)^(N33+1)</f>
        <v>-1787.1463607742789</v>
      </c>
      <c r="H33" s="89">
        <f>B33/(1+HLOOKUP(A33,'Real assumptions'!$A$21:$AK$22,2,TRUE)/100)^N33</f>
        <v>4675.7553945798027</v>
      </c>
      <c r="I33" s="89">
        <f>SUM($G$2:G33)</f>
        <v>241915.97263662633</v>
      </c>
      <c r="J33" s="89">
        <f>SUM($H$2:H33)</f>
        <v>851839.82817747979</v>
      </c>
      <c r="K33" s="91">
        <f t="shared" si="1"/>
        <v>0.28399232418400544</v>
      </c>
      <c r="L33" s="89">
        <f t="shared" si="0"/>
        <v>0</v>
      </c>
      <c r="M33" s="89">
        <f>SUMIFS('Cash flows mensuel'!$G:$G,'Cash flows mensuel'!$B:$B,Synthèse!A33)</f>
        <v>1048049.2104703754</v>
      </c>
      <c r="N33">
        <v>31</v>
      </c>
    </row>
    <row r="34" spans="1:14" x14ac:dyDescent="0.25">
      <c r="A34" s="131">
        <f t="shared" si="2"/>
        <v>2050</v>
      </c>
      <c r="B34" s="89">
        <f>SUMIFS('Cash flows mensuel'!$C:$C,'Cash flows mensuel'!$B:$B,Synthèse!A34)</f>
        <v>10201.52108819762</v>
      </c>
      <c r="C34" s="89">
        <f>SUMIFS('Cash flows mensuel'!D:D,'Cash flows mensuel'!$B:$B,Synthèse!A34)</f>
        <v>10875.792059207943</v>
      </c>
      <c r="D34" s="89">
        <f>SUMIFS('Cash flows mensuel'!E:E,'Cash flows mensuel'!$B:$B,Synthèse!A34)</f>
        <v>0</v>
      </c>
      <c r="E34" s="89">
        <f>SUMIFS('Cash flows mensuel'!F:F,'Cash flows mensuel'!$B:$B,Synthèse!A34)</f>
        <v>4026.4745466611362</v>
      </c>
      <c r="F34" s="89">
        <f t="shared" si="3"/>
        <v>-4700.7455176714593</v>
      </c>
      <c r="G34" s="89">
        <f>F34/(1+HLOOKUP(A34,'Real assumptions'!$A$21:$AK$22,2,TRUE)/100)^(N34+1)</f>
        <v>-2277.8486987829542</v>
      </c>
      <c r="H34" s="89">
        <f>B34/(1+HLOOKUP(A34,'Real assumptions'!$A$21:$AK$22,2,TRUE)/100)^N34</f>
        <v>5053.0973677695902</v>
      </c>
      <c r="I34" s="89">
        <f>SUM($G$2:G34)</f>
        <v>239638.12393784337</v>
      </c>
      <c r="J34" s="89">
        <f>SUM($H$2:H34)</f>
        <v>856892.92554524937</v>
      </c>
      <c r="K34" s="91">
        <f t="shared" si="1"/>
        <v>0.27965935625546129</v>
      </c>
      <c r="L34" s="89">
        <f t="shared" si="0"/>
        <v>0</v>
      </c>
      <c r="M34" s="89">
        <f>SUMIFS('Cash flows mensuel'!$G:$G,'Cash flows mensuel'!$B:$B,Synthèse!A34)</f>
        <v>1019106.5316441451</v>
      </c>
      <c r="N34">
        <v>32</v>
      </c>
    </row>
    <row r="35" spans="1:14" x14ac:dyDescent="0.25">
      <c r="A35" s="131">
        <f t="shared" si="2"/>
        <v>2051</v>
      </c>
      <c r="B35" s="89">
        <f>SUMIFS('Cash flows mensuel'!$C:$C,'Cash flows mensuel'!$B:$B,Synthèse!A35)</f>
        <v>9235.8648544961143</v>
      </c>
      <c r="C35" s="89">
        <f>SUMIFS('Cash flows mensuel'!D:D,'Cash flows mensuel'!$B:$B,Synthèse!A35)</f>
        <v>10539.129660729608</v>
      </c>
      <c r="D35" s="89">
        <f>SUMIFS('Cash flows mensuel'!E:E,'Cash flows mensuel'!$B:$B,Synthèse!A35)</f>
        <v>0</v>
      </c>
      <c r="E35" s="89">
        <f>SUMIFS('Cash flows mensuel'!F:F,'Cash flows mensuel'!$B:$B,Synthèse!A35)</f>
        <v>3709.5208198667779</v>
      </c>
      <c r="F35" s="89">
        <f t="shared" si="3"/>
        <v>-5012.7856261002717</v>
      </c>
      <c r="G35" s="89">
        <f>F35/(1+HLOOKUP(A35,'Real assumptions'!$A$21:$AK$22,2,TRUE)/100)^(N35+1)</f>
        <v>-2388.9092686790291</v>
      </c>
      <c r="H35" s="89">
        <f>B35/(1+HLOOKUP(A35,'Real assumptions'!$A$21:$AK$22,2,TRUE)/100)^N35</f>
        <v>4498.4731853712201</v>
      </c>
      <c r="I35" s="89">
        <f>SUM($G$2:G35)</f>
        <v>237249.21466916433</v>
      </c>
      <c r="J35" s="89">
        <f>SUM($H$2:H35)</f>
        <v>861391.39873062063</v>
      </c>
      <c r="K35" s="91">
        <f t="shared" si="1"/>
        <v>0.27542556730747936</v>
      </c>
      <c r="L35" s="89">
        <f t="shared" si="0"/>
        <v>0</v>
      </c>
      <c r="M35" s="89">
        <f>SUMIFS('Cash flows mensuel'!$G:$G,'Cash flows mensuel'!$B:$B,Synthèse!A35)</f>
        <v>982507.4763840104</v>
      </c>
      <c r="N35">
        <v>33</v>
      </c>
    </row>
    <row r="36" spans="1:14" x14ac:dyDescent="0.25">
      <c r="A36" s="131">
        <f t="shared" si="2"/>
        <v>2052</v>
      </c>
      <c r="B36" s="89">
        <f>SUMIFS('Cash flows mensuel'!$C:$C,'Cash flows mensuel'!$B:$B,Synthèse!A36)</f>
        <v>8317.2187935656311</v>
      </c>
      <c r="C36" s="89">
        <f>SUMIFS('Cash flows mensuel'!D:D,'Cash flows mensuel'!$B:$B,Synthèse!A36)</f>
        <v>10138.942717729093</v>
      </c>
      <c r="D36" s="89">
        <f>SUMIFS('Cash flows mensuel'!E:E,'Cash flows mensuel'!$B:$B,Synthèse!A36)</f>
        <v>0</v>
      </c>
      <c r="E36" s="89">
        <f>SUMIFS('Cash flows mensuel'!F:F,'Cash flows mensuel'!$B:$B,Synthèse!A36)</f>
        <v>3399.2387013471402</v>
      </c>
      <c r="F36" s="89">
        <f t="shared" si="3"/>
        <v>-5220.9626255106014</v>
      </c>
      <c r="G36" s="89">
        <f>F36/(1+HLOOKUP(A36,'Real assumptions'!$A$21:$AK$22,2,TRUE)/100)^(N36+1)</f>
        <v>-5220.9626255106014</v>
      </c>
      <c r="H36" s="89">
        <f>B36/(1+HLOOKUP(A36,'Real assumptions'!$A$21:$AK$22,2,TRUE)/100)^N36</f>
        <v>8317.2187935656311</v>
      </c>
      <c r="I36" s="89">
        <f>SUM($G$2:G36)</f>
        <v>232028.25204365372</v>
      </c>
      <c r="J36" s="89">
        <f>SUM($H$2:H36)</f>
        <v>869708.61752418627</v>
      </c>
      <c r="K36" s="91">
        <f t="shared" si="1"/>
        <v>0.26678849371893354</v>
      </c>
      <c r="L36" s="89">
        <f t="shared" si="0"/>
        <v>0</v>
      </c>
      <c r="M36" s="89">
        <f>SUMIFS('Cash flows mensuel'!$G:$G,'Cash flows mensuel'!$B:$B,Synthèse!A36)</f>
        <v>930678.12669487472</v>
      </c>
      <c r="N36">
        <v>34</v>
      </c>
    </row>
    <row r="37" spans="1:14" x14ac:dyDescent="0.25">
      <c r="A37" s="131">
        <f t="shared" si="2"/>
        <v>2053</v>
      </c>
      <c r="B37" s="89">
        <f>SUMIFS('Cash flows mensuel'!$C:$C,'Cash flows mensuel'!$B:$B,Synthèse!A37)</f>
        <v>7447.2443825364589</v>
      </c>
      <c r="C37" s="89">
        <f>SUMIFS('Cash flows mensuel'!D:D,'Cash flows mensuel'!$B:$B,Synthèse!A37)</f>
        <v>9649.3960664819679</v>
      </c>
      <c r="D37" s="89">
        <f>SUMIFS('Cash flows mensuel'!E:E,'Cash flows mensuel'!$B:$B,Synthèse!A37)</f>
        <v>0</v>
      </c>
      <c r="E37" s="89">
        <f>SUMIFS('Cash flows mensuel'!F:F,'Cash flows mensuel'!$B:$B,Synthèse!A37)</f>
        <v>3099.4183100867403</v>
      </c>
      <c r="F37" s="89">
        <f t="shared" si="3"/>
        <v>-5301.5699940322493</v>
      </c>
      <c r="G37" s="89">
        <f>F37/(1+HLOOKUP(A37,'Real assumptions'!$A$21:$AK$22,2,TRUE)/100)^(N37+1)</f>
        <v>-5301.5699940322493</v>
      </c>
      <c r="H37" s="89">
        <f>B37/(1+HLOOKUP(A37,'Real assumptions'!$A$21:$AK$22,2,TRUE)/100)^N37</f>
        <v>7447.2443825364589</v>
      </c>
      <c r="I37" s="89">
        <f>SUM($G$2:G37)</f>
        <v>226726.68204962148</v>
      </c>
      <c r="J37" s="89">
        <f>SUM($H$2:H37)</f>
        <v>877155.86190672277</v>
      </c>
      <c r="K37" s="91">
        <f t="shared" si="1"/>
        <v>0.25847935571766345</v>
      </c>
      <c r="L37" s="89">
        <f t="shared" si="0"/>
        <v>0</v>
      </c>
      <c r="M37" s="89">
        <f>SUMIFS('Cash flows mensuel'!$G:$G,'Cash flows mensuel'!$B:$B,Synthèse!A37)</f>
        <v>867501.83688514889</v>
      </c>
      <c r="N37">
        <v>35</v>
      </c>
    </row>
    <row r="38" spans="1:14" x14ac:dyDescent="0.25">
      <c r="A38" s="131">
        <f t="shared" si="2"/>
        <v>2054</v>
      </c>
      <c r="B38" s="89">
        <f>SUMIFS('Cash flows mensuel'!$C:$C,'Cash flows mensuel'!$B:$B,Synthèse!A38)</f>
        <v>6627.5365101206007</v>
      </c>
      <c r="C38" s="89">
        <f>SUMIFS('Cash flows mensuel'!D:D,'Cash flows mensuel'!$B:$B,Synthèse!A38)</f>
        <v>9257.999179270515</v>
      </c>
      <c r="D38" s="89">
        <f>SUMIFS('Cash flows mensuel'!E:E,'Cash flows mensuel'!$B:$B,Synthèse!A38)</f>
        <v>0</v>
      </c>
      <c r="E38" s="89">
        <f>SUMIFS('Cash flows mensuel'!F:F,'Cash flows mensuel'!$B:$B,Synthèse!A38)</f>
        <v>2809.8562809298955</v>
      </c>
      <c r="F38" s="89">
        <f t="shared" si="3"/>
        <v>-5440.3189500798098</v>
      </c>
      <c r="G38" s="89">
        <f>F38/(1+HLOOKUP(A38,'Real assumptions'!$A$21:$AK$22,2,TRUE)/100)^(N38+1)</f>
        <v>-5440.3189500798098</v>
      </c>
      <c r="H38" s="89">
        <f>B38/(1+HLOOKUP(A38,'Real assumptions'!$A$21:$AK$22,2,TRUE)/100)^N38</f>
        <v>6627.5365101206007</v>
      </c>
      <c r="I38" s="89">
        <f>SUM($G$2:G38)</f>
        <v>221286.36309954166</v>
      </c>
      <c r="J38" s="89">
        <f>SUM($H$2:H38)</f>
        <v>883783.39841684338</v>
      </c>
      <c r="K38" s="91">
        <f t="shared" si="1"/>
        <v>0.25038529066730691</v>
      </c>
      <c r="L38" s="89">
        <f t="shared" si="0"/>
        <v>0</v>
      </c>
      <c r="M38" s="89">
        <f>SUMIFS('Cash flows mensuel'!$G:$G,'Cash flows mensuel'!$B:$B,Synthèse!A38)</f>
        <v>803030.78102885967</v>
      </c>
      <c r="N38">
        <v>36</v>
      </c>
    </row>
    <row r="39" spans="1:14" x14ac:dyDescent="0.25">
      <c r="A39" s="131">
        <f t="shared" si="2"/>
        <v>2055</v>
      </c>
      <c r="B39" s="89">
        <f>SUMIFS('Cash flows mensuel'!$C:$C,'Cash flows mensuel'!$B:$B,Synthèse!A39)</f>
        <v>5859.5482869146244</v>
      </c>
      <c r="C39" s="89">
        <f>SUMIFS('Cash flows mensuel'!D:D,'Cash flows mensuel'!$B:$B,Synthèse!A39)</f>
        <v>8838.6518255201263</v>
      </c>
      <c r="D39" s="89">
        <f>SUMIFS('Cash flows mensuel'!E:E,'Cash flows mensuel'!$B:$B,Synthèse!A39)</f>
        <v>0</v>
      </c>
      <c r="E39" s="89">
        <f>SUMIFS('Cash flows mensuel'!F:F,'Cash flows mensuel'!$B:$B,Synthèse!A39)</f>
        <v>2531.7956012106433</v>
      </c>
      <c r="F39" s="89">
        <f t="shared" si="3"/>
        <v>-5510.8991398161452</v>
      </c>
      <c r="G39" s="89">
        <f>F39/(1+HLOOKUP(A39,'Real assumptions'!$A$21:$AK$22,2,TRUE)/100)^(N39+1)</f>
        <v>-5510.8991398161452</v>
      </c>
      <c r="H39" s="89">
        <f>B39/(1+HLOOKUP(A39,'Real assumptions'!$A$21:$AK$22,2,TRUE)/100)^N39</f>
        <v>5859.5482869146244</v>
      </c>
      <c r="I39" s="89">
        <f>SUM($G$2:G39)</f>
        <v>215775.46395972552</v>
      </c>
      <c r="J39" s="89">
        <f>SUM($H$2:H39)</f>
        <v>889642.94670375797</v>
      </c>
      <c r="K39" s="91">
        <f t="shared" si="1"/>
        <v>0.24254164522879823</v>
      </c>
      <c r="L39" s="89">
        <f t="shared" si="0"/>
        <v>0</v>
      </c>
      <c r="M39" s="89">
        <f>SUMIFS('Cash flows mensuel'!$G:$G,'Cash flows mensuel'!$B:$B,Synthèse!A39)</f>
        <v>737241.88109396375</v>
      </c>
      <c r="N39">
        <v>37</v>
      </c>
    </row>
    <row r="40" spans="1:14" x14ac:dyDescent="0.25">
      <c r="A40" s="131">
        <f t="shared" si="2"/>
        <v>2056</v>
      </c>
      <c r="B40" s="89">
        <f>SUMIFS('Cash flows mensuel'!$C:$C,'Cash flows mensuel'!$B:$B,Synthèse!A40)</f>
        <v>5144.5069539307706</v>
      </c>
      <c r="C40" s="89">
        <f>SUMIFS('Cash flows mensuel'!D:D,'Cash flows mensuel'!$B:$B,Synthèse!A40)</f>
        <v>8401.1481596922931</v>
      </c>
      <c r="D40" s="89">
        <f>SUMIFS('Cash flows mensuel'!E:E,'Cash flows mensuel'!$B:$B,Synthèse!A40)</f>
        <v>0</v>
      </c>
      <c r="E40" s="89">
        <f>SUMIFS('Cash flows mensuel'!F:F,'Cash flows mensuel'!$B:$B,Synthèse!A40)</f>
        <v>2266.4192723483957</v>
      </c>
      <c r="F40" s="89">
        <f t="shared" si="3"/>
        <v>-5523.0604781099182</v>
      </c>
      <c r="G40" s="89">
        <f>F40/(1+HLOOKUP(A40,'Real assumptions'!$A$21:$AK$22,2,TRUE)/100)^(N40+1)</f>
        <v>-5523.0604781099182</v>
      </c>
      <c r="H40" s="89">
        <f>B40/(1+HLOOKUP(A40,'Real assumptions'!$A$21:$AK$22,2,TRUE)/100)^N40</f>
        <v>5144.5069539307706</v>
      </c>
      <c r="I40" s="89">
        <f>SUM($G$2:G40)</f>
        <v>210252.40348161559</v>
      </c>
      <c r="J40" s="89">
        <f>SUM($H$2:H40)</f>
        <v>894787.45365768869</v>
      </c>
      <c r="K40" s="91">
        <f t="shared" si="1"/>
        <v>0.23497468881816719</v>
      </c>
      <c r="L40" s="89">
        <f t="shared" si="0"/>
        <v>0</v>
      </c>
      <c r="M40" s="89">
        <f>SUMIFS('Cash flows mensuel'!$G:$G,'Cash flows mensuel'!$B:$B,Synthèse!A40)</f>
        <v>670960.18197337771</v>
      </c>
      <c r="N40">
        <v>38</v>
      </c>
    </row>
    <row r="41" spans="1:14" x14ac:dyDescent="0.25">
      <c r="A41" s="131">
        <f t="shared" si="2"/>
        <v>2057</v>
      </c>
      <c r="B41" s="89">
        <f>SUMIFS('Cash flows mensuel'!$C:$C,'Cash flows mensuel'!$B:$B,Synthèse!A41)</f>
        <v>4483.3259949038766</v>
      </c>
      <c r="C41" s="89">
        <f>SUMIFS('Cash flows mensuel'!D:D,'Cash flows mensuel'!$B:$B,Synthèse!A41)</f>
        <v>7890.3788851692698</v>
      </c>
      <c r="D41" s="89">
        <f>SUMIFS('Cash flows mensuel'!E:E,'Cash flows mensuel'!$B:$B,Synthèse!A41)</f>
        <v>0</v>
      </c>
      <c r="E41" s="89">
        <f>SUMIFS('Cash flows mensuel'!F:F,'Cash flows mensuel'!$B:$B,Synthèse!A41)</f>
        <v>2014.8683537070576</v>
      </c>
      <c r="F41" s="89">
        <f t="shared" si="3"/>
        <v>-5421.9212439724506</v>
      </c>
      <c r="G41" s="89">
        <f>F41/(1+HLOOKUP(A41,'Real assumptions'!$A$21:$AK$22,2,TRUE)/100)^(N41+1)</f>
        <v>-5421.9212439724506</v>
      </c>
      <c r="H41" s="89">
        <f>B41/(1+HLOOKUP(A41,'Real assumptions'!$A$21:$AK$22,2,TRUE)/100)^N41</f>
        <v>4483.3259949038766</v>
      </c>
      <c r="I41" s="89">
        <f>SUM($G$2:G41)</f>
        <v>204830.48223764315</v>
      </c>
      <c r="J41" s="89">
        <f>SUM($H$2:H41)</f>
        <v>899270.77965259261</v>
      </c>
      <c r="K41" s="91">
        <f t="shared" si="1"/>
        <v>0.22777397739618929</v>
      </c>
      <c r="L41" s="89">
        <f t="shared" si="0"/>
        <v>0</v>
      </c>
      <c r="M41" s="89">
        <f>SUMIFS('Cash flows mensuel'!$G:$G,'Cash flows mensuel'!$B:$B,Synthèse!A41)</f>
        <v>605238.15700804337</v>
      </c>
      <c r="N41">
        <v>39</v>
      </c>
    </row>
    <row r="42" spans="1:14" x14ac:dyDescent="0.25">
      <c r="A42" s="131">
        <f t="shared" si="2"/>
        <v>2058</v>
      </c>
      <c r="B42" s="89">
        <f>SUMIFS('Cash flows mensuel'!$C:$C,'Cash flows mensuel'!$B:$B,Synthèse!A42)</f>
        <v>3876.519859391743</v>
      </c>
      <c r="C42" s="89">
        <f>SUMIFS('Cash flows mensuel'!D:D,'Cash flows mensuel'!$B:$B,Synthèse!A42)</f>
        <v>7341.7875826400523</v>
      </c>
      <c r="D42" s="89">
        <f>SUMIFS('Cash flows mensuel'!E:E,'Cash flows mensuel'!$B:$B,Synthèse!A42)</f>
        <v>0</v>
      </c>
      <c r="E42" s="89">
        <f>SUMIFS('Cash flows mensuel'!F:F,'Cash flows mensuel'!$B:$B,Synthèse!A42)</f>
        <v>1778.1592296388596</v>
      </c>
      <c r="F42" s="89">
        <f t="shared" si="3"/>
        <v>-5243.4269528871691</v>
      </c>
      <c r="G42" s="89">
        <f>F42/(1+HLOOKUP(A42,'Real assumptions'!$A$21:$AK$22,2,TRUE)/100)^(N42+1)</f>
        <v>-5243.4269528871691</v>
      </c>
      <c r="H42" s="89">
        <f>B42/(1+HLOOKUP(A42,'Real assumptions'!$A$21:$AK$22,2,TRUE)/100)^N42</f>
        <v>3876.519859391743</v>
      </c>
      <c r="I42" s="89">
        <f>SUM($G$2:G42)</f>
        <v>199587.05528475597</v>
      </c>
      <c r="J42" s="89">
        <f>SUM($H$2:H42)</f>
        <v>903147.29951198434</v>
      </c>
      <c r="K42" s="91">
        <f t="shared" si="1"/>
        <v>0.22099059078469574</v>
      </c>
      <c r="L42" s="89">
        <f t="shared" si="0"/>
        <v>0</v>
      </c>
      <c r="M42" s="89">
        <f>SUMIFS('Cash flows mensuel'!$G:$G,'Cash flows mensuel'!$B:$B,Synthèse!A42)</f>
        <v>541360.2262785763</v>
      </c>
      <c r="N42">
        <v>40</v>
      </c>
    </row>
    <row r="43" spans="1:14" x14ac:dyDescent="0.25">
      <c r="A43" s="131">
        <f t="shared" si="2"/>
        <v>2059</v>
      </c>
      <c r="B43" s="89">
        <f>SUMIFS('Cash flows mensuel'!$C:$C,'Cash flows mensuel'!$B:$B,Synthèse!A43)</f>
        <v>3324.1282978797053</v>
      </c>
      <c r="C43" s="89">
        <f>SUMIFS('Cash flows mensuel'!D:D,'Cash flows mensuel'!$B:$B,Synthèse!A43)</f>
        <v>6799.2094736038944</v>
      </c>
      <c r="D43" s="89">
        <f>SUMIFS('Cash flows mensuel'!E:E,'Cash flows mensuel'!$B:$B,Synthèse!A43)</f>
        <v>0</v>
      </c>
      <c r="E43" s="89">
        <f>SUMIFS('Cash flows mensuel'!F:F,'Cash flows mensuel'!$B:$B,Synthèse!A43)</f>
        <v>1557.1653274358005</v>
      </c>
      <c r="F43" s="89">
        <f t="shared" si="3"/>
        <v>-5032.2465031599895</v>
      </c>
      <c r="G43" s="89">
        <f>F43/(1+HLOOKUP(A43,'Real assumptions'!$A$21:$AK$22,2,TRUE)/100)^(N43+1)</f>
        <v>-5032.2465031599895</v>
      </c>
      <c r="H43" s="89">
        <f>B43/(1+HLOOKUP(A43,'Real assumptions'!$A$21:$AK$22,2,TRUE)/100)^N43</f>
        <v>3324.1282978797053</v>
      </c>
      <c r="I43" s="89">
        <f>SUM($G$2:G43)</f>
        <v>194554.80878159599</v>
      </c>
      <c r="J43" s="89">
        <f>SUM($H$2:H43)</f>
        <v>906471.42780986405</v>
      </c>
      <c r="K43" s="91">
        <f t="shared" si="1"/>
        <v>0.21462872718631859</v>
      </c>
      <c r="L43" s="89">
        <f t="shared" si="0"/>
        <v>0</v>
      </c>
      <c r="M43" s="89">
        <f>SUMIFS('Cash flows mensuel'!$G:$G,'Cash flows mensuel'!$B:$B,Synthèse!A43)</f>
        <v>479759.0709902895</v>
      </c>
      <c r="N43">
        <v>41</v>
      </c>
    </row>
    <row r="44" spans="1:14" x14ac:dyDescent="0.25">
      <c r="A44" s="131">
        <f t="shared" si="2"/>
        <v>2060</v>
      </c>
      <c r="B44" s="89">
        <f>SUMIFS('Cash flows mensuel'!$C:$C,'Cash flows mensuel'!$B:$B,Synthèse!A44)</f>
        <v>2825.6584816128316</v>
      </c>
      <c r="C44" s="89">
        <f>SUMIFS('Cash flows mensuel'!D:D,'Cash flows mensuel'!$B:$B,Synthèse!A44)</f>
        <v>6235.9175915582009</v>
      </c>
      <c r="D44" s="89">
        <f>SUMIFS('Cash flows mensuel'!E:E,'Cash flows mensuel'!$B:$B,Synthèse!A44)</f>
        <v>0</v>
      </c>
      <c r="E44" s="89">
        <f>SUMIFS('Cash flows mensuel'!F:F,'Cash flows mensuel'!$B:$B,Synthèse!A44)</f>
        <v>1352.6011155433612</v>
      </c>
      <c r="F44" s="89">
        <f t="shared" si="3"/>
        <v>-4762.8602254887301</v>
      </c>
      <c r="G44" s="89">
        <f>F44/(1+HLOOKUP(A44,'Real assumptions'!$A$21:$AK$22,2,TRUE)/100)^(N44+1)</f>
        <v>-4762.8602254887301</v>
      </c>
      <c r="H44" s="89">
        <f>B44/(1+HLOOKUP(A44,'Real assumptions'!$A$21:$AK$22,2,TRUE)/100)^N44</f>
        <v>2825.6584816128316</v>
      </c>
      <c r="I44" s="89">
        <f>SUM($G$2:G44)</f>
        <v>189791.94855610727</v>
      </c>
      <c r="J44" s="89">
        <f>SUM($H$2:H44)</f>
        <v>909297.08629147685</v>
      </c>
      <c r="K44" s="91">
        <f t="shared" si="1"/>
        <v>0.20872380591272358</v>
      </c>
      <c r="L44" s="89">
        <f t="shared" si="0"/>
        <v>0</v>
      </c>
      <c r="M44" s="89">
        <f>SUMIFS('Cash flows mensuel'!$G:$G,'Cash flows mensuel'!$B:$B,Synthèse!A44)</f>
        <v>421100.42273374414</v>
      </c>
      <c r="N44">
        <v>42</v>
      </c>
    </row>
    <row r="45" spans="1:14" x14ac:dyDescent="0.25">
      <c r="A45" s="131">
        <f t="shared" si="2"/>
        <v>2061</v>
      </c>
      <c r="B45" s="89">
        <f>SUMIFS('Cash flows mensuel'!$C:$C,'Cash flows mensuel'!$B:$B,Synthèse!A45)</f>
        <v>2380.043007313107</v>
      </c>
      <c r="C45" s="89">
        <f>SUMIFS('Cash flows mensuel'!D:D,'Cash flows mensuel'!$B:$B,Synthèse!A45)</f>
        <v>5669.53694363257</v>
      </c>
      <c r="D45" s="89">
        <f>SUMIFS('Cash flows mensuel'!E:E,'Cash flows mensuel'!$B:$B,Synthèse!A45)</f>
        <v>0</v>
      </c>
      <c r="E45" s="89">
        <f>SUMIFS('Cash flows mensuel'!F:F,'Cash flows mensuel'!$B:$B,Synthèse!A45)</f>
        <v>1164.9538858762849</v>
      </c>
      <c r="F45" s="89">
        <f t="shared" si="3"/>
        <v>-4454.4478221957479</v>
      </c>
      <c r="G45" s="89">
        <f>F45/(1+HLOOKUP(A45,'Real assumptions'!$A$21:$AK$22,2,TRUE)/100)^(N45+1)</f>
        <v>-4454.4478221957479</v>
      </c>
      <c r="H45" s="89">
        <f>B45/(1+HLOOKUP(A45,'Real assumptions'!$A$21:$AK$22,2,TRUE)/100)^N45</f>
        <v>2380.043007313107</v>
      </c>
      <c r="I45" s="89">
        <f>SUM($G$2:G45)</f>
        <v>185337.50073391153</v>
      </c>
      <c r="J45" s="89">
        <f>SUM($H$2:H45)</f>
        <v>911677.12929879001</v>
      </c>
      <c r="K45" s="91">
        <f t="shared" si="1"/>
        <v>0.20329291453923226</v>
      </c>
      <c r="L45" s="89">
        <f t="shared" si="0"/>
        <v>0</v>
      </c>
      <c r="M45" s="89">
        <f>SUMIFS('Cash flows mensuel'!$G:$G,'Cash flows mensuel'!$B:$B,Synthèse!A45)</f>
        <v>365926.33896568767</v>
      </c>
      <c r="N45">
        <v>43</v>
      </c>
    </row>
    <row r="46" spans="1:14" x14ac:dyDescent="0.25">
      <c r="A46" s="131">
        <f t="shared" si="2"/>
        <v>2062</v>
      </c>
      <c r="B46" s="89">
        <f>SUMIFS('Cash flows mensuel'!$C:$C,'Cash flows mensuel'!$B:$B,Synthèse!A46)</f>
        <v>1985.6567883218347</v>
      </c>
      <c r="C46" s="89">
        <f>SUMIFS('Cash flows mensuel'!D:D,'Cash flows mensuel'!$B:$B,Synthèse!A46)</f>
        <v>5099.8137424891147</v>
      </c>
      <c r="D46" s="89">
        <f>SUMIFS('Cash flows mensuel'!E:E,'Cash flows mensuel'!$B:$B,Synthèse!A46)</f>
        <v>0</v>
      </c>
      <c r="E46" s="89">
        <f>SUMIFS('Cash flows mensuel'!F:F,'Cash flows mensuel'!$B:$B,Synthèse!A46)</f>
        <v>994.49070715143921</v>
      </c>
      <c r="F46" s="89">
        <f t="shared" si="3"/>
        <v>-4108.6476613187187</v>
      </c>
      <c r="G46" s="89">
        <f>F46/(1+HLOOKUP(A46,'Real assumptions'!$A$21:$AK$22,2,TRUE)/100)^(N46+1)</f>
        <v>-4108.6476613187187</v>
      </c>
      <c r="H46" s="89">
        <f>B46/(1+HLOOKUP(A46,'Real assumptions'!$A$21:$AK$22,2,TRUE)/100)^N46</f>
        <v>1985.6567883218347</v>
      </c>
      <c r="I46" s="89">
        <f>SUM($G$2:G46)</f>
        <v>181228.85307259281</v>
      </c>
      <c r="J46" s="89">
        <f>SUM($H$2:H46)</f>
        <v>913662.7860871118</v>
      </c>
      <c r="K46" s="91">
        <f t="shared" si="1"/>
        <v>0.19835420226397818</v>
      </c>
      <c r="L46" s="89">
        <f t="shared" si="0"/>
        <v>0</v>
      </c>
      <c r="M46" s="89">
        <f>SUMIFS('Cash flows mensuel'!$G:$G,'Cash flows mensuel'!$B:$B,Synthèse!A46)</f>
        <v>314708.78994663578</v>
      </c>
      <c r="N46">
        <v>44</v>
      </c>
    </row>
    <row r="47" spans="1:14" x14ac:dyDescent="0.25">
      <c r="A47" s="131">
        <f t="shared" si="2"/>
        <v>2063</v>
      </c>
      <c r="B47" s="89">
        <f>SUMIFS('Cash flows mensuel'!$C:$C,'Cash flows mensuel'!$B:$B,Synthèse!A47)</f>
        <v>1640.3151513119037</v>
      </c>
      <c r="C47" s="89">
        <f>SUMIFS('Cash flows mensuel'!D:D,'Cash flows mensuel'!$B:$B,Synthèse!A47)</f>
        <v>4536.362129132367</v>
      </c>
      <c r="D47" s="89">
        <f>SUMIFS('Cash flows mensuel'!E:E,'Cash flows mensuel'!$B:$B,Synthèse!A47)</f>
        <v>0</v>
      </c>
      <c r="E47" s="89">
        <f>SUMIFS('Cash flows mensuel'!F:F,'Cash flows mensuel'!$B:$B,Synthèse!A47)</f>
        <v>841.20530822573926</v>
      </c>
      <c r="F47" s="89">
        <f t="shared" si="3"/>
        <v>-3737.2522860462027</v>
      </c>
      <c r="G47" s="89">
        <f>F47/(1+HLOOKUP(A47,'Real assumptions'!$A$21:$AK$22,2,TRUE)/100)^(N47+1)</f>
        <v>-3737.2522860462027</v>
      </c>
      <c r="H47" s="89">
        <f>B47/(1+HLOOKUP(A47,'Real assumptions'!$A$21:$AK$22,2,TRUE)/100)^N47</f>
        <v>1640.3151513119037</v>
      </c>
      <c r="I47" s="89">
        <f>SUM($G$2:G47)</f>
        <v>177491.60078654662</v>
      </c>
      <c r="J47" s="89">
        <f>SUM($H$2:H47)</f>
        <v>915303.10123842373</v>
      </c>
      <c r="K47" s="91">
        <f t="shared" si="1"/>
        <v>0.1939156554221185</v>
      </c>
      <c r="L47" s="89">
        <f t="shared" si="0"/>
        <v>0</v>
      </c>
      <c r="M47" s="89">
        <f>SUMIFS('Cash flows mensuel'!$G:$G,'Cash flows mensuel'!$B:$B,Synthèse!A47)</f>
        <v>267813.68503146846</v>
      </c>
      <c r="N47">
        <v>45</v>
      </c>
    </row>
    <row r="48" spans="1:14" x14ac:dyDescent="0.25">
      <c r="A48" s="131">
        <f t="shared" si="2"/>
        <v>2064</v>
      </c>
      <c r="B48" s="89">
        <f>SUMIFS('Cash flows mensuel'!$C:$C,'Cash flows mensuel'!$B:$B,Synthèse!A48)</f>
        <v>1341.2617724214058</v>
      </c>
      <c r="C48" s="89">
        <f>SUMIFS('Cash flows mensuel'!D:D,'Cash flows mensuel'!$B:$B,Synthèse!A48)</f>
        <v>3989.5488168545908</v>
      </c>
      <c r="D48" s="89">
        <f>SUMIFS('Cash flows mensuel'!E:E,'Cash flows mensuel'!$B:$B,Synthèse!A48)</f>
        <v>0</v>
      </c>
      <c r="E48" s="89">
        <f>SUMIFS('Cash flows mensuel'!F:F,'Cash flows mensuel'!$B:$B,Synthèse!A48)</f>
        <v>704.84642827684581</v>
      </c>
      <c r="F48" s="89">
        <f t="shared" si="3"/>
        <v>-3353.1334727100307</v>
      </c>
      <c r="G48" s="89">
        <f>F48/(1+HLOOKUP(A48,'Real assumptions'!$A$21:$AK$22,2,TRUE)/100)^(N48+1)</f>
        <v>-3353.1334727100307</v>
      </c>
      <c r="H48" s="89">
        <f>B48/(1+HLOOKUP(A48,'Real assumptions'!$A$21:$AK$22,2,TRUE)/100)^N48</f>
        <v>1341.2617724214058</v>
      </c>
      <c r="I48" s="89">
        <f>SUM($G$2:G48)</f>
        <v>174138.46731383659</v>
      </c>
      <c r="J48" s="89">
        <f>SUM($H$2:H48)</f>
        <v>916644.36301084515</v>
      </c>
      <c r="K48" s="91">
        <f t="shared" si="1"/>
        <v>0.18997385937317579</v>
      </c>
      <c r="L48" s="89">
        <f t="shared" si="0"/>
        <v>0</v>
      </c>
      <c r="M48" s="89">
        <f>SUMIFS('Cash flows mensuel'!$G:$G,'Cash flows mensuel'!$B:$B,Synthèse!A48)</f>
        <v>225469.81713997491</v>
      </c>
      <c r="N48">
        <v>46</v>
      </c>
    </row>
    <row r="49" spans="1:14" x14ac:dyDescent="0.25">
      <c r="A49" s="132">
        <f t="shared" si="2"/>
        <v>2065</v>
      </c>
      <c r="B49" s="89">
        <f>SUMIFS('Cash flows mensuel'!$C:$C,'Cash flows mensuel'!$B:$B,Synthèse!A49)</f>
        <v>1085.3589563979567</v>
      </c>
      <c r="C49" s="89">
        <f>SUMIFS('Cash flows mensuel'!D:D,'Cash flows mensuel'!$B:$B,Synthèse!A49)</f>
        <v>3463.5656975276825</v>
      </c>
      <c r="D49" s="89">
        <f>SUMIFS('Cash flows mensuel'!E:E,'Cash flows mensuel'!$B:$B,Synthèse!A49)</f>
        <v>0</v>
      </c>
      <c r="E49" s="89">
        <f>SUMIFS('Cash flows mensuel'!F:F,'Cash flows mensuel'!$B:$B,Synthèse!A49)</f>
        <v>584.93547163301423</v>
      </c>
      <c r="F49" s="89">
        <f t="shared" si="3"/>
        <v>-2963.1422127627402</v>
      </c>
      <c r="G49" s="89">
        <f>F49/(1+HLOOKUP(A49,'Real assumptions'!$A$21:$AK$22,2,TRUE)/100)^(N49+1)</f>
        <v>-2963.1422127627402</v>
      </c>
      <c r="H49" s="89">
        <f>B49/(1+HLOOKUP(A49,'Real assumptions'!$A$21:$AK$22,2,TRUE)/100)^N49</f>
        <v>1085.3589563979567</v>
      </c>
      <c r="I49" s="89">
        <f>SUM($G$2:G49)</f>
        <v>171175.32510107386</v>
      </c>
      <c r="J49" s="89">
        <f>SUM($H$2:H49)</f>
        <v>917729.72196724312</v>
      </c>
      <c r="K49" s="91">
        <f t="shared" si="1"/>
        <v>0.18652041118832119</v>
      </c>
      <c r="L49" s="89">
        <f t="shared" si="0"/>
        <v>0</v>
      </c>
      <c r="M49" s="89">
        <f>SUMIFS('Cash flows mensuel'!$G:$G,'Cash flows mensuel'!$B:$B,Synthèse!A49)</f>
        <v>187784.43726016924</v>
      </c>
      <c r="N49">
        <v>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">
                <anchor moveWithCells="1" sizeWithCells="1">
                  <from>
                    <xdr:col>15</xdr:col>
                    <xdr:colOff>581025</xdr:colOff>
                    <xdr:row>3</xdr:row>
                    <xdr:rowOff>161925</xdr:rowOff>
                  </from>
                  <to>
                    <xdr:col>19</xdr:col>
                    <xdr:colOff>466725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05FB4-E5B1-4EF3-862B-70BE70259B07}">
  <sheetPr codeName="Feuil2"/>
  <dimension ref="A1:J1761"/>
  <sheetViews>
    <sheetView workbookViewId="0">
      <selection activeCell="E3" sqref="E3:E14"/>
    </sheetView>
  </sheetViews>
  <sheetFormatPr baseColWidth="10" defaultRowHeight="15" x14ac:dyDescent="0.25"/>
  <cols>
    <col min="3" max="3" width="16.5703125" customWidth="1"/>
    <col min="4" max="4" width="18.42578125" customWidth="1"/>
    <col min="5" max="5" width="21.28515625" customWidth="1"/>
    <col min="6" max="6" width="18" customWidth="1"/>
    <col min="8" max="8" width="14.85546875" customWidth="1"/>
    <col min="9" max="9" width="18.7109375" customWidth="1"/>
  </cols>
  <sheetData>
    <row r="1" spans="1:10" x14ac:dyDescent="0.25">
      <c r="A1" s="110" t="s">
        <v>84</v>
      </c>
      <c r="B1" s="110" t="s">
        <v>193</v>
      </c>
      <c r="C1" s="111" t="s">
        <v>197</v>
      </c>
      <c r="D1" s="111" t="s">
        <v>198</v>
      </c>
      <c r="E1" s="111" t="s">
        <v>199</v>
      </c>
      <c r="F1" s="111" t="s">
        <v>200</v>
      </c>
      <c r="G1" s="111" t="s">
        <v>201</v>
      </c>
      <c r="H1" s="111" t="s">
        <v>202</v>
      </c>
      <c r="I1" s="111" t="s">
        <v>203</v>
      </c>
      <c r="J1" s="112" t="s">
        <v>204</v>
      </c>
    </row>
    <row r="2" spans="1:10" x14ac:dyDescent="0.25">
      <c r="A2" s="113">
        <f>'Cash flows par police'!C4</f>
        <v>43465</v>
      </c>
      <c r="B2" s="128">
        <f>YEAR(A2)</f>
        <v>2018</v>
      </c>
      <c r="C2">
        <v>0</v>
      </c>
      <c r="D2">
        <v>0</v>
      </c>
      <c r="E2">
        <v>0</v>
      </c>
      <c r="F2">
        <v>0</v>
      </c>
      <c r="G2">
        <v>-201300.46196935145</v>
      </c>
      <c r="H2">
        <v>0</v>
      </c>
      <c r="I2">
        <v>0</v>
      </c>
    </row>
    <row r="3" spans="1:10" x14ac:dyDescent="0.25">
      <c r="A3" s="113">
        <f>DATE(YEAR(A2),MONTH(A2)+2,1)-1</f>
        <v>43496</v>
      </c>
      <c r="B3" s="128">
        <f t="shared" ref="B3:B66" si="0">YEAR(A3)</f>
        <v>2019</v>
      </c>
      <c r="C3">
        <v>5687.7000000000025</v>
      </c>
      <c r="D3">
        <v>1485.1733033267878</v>
      </c>
      <c r="E3">
        <v>1009.5100000000002</v>
      </c>
      <c r="F3">
        <v>1580.0004978969937</v>
      </c>
      <c r="G3">
        <v>-199923.10475264231</v>
      </c>
      <c r="H3">
        <v>0</v>
      </c>
      <c r="I3">
        <v>0</v>
      </c>
    </row>
    <row r="4" spans="1:10" x14ac:dyDescent="0.25">
      <c r="A4" s="113">
        <f t="shared" ref="A4:A67" si="1">DATE(YEAR(A3),MONTH(A3)+2,1)-1</f>
        <v>43524</v>
      </c>
      <c r="B4" s="128">
        <f t="shared" si="0"/>
        <v>2019</v>
      </c>
      <c r="C4">
        <v>5905.4950444674023</v>
      </c>
      <c r="D4">
        <v>1540.1945055178633</v>
      </c>
      <c r="E4">
        <v>1045.6295706257315</v>
      </c>
      <c r="F4">
        <v>1578.3309104928398</v>
      </c>
      <c r="G4">
        <v>-198415.81122851922</v>
      </c>
      <c r="H4">
        <v>0</v>
      </c>
      <c r="I4">
        <v>0</v>
      </c>
    </row>
    <row r="5" spans="1:10" x14ac:dyDescent="0.25">
      <c r="A5" s="113">
        <f t="shared" si="1"/>
        <v>43555</v>
      </c>
      <c r="B5" s="128">
        <f t="shared" si="0"/>
        <v>2019</v>
      </c>
      <c r="C5">
        <v>5689.1701011659543</v>
      </c>
      <c r="D5">
        <v>1496.3126398123597</v>
      </c>
      <c r="E5">
        <v>999.93507142531962</v>
      </c>
      <c r="F5">
        <v>1573.7852342981955</v>
      </c>
      <c r="G5">
        <v>-197028.95604404155</v>
      </c>
      <c r="H5">
        <v>0</v>
      </c>
      <c r="I5">
        <v>0</v>
      </c>
    </row>
    <row r="6" spans="1:10" x14ac:dyDescent="0.25">
      <c r="A6" s="113">
        <f t="shared" si="1"/>
        <v>43585</v>
      </c>
      <c r="B6" s="128">
        <f t="shared" si="0"/>
        <v>2019</v>
      </c>
      <c r="C6">
        <v>7010.1976191199165</v>
      </c>
      <c r="D6">
        <v>1841.0689905839733</v>
      </c>
      <c r="E6">
        <v>1107.0808742034965</v>
      </c>
      <c r="F6">
        <v>1569.1311157703594</v>
      </c>
      <c r="G6">
        <v>-194766.69780916566</v>
      </c>
      <c r="H6">
        <v>0</v>
      </c>
      <c r="I6">
        <v>0</v>
      </c>
    </row>
    <row r="7" spans="1:10" x14ac:dyDescent="0.25">
      <c r="A7" s="113">
        <f t="shared" si="1"/>
        <v>43616</v>
      </c>
      <c r="B7" s="128">
        <f t="shared" si="0"/>
        <v>2019</v>
      </c>
      <c r="C7">
        <v>7787.1261040754325</v>
      </c>
      <c r="D7">
        <v>2039.3987666655189</v>
      </c>
      <c r="E7">
        <v>1188.9966317461503</v>
      </c>
      <c r="F7">
        <v>1564.6228547950677</v>
      </c>
      <c r="G7">
        <v>-192000.59997525011</v>
      </c>
      <c r="H7">
        <v>0</v>
      </c>
      <c r="I7">
        <v>0</v>
      </c>
    </row>
    <row r="8" spans="1:10" x14ac:dyDescent="0.25">
      <c r="A8" s="113">
        <f t="shared" si="1"/>
        <v>43646</v>
      </c>
      <c r="B8" s="128">
        <f t="shared" si="0"/>
        <v>2019</v>
      </c>
      <c r="C8">
        <v>6534.4065495028963</v>
      </c>
      <c r="D8">
        <v>1729.1765458568786</v>
      </c>
      <c r="E8">
        <v>1060.4526192867093</v>
      </c>
      <c r="F8">
        <v>1560.4029481849548</v>
      </c>
      <c r="G8">
        <v>-190040.99733295932</v>
      </c>
      <c r="H8">
        <v>0</v>
      </c>
      <c r="I8">
        <v>0</v>
      </c>
    </row>
    <row r="9" spans="1:10" x14ac:dyDescent="0.25">
      <c r="A9" s="113">
        <f t="shared" si="1"/>
        <v>43677</v>
      </c>
      <c r="B9" s="128">
        <f t="shared" si="0"/>
        <v>2019</v>
      </c>
      <c r="C9">
        <v>5549.9577324449692</v>
      </c>
      <c r="D9">
        <v>1483.5181441149427</v>
      </c>
      <c r="E9">
        <v>937.41117441613608</v>
      </c>
      <c r="F9">
        <v>1555.8177501945543</v>
      </c>
      <c r="G9">
        <v>-188690.26439007782</v>
      </c>
      <c r="H9">
        <v>0</v>
      </c>
      <c r="I9">
        <v>0</v>
      </c>
    </row>
    <row r="10" spans="1:10" x14ac:dyDescent="0.25">
      <c r="A10" s="113">
        <f t="shared" si="1"/>
        <v>43708</v>
      </c>
      <c r="B10" s="128">
        <f t="shared" si="0"/>
        <v>2019</v>
      </c>
      <c r="C10">
        <v>5758.9280804334803</v>
      </c>
      <c r="D10">
        <v>1539.0371343408865</v>
      </c>
      <c r="E10">
        <v>965.48216859577064</v>
      </c>
      <c r="F10">
        <v>1551.3332365184256</v>
      </c>
      <c r="G10">
        <v>-187208.08529015639</v>
      </c>
      <c r="H10">
        <v>0</v>
      </c>
      <c r="I10">
        <v>0</v>
      </c>
    </row>
    <row r="11" spans="1:10" x14ac:dyDescent="0.25">
      <c r="A11" s="113">
        <f t="shared" si="1"/>
        <v>43738</v>
      </c>
      <c r="B11" s="128">
        <f t="shared" si="0"/>
        <v>2019</v>
      </c>
      <c r="C11">
        <v>6313.2047596658613</v>
      </c>
      <c r="D11">
        <v>1690.3563248847934</v>
      </c>
      <c r="E11">
        <v>980.17508799696509</v>
      </c>
      <c r="F11">
        <v>1546.7589243365674</v>
      </c>
      <c r="G11">
        <v>-185331.33214723418</v>
      </c>
      <c r="H11">
        <v>0</v>
      </c>
      <c r="I11">
        <v>0</v>
      </c>
    </row>
    <row r="12" spans="1:10" x14ac:dyDescent="0.25">
      <c r="A12" s="113">
        <f t="shared" si="1"/>
        <v>43769</v>
      </c>
      <c r="B12" s="128">
        <f t="shared" si="0"/>
        <v>2019</v>
      </c>
      <c r="C12">
        <v>6754.2249882315637</v>
      </c>
      <c r="D12">
        <v>1843.22555834835</v>
      </c>
      <c r="E12">
        <v>931.75938943247832</v>
      </c>
      <c r="F12">
        <v>1541.91437430414</v>
      </c>
      <c r="G12">
        <v>-183110.97067804806</v>
      </c>
      <c r="H12">
        <v>0</v>
      </c>
      <c r="I12">
        <v>0</v>
      </c>
    </row>
    <row r="13" spans="1:10" x14ac:dyDescent="0.25">
      <c r="A13" s="113">
        <f t="shared" si="1"/>
        <v>43799</v>
      </c>
      <c r="B13" s="128">
        <f t="shared" si="0"/>
        <v>2019</v>
      </c>
      <c r="C13">
        <v>5533.9637949559519</v>
      </c>
      <c r="D13">
        <v>1588.6293033555821</v>
      </c>
      <c r="E13">
        <v>677.8056108159027</v>
      </c>
      <c r="F13">
        <v>1535.3939398780756</v>
      </c>
      <c r="G13">
        <v>-181593.20059519121</v>
      </c>
      <c r="H13">
        <v>0</v>
      </c>
      <c r="I13">
        <v>0</v>
      </c>
    </row>
    <row r="14" spans="1:10" x14ac:dyDescent="0.25">
      <c r="A14" s="113">
        <f t="shared" si="1"/>
        <v>43830</v>
      </c>
      <c r="B14" s="128">
        <f t="shared" si="0"/>
        <v>2019</v>
      </c>
      <c r="C14">
        <v>6187.7483099272222</v>
      </c>
      <c r="D14">
        <v>1798.0748151176883</v>
      </c>
      <c r="E14">
        <v>618.7748309927224</v>
      </c>
      <c r="F14">
        <v>1526.5781315198183</v>
      </c>
      <c r="G14">
        <v>-179561.46809366139</v>
      </c>
      <c r="H14">
        <v>0</v>
      </c>
      <c r="I14">
        <v>0</v>
      </c>
    </row>
    <row r="15" spans="1:10" x14ac:dyDescent="0.25">
      <c r="A15" s="113">
        <f t="shared" si="1"/>
        <v>43861</v>
      </c>
      <c r="B15" s="128">
        <f t="shared" si="0"/>
        <v>2020</v>
      </c>
      <c r="C15">
        <v>5364.8431825132129</v>
      </c>
      <c r="D15">
        <v>1590.4186086820014</v>
      </c>
      <c r="E15">
        <v>536.48431825132104</v>
      </c>
      <c r="F15">
        <v>1515.033247638941</v>
      </c>
      <c r="G15">
        <v>-178077.65408485904</v>
      </c>
      <c r="H15">
        <v>0</v>
      </c>
      <c r="I15">
        <v>0</v>
      </c>
    </row>
    <row r="16" spans="1:10" x14ac:dyDescent="0.25">
      <c r="A16" s="113">
        <f t="shared" si="1"/>
        <v>43890</v>
      </c>
      <c r="B16" s="128">
        <f t="shared" si="0"/>
        <v>2020</v>
      </c>
      <c r="C16">
        <v>5542.8101228660689</v>
      </c>
      <c r="D16">
        <v>1632.8169165987692</v>
      </c>
      <c r="E16">
        <v>554.28101228660717</v>
      </c>
      <c r="F16">
        <v>1503.8417898033858</v>
      </c>
      <c r="G16">
        <v>-176462.90092441294</v>
      </c>
      <c r="H16">
        <v>0</v>
      </c>
      <c r="I16">
        <v>0</v>
      </c>
    </row>
    <row r="17" spans="1:9" x14ac:dyDescent="0.25">
      <c r="A17" s="113">
        <f t="shared" si="1"/>
        <v>43921</v>
      </c>
      <c r="B17" s="128">
        <f t="shared" si="0"/>
        <v>2020</v>
      </c>
      <c r="C17">
        <v>5316.5236049104888</v>
      </c>
      <c r="D17">
        <v>1575.1511513084929</v>
      </c>
      <c r="E17">
        <v>531.65236049104931</v>
      </c>
      <c r="F17">
        <v>1492.653267302572</v>
      </c>
      <c r="G17">
        <v>-174980.80123641342</v>
      </c>
      <c r="H17">
        <v>0</v>
      </c>
      <c r="I17">
        <v>0</v>
      </c>
    </row>
    <row r="18" spans="1:9" x14ac:dyDescent="0.25">
      <c r="A18" s="113">
        <f t="shared" si="1"/>
        <v>43951</v>
      </c>
      <c r="B18" s="128">
        <f t="shared" si="0"/>
        <v>2020</v>
      </c>
      <c r="C18">
        <v>6513.5794013332425</v>
      </c>
      <c r="D18">
        <v>1893.4865046140021</v>
      </c>
      <c r="E18">
        <v>493.71694780754655</v>
      </c>
      <c r="F18">
        <v>1481.6598978371474</v>
      </c>
      <c r="G18">
        <v>-172569.07885042453</v>
      </c>
      <c r="H18">
        <v>0</v>
      </c>
      <c r="I18">
        <v>0</v>
      </c>
    </row>
    <row r="19" spans="1:9" x14ac:dyDescent="0.25">
      <c r="A19" s="113">
        <f t="shared" si="1"/>
        <v>43982</v>
      </c>
      <c r="B19" s="128">
        <f t="shared" si="0"/>
        <v>2020</v>
      </c>
      <c r="C19">
        <v>7208.6072591276452</v>
      </c>
      <c r="D19">
        <v>2107.1743922894066</v>
      </c>
      <c r="E19">
        <v>461.46133356908621</v>
      </c>
      <c r="F19">
        <v>1471.0946439374875</v>
      </c>
      <c r="G19">
        <v>-169629.98432508763</v>
      </c>
      <c r="H19">
        <v>0</v>
      </c>
      <c r="I19">
        <v>0</v>
      </c>
    </row>
    <row r="20" spans="1:9" x14ac:dyDescent="0.25">
      <c r="A20" s="113">
        <f t="shared" si="1"/>
        <v>44012</v>
      </c>
      <c r="B20" s="128">
        <f t="shared" si="0"/>
        <v>2020</v>
      </c>
      <c r="C20">
        <v>6029.5225119230781</v>
      </c>
      <c r="D20">
        <v>1810.6877685180916</v>
      </c>
      <c r="E20">
        <v>477.01735534986398</v>
      </c>
      <c r="F20">
        <v>1460.8692828579738</v>
      </c>
      <c r="G20">
        <v>-167574.90506651287</v>
      </c>
      <c r="H20">
        <v>0</v>
      </c>
      <c r="I20">
        <v>0</v>
      </c>
    </row>
    <row r="21" spans="1:9" x14ac:dyDescent="0.25">
      <c r="A21" s="113">
        <f t="shared" si="1"/>
        <v>44043</v>
      </c>
      <c r="B21" s="128">
        <f t="shared" si="0"/>
        <v>2020</v>
      </c>
      <c r="C21">
        <v>5104.0346074487516</v>
      </c>
      <c r="D21">
        <v>1576.3913133954061</v>
      </c>
      <c r="E21">
        <v>425.54076169800379</v>
      </c>
      <c r="F21">
        <v>1450.4128870513443</v>
      </c>
      <c r="G21">
        <v>-166146.34785077788</v>
      </c>
      <c r="H21">
        <v>0</v>
      </c>
      <c r="I21">
        <v>0</v>
      </c>
    </row>
    <row r="22" spans="1:9" x14ac:dyDescent="0.25">
      <c r="A22" s="113">
        <f t="shared" si="1"/>
        <v>44074</v>
      </c>
      <c r="B22" s="128">
        <f t="shared" si="0"/>
        <v>2020</v>
      </c>
      <c r="C22">
        <v>5275.0007187913579</v>
      </c>
      <c r="D22">
        <v>1615.9480421117025</v>
      </c>
      <c r="E22">
        <v>431.28542565999169</v>
      </c>
      <c r="F22">
        <v>1440.0857861762183</v>
      </c>
      <c r="G22">
        <v>-164579.8966366408</v>
      </c>
      <c r="H22">
        <v>0</v>
      </c>
      <c r="I22">
        <v>0</v>
      </c>
    </row>
    <row r="23" spans="1:9" x14ac:dyDescent="0.25">
      <c r="A23" s="113">
        <f t="shared" si="1"/>
        <v>44104</v>
      </c>
      <c r="B23" s="128">
        <f t="shared" si="0"/>
        <v>2020</v>
      </c>
      <c r="C23">
        <v>5746.0715386044585</v>
      </c>
      <c r="D23">
        <v>1730.8442214580966</v>
      </c>
      <c r="E23">
        <v>489.17484681482438</v>
      </c>
      <c r="F23">
        <v>1429.7913680570625</v>
      </c>
      <c r="G23">
        <v>-162702.77999504906</v>
      </c>
      <c r="H23">
        <v>0</v>
      </c>
      <c r="I23">
        <v>0</v>
      </c>
    </row>
    <row r="24" spans="1:9" x14ac:dyDescent="0.25">
      <c r="A24" s="113">
        <f t="shared" si="1"/>
        <v>44135</v>
      </c>
      <c r="B24" s="128">
        <f t="shared" si="0"/>
        <v>2020</v>
      </c>
      <c r="C24">
        <v>6151.1486940115547</v>
      </c>
      <c r="D24">
        <v>1833.2773213514067</v>
      </c>
      <c r="E24">
        <v>441.60075391675321</v>
      </c>
      <c r="F24">
        <v>1419.821459478449</v>
      </c>
      <c r="G24">
        <v>-160462.97584348096</v>
      </c>
      <c r="H24">
        <v>0</v>
      </c>
      <c r="I24">
        <v>0</v>
      </c>
    </row>
    <row r="25" spans="1:9" x14ac:dyDescent="0.25">
      <c r="A25" s="113">
        <f t="shared" si="1"/>
        <v>44165</v>
      </c>
      <c r="B25" s="128">
        <f t="shared" si="0"/>
        <v>2020</v>
      </c>
      <c r="C25">
        <v>5017.2464942968118</v>
      </c>
      <c r="D25">
        <v>1549.4199028702226</v>
      </c>
      <c r="E25">
        <v>415.01562609055401</v>
      </c>
      <c r="F25">
        <v>1410.4289436173306</v>
      </c>
      <c r="G25">
        <v>-159034.25644410797</v>
      </c>
      <c r="H25">
        <v>0</v>
      </c>
      <c r="I25">
        <v>0</v>
      </c>
    </row>
    <row r="26" spans="1:9" x14ac:dyDescent="0.25">
      <c r="A26" s="113">
        <f t="shared" si="1"/>
        <v>44196</v>
      </c>
      <c r="B26" s="128">
        <f t="shared" si="0"/>
        <v>2020</v>
      </c>
      <c r="C26">
        <v>5612.1189726425946</v>
      </c>
      <c r="D26">
        <v>1698.6024139288359</v>
      </c>
      <c r="E26">
        <v>450.33199090399518</v>
      </c>
      <c r="F26">
        <v>1401.7137155698931</v>
      </c>
      <c r="G26">
        <v>-157184.5458193972</v>
      </c>
      <c r="H26">
        <v>0</v>
      </c>
      <c r="I26">
        <v>0</v>
      </c>
    </row>
    <row r="27" spans="1:9" x14ac:dyDescent="0.25">
      <c r="A27" s="113">
        <f t="shared" si="1"/>
        <v>44227</v>
      </c>
      <c r="B27" s="128">
        <f t="shared" si="0"/>
        <v>2021</v>
      </c>
      <c r="C27">
        <v>4877.5134434712772</v>
      </c>
      <c r="D27">
        <v>1513.4679640778977</v>
      </c>
      <c r="E27">
        <v>379.21252337035071</v>
      </c>
      <c r="F27">
        <v>1393.7638431886319</v>
      </c>
      <c r="G27">
        <v>-155796.12461261178</v>
      </c>
      <c r="H27">
        <v>0</v>
      </c>
      <c r="I27">
        <v>0</v>
      </c>
    </row>
    <row r="28" spans="1:9" x14ac:dyDescent="0.25">
      <c r="A28" s="113">
        <f t="shared" si="1"/>
        <v>44255</v>
      </c>
      <c r="B28" s="128">
        <f t="shared" si="0"/>
        <v>2021</v>
      </c>
      <c r="C28">
        <v>5048.5751992632167</v>
      </c>
      <c r="D28">
        <v>1554.1577465890252</v>
      </c>
      <c r="E28">
        <v>389.83317752836285</v>
      </c>
      <c r="F28">
        <v>1386.1028708566687</v>
      </c>
      <c r="G28">
        <v>-154278.50111237861</v>
      </c>
      <c r="H28">
        <v>0</v>
      </c>
      <c r="I28">
        <v>0</v>
      </c>
    </row>
    <row r="29" spans="1:9" x14ac:dyDescent="0.25">
      <c r="A29" s="113">
        <f t="shared" si="1"/>
        <v>44286</v>
      </c>
      <c r="B29" s="128">
        <f t="shared" si="0"/>
        <v>2021</v>
      </c>
      <c r="C29">
        <v>4850.0063391117073</v>
      </c>
      <c r="D29">
        <v>1503.0604783824372</v>
      </c>
      <c r="E29">
        <v>368.1230333792526</v>
      </c>
      <c r="F29">
        <v>1378.4098981002207</v>
      </c>
      <c r="G29">
        <v>-152876.98951300079</v>
      </c>
      <c r="H29">
        <v>0</v>
      </c>
      <c r="I29">
        <v>0</v>
      </c>
    </row>
    <row r="30" spans="1:9" x14ac:dyDescent="0.25">
      <c r="A30" s="113">
        <f t="shared" si="1"/>
        <v>44316</v>
      </c>
      <c r="B30" s="128">
        <f t="shared" si="0"/>
        <v>2021</v>
      </c>
      <c r="C30">
        <v>5976.3030532697221</v>
      </c>
      <c r="D30">
        <v>1788.1110343018331</v>
      </c>
      <c r="E30">
        <v>346.06264027216355</v>
      </c>
      <c r="F30">
        <v>1370.8350190661688</v>
      </c>
      <c r="G30">
        <v>-150602.78960465058</v>
      </c>
      <c r="H30">
        <v>0</v>
      </c>
      <c r="I30">
        <v>0</v>
      </c>
    </row>
    <row r="31" spans="1:9" x14ac:dyDescent="0.25">
      <c r="A31" s="113">
        <f t="shared" si="1"/>
        <v>44347</v>
      </c>
      <c r="B31" s="128">
        <f t="shared" si="0"/>
        <v>2021</v>
      </c>
      <c r="C31">
        <v>6632.2910260477238</v>
      </c>
      <c r="D31">
        <v>1955.7701050452245</v>
      </c>
      <c r="E31">
        <v>348.22236528869121</v>
      </c>
      <c r="F31">
        <v>1363.451171054619</v>
      </c>
      <c r="G31">
        <v>-147832.10469187694</v>
      </c>
      <c r="H31">
        <v>0</v>
      </c>
      <c r="I31">
        <v>0</v>
      </c>
    </row>
    <row r="32" spans="1:9" x14ac:dyDescent="0.25">
      <c r="A32" s="113">
        <f t="shared" si="1"/>
        <v>44377</v>
      </c>
      <c r="B32" s="128">
        <f t="shared" si="0"/>
        <v>2021</v>
      </c>
      <c r="C32">
        <v>5540.1249319190392</v>
      </c>
      <c r="D32">
        <v>1680.6691278113901</v>
      </c>
      <c r="E32">
        <v>343.95853396532505</v>
      </c>
      <c r="F32">
        <v>1356.2929057708186</v>
      </c>
      <c r="G32">
        <v>-145863.49073387426</v>
      </c>
      <c r="H32">
        <v>0</v>
      </c>
      <c r="I32">
        <v>0</v>
      </c>
    </row>
    <row r="33" spans="1:9" x14ac:dyDescent="0.25">
      <c r="A33" s="113">
        <f t="shared" si="1"/>
        <v>44408</v>
      </c>
      <c r="B33" s="128">
        <f t="shared" si="0"/>
        <v>2021</v>
      </c>
      <c r="C33">
        <v>4690.196619445499</v>
      </c>
      <c r="D33">
        <v>1465.9967254902408</v>
      </c>
      <c r="E33">
        <v>321.91246611845213</v>
      </c>
      <c r="F33">
        <v>1348.8568006507953</v>
      </c>
      <c r="G33">
        <v>-144498.11250593732</v>
      </c>
      <c r="H33">
        <v>0</v>
      </c>
      <c r="I33">
        <v>0</v>
      </c>
    </row>
    <row r="34" spans="1:9" x14ac:dyDescent="0.25">
      <c r="A34" s="113">
        <f t="shared" si="1"/>
        <v>44439</v>
      </c>
      <c r="B34" s="128">
        <f t="shared" si="0"/>
        <v>2021</v>
      </c>
      <c r="C34">
        <v>4855.0853402706271</v>
      </c>
      <c r="D34">
        <v>1504.3086486998454</v>
      </c>
      <c r="E34">
        <v>326.55114398027831</v>
      </c>
      <c r="F34">
        <v>1341.4939798895898</v>
      </c>
      <c r="G34">
        <v>-143001.67304332019</v>
      </c>
      <c r="H34">
        <v>0</v>
      </c>
      <c r="I34">
        <v>0</v>
      </c>
    </row>
    <row r="35" spans="1:9" x14ac:dyDescent="0.25">
      <c r="A35" s="113">
        <f t="shared" si="1"/>
        <v>44469</v>
      </c>
      <c r="B35" s="128">
        <f t="shared" si="0"/>
        <v>2021</v>
      </c>
      <c r="C35">
        <v>5295.2025242287109</v>
      </c>
      <c r="D35">
        <v>1613.743410355047</v>
      </c>
      <c r="E35">
        <v>291.400937247635</v>
      </c>
      <c r="F35">
        <v>1334.1073989846823</v>
      </c>
      <c r="G35">
        <v>-141130.08510779325</v>
      </c>
      <c r="H35">
        <v>0</v>
      </c>
      <c r="I35">
        <v>0</v>
      </c>
    </row>
    <row r="36" spans="1:9" x14ac:dyDescent="0.25">
      <c r="A36" s="113">
        <f t="shared" si="1"/>
        <v>44500</v>
      </c>
      <c r="B36" s="128">
        <f t="shared" si="0"/>
        <v>2021</v>
      </c>
      <c r="C36">
        <v>5686.788742835156</v>
      </c>
      <c r="D36">
        <v>1713.0093876946887</v>
      </c>
      <c r="E36">
        <v>213.57155840977711</v>
      </c>
      <c r="F36">
        <v>1326.9139314323206</v>
      </c>
      <c r="G36">
        <v>-138878.74116688792</v>
      </c>
      <c r="H36">
        <v>0</v>
      </c>
      <c r="I36">
        <v>0</v>
      </c>
    </row>
    <row r="37" spans="1:9" x14ac:dyDescent="0.25">
      <c r="A37" s="113">
        <f t="shared" si="1"/>
        <v>44530</v>
      </c>
      <c r="B37" s="128">
        <f t="shared" si="0"/>
        <v>2021</v>
      </c>
      <c r="C37">
        <v>4637.0553221833561</v>
      </c>
      <c r="D37">
        <v>1451.700309528863</v>
      </c>
      <c r="E37">
        <v>103.4415904174528</v>
      </c>
      <c r="F37">
        <v>1319.9797912256254</v>
      </c>
      <c r="G37">
        <v>-137295.85494760182</v>
      </c>
      <c r="H37">
        <v>0</v>
      </c>
      <c r="I37">
        <v>0</v>
      </c>
    </row>
    <row r="38" spans="1:9" x14ac:dyDescent="0.25">
      <c r="A38" s="113">
        <f t="shared" si="1"/>
        <v>44561</v>
      </c>
      <c r="B38" s="128">
        <f t="shared" si="0"/>
        <v>2021</v>
      </c>
      <c r="C38">
        <v>5193.6195238956343</v>
      </c>
      <c r="D38">
        <v>1590.5426901866044</v>
      </c>
      <c r="E38">
        <v>0</v>
      </c>
      <c r="F38">
        <v>1313.3264485380757</v>
      </c>
      <c r="G38">
        <v>-135183.11126095377</v>
      </c>
      <c r="H38">
        <v>0</v>
      </c>
      <c r="I38">
        <v>0</v>
      </c>
    </row>
    <row r="39" spans="1:9" x14ac:dyDescent="0.25">
      <c r="A39" s="113">
        <f t="shared" si="1"/>
        <v>44592</v>
      </c>
      <c r="B39" s="128">
        <f t="shared" si="0"/>
        <v>2022</v>
      </c>
      <c r="C39">
        <v>4518.3943087199086</v>
      </c>
      <c r="D39">
        <v>1421.0146014515146</v>
      </c>
      <c r="E39">
        <v>0</v>
      </c>
      <c r="F39">
        <v>1306.9756412104314</v>
      </c>
      <c r="G39">
        <v>-133569.35557500264</v>
      </c>
      <c r="H39">
        <v>0</v>
      </c>
      <c r="I39">
        <v>0</v>
      </c>
    </row>
    <row r="40" spans="1:9" x14ac:dyDescent="0.25">
      <c r="A40" s="113">
        <f t="shared" si="1"/>
        <v>44620</v>
      </c>
      <c r="B40" s="128">
        <f t="shared" si="0"/>
        <v>2022</v>
      </c>
      <c r="C40">
        <v>4680.3528169076953</v>
      </c>
      <c r="D40">
        <v>1459.172775158434</v>
      </c>
      <c r="E40">
        <v>0</v>
      </c>
      <c r="F40">
        <v>1300.8738055715962</v>
      </c>
      <c r="G40">
        <v>-131823.58896936124</v>
      </c>
      <c r="H40">
        <v>0</v>
      </c>
      <c r="I40">
        <v>0</v>
      </c>
    </row>
    <row r="41" spans="1:9" x14ac:dyDescent="0.25">
      <c r="A41" s="113">
        <f t="shared" si="1"/>
        <v>44651</v>
      </c>
      <c r="B41" s="128">
        <f t="shared" si="0"/>
        <v>2022</v>
      </c>
      <c r="C41">
        <v>4499.8363493465658</v>
      </c>
      <c r="D41">
        <v>1414.0916114881193</v>
      </c>
      <c r="E41">
        <v>0</v>
      </c>
      <c r="F41">
        <v>1294.731232523091</v>
      </c>
      <c r="G41">
        <v>-130204.83384182247</v>
      </c>
      <c r="H41">
        <v>0</v>
      </c>
      <c r="I41">
        <v>0</v>
      </c>
    </row>
    <row r="42" spans="1:9" x14ac:dyDescent="0.25">
      <c r="A42" s="113">
        <f t="shared" si="1"/>
        <v>44681</v>
      </c>
      <c r="B42" s="128">
        <f t="shared" si="0"/>
        <v>2022</v>
      </c>
      <c r="C42">
        <v>5556.0075940533216</v>
      </c>
      <c r="D42">
        <v>1680.2238120781351</v>
      </c>
      <c r="E42">
        <v>0</v>
      </c>
      <c r="F42">
        <v>1288.6643841312066</v>
      </c>
      <c r="G42">
        <v>-127787.85753926373</v>
      </c>
      <c r="H42">
        <v>0</v>
      </c>
      <c r="I42">
        <v>0</v>
      </c>
    </row>
    <row r="43" spans="1:9" x14ac:dyDescent="0.25">
      <c r="A43" s="113">
        <f t="shared" si="1"/>
        <v>44712</v>
      </c>
      <c r="B43" s="128">
        <f t="shared" si="0"/>
        <v>2022</v>
      </c>
      <c r="C43">
        <v>6171.3292954542358</v>
      </c>
      <c r="D43">
        <v>1835.890052865404</v>
      </c>
      <c r="E43">
        <v>0</v>
      </c>
      <c r="F43">
        <v>1282.7858140399842</v>
      </c>
      <c r="G43">
        <v>-124902.18886066671</v>
      </c>
      <c r="H43">
        <v>0</v>
      </c>
      <c r="I43">
        <v>0</v>
      </c>
    </row>
    <row r="44" spans="1:9" x14ac:dyDescent="0.25">
      <c r="A44" s="113">
        <f t="shared" si="1"/>
        <v>44742</v>
      </c>
      <c r="B44" s="128">
        <f t="shared" si="0"/>
        <v>2022</v>
      </c>
      <c r="C44">
        <v>5154.9653970050003</v>
      </c>
      <c r="D44">
        <v>1580.281408677577</v>
      </c>
      <c r="E44">
        <v>0</v>
      </c>
      <c r="F44">
        <v>1277.1206579907689</v>
      </c>
      <c r="G44">
        <v>-122767.83947864221</v>
      </c>
      <c r="H44">
        <v>0</v>
      </c>
      <c r="I44">
        <v>0</v>
      </c>
    </row>
    <row r="45" spans="1:9" x14ac:dyDescent="0.25">
      <c r="A45" s="113">
        <f t="shared" si="1"/>
        <v>44773</v>
      </c>
      <c r="B45" s="128">
        <f t="shared" si="0"/>
        <v>2022</v>
      </c>
      <c r="C45">
        <v>4366.0509702881427</v>
      </c>
      <c r="D45">
        <v>1381.4711988116451</v>
      </c>
      <c r="E45">
        <v>0</v>
      </c>
      <c r="F45">
        <v>1271.1878532855717</v>
      </c>
      <c r="G45">
        <v>-121214.87248166246</v>
      </c>
      <c r="H45">
        <v>0</v>
      </c>
      <c r="I45">
        <v>0</v>
      </c>
    </row>
    <row r="46" spans="1:9" x14ac:dyDescent="0.25">
      <c r="A46" s="113">
        <f t="shared" si="1"/>
        <v>44804</v>
      </c>
      <c r="B46" s="128">
        <f t="shared" si="0"/>
        <v>2022</v>
      </c>
      <c r="C46">
        <v>4522.5156140424497</v>
      </c>
      <c r="D46">
        <v>1417.8578191381821</v>
      </c>
      <c r="E46">
        <v>0</v>
      </c>
      <c r="F46">
        <v>1265.3196674765345</v>
      </c>
      <c r="G46">
        <v>-119533.92996052765</v>
      </c>
      <c r="H46">
        <v>0</v>
      </c>
      <c r="I46">
        <v>0</v>
      </c>
    </row>
    <row r="47" spans="1:9" x14ac:dyDescent="0.25">
      <c r="A47" s="113">
        <f t="shared" si="1"/>
        <v>44834</v>
      </c>
      <c r="B47" s="128">
        <f t="shared" si="0"/>
        <v>2022</v>
      </c>
      <c r="C47">
        <v>4936.6184338310213</v>
      </c>
      <c r="D47">
        <v>1521.5185066080578</v>
      </c>
      <c r="E47">
        <v>0</v>
      </c>
      <c r="F47">
        <v>1259.4182168625939</v>
      </c>
      <c r="G47">
        <v>-117534.44731156163</v>
      </c>
      <c r="H47">
        <v>0</v>
      </c>
      <c r="I47">
        <v>0</v>
      </c>
    </row>
    <row r="48" spans="1:9" x14ac:dyDescent="0.25">
      <c r="A48" s="113">
        <f t="shared" si="1"/>
        <v>44865</v>
      </c>
      <c r="B48" s="128">
        <f t="shared" si="0"/>
        <v>2022</v>
      </c>
      <c r="C48">
        <v>5309.095079214695</v>
      </c>
      <c r="D48">
        <v>1616.2941140665498</v>
      </c>
      <c r="E48">
        <v>0</v>
      </c>
      <c r="F48">
        <v>1253.6402793320665</v>
      </c>
      <c r="G48">
        <v>-115248.87289499657</v>
      </c>
      <c r="H48">
        <v>0</v>
      </c>
      <c r="I48">
        <v>0</v>
      </c>
    </row>
    <row r="49" spans="1:9" x14ac:dyDescent="0.25">
      <c r="A49" s="113">
        <f t="shared" si="1"/>
        <v>44895</v>
      </c>
      <c r="B49" s="128">
        <f t="shared" si="0"/>
        <v>2022</v>
      </c>
      <c r="C49">
        <v>4328.6955481907326</v>
      </c>
      <c r="D49">
        <v>1372.2931036109567</v>
      </c>
      <c r="E49">
        <v>0</v>
      </c>
      <c r="F49">
        <v>1247.8991486472989</v>
      </c>
      <c r="G49">
        <v>-113690.96923030597</v>
      </c>
      <c r="H49">
        <v>0</v>
      </c>
      <c r="I49">
        <v>0</v>
      </c>
    </row>
    <row r="50" spans="1:9" x14ac:dyDescent="0.25">
      <c r="A50" s="113">
        <f t="shared" si="1"/>
        <v>44926</v>
      </c>
      <c r="B50" s="128">
        <f t="shared" si="0"/>
        <v>2022</v>
      </c>
      <c r="C50">
        <v>4850.426907632992</v>
      </c>
      <c r="D50">
        <v>1503.4468772659745</v>
      </c>
      <c r="E50">
        <v>0</v>
      </c>
      <c r="F50">
        <v>1242.1467637901073</v>
      </c>
      <c r="G50">
        <v>-111734.69982914077</v>
      </c>
      <c r="H50">
        <v>0</v>
      </c>
      <c r="I50">
        <v>0</v>
      </c>
    </row>
    <row r="51" spans="1:9" x14ac:dyDescent="0.25">
      <c r="A51" s="113">
        <f t="shared" si="1"/>
        <v>44957</v>
      </c>
      <c r="B51" s="128">
        <f t="shared" si="0"/>
        <v>2023</v>
      </c>
      <c r="C51">
        <v>4221.0327999669826</v>
      </c>
      <c r="D51">
        <v>1345.0427212597167</v>
      </c>
      <c r="E51">
        <v>0</v>
      </c>
      <c r="F51">
        <v>1236.3559302617014</v>
      </c>
      <c r="G51">
        <v>-110243.72544210509</v>
      </c>
      <c r="H51">
        <v>0</v>
      </c>
      <c r="I51">
        <v>0</v>
      </c>
    </row>
    <row r="52" spans="1:9" x14ac:dyDescent="0.25">
      <c r="A52" s="113">
        <f t="shared" si="1"/>
        <v>44985</v>
      </c>
      <c r="B52" s="128">
        <f t="shared" si="0"/>
        <v>2023</v>
      </c>
      <c r="C52">
        <v>4372.4369443196892</v>
      </c>
      <c r="D52">
        <v>1380.7045126290018</v>
      </c>
      <c r="E52">
        <v>0</v>
      </c>
      <c r="F52">
        <v>1230.8005784623233</v>
      </c>
      <c r="G52">
        <v>-108629.4696523218</v>
      </c>
      <c r="H52">
        <v>0</v>
      </c>
      <c r="I52">
        <v>0</v>
      </c>
    </row>
    <row r="53" spans="1:9" x14ac:dyDescent="0.25">
      <c r="A53" s="113">
        <f t="shared" si="1"/>
        <v>45016</v>
      </c>
      <c r="B53" s="128">
        <f t="shared" si="0"/>
        <v>2023</v>
      </c>
      <c r="C53">
        <v>4204.4614157087108</v>
      </c>
      <c r="D53">
        <v>1338.5661665047521</v>
      </c>
      <c r="E53">
        <v>0</v>
      </c>
      <c r="F53">
        <v>1225.2055166756757</v>
      </c>
      <c r="G53">
        <v>-107133.30826296071</v>
      </c>
      <c r="H53">
        <v>0</v>
      </c>
      <c r="I53">
        <v>0</v>
      </c>
    </row>
    <row r="54" spans="1:9" x14ac:dyDescent="0.25">
      <c r="A54" s="113">
        <f t="shared" si="1"/>
        <v>45046</v>
      </c>
      <c r="B54" s="128">
        <f t="shared" si="0"/>
        <v>2023</v>
      </c>
      <c r="C54">
        <v>5198.6540453347379</v>
      </c>
      <c r="D54">
        <v>1591.9298876827313</v>
      </c>
      <c r="E54">
        <v>0</v>
      </c>
      <c r="F54">
        <v>1219.6896180782653</v>
      </c>
      <c r="G54">
        <v>-104888.81146743399</v>
      </c>
      <c r="H54">
        <v>0</v>
      </c>
      <c r="I54">
        <v>0</v>
      </c>
    </row>
    <row r="55" spans="1:9" x14ac:dyDescent="0.25">
      <c r="A55" s="113">
        <f t="shared" si="1"/>
        <v>45077</v>
      </c>
      <c r="B55" s="128">
        <f t="shared" si="0"/>
        <v>2023</v>
      </c>
      <c r="C55">
        <v>5776.7925255033997</v>
      </c>
      <c r="D55">
        <v>1744.1067443957288</v>
      </c>
      <c r="E55">
        <v>0</v>
      </c>
      <c r="F55">
        <v>1214.2294664729075</v>
      </c>
      <c r="G55">
        <v>-102209.90665927976</v>
      </c>
      <c r="H55">
        <v>0</v>
      </c>
      <c r="I55">
        <v>0</v>
      </c>
    </row>
    <row r="56" spans="1:9" x14ac:dyDescent="0.25">
      <c r="A56" s="113">
        <f t="shared" si="1"/>
        <v>45107</v>
      </c>
      <c r="B56" s="128">
        <f t="shared" si="0"/>
        <v>2023</v>
      </c>
      <c r="C56">
        <v>4821.2007096420766</v>
      </c>
      <c r="D56">
        <v>1503.4892857667926</v>
      </c>
      <c r="E56">
        <v>0</v>
      </c>
      <c r="F56">
        <v>1208.9200689656666</v>
      </c>
      <c r="G56">
        <v>-100237.10260608506</v>
      </c>
      <c r="H56">
        <v>0</v>
      </c>
      <c r="I56">
        <v>0</v>
      </c>
    </row>
    <row r="57" spans="1:9" x14ac:dyDescent="0.25">
      <c r="A57" s="113">
        <f t="shared" si="1"/>
        <v>45138</v>
      </c>
      <c r="B57" s="128">
        <f t="shared" si="0"/>
        <v>2023</v>
      </c>
      <c r="C57">
        <v>4081.6528893651389</v>
      </c>
      <c r="D57">
        <v>1316.8846897678397</v>
      </c>
      <c r="E57">
        <v>0</v>
      </c>
      <c r="F57">
        <v>1203.3378446066604</v>
      </c>
      <c r="G57">
        <v>-98809.034794517545</v>
      </c>
      <c r="H57">
        <v>0</v>
      </c>
      <c r="I57">
        <v>0</v>
      </c>
    </row>
    <row r="58" spans="1:9" x14ac:dyDescent="0.25">
      <c r="A58" s="113">
        <f t="shared" si="1"/>
        <v>45169</v>
      </c>
      <c r="B58" s="128">
        <f t="shared" si="0"/>
        <v>2023</v>
      </c>
      <c r="C58">
        <v>4227.7628642997979</v>
      </c>
      <c r="D58">
        <v>1350.60031785858</v>
      </c>
      <c r="E58">
        <v>0</v>
      </c>
      <c r="F58">
        <v>1197.799250487685</v>
      </c>
      <c r="G58">
        <v>-97261.1340393875</v>
      </c>
      <c r="H58">
        <v>0</v>
      </c>
      <c r="I58">
        <v>0</v>
      </c>
    </row>
    <row r="59" spans="1:9" x14ac:dyDescent="0.25">
      <c r="A59" s="113">
        <f t="shared" si="1"/>
        <v>45199</v>
      </c>
      <c r="B59" s="128">
        <f t="shared" si="0"/>
        <v>2023</v>
      </c>
      <c r="C59">
        <v>4613.5982240411176</v>
      </c>
      <c r="D59">
        <v>1446.6232380578681</v>
      </c>
      <c r="E59">
        <v>0</v>
      </c>
      <c r="F59">
        <v>1192.2166223654401</v>
      </c>
      <c r="G59">
        <v>-95415.77877975491</v>
      </c>
      <c r="H59">
        <v>0</v>
      </c>
      <c r="I59">
        <v>0</v>
      </c>
    </row>
    <row r="60" spans="1:9" x14ac:dyDescent="0.25">
      <c r="A60" s="113">
        <f t="shared" si="1"/>
        <v>45230</v>
      </c>
      <c r="B60" s="128">
        <f t="shared" si="0"/>
        <v>2023</v>
      </c>
      <c r="C60">
        <v>4965.0068338340525</v>
      </c>
      <c r="D60">
        <v>1536.5496308743318</v>
      </c>
      <c r="E60">
        <v>0</v>
      </c>
      <c r="F60">
        <v>1186.7568721540895</v>
      </c>
      <c r="G60">
        <v>-93301.026361547774</v>
      </c>
      <c r="H60">
        <v>0</v>
      </c>
      <c r="I60">
        <v>0</v>
      </c>
    </row>
    <row r="61" spans="1:9" x14ac:dyDescent="0.25">
      <c r="A61" s="113">
        <f t="shared" si="1"/>
        <v>45260</v>
      </c>
      <c r="B61" s="128">
        <f t="shared" si="0"/>
        <v>2023</v>
      </c>
      <c r="C61">
        <v>4046.958832592903</v>
      </c>
      <c r="D61">
        <v>1307.6661364049075</v>
      </c>
      <c r="E61">
        <v>0</v>
      </c>
      <c r="F61">
        <v>1181.4120466684944</v>
      </c>
      <c r="G61">
        <v>-91867.280008172733</v>
      </c>
      <c r="H61">
        <v>0</v>
      </c>
      <c r="I61">
        <v>0</v>
      </c>
    </row>
    <row r="62" spans="1:9" x14ac:dyDescent="0.25">
      <c r="A62" s="113">
        <f t="shared" si="1"/>
        <v>45291</v>
      </c>
      <c r="B62" s="128">
        <f t="shared" si="0"/>
        <v>2023</v>
      </c>
      <c r="C62">
        <v>4536.1570482302013</v>
      </c>
      <c r="D62">
        <v>1431.019415950364</v>
      </c>
      <c r="E62">
        <v>0</v>
      </c>
      <c r="F62">
        <v>1176.1744663788479</v>
      </c>
      <c r="G62">
        <v>-90060.543580682162</v>
      </c>
      <c r="H62">
        <v>0</v>
      </c>
      <c r="I62">
        <v>0</v>
      </c>
    </row>
    <row r="63" spans="1:9" x14ac:dyDescent="0.25">
      <c r="A63" s="113">
        <f t="shared" si="1"/>
        <v>45322</v>
      </c>
      <c r="B63" s="128">
        <f t="shared" si="0"/>
        <v>2024</v>
      </c>
      <c r="C63">
        <v>3948.7175527620116</v>
      </c>
      <c r="D63">
        <v>1283.706822478171</v>
      </c>
      <c r="E63">
        <v>0</v>
      </c>
      <c r="F63">
        <v>1171.0321133209156</v>
      </c>
      <c r="G63">
        <v>-88685.988493957339</v>
      </c>
      <c r="H63">
        <v>0</v>
      </c>
      <c r="I63">
        <v>0</v>
      </c>
    </row>
    <row r="64" spans="1:9" x14ac:dyDescent="0.25">
      <c r="A64" s="113">
        <f t="shared" si="1"/>
        <v>45351</v>
      </c>
      <c r="B64" s="128">
        <f t="shared" si="0"/>
        <v>2024</v>
      </c>
      <c r="C64">
        <v>4090.9845927627075</v>
      </c>
      <c r="D64">
        <v>1317.1482235684944</v>
      </c>
      <c r="E64">
        <v>0</v>
      </c>
      <c r="F64">
        <v>1166.0995127127048</v>
      </c>
      <c r="G64">
        <v>-87195.852458074005</v>
      </c>
      <c r="H64">
        <v>0</v>
      </c>
      <c r="I64">
        <v>0</v>
      </c>
    </row>
    <row r="65" spans="1:9" x14ac:dyDescent="0.25">
      <c r="A65" s="113">
        <f t="shared" si="1"/>
        <v>45382</v>
      </c>
      <c r="B65" s="128">
        <f t="shared" si="0"/>
        <v>2024</v>
      </c>
      <c r="C65">
        <v>3935.6992914657876</v>
      </c>
      <c r="D65">
        <v>1278.1797468194427</v>
      </c>
      <c r="E65">
        <v>0</v>
      </c>
      <c r="F65">
        <v>1161.1271055198777</v>
      </c>
      <c r="G65">
        <v>-85815.084865396959</v>
      </c>
      <c r="H65">
        <v>0</v>
      </c>
      <c r="I65">
        <v>0</v>
      </c>
    </row>
    <row r="66" spans="1:9" x14ac:dyDescent="0.25">
      <c r="A66" s="113">
        <f t="shared" si="1"/>
        <v>45412</v>
      </c>
      <c r="B66" s="128">
        <f t="shared" si="0"/>
        <v>2024</v>
      </c>
      <c r="C66">
        <v>4865.4140911662016</v>
      </c>
      <c r="D66">
        <v>1510.2126758556853</v>
      </c>
      <c r="E66">
        <v>0</v>
      </c>
      <c r="F66">
        <v>1156.2028344977728</v>
      </c>
      <c r="G66">
        <v>-83729.88018338666</v>
      </c>
      <c r="H66">
        <v>0</v>
      </c>
      <c r="I66">
        <v>0</v>
      </c>
    </row>
    <row r="67" spans="1:9" x14ac:dyDescent="0.25">
      <c r="A67" s="113">
        <f t="shared" si="1"/>
        <v>45443</v>
      </c>
      <c r="B67" s="128">
        <f t="shared" ref="B67:B130" si="2">YEAR(A67)</f>
        <v>2024</v>
      </c>
      <c r="C67">
        <v>5406.0246331548633</v>
      </c>
      <c r="D67">
        <v>1639.7772916305473</v>
      </c>
      <c r="E67">
        <v>0</v>
      </c>
      <c r="F67">
        <v>1151.5594580467912</v>
      </c>
      <c r="G67">
        <v>-81226.221142067443</v>
      </c>
      <c r="H67">
        <v>0</v>
      </c>
      <c r="I67">
        <v>0</v>
      </c>
    </row>
    <row r="68" spans="1:9" x14ac:dyDescent="0.25">
      <c r="A68" s="113">
        <f t="shared" ref="A68:A131" si="3">DATE(YEAR(A67),MONTH(A67)+2,1)-1</f>
        <v>45473</v>
      </c>
      <c r="B68" s="128">
        <f t="shared" si="2"/>
        <v>2024</v>
      </c>
      <c r="C68">
        <v>4516.1435866583688</v>
      </c>
      <c r="D68">
        <v>1416.1099556125816</v>
      </c>
      <c r="E68">
        <v>0</v>
      </c>
      <c r="F68">
        <v>1147.1482184051931</v>
      </c>
      <c r="G68">
        <v>-79381.044629362528</v>
      </c>
      <c r="H68">
        <v>0</v>
      </c>
      <c r="I68">
        <v>0</v>
      </c>
    </row>
    <row r="69" spans="1:9" x14ac:dyDescent="0.25">
      <c r="A69" s="113">
        <f t="shared" si="3"/>
        <v>45504</v>
      </c>
      <c r="B69" s="128">
        <f t="shared" si="2"/>
        <v>2024</v>
      </c>
      <c r="C69">
        <v>3827.2134486762639</v>
      </c>
      <c r="D69">
        <v>1242.7333258837878</v>
      </c>
      <c r="E69">
        <v>0</v>
      </c>
      <c r="F69">
        <v>1142.5185697119402</v>
      </c>
      <c r="G69">
        <v>-78044.34520558652</v>
      </c>
      <c r="H69">
        <v>0</v>
      </c>
      <c r="I69">
        <v>0</v>
      </c>
    </row>
    <row r="70" spans="1:9" x14ac:dyDescent="0.25">
      <c r="A70" s="113">
        <f t="shared" si="3"/>
        <v>45535</v>
      </c>
      <c r="B70" s="128">
        <f t="shared" si="2"/>
        <v>2024</v>
      </c>
      <c r="C70">
        <v>3965.1183482995648</v>
      </c>
      <c r="D70">
        <v>1275.2460279572799</v>
      </c>
      <c r="E70">
        <v>0</v>
      </c>
      <c r="F70">
        <v>1137.962500120173</v>
      </c>
      <c r="G70">
        <v>-76595.92500300394</v>
      </c>
      <c r="H70">
        <v>0</v>
      </c>
      <c r="I70">
        <v>0</v>
      </c>
    </row>
    <row r="71" spans="1:9" x14ac:dyDescent="0.25">
      <c r="A71" s="113">
        <f t="shared" si="3"/>
        <v>45565</v>
      </c>
      <c r="B71" s="128">
        <f t="shared" si="2"/>
        <v>2024</v>
      </c>
      <c r="C71">
        <v>4330.1254604574497</v>
      </c>
      <c r="D71">
        <v>1367.0612159546254</v>
      </c>
      <c r="E71">
        <v>0</v>
      </c>
      <c r="F71">
        <v>1133.3913312119003</v>
      </c>
      <c r="G71">
        <v>-74867.821049903883</v>
      </c>
      <c r="H71">
        <v>0</v>
      </c>
      <c r="I71">
        <v>0</v>
      </c>
    </row>
    <row r="72" spans="1:9" x14ac:dyDescent="0.25">
      <c r="A72" s="113">
        <f t="shared" si="3"/>
        <v>45596</v>
      </c>
      <c r="B72" s="128">
        <f t="shared" si="2"/>
        <v>2024</v>
      </c>
      <c r="C72">
        <v>4665.5081541858681</v>
      </c>
      <c r="D72">
        <v>1453.0390654922451</v>
      </c>
      <c r="E72">
        <v>0</v>
      </c>
      <c r="F72">
        <v>1128.9070350673974</v>
      </c>
      <c r="G72">
        <v>-72883.536428275402</v>
      </c>
      <c r="H72">
        <v>0</v>
      </c>
      <c r="I72">
        <v>0</v>
      </c>
    </row>
    <row r="73" spans="1:9" x14ac:dyDescent="0.25">
      <c r="A73" s="113">
        <f t="shared" si="3"/>
        <v>45626</v>
      </c>
      <c r="B73" s="128">
        <f t="shared" si="2"/>
        <v>2024</v>
      </c>
      <c r="C73">
        <v>3801.9176374050671</v>
      </c>
      <c r="D73">
        <v>1239.3863309014644</v>
      </c>
      <c r="E73">
        <v>0</v>
      </c>
      <c r="F73">
        <v>1124.3413852772171</v>
      </c>
      <c r="G73">
        <v>-71541.992706044097</v>
      </c>
      <c r="H73">
        <v>0</v>
      </c>
      <c r="I73">
        <v>0</v>
      </c>
    </row>
    <row r="74" spans="1:9" x14ac:dyDescent="0.25">
      <c r="A74" s="113">
        <f t="shared" si="3"/>
        <v>45657</v>
      </c>
      <c r="B74" s="128">
        <f t="shared" si="2"/>
        <v>2024</v>
      </c>
      <c r="C74">
        <v>4261.8744904699752</v>
      </c>
      <c r="D74">
        <v>1355.9964433908094</v>
      </c>
      <c r="E74">
        <v>0</v>
      </c>
      <c r="F74">
        <v>1119.5914541373907</v>
      </c>
      <c r="G74">
        <v>-69850.573376717875</v>
      </c>
      <c r="H74">
        <v>0</v>
      </c>
      <c r="I74">
        <v>0</v>
      </c>
    </row>
    <row r="75" spans="1:9" x14ac:dyDescent="0.25">
      <c r="A75" s="113">
        <f t="shared" si="3"/>
        <v>45688</v>
      </c>
      <c r="B75" s="128">
        <f t="shared" si="2"/>
        <v>2025</v>
      </c>
      <c r="C75">
        <v>3710.4778767276198</v>
      </c>
      <c r="D75">
        <v>1217.5579563040878</v>
      </c>
      <c r="E75">
        <v>0</v>
      </c>
      <c r="F75">
        <v>1114.6131076122867</v>
      </c>
      <c r="G75">
        <v>-68564.443470245198</v>
      </c>
      <c r="H75">
        <v>0</v>
      </c>
      <c r="I75">
        <v>0</v>
      </c>
    </row>
    <row r="76" spans="1:9" x14ac:dyDescent="0.25">
      <c r="A76" s="113">
        <f t="shared" si="3"/>
        <v>45716</v>
      </c>
      <c r="B76" s="128">
        <f t="shared" si="2"/>
        <v>2025</v>
      </c>
      <c r="C76">
        <v>3842.862216029509</v>
      </c>
      <c r="D76">
        <v>1248.8377714511762</v>
      </c>
      <c r="E76">
        <v>0</v>
      </c>
      <c r="F76">
        <v>1109.8399306110537</v>
      </c>
      <c r="G76">
        <v>-67170.738647115009</v>
      </c>
      <c r="H76">
        <v>0</v>
      </c>
      <c r="I76">
        <v>0</v>
      </c>
    </row>
    <row r="77" spans="1:9" x14ac:dyDescent="0.25">
      <c r="A77" s="113">
        <f t="shared" si="3"/>
        <v>45747</v>
      </c>
      <c r="B77" s="128">
        <f t="shared" si="2"/>
        <v>2025</v>
      </c>
      <c r="C77">
        <v>3696.0997317344445</v>
      </c>
      <c r="D77">
        <v>1212.5197504584519</v>
      </c>
      <c r="E77">
        <v>0</v>
      </c>
      <c r="F77">
        <v>1105.0356802156575</v>
      </c>
      <c r="G77">
        <v>-65880.834862311778</v>
      </c>
      <c r="H77">
        <v>0</v>
      </c>
      <c r="I77">
        <v>0</v>
      </c>
    </row>
    <row r="78" spans="1:9" x14ac:dyDescent="0.25">
      <c r="A78" s="113">
        <f t="shared" si="3"/>
        <v>45777</v>
      </c>
      <c r="B78" s="128">
        <f t="shared" si="2"/>
        <v>2025</v>
      </c>
      <c r="C78">
        <v>4582.5747382238033</v>
      </c>
      <c r="D78">
        <v>1440.8692540280072</v>
      </c>
      <c r="E78">
        <v>0</v>
      </c>
      <c r="F78">
        <v>1100.3297660442181</v>
      </c>
      <c r="G78">
        <v>-63926.397464793052</v>
      </c>
      <c r="H78">
        <v>0</v>
      </c>
      <c r="I78">
        <v>0</v>
      </c>
    </row>
    <row r="79" spans="1:9" x14ac:dyDescent="0.25">
      <c r="A79" s="113">
        <f t="shared" si="3"/>
        <v>45808</v>
      </c>
      <c r="B79" s="128">
        <f t="shared" si="2"/>
        <v>2025</v>
      </c>
      <c r="C79">
        <v>5097.04614264671</v>
      </c>
      <c r="D79">
        <v>1579.2801827714804</v>
      </c>
      <c r="E79">
        <v>0</v>
      </c>
      <c r="F79">
        <v>1095.6816845745095</v>
      </c>
      <c r="G79">
        <v>-61588.672376064715</v>
      </c>
      <c r="H79">
        <v>0</v>
      </c>
      <c r="I79">
        <v>0</v>
      </c>
    </row>
    <row r="80" spans="1:9" x14ac:dyDescent="0.25">
      <c r="A80" s="113">
        <f t="shared" si="3"/>
        <v>45838</v>
      </c>
      <c r="B80" s="128">
        <f t="shared" si="2"/>
        <v>2025</v>
      </c>
      <c r="C80">
        <v>4246.1382305226216</v>
      </c>
      <c r="D80">
        <v>1365.6199780064308</v>
      </c>
      <c r="E80">
        <v>0</v>
      </c>
      <c r="F80">
        <v>1091.1230555124785</v>
      </c>
      <c r="G80">
        <v>-59880.551433668916</v>
      </c>
      <c r="H80">
        <v>0</v>
      </c>
      <c r="I80">
        <v>0</v>
      </c>
    </row>
    <row r="81" spans="1:9" x14ac:dyDescent="0.25">
      <c r="A81" s="113">
        <f t="shared" si="3"/>
        <v>45869</v>
      </c>
      <c r="B81" s="128">
        <f t="shared" si="2"/>
        <v>2025</v>
      </c>
      <c r="C81">
        <v>3592.7962681990775</v>
      </c>
      <c r="D81">
        <v>1201.0989418227225</v>
      </c>
      <c r="E81">
        <v>0</v>
      </c>
      <c r="F81">
        <v>1086.32444350893</v>
      </c>
      <c r="G81">
        <v>-58654.19871791215</v>
      </c>
      <c r="H81">
        <v>0</v>
      </c>
      <c r="I81">
        <v>0</v>
      </c>
    </row>
    <row r="82" spans="1:9" x14ac:dyDescent="0.25">
      <c r="A82" s="113">
        <f t="shared" si="3"/>
        <v>45900</v>
      </c>
      <c r="B82" s="128">
        <f t="shared" si="2"/>
        <v>2025</v>
      </c>
      <c r="C82">
        <v>3720.9756728036273</v>
      </c>
      <c r="D82">
        <v>1231.0332050025902</v>
      </c>
      <c r="E82">
        <v>0</v>
      </c>
      <c r="F82">
        <v>1081.5434596691105</v>
      </c>
      <c r="G82">
        <v>-57323.201545158561</v>
      </c>
      <c r="H82">
        <v>0</v>
      </c>
      <c r="I82">
        <v>0</v>
      </c>
    </row>
    <row r="83" spans="1:9" x14ac:dyDescent="0.25">
      <c r="A83" s="113">
        <f t="shared" si="3"/>
        <v>45930</v>
      </c>
      <c r="B83" s="128">
        <f t="shared" si="2"/>
        <v>2025</v>
      </c>
      <c r="C83">
        <v>4057.7142997021756</v>
      </c>
      <c r="D83">
        <v>1315.2683427975037</v>
      </c>
      <c r="E83">
        <v>0</v>
      </c>
      <c r="F83">
        <v>1076.7217400825295</v>
      </c>
      <c r="G83">
        <v>-55733.122740026338</v>
      </c>
      <c r="H83">
        <v>0</v>
      </c>
      <c r="I83">
        <v>0</v>
      </c>
    </row>
    <row r="84" spans="1:9" x14ac:dyDescent="0.25">
      <c r="A84" s="113">
        <f t="shared" si="3"/>
        <v>45961</v>
      </c>
      <c r="B84" s="128">
        <f t="shared" si="2"/>
        <v>2025</v>
      </c>
      <c r="C84">
        <v>4379.9253667634493</v>
      </c>
      <c r="D84">
        <v>1399.267294092454</v>
      </c>
      <c r="E84">
        <v>0</v>
      </c>
      <c r="F84">
        <v>1072.0536697236982</v>
      </c>
      <c r="G84">
        <v>-53898.065433207448</v>
      </c>
      <c r="H84">
        <v>0</v>
      </c>
      <c r="I84">
        <v>0</v>
      </c>
    </row>
    <row r="85" spans="1:9" x14ac:dyDescent="0.25">
      <c r="A85" s="113">
        <f t="shared" si="3"/>
        <v>45991</v>
      </c>
      <c r="B85" s="128">
        <f t="shared" si="2"/>
        <v>2025</v>
      </c>
      <c r="C85">
        <v>3564.3626273750142</v>
      </c>
      <c r="D85">
        <v>1197.7907929661658</v>
      </c>
      <c r="E85">
        <v>0</v>
      </c>
      <c r="F85">
        <v>1067.7335089418441</v>
      </c>
      <c r="G85">
        <v>-52670.352607347675</v>
      </c>
      <c r="H85">
        <v>0</v>
      </c>
      <c r="I85">
        <v>0</v>
      </c>
    </row>
    <row r="86" spans="1:9" x14ac:dyDescent="0.25">
      <c r="A86" s="113">
        <f t="shared" si="3"/>
        <v>46022</v>
      </c>
      <c r="B86" s="128">
        <f t="shared" si="2"/>
        <v>2025</v>
      </c>
      <c r="C86">
        <v>3999.2631624263054</v>
      </c>
      <c r="D86">
        <v>1309.6112469055838</v>
      </c>
      <c r="E86">
        <v>0</v>
      </c>
      <c r="F86">
        <v>1063.7710865272186</v>
      </c>
      <c r="G86">
        <v>-51113.977151387044</v>
      </c>
      <c r="H86">
        <v>0</v>
      </c>
      <c r="I86">
        <v>0</v>
      </c>
    </row>
    <row r="87" spans="1:9" x14ac:dyDescent="0.25">
      <c r="A87" s="113">
        <f t="shared" si="3"/>
        <v>46053</v>
      </c>
      <c r="B87" s="128">
        <f t="shared" si="2"/>
        <v>2026</v>
      </c>
      <c r="C87">
        <v>3486.1705678640892</v>
      </c>
      <c r="D87">
        <v>1180.8886586947165</v>
      </c>
      <c r="E87">
        <v>0</v>
      </c>
      <c r="F87">
        <v>1060.2248064687822</v>
      </c>
      <c r="G87">
        <v>-49939.233842795802</v>
      </c>
      <c r="H87">
        <v>0</v>
      </c>
      <c r="I87">
        <v>0</v>
      </c>
    </row>
    <row r="88" spans="1:9" x14ac:dyDescent="0.25">
      <c r="A88" s="113">
        <f t="shared" si="3"/>
        <v>46081</v>
      </c>
      <c r="B88" s="128">
        <f t="shared" si="2"/>
        <v>2026</v>
      </c>
      <c r="C88">
        <v>3614.042999420441</v>
      </c>
      <c r="D88">
        <v>1211.2973141858809</v>
      </c>
      <c r="E88">
        <v>0</v>
      </c>
      <c r="F88">
        <v>1056.845262473154</v>
      </c>
      <c r="G88">
        <v>-48662.031204908395</v>
      </c>
      <c r="H88">
        <v>0</v>
      </c>
      <c r="I88">
        <v>0</v>
      </c>
    </row>
    <row r="89" spans="1:9" x14ac:dyDescent="0.25">
      <c r="A89" s="113">
        <f t="shared" si="3"/>
        <v>46112</v>
      </c>
      <c r="B89" s="128">
        <f t="shared" si="2"/>
        <v>2026</v>
      </c>
      <c r="C89">
        <v>3480.6732357091619</v>
      </c>
      <c r="D89">
        <v>1178.4730719021948</v>
      </c>
      <c r="E89">
        <v>0</v>
      </c>
      <c r="F89">
        <v>1053.422845680215</v>
      </c>
      <c r="G89">
        <v>-47480.194716546313</v>
      </c>
      <c r="H89">
        <v>0</v>
      </c>
      <c r="I89">
        <v>0</v>
      </c>
    </row>
    <row r="90" spans="1:9" x14ac:dyDescent="0.25">
      <c r="A90" s="113">
        <f t="shared" si="3"/>
        <v>46142</v>
      </c>
      <c r="B90" s="128">
        <f t="shared" si="2"/>
        <v>2026</v>
      </c>
      <c r="C90">
        <v>4318.3949916483689</v>
      </c>
      <c r="D90">
        <v>1388.9058219357664</v>
      </c>
      <c r="E90">
        <v>0</v>
      </c>
      <c r="F90">
        <v>1050.0294254793532</v>
      </c>
      <c r="G90">
        <v>-45666.050035269007</v>
      </c>
      <c r="H90">
        <v>0</v>
      </c>
      <c r="I90">
        <v>0</v>
      </c>
    </row>
    <row r="91" spans="1:9" x14ac:dyDescent="0.25">
      <c r="A91" s="113">
        <f t="shared" si="3"/>
        <v>46173</v>
      </c>
      <c r="B91" s="128">
        <f t="shared" si="2"/>
        <v>2026</v>
      </c>
      <c r="C91">
        <v>4805.2802632144785</v>
      </c>
      <c r="D91">
        <v>1507.7501574515159</v>
      </c>
      <c r="E91">
        <v>0</v>
      </c>
      <c r="F91">
        <v>1046.9158150807177</v>
      </c>
      <c r="G91">
        <v>-43478.25522017671</v>
      </c>
      <c r="H91">
        <v>0</v>
      </c>
      <c r="I91">
        <v>0</v>
      </c>
    </row>
    <row r="92" spans="1:9" x14ac:dyDescent="0.25">
      <c r="A92" s="113">
        <f t="shared" si="3"/>
        <v>46203</v>
      </c>
      <c r="B92" s="128">
        <f t="shared" si="2"/>
        <v>2026</v>
      </c>
      <c r="C92">
        <v>4009.8807330288714</v>
      </c>
      <c r="D92">
        <v>1309.3317970429835</v>
      </c>
      <c r="E92">
        <v>0</v>
      </c>
      <c r="F92">
        <v>1043.9561035245113</v>
      </c>
      <c r="G92">
        <v>-41881.472272528845</v>
      </c>
      <c r="H92">
        <v>0</v>
      </c>
      <c r="I92">
        <v>0</v>
      </c>
    </row>
    <row r="93" spans="1:9" x14ac:dyDescent="0.25">
      <c r="A93" s="113">
        <f t="shared" si="3"/>
        <v>46234</v>
      </c>
      <c r="B93" s="128">
        <f t="shared" si="2"/>
        <v>2026</v>
      </c>
      <c r="C93">
        <v>3398.5560216501699</v>
      </c>
      <c r="D93">
        <v>1155.556368647116</v>
      </c>
      <c r="E93">
        <v>0</v>
      </c>
      <c r="F93">
        <v>1040.8026444109553</v>
      </c>
      <c r="G93">
        <v>-40736.888570168951</v>
      </c>
      <c r="H93">
        <v>0</v>
      </c>
      <c r="I93">
        <v>0</v>
      </c>
    </row>
    <row r="94" spans="1:9" x14ac:dyDescent="0.25">
      <c r="A94" s="113">
        <f t="shared" si="3"/>
        <v>46265</v>
      </c>
      <c r="B94" s="128">
        <f t="shared" si="2"/>
        <v>2026</v>
      </c>
      <c r="C94">
        <v>3522.8083906842271</v>
      </c>
      <c r="D94">
        <v>1185.4378185595799</v>
      </c>
      <c r="E94">
        <v>0</v>
      </c>
      <c r="F94">
        <v>1037.6658010055207</v>
      </c>
      <c r="G94">
        <v>-39493.222584431278</v>
      </c>
      <c r="H94">
        <v>0</v>
      </c>
      <c r="I94">
        <v>0</v>
      </c>
    </row>
    <row r="95" spans="1:9" x14ac:dyDescent="0.25">
      <c r="A95" s="113">
        <f t="shared" si="3"/>
        <v>46295</v>
      </c>
      <c r="B95" s="128">
        <f t="shared" si="2"/>
        <v>2026</v>
      </c>
      <c r="C95">
        <v>3848.9935982531856</v>
      </c>
      <c r="D95">
        <v>1267.7346958712126</v>
      </c>
      <c r="E95">
        <v>0</v>
      </c>
      <c r="F95">
        <v>1034.5116726392469</v>
      </c>
      <c r="G95">
        <v>-38000.803318902559</v>
      </c>
      <c r="H95">
        <v>0</v>
      </c>
      <c r="I95">
        <v>0</v>
      </c>
    </row>
    <row r="96" spans="1:9" x14ac:dyDescent="0.25">
      <c r="A96" s="113">
        <f t="shared" si="3"/>
        <v>46326</v>
      </c>
      <c r="B96" s="128">
        <f t="shared" si="2"/>
        <v>2026</v>
      </c>
      <c r="C96">
        <v>4158.4955683759108</v>
      </c>
      <c r="D96">
        <v>1349.4362017418537</v>
      </c>
      <c r="E96">
        <v>0</v>
      </c>
      <c r="F96">
        <v>1031.3842740492353</v>
      </c>
      <c r="G96">
        <v>-36275.403177504617</v>
      </c>
      <c r="H96">
        <v>0</v>
      </c>
      <c r="I96">
        <v>0</v>
      </c>
    </row>
    <row r="97" spans="1:9" x14ac:dyDescent="0.25">
      <c r="A97" s="113">
        <f t="shared" si="3"/>
        <v>46356</v>
      </c>
      <c r="B97" s="128">
        <f t="shared" si="2"/>
        <v>2026</v>
      </c>
      <c r="C97">
        <v>3386.512059537054</v>
      </c>
      <c r="D97">
        <v>1161.5397190714907</v>
      </c>
      <c r="E97">
        <v>0</v>
      </c>
      <c r="F97">
        <v>1028.1410795344343</v>
      </c>
      <c r="G97">
        <v>-35128.473359826523</v>
      </c>
      <c r="H97">
        <v>0</v>
      </c>
      <c r="I97">
        <v>0</v>
      </c>
    </row>
    <row r="98" spans="1:9" x14ac:dyDescent="0.25">
      <c r="A98" s="113">
        <f t="shared" si="3"/>
        <v>46387</v>
      </c>
      <c r="B98" s="128">
        <f t="shared" si="2"/>
        <v>2026</v>
      </c>
      <c r="C98">
        <v>3799.3350970716178</v>
      </c>
      <c r="D98">
        <v>1268.9250112672598</v>
      </c>
      <c r="E98">
        <v>0</v>
      </c>
      <c r="F98">
        <v>1024.5385194108214</v>
      </c>
      <c r="G98">
        <v>-33670.925488454464</v>
      </c>
      <c r="H98">
        <v>0</v>
      </c>
      <c r="I98">
        <v>0</v>
      </c>
    </row>
    <row r="99" spans="1:9" x14ac:dyDescent="0.25">
      <c r="A99" s="113">
        <f t="shared" si="3"/>
        <v>46418</v>
      </c>
      <c r="B99" s="128">
        <f t="shared" si="2"/>
        <v>2027</v>
      </c>
      <c r="C99">
        <v>3310.4222533677025</v>
      </c>
      <c r="D99">
        <v>1145.867168006683</v>
      </c>
      <c r="E99">
        <v>0</v>
      </c>
      <c r="F99">
        <v>1020.6019233415083</v>
      </c>
      <c r="G99">
        <v>-32575.053775936161</v>
      </c>
      <c r="H99">
        <v>0</v>
      </c>
      <c r="I99">
        <v>0</v>
      </c>
    </row>
    <row r="100" spans="1:9" x14ac:dyDescent="0.25">
      <c r="A100" s="113">
        <f t="shared" si="3"/>
        <v>46446</v>
      </c>
      <c r="B100" s="128">
        <f t="shared" si="2"/>
        <v>2027</v>
      </c>
      <c r="C100">
        <v>3428.8099887830713</v>
      </c>
      <c r="D100">
        <v>1173.8964014467031</v>
      </c>
      <c r="E100">
        <v>0</v>
      </c>
      <c r="F100">
        <v>1016.760249684899</v>
      </c>
      <c r="G100">
        <v>-31383.417003552939</v>
      </c>
      <c r="H100">
        <v>0</v>
      </c>
      <c r="I100">
        <v>0</v>
      </c>
    </row>
    <row r="101" spans="1:9" x14ac:dyDescent="0.25">
      <c r="A101" s="113">
        <f t="shared" si="3"/>
        <v>46477</v>
      </c>
      <c r="B101" s="128">
        <f t="shared" si="2"/>
        <v>2027</v>
      </c>
      <c r="C101">
        <v>3300.4945210647215</v>
      </c>
      <c r="D101">
        <v>1142.3498220556642</v>
      </c>
      <c r="E101">
        <v>0</v>
      </c>
      <c r="F101">
        <v>1012.9244507678055</v>
      </c>
      <c r="G101">
        <v>-30283.011685639303</v>
      </c>
      <c r="H101">
        <v>0</v>
      </c>
      <c r="I101">
        <v>0</v>
      </c>
    </row>
    <row r="102" spans="1:9" x14ac:dyDescent="0.25">
      <c r="A102" s="113">
        <f t="shared" si="3"/>
        <v>46507</v>
      </c>
      <c r="B102" s="128">
        <f t="shared" si="2"/>
        <v>2027</v>
      </c>
      <c r="C102">
        <v>4101.0257507520282</v>
      </c>
      <c r="D102">
        <v>1347.6120958659619</v>
      </c>
      <c r="E102">
        <v>0</v>
      </c>
      <c r="F102">
        <v>1009.15051309204</v>
      </c>
      <c r="G102">
        <v>-28581.992116036563</v>
      </c>
      <c r="H102">
        <v>0</v>
      </c>
      <c r="I102">
        <v>0</v>
      </c>
    </row>
    <row r="103" spans="1:9" x14ac:dyDescent="0.25">
      <c r="A103" s="113">
        <f t="shared" si="3"/>
        <v>46538</v>
      </c>
      <c r="B103" s="128">
        <f t="shared" si="2"/>
        <v>2027</v>
      </c>
      <c r="C103">
        <v>4565.2409108152742</v>
      </c>
      <c r="D103">
        <v>1468.6638504663713</v>
      </c>
      <c r="E103">
        <v>0</v>
      </c>
      <c r="F103">
        <v>1005.6298954906914</v>
      </c>
      <c r="G103">
        <v>-26531.859499357084</v>
      </c>
      <c r="H103">
        <v>0</v>
      </c>
      <c r="I103">
        <v>0</v>
      </c>
    </row>
    <row r="104" spans="1:9" x14ac:dyDescent="0.25">
      <c r="A104" s="113">
        <f t="shared" si="3"/>
        <v>46568</v>
      </c>
      <c r="B104" s="128">
        <f t="shared" si="2"/>
        <v>2027</v>
      </c>
      <c r="C104">
        <v>3800.5604791124465</v>
      </c>
      <c r="D104">
        <v>1278.1522629680401</v>
      </c>
      <c r="E104">
        <v>0</v>
      </c>
      <c r="F104">
        <v>1002.2108787380877</v>
      </c>
      <c r="G104">
        <v>-25049.549159239526</v>
      </c>
      <c r="H104">
        <v>0</v>
      </c>
      <c r="I104">
        <v>0</v>
      </c>
    </row>
    <row r="105" spans="1:9" x14ac:dyDescent="0.25">
      <c r="A105" s="113">
        <f t="shared" si="3"/>
        <v>46599</v>
      </c>
      <c r="B105" s="128">
        <f t="shared" si="2"/>
        <v>2027</v>
      </c>
      <c r="C105">
        <v>3217.0181005916616</v>
      </c>
      <c r="D105">
        <v>1131.3904903237742</v>
      </c>
      <c r="E105">
        <v>0</v>
      </c>
      <c r="F105">
        <v>998.5958559210909</v>
      </c>
      <c r="G105">
        <v>-23998.287690842863</v>
      </c>
      <c r="H105">
        <v>0</v>
      </c>
      <c r="I105">
        <v>0</v>
      </c>
    </row>
    <row r="106" spans="1:9" x14ac:dyDescent="0.25">
      <c r="A106" s="113">
        <f t="shared" si="3"/>
        <v>46630</v>
      </c>
      <c r="B106" s="128">
        <f t="shared" si="2"/>
        <v>2027</v>
      </c>
      <c r="C106">
        <v>3332.1570078213858</v>
      </c>
      <c r="D106">
        <v>1159.0550107860013</v>
      </c>
      <c r="E106">
        <v>0</v>
      </c>
      <c r="F106">
        <v>994.92628656605734</v>
      </c>
      <c r="G106">
        <v>-22854.381084681885</v>
      </c>
      <c r="H106">
        <v>0</v>
      </c>
      <c r="I106">
        <v>0</v>
      </c>
    </row>
    <row r="107" spans="1:9" x14ac:dyDescent="0.25">
      <c r="A107" s="113">
        <f t="shared" si="3"/>
        <v>46660</v>
      </c>
      <c r="B107" s="128">
        <f t="shared" si="2"/>
        <v>2027</v>
      </c>
      <c r="C107">
        <v>3634.4888762740998</v>
      </c>
      <c r="D107">
        <v>1235.92648748284</v>
      </c>
      <c r="E107">
        <v>0</v>
      </c>
      <c r="F107">
        <v>991.27409054745226</v>
      </c>
      <c r="G107">
        <v>-21479.728413587112</v>
      </c>
      <c r="H107">
        <v>0</v>
      </c>
      <c r="I107">
        <v>0</v>
      </c>
    </row>
    <row r="108" spans="1:9" x14ac:dyDescent="0.25">
      <c r="A108" s="113">
        <f t="shared" si="3"/>
        <v>46691</v>
      </c>
      <c r="B108" s="128">
        <f t="shared" si="2"/>
        <v>2027</v>
      </c>
      <c r="C108">
        <v>3934.9199578407201</v>
      </c>
      <c r="D108">
        <v>1316.408017217839</v>
      </c>
      <c r="E108">
        <v>0</v>
      </c>
      <c r="F108">
        <v>987.71996515284036</v>
      </c>
      <c r="G108">
        <v>-19879.609087057815</v>
      </c>
      <c r="H108">
        <v>0</v>
      </c>
      <c r="I108">
        <v>0</v>
      </c>
    </row>
    <row r="109" spans="1:9" x14ac:dyDescent="0.25">
      <c r="A109" s="113">
        <f t="shared" si="3"/>
        <v>46721</v>
      </c>
      <c r="B109" s="128">
        <f t="shared" si="2"/>
        <v>2027</v>
      </c>
      <c r="C109">
        <v>3198.6846536380554</v>
      </c>
      <c r="D109">
        <v>1136.6373618965849</v>
      </c>
      <c r="E109">
        <v>0</v>
      </c>
      <c r="F109">
        <v>984.54465012832532</v>
      </c>
      <c r="G109">
        <v>-18830.49415402579</v>
      </c>
      <c r="H109">
        <v>0</v>
      </c>
      <c r="I109">
        <v>0</v>
      </c>
    </row>
    <row r="110" spans="1:9" x14ac:dyDescent="0.25">
      <c r="A110" s="113">
        <f t="shared" si="3"/>
        <v>46752</v>
      </c>
      <c r="B110" s="128">
        <f t="shared" si="2"/>
        <v>2027</v>
      </c>
      <c r="C110">
        <v>3591.5228793933975</v>
      </c>
      <c r="D110">
        <v>1240.6275241257142</v>
      </c>
      <c r="E110">
        <v>0</v>
      </c>
      <c r="F110">
        <v>981.57000761529787</v>
      </c>
      <c r="G110">
        <v>-17488.058398524943</v>
      </c>
      <c r="H110">
        <v>0</v>
      </c>
      <c r="I110">
        <v>0</v>
      </c>
    </row>
    <row r="111" spans="1:9" x14ac:dyDescent="0.25">
      <c r="A111" s="113">
        <f t="shared" si="3"/>
        <v>46783</v>
      </c>
      <c r="B111" s="128">
        <f t="shared" si="2"/>
        <v>2028</v>
      </c>
      <c r="C111">
        <v>3133.7718498467025</v>
      </c>
      <c r="D111">
        <v>1126.0880555706972</v>
      </c>
      <c r="E111">
        <v>0</v>
      </c>
      <c r="F111">
        <v>979.00038243799918</v>
      </c>
      <c r="G111">
        <v>-16485.582353245129</v>
      </c>
      <c r="H111">
        <v>0</v>
      </c>
      <c r="I111">
        <v>0</v>
      </c>
    </row>
    <row r="112" spans="1:9" x14ac:dyDescent="0.25">
      <c r="A112" s="113">
        <f t="shared" si="3"/>
        <v>46812</v>
      </c>
      <c r="B112" s="128">
        <f t="shared" si="2"/>
        <v>2028</v>
      </c>
      <c r="C112">
        <v>3248.6289402603352</v>
      </c>
      <c r="D112">
        <v>1154.63393601707</v>
      </c>
      <c r="E112">
        <v>0</v>
      </c>
      <c r="F112">
        <v>976.44849443096405</v>
      </c>
      <c r="G112">
        <v>-15392.740913018659</v>
      </c>
      <c r="H112">
        <v>0</v>
      </c>
      <c r="I112">
        <v>0</v>
      </c>
    </row>
    <row r="113" spans="1:9" x14ac:dyDescent="0.25">
      <c r="A113" s="113">
        <f t="shared" si="3"/>
        <v>46843</v>
      </c>
      <c r="B113" s="128">
        <f t="shared" si="2"/>
        <v>2028</v>
      </c>
      <c r="C113">
        <v>3130.831351933492</v>
      </c>
      <c r="D113">
        <v>1126.2665527018466</v>
      </c>
      <c r="E113">
        <v>0</v>
      </c>
      <c r="F113">
        <v>973.93791595346397</v>
      </c>
      <c r="G113">
        <v>-14385.181382001645</v>
      </c>
      <c r="H113">
        <v>0</v>
      </c>
      <c r="I113">
        <v>0</v>
      </c>
    </row>
    <row r="114" spans="1:9" x14ac:dyDescent="0.25">
      <c r="A114" s="113">
        <f t="shared" si="3"/>
        <v>46873</v>
      </c>
      <c r="B114" s="128">
        <f t="shared" si="2"/>
        <v>2028</v>
      </c>
      <c r="C114">
        <v>3900.0018983631167</v>
      </c>
      <c r="D114">
        <v>1325.2215377540811</v>
      </c>
      <c r="E114">
        <v>0</v>
      </c>
      <c r="F114">
        <v>971.39088214574542</v>
      </c>
      <c r="G114">
        <v>-12803.34934078456</v>
      </c>
      <c r="H114">
        <v>0</v>
      </c>
      <c r="I114">
        <v>0</v>
      </c>
    </row>
    <row r="115" spans="1:9" x14ac:dyDescent="0.25">
      <c r="A115" s="113">
        <f t="shared" si="3"/>
        <v>46904</v>
      </c>
      <c r="B115" s="128">
        <f t="shared" si="2"/>
        <v>2028</v>
      </c>
      <c r="C115">
        <v>4346.2990783304176</v>
      </c>
      <c r="D115">
        <v>1442.2200249671409</v>
      </c>
      <c r="E115">
        <v>0</v>
      </c>
      <c r="F115">
        <v>969.07710016926001</v>
      </c>
      <c r="G115">
        <v>-10887.534312845477</v>
      </c>
      <c r="H115">
        <v>0</v>
      </c>
      <c r="I115">
        <v>0</v>
      </c>
    </row>
    <row r="116" spans="1:9" x14ac:dyDescent="0.25">
      <c r="A116" s="113">
        <f t="shared" si="3"/>
        <v>46934</v>
      </c>
      <c r="B116" s="128">
        <f t="shared" si="2"/>
        <v>2028</v>
      </c>
      <c r="C116">
        <v>3617.9126736105318</v>
      </c>
      <c r="D116">
        <v>1262.4026065402215</v>
      </c>
      <c r="E116">
        <v>0</v>
      </c>
      <c r="F116">
        <v>966.87464261613638</v>
      </c>
      <c r="G116">
        <v>-9515.2147992917162</v>
      </c>
      <c r="H116">
        <v>0</v>
      </c>
      <c r="I116">
        <v>0</v>
      </c>
    </row>
    <row r="117" spans="1:9" x14ac:dyDescent="0.25">
      <c r="A117" s="113">
        <f t="shared" si="3"/>
        <v>46965</v>
      </c>
      <c r="B117" s="128">
        <f t="shared" si="2"/>
        <v>2028</v>
      </c>
      <c r="C117">
        <v>3064.0902346428202</v>
      </c>
      <c r="D117">
        <v>1123.5813233198708</v>
      </c>
      <c r="E117">
        <v>0</v>
      </c>
      <c r="F117">
        <v>964.48696480806632</v>
      </c>
      <c r="G117">
        <v>-8553.4522243115207</v>
      </c>
      <c r="H117">
        <v>0</v>
      </c>
      <c r="I117">
        <v>0</v>
      </c>
    </row>
    <row r="118" spans="1:9" x14ac:dyDescent="0.25">
      <c r="A118" s="113">
        <f t="shared" si="3"/>
        <v>46996</v>
      </c>
      <c r="B118" s="128">
        <f t="shared" si="2"/>
        <v>2028</v>
      </c>
      <c r="C118">
        <v>3175.869961134807</v>
      </c>
      <c r="D118">
        <v>1151.9756351817759</v>
      </c>
      <c r="E118">
        <v>0</v>
      </c>
      <c r="F118">
        <v>961.95790656700831</v>
      </c>
      <c r="G118">
        <v>-7504.3338921409095</v>
      </c>
      <c r="H118">
        <v>0</v>
      </c>
      <c r="I118">
        <v>0</v>
      </c>
    </row>
    <row r="119" spans="1:9" x14ac:dyDescent="0.25">
      <c r="A119" s="113">
        <f t="shared" si="3"/>
        <v>47026</v>
      </c>
      <c r="B119" s="128">
        <f t="shared" si="2"/>
        <v>2028</v>
      </c>
      <c r="C119">
        <v>3467.5875573058324</v>
      </c>
      <c r="D119">
        <v>1226.8127411488306</v>
      </c>
      <c r="E119">
        <v>0</v>
      </c>
      <c r="F119">
        <v>959.47934572487497</v>
      </c>
      <c r="G119">
        <v>-6234.2843144548233</v>
      </c>
      <c r="H119">
        <v>0</v>
      </c>
      <c r="I119">
        <v>0</v>
      </c>
    </row>
    <row r="120" spans="1:9" x14ac:dyDescent="0.25">
      <c r="A120" s="113">
        <f t="shared" si="3"/>
        <v>47057</v>
      </c>
      <c r="B120" s="128">
        <f t="shared" si="2"/>
        <v>2028</v>
      </c>
      <c r="C120">
        <v>3759.1304611827327</v>
      </c>
      <c r="D120">
        <v>1306.7650910112854</v>
      </c>
      <c r="E120">
        <v>0</v>
      </c>
      <c r="F120">
        <v>957.00677801490394</v>
      </c>
      <c r="G120">
        <v>-4748.2683360140809</v>
      </c>
      <c r="H120">
        <v>0</v>
      </c>
      <c r="I120">
        <v>0</v>
      </c>
    </row>
    <row r="121" spans="1:9" x14ac:dyDescent="0.25">
      <c r="A121" s="113">
        <f t="shared" si="3"/>
        <v>47087</v>
      </c>
      <c r="B121" s="128">
        <f t="shared" si="2"/>
        <v>2028</v>
      </c>
      <c r="C121">
        <v>3056.6481700529453</v>
      </c>
      <c r="D121">
        <v>1136.7437218660846</v>
      </c>
      <c r="E121">
        <v>0</v>
      </c>
      <c r="F121">
        <v>954.67129290389357</v>
      </c>
      <c r="G121">
        <v>-3790.1508711046677</v>
      </c>
      <c r="H121">
        <v>0</v>
      </c>
      <c r="I121">
        <v>0</v>
      </c>
    </row>
    <row r="122" spans="1:9" x14ac:dyDescent="0.25">
      <c r="A122" s="113">
        <f t="shared" si="3"/>
        <v>47118</v>
      </c>
      <c r="B122" s="128">
        <f t="shared" si="2"/>
        <v>2028</v>
      </c>
      <c r="C122">
        <v>3433.1427866834761</v>
      </c>
      <c r="D122">
        <v>1238.2197257765733</v>
      </c>
      <c r="E122">
        <v>0</v>
      </c>
      <c r="F122">
        <v>952.13003278569954</v>
      </c>
      <c r="G122">
        <v>-2553.0377115501351</v>
      </c>
      <c r="H122">
        <v>0</v>
      </c>
      <c r="I122">
        <v>0</v>
      </c>
    </row>
    <row r="123" spans="1:9" x14ac:dyDescent="0.25">
      <c r="A123" s="113">
        <f t="shared" si="3"/>
        <v>47149</v>
      </c>
      <c r="B123" s="128">
        <f t="shared" si="2"/>
        <v>2029</v>
      </c>
      <c r="C123">
        <v>2995.5548156376244</v>
      </c>
      <c r="D123">
        <v>1128.4132867627252</v>
      </c>
      <c r="E123">
        <v>0</v>
      </c>
      <c r="F123">
        <v>949.60496402685817</v>
      </c>
      <c r="G123">
        <v>-1639.2680705996231</v>
      </c>
      <c r="H123">
        <v>0</v>
      </c>
      <c r="I123">
        <v>0</v>
      </c>
    </row>
    <row r="124" spans="1:9" x14ac:dyDescent="0.25">
      <c r="A124" s="113">
        <f t="shared" si="3"/>
        <v>47177</v>
      </c>
      <c r="B124" s="128">
        <f t="shared" si="2"/>
        <v>2029</v>
      </c>
      <c r="C124">
        <v>3104.1938156514721</v>
      </c>
      <c r="D124">
        <v>1155.0570099989491</v>
      </c>
      <c r="E124">
        <v>0</v>
      </c>
      <c r="F124">
        <v>947.06027834622603</v>
      </c>
      <c r="G124">
        <v>-639.61022988055083</v>
      </c>
      <c r="H124">
        <v>0</v>
      </c>
      <c r="I124">
        <v>0</v>
      </c>
    </row>
    <row r="125" spans="1:9" x14ac:dyDescent="0.25">
      <c r="A125" s="113">
        <f t="shared" si="3"/>
        <v>47208</v>
      </c>
      <c r="B125" s="128">
        <f t="shared" si="2"/>
        <v>2029</v>
      </c>
      <c r="C125">
        <v>2992.2865418822403</v>
      </c>
      <c r="D125">
        <v>1127.7745312374823</v>
      </c>
      <c r="E125">
        <v>0</v>
      </c>
      <c r="F125">
        <v>944.56455561408291</v>
      </c>
      <c r="G125">
        <v>279.39350111144728</v>
      </c>
      <c r="H125">
        <v>0</v>
      </c>
      <c r="I125">
        <v>0</v>
      </c>
    </row>
    <row r="126" spans="1:9" x14ac:dyDescent="0.25">
      <c r="A126" s="113">
        <f t="shared" si="3"/>
        <v>47238</v>
      </c>
      <c r="B126" s="128">
        <f t="shared" si="2"/>
        <v>2029</v>
      </c>
      <c r="C126">
        <v>3727.8474017426447</v>
      </c>
      <c r="D126">
        <v>1318.1996951613876</v>
      </c>
      <c r="E126">
        <v>0</v>
      </c>
      <c r="F126">
        <v>942.03127134737599</v>
      </c>
      <c r="G126">
        <v>1747.4221723461492</v>
      </c>
      <c r="H126">
        <v>0</v>
      </c>
      <c r="I126">
        <v>0</v>
      </c>
    </row>
    <row r="127" spans="1:9" x14ac:dyDescent="0.25">
      <c r="A127" s="113">
        <f t="shared" si="3"/>
        <v>47269</v>
      </c>
      <c r="B127" s="128">
        <f t="shared" si="2"/>
        <v>2029</v>
      </c>
      <c r="C127">
        <v>4153.5782645859408</v>
      </c>
      <c r="D127">
        <v>1430.7743489235211</v>
      </c>
      <c r="E127">
        <v>0</v>
      </c>
      <c r="F127">
        <v>939.71455844890977</v>
      </c>
      <c r="G127">
        <v>3533.0897939974757</v>
      </c>
      <c r="H127">
        <v>0</v>
      </c>
      <c r="I127">
        <v>0</v>
      </c>
    </row>
    <row r="128" spans="1:9" x14ac:dyDescent="0.25">
      <c r="A128" s="113">
        <f t="shared" si="3"/>
        <v>47299</v>
      </c>
      <c r="B128" s="128">
        <f t="shared" si="2"/>
        <v>2029</v>
      </c>
      <c r="C128">
        <v>3456.8882608740701</v>
      </c>
      <c r="D128">
        <v>1258.7597778138554</v>
      </c>
      <c r="E128">
        <v>0</v>
      </c>
      <c r="F128">
        <v>937.54037568691535</v>
      </c>
      <c r="G128">
        <v>4798.8908601597996</v>
      </c>
      <c r="H128">
        <v>0</v>
      </c>
      <c r="I128">
        <v>0</v>
      </c>
    </row>
    <row r="129" spans="1:9" x14ac:dyDescent="0.25">
      <c r="A129" s="113">
        <f t="shared" si="3"/>
        <v>47330</v>
      </c>
      <c r="B129" s="128">
        <f t="shared" si="2"/>
        <v>2029</v>
      </c>
      <c r="C129">
        <v>2927.9154286981311</v>
      </c>
      <c r="D129">
        <v>1125.9126964407387</v>
      </c>
      <c r="E129">
        <v>0</v>
      </c>
      <c r="F129">
        <v>935.1854178529718</v>
      </c>
      <c r="G129">
        <v>5672.7887815529057</v>
      </c>
      <c r="H129">
        <v>0</v>
      </c>
      <c r="I129">
        <v>0</v>
      </c>
    </row>
    <row r="130" spans="1:9" x14ac:dyDescent="0.25">
      <c r="A130" s="113">
        <f t="shared" si="3"/>
        <v>47361</v>
      </c>
      <c r="B130" s="128">
        <f t="shared" si="2"/>
        <v>2029</v>
      </c>
      <c r="C130">
        <v>3033.5279317374138</v>
      </c>
      <c r="D130">
        <v>1152.7308019823456</v>
      </c>
      <c r="E130">
        <v>0</v>
      </c>
      <c r="F130">
        <v>932.67685483133312</v>
      </c>
      <c r="G130">
        <v>6629.2790713535196</v>
      </c>
      <c r="H130">
        <v>0</v>
      </c>
      <c r="I130">
        <v>0</v>
      </c>
    </row>
    <row r="131" spans="1:9" x14ac:dyDescent="0.25">
      <c r="A131" s="113">
        <f t="shared" si="3"/>
        <v>47391</v>
      </c>
      <c r="B131" s="128">
        <f t="shared" ref="B131:B194" si="4">YEAR(A131)</f>
        <v>2029</v>
      </c>
      <c r="C131">
        <v>3311.421901263931</v>
      </c>
      <c r="D131">
        <v>1224.4049016326614</v>
      </c>
      <c r="E131">
        <v>0</v>
      </c>
      <c r="F131">
        <v>930.2151104664764</v>
      </c>
      <c r="G131">
        <v>7795.8622456298963</v>
      </c>
      <c r="H131">
        <v>0</v>
      </c>
      <c r="I131">
        <v>0</v>
      </c>
    </row>
    <row r="132" spans="1:9" x14ac:dyDescent="0.25">
      <c r="A132" s="113">
        <f t="shared" ref="A132:A195" si="5">DATE(YEAR(A131),MONTH(A131)+2,1)-1</f>
        <v>47422</v>
      </c>
      <c r="B132" s="128">
        <f t="shared" si="4"/>
        <v>2029</v>
      </c>
      <c r="C132">
        <v>3591.6228835501456</v>
      </c>
      <c r="D132">
        <v>1301.4092789555127</v>
      </c>
      <c r="E132">
        <v>0</v>
      </c>
      <c r="F132">
        <v>927.77223324483714</v>
      </c>
      <c r="G132">
        <v>9169.8061575266347</v>
      </c>
      <c r="H132">
        <v>0</v>
      </c>
      <c r="I132">
        <v>0</v>
      </c>
    </row>
    <row r="133" spans="1:9" x14ac:dyDescent="0.25">
      <c r="A133" s="113">
        <f t="shared" si="5"/>
        <v>47452</v>
      </c>
      <c r="B133" s="128">
        <f t="shared" si="4"/>
        <v>2029</v>
      </c>
      <c r="C133">
        <v>2919.7489346564748</v>
      </c>
      <c r="D133">
        <v>1140.2800649277608</v>
      </c>
      <c r="E133">
        <v>0</v>
      </c>
      <c r="F133">
        <v>925.45423213187769</v>
      </c>
      <c r="G133">
        <v>10037.350545112775</v>
      </c>
      <c r="H133">
        <v>0</v>
      </c>
      <c r="I133">
        <v>0</v>
      </c>
    </row>
    <row r="134" spans="1:9" x14ac:dyDescent="0.25">
      <c r="A134" s="113">
        <f t="shared" si="5"/>
        <v>47483</v>
      </c>
      <c r="B134" s="128">
        <f t="shared" si="4"/>
        <v>2029</v>
      </c>
      <c r="C134">
        <v>3279.3790675389423</v>
      </c>
      <c r="D134">
        <v>1236.8472326516944</v>
      </c>
      <c r="E134">
        <v>0</v>
      </c>
      <c r="F134">
        <v>922.94283357215511</v>
      </c>
      <c r="G134">
        <v>11171.74932987339</v>
      </c>
      <c r="H134">
        <v>0</v>
      </c>
      <c r="I134">
        <v>0</v>
      </c>
    </row>
    <row r="135" spans="1:9" x14ac:dyDescent="0.25">
      <c r="A135" s="113">
        <f t="shared" si="5"/>
        <v>47514</v>
      </c>
      <c r="B135" s="128">
        <f t="shared" si="4"/>
        <v>2030</v>
      </c>
      <c r="C135">
        <v>2861.3570759727695</v>
      </c>
      <c r="D135">
        <v>1131.7744912647158</v>
      </c>
      <c r="E135">
        <v>0</v>
      </c>
      <c r="F135">
        <v>920.42176252184811</v>
      </c>
      <c r="G135">
        <v>11998.134479806291</v>
      </c>
      <c r="H135">
        <v>0</v>
      </c>
      <c r="I135">
        <v>0</v>
      </c>
    </row>
    <row r="136" spans="1:9" x14ac:dyDescent="0.25">
      <c r="A136" s="113">
        <f t="shared" si="5"/>
        <v>47542</v>
      </c>
      <c r="B136" s="128">
        <f t="shared" si="4"/>
        <v>2030</v>
      </c>
      <c r="C136">
        <v>2963.8558323113812</v>
      </c>
      <c r="D136">
        <v>1156.6633627649735</v>
      </c>
      <c r="E136">
        <v>0</v>
      </c>
      <c r="F136">
        <v>917.89975276862231</v>
      </c>
      <c r="G136">
        <v>12905.925624585552</v>
      </c>
      <c r="H136">
        <v>0</v>
      </c>
      <c r="I136">
        <v>0</v>
      </c>
    </row>
    <row r="137" spans="1:9" x14ac:dyDescent="0.25">
      <c r="A137" s="113">
        <f t="shared" si="5"/>
        <v>47573</v>
      </c>
      <c r="B137" s="128">
        <f t="shared" si="4"/>
        <v>2030</v>
      </c>
      <c r="C137">
        <v>2857.7589701718111</v>
      </c>
      <c r="D137">
        <v>1130.8755618876803</v>
      </c>
      <c r="E137">
        <v>0</v>
      </c>
      <c r="F137">
        <v>915.4245756830328</v>
      </c>
      <c r="G137">
        <v>13737.282495199193</v>
      </c>
      <c r="H137">
        <v>0</v>
      </c>
      <c r="I137">
        <v>0</v>
      </c>
    </row>
    <row r="138" spans="1:9" x14ac:dyDescent="0.25">
      <c r="A138" s="113">
        <f t="shared" si="5"/>
        <v>47603</v>
      </c>
      <c r="B138" s="128">
        <f t="shared" si="4"/>
        <v>2030</v>
      </c>
      <c r="C138">
        <v>3560.6629909345488</v>
      </c>
      <c r="D138">
        <v>1313.8820775610043</v>
      </c>
      <c r="E138">
        <v>0</v>
      </c>
      <c r="F138">
        <v>912.90994761485797</v>
      </c>
      <c r="G138">
        <v>15092.333264501591</v>
      </c>
      <c r="H138">
        <v>0</v>
      </c>
      <c r="I138">
        <v>0</v>
      </c>
    </row>
    <row r="139" spans="1:9" x14ac:dyDescent="0.25">
      <c r="A139" s="113">
        <f t="shared" si="5"/>
        <v>47634</v>
      </c>
      <c r="B139" s="128">
        <f t="shared" si="4"/>
        <v>2030</v>
      </c>
      <c r="C139">
        <v>3966.2241810899322</v>
      </c>
      <c r="D139">
        <v>1421.0745969897357</v>
      </c>
      <c r="E139">
        <v>0</v>
      </c>
      <c r="F139">
        <v>910.58943417028161</v>
      </c>
      <c r="G139">
        <v>16750.162401850954</v>
      </c>
      <c r="H139">
        <v>0</v>
      </c>
      <c r="I139">
        <v>0</v>
      </c>
    </row>
    <row r="140" spans="1:9" x14ac:dyDescent="0.25">
      <c r="A140" s="113">
        <f t="shared" si="5"/>
        <v>47664</v>
      </c>
      <c r="B140" s="128">
        <f t="shared" si="4"/>
        <v>2030</v>
      </c>
      <c r="C140">
        <v>3300.4197410156553</v>
      </c>
      <c r="D140">
        <v>1256.5351788978464</v>
      </c>
      <c r="E140">
        <v>0</v>
      </c>
      <c r="F140">
        <v>908.41768864753487</v>
      </c>
      <c r="G140">
        <v>17911.454262841169</v>
      </c>
      <c r="H140">
        <v>0</v>
      </c>
      <c r="I140">
        <v>0</v>
      </c>
    </row>
    <row r="141" spans="1:9" x14ac:dyDescent="0.25">
      <c r="A141" s="113">
        <f t="shared" si="5"/>
        <v>47695</v>
      </c>
      <c r="B141" s="128">
        <f t="shared" si="4"/>
        <v>2030</v>
      </c>
      <c r="C141">
        <v>2795.6304943517034</v>
      </c>
      <c r="D141">
        <v>1129.4876377824248</v>
      </c>
      <c r="E141">
        <v>0</v>
      </c>
      <c r="F141">
        <v>906.07437361525899</v>
      </c>
      <c r="G141">
        <v>18699.138184481973</v>
      </c>
      <c r="H141">
        <v>0</v>
      </c>
      <c r="I141">
        <v>0</v>
      </c>
    </row>
    <row r="142" spans="1:9" x14ac:dyDescent="0.25">
      <c r="A142" s="113">
        <f t="shared" si="5"/>
        <v>47726</v>
      </c>
      <c r="B142" s="128">
        <f t="shared" si="4"/>
        <v>2030</v>
      </c>
      <c r="C142">
        <v>2895.1383967657298</v>
      </c>
      <c r="D142">
        <v>1154.4070448211423</v>
      </c>
      <c r="E142">
        <v>0</v>
      </c>
      <c r="F142">
        <v>903.58630271554478</v>
      </c>
      <c r="G142">
        <v>19565.113104052711</v>
      </c>
      <c r="H142">
        <v>0</v>
      </c>
      <c r="I142">
        <v>0</v>
      </c>
    </row>
    <row r="143" spans="1:9" x14ac:dyDescent="0.25">
      <c r="A143" s="113">
        <f t="shared" si="5"/>
        <v>47756</v>
      </c>
      <c r="B143" s="128">
        <f t="shared" si="4"/>
        <v>2030</v>
      </c>
      <c r="C143">
        <v>3159.5267782833266</v>
      </c>
      <c r="D143">
        <v>1222.6077444683208</v>
      </c>
      <c r="E143">
        <v>0</v>
      </c>
      <c r="F143">
        <v>901.14302252485356</v>
      </c>
      <c r="G143">
        <v>20631.054124470367</v>
      </c>
      <c r="H143">
        <v>0</v>
      </c>
      <c r="I143">
        <v>0</v>
      </c>
    </row>
    <row r="144" spans="1:9" x14ac:dyDescent="0.25">
      <c r="A144" s="113">
        <f t="shared" si="5"/>
        <v>47787</v>
      </c>
      <c r="B144" s="128">
        <f t="shared" si="4"/>
        <v>2030</v>
      </c>
      <c r="C144">
        <v>3428.846183539838</v>
      </c>
      <c r="D144">
        <v>1297.9264194424595</v>
      </c>
      <c r="E144">
        <v>0</v>
      </c>
      <c r="F144">
        <v>898.7325282289388</v>
      </c>
      <c r="G144">
        <v>21895.049811057401</v>
      </c>
      <c r="H144">
        <v>0</v>
      </c>
      <c r="I144">
        <v>0</v>
      </c>
    </row>
    <row r="145" spans="1:9" x14ac:dyDescent="0.25">
      <c r="A145" s="113">
        <f t="shared" si="5"/>
        <v>47817</v>
      </c>
      <c r="B145" s="128">
        <f t="shared" si="4"/>
        <v>2030</v>
      </c>
      <c r="C145">
        <v>2786.6725208513967</v>
      </c>
      <c r="D145">
        <v>1144.3400859594503</v>
      </c>
      <c r="E145">
        <v>0</v>
      </c>
      <c r="F145">
        <v>896.42737819775095</v>
      </c>
      <c r="G145">
        <v>22674.712115863782</v>
      </c>
      <c r="H145">
        <v>0</v>
      </c>
      <c r="I145">
        <v>0</v>
      </c>
    </row>
    <row r="146" spans="1:9" x14ac:dyDescent="0.25">
      <c r="A146" s="113">
        <f t="shared" si="5"/>
        <v>47848</v>
      </c>
      <c r="B146" s="128">
        <f t="shared" si="4"/>
        <v>2030</v>
      </c>
      <c r="C146">
        <v>3129.9223136901719</v>
      </c>
      <c r="D146">
        <v>1238.4983243402098</v>
      </c>
      <c r="E146">
        <v>0</v>
      </c>
      <c r="F146">
        <v>893.93370704496408</v>
      </c>
      <c r="G146">
        <v>23707.161710404835</v>
      </c>
      <c r="H146">
        <v>0</v>
      </c>
      <c r="I146">
        <v>0</v>
      </c>
    </row>
    <row r="147" spans="1:9" x14ac:dyDescent="0.25">
      <c r="A147" s="113">
        <f t="shared" si="5"/>
        <v>47879</v>
      </c>
      <c r="B147" s="128">
        <f t="shared" si="4"/>
        <v>2031</v>
      </c>
      <c r="C147">
        <v>2730.9180666627485</v>
      </c>
      <c r="D147">
        <v>1137.9986102592629</v>
      </c>
      <c r="E147">
        <v>0</v>
      </c>
      <c r="F147">
        <v>891.39917462166181</v>
      </c>
      <c r="G147">
        <v>24444.46961173871</v>
      </c>
      <c r="H147">
        <v>0</v>
      </c>
      <c r="I147">
        <v>0</v>
      </c>
    </row>
    <row r="148" spans="1:9" x14ac:dyDescent="0.25">
      <c r="A148" s="113">
        <f t="shared" si="5"/>
        <v>47907</v>
      </c>
      <c r="B148" s="128">
        <f t="shared" si="4"/>
        <v>2031</v>
      </c>
      <c r="C148">
        <v>2827.3457653504774</v>
      </c>
      <c r="D148">
        <v>1161.1320314302641</v>
      </c>
      <c r="E148">
        <v>0</v>
      </c>
      <c r="F148">
        <v>888.89318200400135</v>
      </c>
      <c r="G148">
        <v>25258.69080107845</v>
      </c>
      <c r="H148">
        <v>0</v>
      </c>
      <c r="I148">
        <v>0</v>
      </c>
    </row>
    <row r="149" spans="1:9" x14ac:dyDescent="0.25">
      <c r="A149" s="113">
        <f t="shared" si="5"/>
        <v>47938</v>
      </c>
      <c r="B149" s="128">
        <f t="shared" si="4"/>
        <v>2031</v>
      </c>
      <c r="C149">
        <v>2726.9140428525466</v>
      </c>
      <c r="D149">
        <v>1136.4834353869851</v>
      </c>
      <c r="E149">
        <v>0</v>
      </c>
      <c r="F149">
        <v>886.43196434359413</v>
      </c>
      <c r="G149">
        <v>26000.81920548579</v>
      </c>
      <c r="H149">
        <v>0</v>
      </c>
      <c r="I149">
        <v>0</v>
      </c>
    </row>
    <row r="150" spans="1:9" x14ac:dyDescent="0.25">
      <c r="A150" s="113">
        <f t="shared" si="5"/>
        <v>47968</v>
      </c>
      <c r="B150" s="128">
        <f t="shared" si="4"/>
        <v>2031</v>
      </c>
      <c r="C150">
        <v>3398.1241215118907</v>
      </c>
      <c r="D150">
        <v>1310.7983494388081</v>
      </c>
      <c r="E150">
        <v>0</v>
      </c>
      <c r="F150">
        <v>883.9339722794773</v>
      </c>
      <c r="G150">
        <v>27243.461061322942</v>
      </c>
      <c r="H150">
        <v>0</v>
      </c>
      <c r="I150">
        <v>0</v>
      </c>
    </row>
    <row r="151" spans="1:9" x14ac:dyDescent="0.25">
      <c r="A151" s="113">
        <f t="shared" si="5"/>
        <v>47999</v>
      </c>
      <c r="B151" s="128">
        <f t="shared" si="4"/>
        <v>2031</v>
      </c>
      <c r="C151">
        <v>3783.8687941091566</v>
      </c>
      <c r="D151">
        <v>1412.7832275090982</v>
      </c>
      <c r="E151">
        <v>0</v>
      </c>
      <c r="F151">
        <v>881.62029798902267</v>
      </c>
      <c r="G151">
        <v>28774.052240814974</v>
      </c>
      <c r="H151">
        <v>0</v>
      </c>
      <c r="I151">
        <v>0</v>
      </c>
    </row>
    <row r="152" spans="1:9" x14ac:dyDescent="0.25">
      <c r="A152" s="113">
        <f t="shared" si="5"/>
        <v>48029</v>
      </c>
      <c r="B152" s="128">
        <f t="shared" si="4"/>
        <v>2031</v>
      </c>
      <c r="C152">
        <v>3148.1730914861887</v>
      </c>
      <c r="D152">
        <v>1255.4415044997666</v>
      </c>
      <c r="E152">
        <v>0</v>
      </c>
      <c r="F152">
        <v>879.449454312439</v>
      </c>
      <c r="G152">
        <v>29830.770818861201</v>
      </c>
      <c r="H152">
        <v>0</v>
      </c>
      <c r="I152">
        <v>0</v>
      </c>
    </row>
    <row r="153" spans="1:9" x14ac:dyDescent="0.25">
      <c r="A153" s="113">
        <f t="shared" si="5"/>
        <v>48060</v>
      </c>
      <c r="B153" s="128">
        <f t="shared" si="4"/>
        <v>2031</v>
      </c>
      <c r="C153">
        <v>2666.9461030620023</v>
      </c>
      <c r="D153">
        <v>1134.0966522000494</v>
      </c>
      <c r="E153">
        <v>0</v>
      </c>
      <c r="F153">
        <v>877.10807357073804</v>
      </c>
      <c r="G153">
        <v>30531.543832163952</v>
      </c>
      <c r="H153">
        <v>0</v>
      </c>
      <c r="I153">
        <v>0</v>
      </c>
    </row>
    <row r="154" spans="1:9" x14ac:dyDescent="0.25">
      <c r="A154" s="113">
        <f t="shared" si="5"/>
        <v>48091</v>
      </c>
      <c r="B154" s="128">
        <f t="shared" si="4"/>
        <v>2031</v>
      </c>
      <c r="C154">
        <v>2760.4378716994383</v>
      </c>
      <c r="D154">
        <v>1157.3293120413869</v>
      </c>
      <c r="E154">
        <v>0</v>
      </c>
      <c r="F154">
        <v>874.6289760587108</v>
      </c>
      <c r="G154">
        <v>31306.112917676237</v>
      </c>
      <c r="H154">
        <v>0</v>
      </c>
      <c r="I154">
        <v>0</v>
      </c>
    </row>
    <row r="155" spans="1:9" x14ac:dyDescent="0.25">
      <c r="A155" s="113">
        <f t="shared" si="5"/>
        <v>48121</v>
      </c>
      <c r="B155" s="128">
        <f t="shared" si="4"/>
        <v>2031</v>
      </c>
      <c r="C155">
        <v>3011.5667888710964</v>
      </c>
      <c r="D155">
        <v>1222.3432773232698</v>
      </c>
      <c r="E155">
        <v>0</v>
      </c>
      <c r="F155">
        <v>872.19711699491779</v>
      </c>
      <c r="G155">
        <v>32270.398080378494</v>
      </c>
      <c r="H155">
        <v>0</v>
      </c>
      <c r="I155">
        <v>0</v>
      </c>
    </row>
    <row r="156" spans="1:9" x14ac:dyDescent="0.25">
      <c r="A156" s="113">
        <f t="shared" si="5"/>
        <v>48152</v>
      </c>
      <c r="B156" s="128">
        <f t="shared" si="4"/>
        <v>2031</v>
      </c>
      <c r="C156">
        <v>3270.5578939251236</v>
      </c>
      <c r="D156">
        <v>1294.6740589816832</v>
      </c>
      <c r="E156">
        <v>0</v>
      </c>
      <c r="F156">
        <v>869.81214583935218</v>
      </c>
      <c r="G156">
        <v>33425.184193562534</v>
      </c>
      <c r="H156">
        <v>0</v>
      </c>
      <c r="I156">
        <v>0</v>
      </c>
    </row>
    <row r="157" spans="1:9" x14ac:dyDescent="0.25">
      <c r="A157" s="113">
        <f t="shared" si="5"/>
        <v>48182</v>
      </c>
      <c r="B157" s="128">
        <f t="shared" si="4"/>
        <v>2031</v>
      </c>
      <c r="C157">
        <v>2657.1188573828808</v>
      </c>
      <c r="D157">
        <v>1148.7134879006082</v>
      </c>
      <c r="E157">
        <v>0</v>
      </c>
      <c r="F157">
        <v>867.52253303399721</v>
      </c>
      <c r="G157">
        <v>34116.524684536897</v>
      </c>
      <c r="H157">
        <v>0</v>
      </c>
      <c r="I157">
        <v>0</v>
      </c>
    </row>
    <row r="158" spans="1:9" x14ac:dyDescent="0.25">
      <c r="A158" s="113">
        <f t="shared" si="5"/>
        <v>48213</v>
      </c>
      <c r="B158" s="128">
        <f t="shared" si="4"/>
        <v>2031</v>
      </c>
      <c r="C158">
        <v>2984.4811437917092</v>
      </c>
      <c r="D158">
        <v>1239.2195837996378</v>
      </c>
      <c r="E158">
        <v>0</v>
      </c>
      <c r="F158">
        <v>865.04397945005326</v>
      </c>
      <c r="G158">
        <v>35048.243546453799</v>
      </c>
      <c r="H158">
        <v>0</v>
      </c>
      <c r="I158">
        <v>0</v>
      </c>
    </row>
    <row r="159" spans="1:9" x14ac:dyDescent="0.25">
      <c r="A159" s="113">
        <f t="shared" si="5"/>
        <v>48244</v>
      </c>
      <c r="B159" s="128">
        <f t="shared" si="4"/>
        <v>2032</v>
      </c>
      <c r="C159">
        <v>2603.9680820381595</v>
      </c>
      <c r="D159">
        <v>1143.1534998135369</v>
      </c>
      <c r="E159">
        <v>0</v>
      </c>
      <c r="F159">
        <v>862.49701353283137</v>
      </c>
      <c r="G159">
        <v>35699.250564404196</v>
      </c>
      <c r="H159">
        <v>0</v>
      </c>
      <c r="I159">
        <v>0</v>
      </c>
    </row>
    <row r="160" spans="1:9" x14ac:dyDescent="0.25">
      <c r="A160" s="113">
        <f t="shared" si="5"/>
        <v>48273</v>
      </c>
      <c r="B160" s="128">
        <f t="shared" si="4"/>
        <v>2032</v>
      </c>
      <c r="C160">
        <v>2694.4244280118401</v>
      </c>
      <c r="D160">
        <v>1164.5545940522024</v>
      </c>
      <c r="E160">
        <v>0</v>
      </c>
      <c r="F160">
        <v>860.00436084893875</v>
      </c>
      <c r="G160">
        <v>36422.784172087435</v>
      </c>
      <c r="H160">
        <v>0</v>
      </c>
      <c r="I160">
        <v>0</v>
      </c>
    </row>
    <row r="161" spans="1:9" x14ac:dyDescent="0.25">
      <c r="A161" s="113">
        <f t="shared" si="5"/>
        <v>48304</v>
      </c>
      <c r="B161" s="128">
        <f t="shared" si="4"/>
        <v>2032</v>
      </c>
      <c r="C161">
        <v>2599.5411751736674</v>
      </c>
      <c r="D161">
        <v>1141.1200545652061</v>
      </c>
      <c r="E161">
        <v>0</v>
      </c>
      <c r="F161">
        <v>857.55449669111999</v>
      </c>
      <c r="G161">
        <v>37078.406648061922</v>
      </c>
      <c r="H161">
        <v>0</v>
      </c>
      <c r="I161">
        <v>0</v>
      </c>
    </row>
    <row r="162" spans="1:9" x14ac:dyDescent="0.25">
      <c r="A162" s="113">
        <f t="shared" si="5"/>
        <v>48334</v>
      </c>
      <c r="B162" s="128">
        <f t="shared" si="4"/>
        <v>2032</v>
      </c>
      <c r="C162">
        <v>3239.9918938888695</v>
      </c>
      <c r="D162">
        <v>1308.4553684233085</v>
      </c>
      <c r="E162">
        <v>0</v>
      </c>
      <c r="F162">
        <v>855.07025986569772</v>
      </c>
      <c r="G162">
        <v>38210.614389638569</v>
      </c>
      <c r="H162">
        <v>0</v>
      </c>
      <c r="I162">
        <v>0</v>
      </c>
    </row>
    <row r="163" spans="1:9" x14ac:dyDescent="0.25">
      <c r="A163" s="113">
        <f t="shared" si="5"/>
        <v>48365</v>
      </c>
      <c r="B163" s="128">
        <f t="shared" si="4"/>
        <v>2032</v>
      </c>
      <c r="C163">
        <v>3606.1842059200562</v>
      </c>
      <c r="D163">
        <v>1405.4129463617173</v>
      </c>
      <c r="E163">
        <v>0</v>
      </c>
      <c r="F163">
        <v>852.76095310154653</v>
      </c>
      <c r="G163">
        <v>39616.068265995025</v>
      </c>
      <c r="H163">
        <v>0</v>
      </c>
      <c r="I163">
        <v>0</v>
      </c>
    </row>
    <row r="164" spans="1:9" x14ac:dyDescent="0.25">
      <c r="A164" s="113">
        <f t="shared" si="5"/>
        <v>48395</v>
      </c>
      <c r="B164" s="128">
        <f t="shared" si="4"/>
        <v>2032</v>
      </c>
      <c r="C164">
        <v>2999.9416926856056</v>
      </c>
      <c r="D164">
        <v>1255.2117433005315</v>
      </c>
      <c r="E164">
        <v>0</v>
      </c>
      <c r="F164">
        <v>850.58745984146276</v>
      </c>
      <c r="G164">
        <v>40569.767201383373</v>
      </c>
      <c r="H164">
        <v>0</v>
      </c>
      <c r="I164">
        <v>0</v>
      </c>
    </row>
    <row r="165" spans="1:9" x14ac:dyDescent="0.25">
      <c r="A165" s="113">
        <f t="shared" si="5"/>
        <v>48426</v>
      </c>
      <c r="B165" s="128">
        <f t="shared" si="4"/>
        <v>2032</v>
      </c>
      <c r="C165">
        <v>2541.6742849504299</v>
      </c>
      <c r="D165">
        <v>1138.8779283801248</v>
      </c>
      <c r="E165">
        <v>0</v>
      </c>
      <c r="F165">
        <v>848.25156567945237</v>
      </c>
      <c r="G165">
        <v>41185.302172496988</v>
      </c>
      <c r="H165">
        <v>0</v>
      </c>
      <c r="I165">
        <v>0</v>
      </c>
    </row>
    <row r="166" spans="1:9" x14ac:dyDescent="0.25">
      <c r="A166" s="113">
        <f t="shared" si="5"/>
        <v>48457</v>
      </c>
      <c r="B166" s="128">
        <f t="shared" si="4"/>
        <v>2032</v>
      </c>
      <c r="C166">
        <v>2629.2460451302904</v>
      </c>
      <c r="D166">
        <v>1160.3988987016339</v>
      </c>
      <c r="E166">
        <v>0</v>
      </c>
      <c r="F166">
        <v>845.78375278961846</v>
      </c>
      <c r="G166">
        <v>41870.281105102797</v>
      </c>
      <c r="H166">
        <v>0</v>
      </c>
      <c r="I166">
        <v>0</v>
      </c>
    </row>
    <row r="167" spans="1:9" x14ac:dyDescent="0.25">
      <c r="A167" s="113">
        <f t="shared" si="5"/>
        <v>48487</v>
      </c>
      <c r="B167" s="128">
        <f t="shared" si="4"/>
        <v>2032</v>
      </c>
      <c r="C167">
        <v>2867.3677358410364</v>
      </c>
      <c r="D167">
        <v>1221.6474505532658</v>
      </c>
      <c r="E167">
        <v>0</v>
      </c>
      <c r="F167">
        <v>843.35170778182169</v>
      </c>
      <c r="G167">
        <v>42735.594978249806</v>
      </c>
      <c r="H167">
        <v>0</v>
      </c>
      <c r="I167">
        <v>0</v>
      </c>
    </row>
    <row r="168" spans="1:9" x14ac:dyDescent="0.25">
      <c r="A168" s="113">
        <f t="shared" si="5"/>
        <v>48518</v>
      </c>
      <c r="B168" s="128">
        <f t="shared" si="4"/>
        <v>2032</v>
      </c>
      <c r="C168">
        <v>3116.3868467123998</v>
      </c>
      <c r="D168">
        <v>1292.5012616042734</v>
      </c>
      <c r="E168">
        <v>0</v>
      </c>
      <c r="F168">
        <v>840.98372581851379</v>
      </c>
      <c r="G168">
        <v>43782.742994701526</v>
      </c>
      <c r="H168">
        <v>0</v>
      </c>
      <c r="I168">
        <v>0</v>
      </c>
    </row>
    <row r="169" spans="1:9" x14ac:dyDescent="0.25">
      <c r="A169" s="113">
        <f t="shared" si="5"/>
        <v>48548</v>
      </c>
      <c r="B169" s="128">
        <f t="shared" si="4"/>
        <v>2032</v>
      </c>
      <c r="C169">
        <v>2530.9278515925312</v>
      </c>
      <c r="D169">
        <v>1154.1731665515242</v>
      </c>
      <c r="E169">
        <v>0</v>
      </c>
      <c r="F169">
        <v>838.70211624320939</v>
      </c>
      <c r="G169">
        <v>44386.615940841926</v>
      </c>
      <c r="H169">
        <v>0</v>
      </c>
      <c r="I169">
        <v>0</v>
      </c>
    </row>
    <row r="170" spans="1:9" x14ac:dyDescent="0.25">
      <c r="A170" s="113">
        <f t="shared" si="5"/>
        <v>48579</v>
      </c>
      <c r="B170" s="128">
        <f t="shared" si="4"/>
        <v>2032</v>
      </c>
      <c r="C170">
        <v>2842.8873508003362</v>
      </c>
      <c r="D170">
        <v>1240.5635444729373</v>
      </c>
      <c r="E170">
        <v>0</v>
      </c>
      <c r="F170">
        <v>836.23301715715218</v>
      </c>
      <c r="G170">
        <v>45219.434934102486</v>
      </c>
      <c r="H170">
        <v>0</v>
      </c>
      <c r="I170">
        <v>0</v>
      </c>
    </row>
    <row r="171" spans="1:9" x14ac:dyDescent="0.25">
      <c r="A171" s="113">
        <f t="shared" si="5"/>
        <v>48610</v>
      </c>
      <c r="B171" s="128">
        <f t="shared" si="4"/>
        <v>2033</v>
      </c>
      <c r="C171">
        <v>2480.3367720921065</v>
      </c>
      <c r="D171">
        <v>1148.7830606273135</v>
      </c>
      <c r="E171">
        <v>0</v>
      </c>
      <c r="F171">
        <v>833.67116530515966</v>
      </c>
      <c r="G171">
        <v>45790.813021650152</v>
      </c>
      <c r="H171">
        <v>0</v>
      </c>
      <c r="I171">
        <v>0</v>
      </c>
    </row>
    <row r="172" spans="1:9" x14ac:dyDescent="0.25">
      <c r="A172" s="113">
        <f t="shared" si="5"/>
        <v>48638</v>
      </c>
      <c r="B172" s="128">
        <f t="shared" si="4"/>
        <v>2033</v>
      </c>
      <c r="C172">
        <v>2564.917710747593</v>
      </c>
      <c r="D172">
        <v>1168.4658137199249</v>
      </c>
      <c r="E172">
        <v>0</v>
      </c>
      <c r="F172">
        <v>831.19021689946021</v>
      </c>
      <c r="G172">
        <v>46430.498908947869</v>
      </c>
      <c r="H172">
        <v>0</v>
      </c>
      <c r="I172">
        <v>0</v>
      </c>
    </row>
    <row r="173" spans="1:9" x14ac:dyDescent="0.25">
      <c r="A173" s="113">
        <f t="shared" si="5"/>
        <v>48669</v>
      </c>
      <c r="B173" s="128">
        <f t="shared" si="4"/>
        <v>2033</v>
      </c>
      <c r="C173">
        <v>2475.4557888259128</v>
      </c>
      <c r="D173">
        <v>1146.1983347508296</v>
      </c>
      <c r="E173">
        <v>0</v>
      </c>
      <c r="F173">
        <v>828.75015030444274</v>
      </c>
      <c r="G173">
        <v>47006.470106931272</v>
      </c>
      <c r="H173">
        <v>0</v>
      </c>
      <c r="I173">
        <v>0</v>
      </c>
    </row>
    <row r="174" spans="1:9" x14ac:dyDescent="0.25">
      <c r="A174" s="113">
        <f t="shared" si="5"/>
        <v>48699</v>
      </c>
      <c r="B174" s="128">
        <f t="shared" si="4"/>
        <v>2033</v>
      </c>
      <c r="C174">
        <v>3086.0229978150469</v>
      </c>
      <c r="D174">
        <v>1305.6120042683413</v>
      </c>
      <c r="E174">
        <v>0</v>
      </c>
      <c r="F174">
        <v>826.27810164406765</v>
      </c>
      <c r="G174">
        <v>48037.003024050624</v>
      </c>
      <c r="H174">
        <v>0</v>
      </c>
      <c r="I174">
        <v>0</v>
      </c>
    </row>
    <row r="175" spans="1:9" x14ac:dyDescent="0.25">
      <c r="A175" s="113">
        <f t="shared" si="5"/>
        <v>48730</v>
      </c>
      <c r="B175" s="128">
        <f t="shared" si="4"/>
        <v>2033</v>
      </c>
      <c r="C175">
        <v>3432.8850787263405</v>
      </c>
      <c r="D175">
        <v>1397.5711932488771</v>
      </c>
      <c r="E175">
        <v>0</v>
      </c>
      <c r="F175">
        <v>823.97309662650787</v>
      </c>
      <c r="G175">
        <v>49326.41877224273</v>
      </c>
      <c r="H175">
        <v>0</v>
      </c>
      <c r="I175">
        <v>0</v>
      </c>
    </row>
    <row r="176" spans="1:9" x14ac:dyDescent="0.25">
      <c r="A176" s="113">
        <f t="shared" si="5"/>
        <v>48760</v>
      </c>
      <c r="B176" s="128">
        <f t="shared" si="4"/>
        <v>2033</v>
      </c>
      <c r="C176">
        <v>2855.5019676509505</v>
      </c>
      <c r="D176">
        <v>1254.2215808320075</v>
      </c>
      <c r="E176">
        <v>0</v>
      </c>
      <c r="F176">
        <v>821.7970569905716</v>
      </c>
      <c r="G176">
        <v>50186.072760056544</v>
      </c>
      <c r="H176">
        <v>0</v>
      </c>
      <c r="I176">
        <v>0</v>
      </c>
    </row>
    <row r="177" spans="1:9" x14ac:dyDescent="0.25">
      <c r="A177" s="113">
        <f t="shared" si="5"/>
        <v>48791</v>
      </c>
      <c r="B177" s="128">
        <f t="shared" si="4"/>
        <v>2033</v>
      </c>
      <c r="C177">
        <v>2419.6446087728345</v>
      </c>
      <c r="D177">
        <v>1144.2713760818872</v>
      </c>
      <c r="E177">
        <v>0</v>
      </c>
      <c r="F177">
        <v>819.46696096962887</v>
      </c>
      <c r="G177">
        <v>50723.546892875973</v>
      </c>
      <c r="H177">
        <v>0</v>
      </c>
      <c r="I177">
        <v>0</v>
      </c>
    </row>
    <row r="178" spans="1:9" x14ac:dyDescent="0.25">
      <c r="A178" s="113">
        <f t="shared" si="5"/>
        <v>48822</v>
      </c>
      <c r="B178" s="128">
        <f t="shared" si="4"/>
        <v>2033</v>
      </c>
      <c r="C178">
        <v>2501.3838586592055</v>
      </c>
      <c r="D178">
        <v>1164.1672592854618</v>
      </c>
      <c r="E178">
        <v>0</v>
      </c>
      <c r="F178">
        <v>817.01107567942222</v>
      </c>
      <c r="G178">
        <v>51326.193839057014</v>
      </c>
      <c r="H178">
        <v>0</v>
      </c>
      <c r="I178">
        <v>0</v>
      </c>
    </row>
    <row r="179" spans="1:9" x14ac:dyDescent="0.25">
      <c r="A179" s="113">
        <f t="shared" si="5"/>
        <v>48852</v>
      </c>
      <c r="B179" s="128">
        <f t="shared" si="4"/>
        <v>2033</v>
      </c>
      <c r="C179">
        <v>2726.7351808471017</v>
      </c>
      <c r="D179">
        <v>1222.9345795736842</v>
      </c>
      <c r="E179">
        <v>0</v>
      </c>
      <c r="F179">
        <v>814.58366194695861</v>
      </c>
      <c r="G179">
        <v>52098.831688199934</v>
      </c>
      <c r="H179">
        <v>0</v>
      </c>
      <c r="I179">
        <v>0</v>
      </c>
    </row>
    <row r="180" spans="1:9" x14ac:dyDescent="0.25">
      <c r="A180" s="113">
        <f t="shared" si="5"/>
        <v>48883</v>
      </c>
      <c r="B180" s="128">
        <f t="shared" si="4"/>
        <v>2033</v>
      </c>
      <c r="C180">
        <v>2966.1879828784881</v>
      </c>
      <c r="D180">
        <v>1291.092168174202</v>
      </c>
      <c r="E180">
        <v>0</v>
      </c>
      <c r="F180">
        <v>812.22721346730884</v>
      </c>
      <c r="G180">
        <v>53046.37697427797</v>
      </c>
      <c r="H180">
        <v>0</v>
      </c>
      <c r="I180">
        <v>0</v>
      </c>
    </row>
    <row r="181" spans="1:9" x14ac:dyDescent="0.25">
      <c r="A181" s="113">
        <f t="shared" si="5"/>
        <v>48913</v>
      </c>
      <c r="B181" s="128">
        <f t="shared" si="4"/>
        <v>2033</v>
      </c>
      <c r="C181">
        <v>2407.9013462653375</v>
      </c>
      <c r="D181">
        <v>1159.6340700650856</v>
      </c>
      <c r="E181">
        <v>0</v>
      </c>
      <c r="F181">
        <v>809.94790450029313</v>
      </c>
      <c r="G181">
        <v>53570.913084424094</v>
      </c>
      <c r="H181">
        <v>0</v>
      </c>
      <c r="I181">
        <v>0</v>
      </c>
    </row>
    <row r="182" spans="1:9" x14ac:dyDescent="0.25">
      <c r="A182" s="113">
        <f t="shared" si="5"/>
        <v>48944</v>
      </c>
      <c r="B182" s="128">
        <f t="shared" si="4"/>
        <v>2033</v>
      </c>
      <c r="C182">
        <v>2704.9082132803014</v>
      </c>
      <c r="D182">
        <v>1243.2033431662521</v>
      </c>
      <c r="E182">
        <v>0</v>
      </c>
      <c r="F182">
        <v>807.48904873003437</v>
      </c>
      <c r="G182">
        <v>54312.198177362043</v>
      </c>
      <c r="H182">
        <v>0</v>
      </c>
      <c r="I182">
        <v>0</v>
      </c>
    </row>
    <row r="183" spans="1:9" x14ac:dyDescent="0.25">
      <c r="A183" s="113">
        <f t="shared" si="5"/>
        <v>48975</v>
      </c>
      <c r="B183" s="128">
        <f t="shared" si="4"/>
        <v>2034</v>
      </c>
      <c r="C183">
        <v>2359.8505098127789</v>
      </c>
      <c r="D183">
        <v>1155.5708847574508</v>
      </c>
      <c r="E183">
        <v>0</v>
      </c>
      <c r="F183">
        <v>804.89568043360441</v>
      </c>
      <c r="G183">
        <v>54791.535414691083</v>
      </c>
      <c r="H183">
        <v>0</v>
      </c>
      <c r="I183">
        <v>0</v>
      </c>
    </row>
    <row r="184" spans="1:9" x14ac:dyDescent="0.25">
      <c r="A184" s="113">
        <f t="shared" si="5"/>
        <v>49003</v>
      </c>
      <c r="B184" s="128">
        <f t="shared" si="4"/>
        <v>2034</v>
      </c>
      <c r="C184">
        <v>2438.6258624518068</v>
      </c>
      <c r="D184">
        <v>1173.5382192276099</v>
      </c>
      <c r="E184">
        <v>0</v>
      </c>
      <c r="F184">
        <v>802.41994383291262</v>
      </c>
      <c r="G184">
        <v>55334.862041835433</v>
      </c>
      <c r="H184">
        <v>0</v>
      </c>
      <c r="I184">
        <v>0</v>
      </c>
    </row>
    <row r="185" spans="1:9" x14ac:dyDescent="0.25">
      <c r="A185" s="113">
        <f t="shared" si="5"/>
        <v>49034</v>
      </c>
      <c r="B185" s="128">
        <f t="shared" si="4"/>
        <v>2034</v>
      </c>
      <c r="C185">
        <v>2354.4490340036414</v>
      </c>
      <c r="D185">
        <v>1152.384822952481</v>
      </c>
      <c r="E185">
        <v>0</v>
      </c>
      <c r="F185">
        <v>799.98323994071507</v>
      </c>
      <c r="G185">
        <v>55818.401774885548</v>
      </c>
      <c r="H185">
        <v>0</v>
      </c>
      <c r="I185">
        <v>0</v>
      </c>
    </row>
    <row r="186" spans="1:9" x14ac:dyDescent="0.25">
      <c r="A186" s="113">
        <f t="shared" si="5"/>
        <v>49064</v>
      </c>
      <c r="B186" s="128">
        <f t="shared" si="4"/>
        <v>2034</v>
      </c>
      <c r="C186">
        <v>2936.0440592483178</v>
      </c>
      <c r="D186">
        <v>1305.965433756284</v>
      </c>
      <c r="E186">
        <v>0</v>
      </c>
      <c r="F186">
        <v>797.51691972532149</v>
      </c>
      <c r="G186">
        <v>56733.13406415526</v>
      </c>
      <c r="H186">
        <v>0</v>
      </c>
      <c r="I186">
        <v>0</v>
      </c>
    </row>
    <row r="187" spans="1:9" x14ac:dyDescent="0.25">
      <c r="A187" s="113">
        <f t="shared" si="5"/>
        <v>49095</v>
      </c>
      <c r="B187" s="128">
        <f t="shared" si="4"/>
        <v>2034</v>
      </c>
      <c r="C187">
        <v>3263.6686747080598</v>
      </c>
      <c r="D187">
        <v>1392.9021582225012</v>
      </c>
      <c r="E187">
        <v>0</v>
      </c>
      <c r="F187">
        <v>795.2076346351638</v>
      </c>
      <c r="G187">
        <v>57892.210112061475</v>
      </c>
      <c r="H187">
        <v>0</v>
      </c>
      <c r="I187">
        <v>0</v>
      </c>
    </row>
    <row r="188" spans="1:9" x14ac:dyDescent="0.25">
      <c r="A188" s="113">
        <f t="shared" si="5"/>
        <v>49125</v>
      </c>
      <c r="B188" s="128">
        <f t="shared" si="4"/>
        <v>2034</v>
      </c>
      <c r="C188">
        <v>2714.6503100504392</v>
      </c>
      <c r="D188">
        <v>1256.5653042940621</v>
      </c>
      <c r="E188">
        <v>0</v>
      </c>
      <c r="F188">
        <v>793.02051732274299</v>
      </c>
      <c r="G188">
        <v>58642.498048926507</v>
      </c>
      <c r="H188">
        <v>0</v>
      </c>
      <c r="I188">
        <v>0</v>
      </c>
    </row>
    <row r="189" spans="1:9" x14ac:dyDescent="0.25">
      <c r="A189" s="113">
        <f t="shared" si="5"/>
        <v>49156</v>
      </c>
      <c r="B189" s="128">
        <f t="shared" si="4"/>
        <v>2034</v>
      </c>
      <c r="C189">
        <v>2300.6162326240219</v>
      </c>
      <c r="D189">
        <v>1151.4304742323263</v>
      </c>
      <c r="E189">
        <v>0</v>
      </c>
      <c r="F189">
        <v>790.68680734168561</v>
      </c>
      <c r="G189">
        <v>59087.324951503826</v>
      </c>
      <c r="H189">
        <v>0</v>
      </c>
      <c r="I189">
        <v>0</v>
      </c>
    </row>
    <row r="190" spans="1:9" x14ac:dyDescent="0.25">
      <c r="A190" s="113">
        <f t="shared" si="5"/>
        <v>49187</v>
      </c>
      <c r="B190" s="128">
        <f t="shared" si="4"/>
        <v>2034</v>
      </c>
      <c r="C190">
        <v>2376.6059328580495</v>
      </c>
      <c r="D190">
        <v>1169.7017055873557</v>
      </c>
      <c r="E190">
        <v>0</v>
      </c>
      <c r="F190">
        <v>788.23478048302422</v>
      </c>
      <c r="G190">
        <v>59592.977182006376</v>
      </c>
      <c r="H190">
        <v>0</v>
      </c>
      <c r="I190">
        <v>0</v>
      </c>
    </row>
    <row r="191" spans="1:9" x14ac:dyDescent="0.25">
      <c r="A191" s="113">
        <f t="shared" si="5"/>
        <v>49217</v>
      </c>
      <c r="B191" s="128">
        <f t="shared" si="4"/>
        <v>2034</v>
      </c>
      <c r="C191">
        <v>2589.4200807816883</v>
      </c>
      <c r="D191">
        <v>1224.7670045049731</v>
      </c>
      <c r="E191">
        <v>0</v>
      </c>
      <c r="F191">
        <v>785.80989248864876</v>
      </c>
      <c r="G191">
        <v>60259.547523004607</v>
      </c>
      <c r="H191">
        <v>0</v>
      </c>
      <c r="I191">
        <v>0</v>
      </c>
    </row>
    <row r="192" spans="1:9" x14ac:dyDescent="0.25">
      <c r="A192" s="113">
        <f t="shared" si="5"/>
        <v>49248</v>
      </c>
      <c r="B192" s="128">
        <f t="shared" si="4"/>
        <v>2034</v>
      </c>
      <c r="C192">
        <v>2819.6684961846081</v>
      </c>
      <c r="D192">
        <v>1290.9686607786514</v>
      </c>
      <c r="E192">
        <v>0</v>
      </c>
      <c r="F192">
        <v>783.45261572643119</v>
      </c>
      <c r="G192">
        <v>61093.503161845983</v>
      </c>
      <c r="H192">
        <v>0</v>
      </c>
      <c r="I192">
        <v>0</v>
      </c>
    </row>
    <row r="193" spans="1:9" x14ac:dyDescent="0.25">
      <c r="A193" s="113">
        <f t="shared" si="5"/>
        <v>49278</v>
      </c>
      <c r="B193" s="128">
        <f t="shared" si="4"/>
        <v>2034</v>
      </c>
      <c r="C193">
        <v>2287.808412933101</v>
      </c>
      <c r="D193">
        <v>1166.489875180423</v>
      </c>
      <c r="E193">
        <v>0</v>
      </c>
      <c r="F193">
        <v>781.16785786826085</v>
      </c>
      <c r="G193">
        <v>61523.589931683273</v>
      </c>
      <c r="H193">
        <v>0</v>
      </c>
      <c r="I193">
        <v>0</v>
      </c>
    </row>
    <row r="194" spans="1:9" x14ac:dyDescent="0.25">
      <c r="A194" s="113">
        <f t="shared" si="5"/>
        <v>49309</v>
      </c>
      <c r="B194" s="128">
        <f t="shared" si="4"/>
        <v>2034</v>
      </c>
      <c r="C194">
        <v>2570.3867252475075</v>
      </c>
      <c r="D194">
        <v>1246.6013152723187</v>
      </c>
      <c r="E194">
        <v>0</v>
      </c>
      <c r="F194">
        <v>778.71046191778476</v>
      </c>
      <c r="G194">
        <v>62159.234102848714</v>
      </c>
      <c r="H194">
        <v>0</v>
      </c>
      <c r="I194">
        <v>0</v>
      </c>
    </row>
    <row r="195" spans="1:9" x14ac:dyDescent="0.25">
      <c r="A195" s="113">
        <f t="shared" si="5"/>
        <v>49340</v>
      </c>
      <c r="B195" s="128">
        <f t="shared" ref="B195:B258" si="6">YEAR(A195)</f>
        <v>2035</v>
      </c>
      <c r="C195">
        <v>2242.2470775153679</v>
      </c>
      <c r="D195">
        <v>1162.9541091143585</v>
      </c>
      <c r="E195">
        <v>0</v>
      </c>
      <c r="F195">
        <v>776.11809183715093</v>
      </c>
      <c r="G195">
        <v>62569.122701657994</v>
      </c>
      <c r="H195">
        <v>0</v>
      </c>
      <c r="I195">
        <v>0</v>
      </c>
    </row>
    <row r="196" spans="1:9" x14ac:dyDescent="0.25">
      <c r="A196" s="113">
        <f t="shared" ref="A196:A259" si="7">DATE(YEAR(A195),MONTH(A195)+2,1)-1</f>
        <v>49368</v>
      </c>
      <c r="B196" s="128">
        <f t="shared" si="6"/>
        <v>2035</v>
      </c>
      <c r="C196">
        <v>2315.3413145125842</v>
      </c>
      <c r="D196">
        <v>1179.2235090663557</v>
      </c>
      <c r="E196">
        <v>0</v>
      </c>
      <c r="F196">
        <v>773.64825919947361</v>
      </c>
      <c r="G196">
        <v>63039.009658648116</v>
      </c>
      <c r="H196">
        <v>0</v>
      </c>
      <c r="I196">
        <v>0</v>
      </c>
    </row>
    <row r="197" spans="1:9" x14ac:dyDescent="0.25">
      <c r="A197" s="113">
        <f t="shared" si="7"/>
        <v>49399</v>
      </c>
      <c r="B197" s="128">
        <f t="shared" si="6"/>
        <v>2035</v>
      </c>
      <c r="C197">
        <v>2236.3193547626879</v>
      </c>
      <c r="D197">
        <v>1159.1346265146594</v>
      </c>
      <c r="E197">
        <v>0</v>
      </c>
      <c r="F197">
        <v>771.21572098037996</v>
      </c>
      <c r="G197">
        <v>63453.202769131189</v>
      </c>
      <c r="H197">
        <v>0</v>
      </c>
      <c r="I197">
        <v>0</v>
      </c>
    </row>
    <row r="198" spans="1:9" x14ac:dyDescent="0.25">
      <c r="A198" s="113">
        <f t="shared" si="7"/>
        <v>49429</v>
      </c>
      <c r="B198" s="128">
        <f t="shared" si="6"/>
        <v>2035</v>
      </c>
      <c r="C198">
        <v>2789.7115305403968</v>
      </c>
      <c r="D198">
        <v>1305.1336379978136</v>
      </c>
      <c r="E198">
        <v>0</v>
      </c>
      <c r="F198">
        <v>768.75594111078306</v>
      </c>
      <c r="G198">
        <v>64277.959902175404</v>
      </c>
      <c r="H198">
        <v>0</v>
      </c>
      <c r="I198">
        <v>0</v>
      </c>
    </row>
    <row r="199" spans="1:9" x14ac:dyDescent="0.25">
      <c r="A199" s="113">
        <f t="shared" si="7"/>
        <v>49460</v>
      </c>
      <c r="B199" s="128">
        <f t="shared" si="6"/>
        <v>2035</v>
      </c>
      <c r="C199">
        <v>3098.3097079331073</v>
      </c>
      <c r="D199">
        <v>1387.0700424425997</v>
      </c>
      <c r="E199">
        <v>0</v>
      </c>
      <c r="F199">
        <v>766.44577142905746</v>
      </c>
      <c r="G199">
        <v>65333.104904298329</v>
      </c>
      <c r="H199">
        <v>0</v>
      </c>
      <c r="I199">
        <v>0</v>
      </c>
    </row>
    <row r="200" spans="1:9" x14ac:dyDescent="0.25">
      <c r="A200" s="113">
        <f t="shared" si="7"/>
        <v>49490</v>
      </c>
      <c r="B200" s="128">
        <f t="shared" si="6"/>
        <v>2035</v>
      </c>
      <c r="C200">
        <v>2577.1017515760991</v>
      </c>
      <c r="D200">
        <v>1257.3024485165861</v>
      </c>
      <c r="E200">
        <v>0</v>
      </c>
      <c r="F200">
        <v>764.25121479529105</v>
      </c>
      <c r="G200">
        <v>66000.815552330474</v>
      </c>
      <c r="H200">
        <v>0</v>
      </c>
      <c r="I200">
        <v>0</v>
      </c>
    </row>
    <row r="201" spans="1:9" x14ac:dyDescent="0.25">
      <c r="A201" s="113">
        <f t="shared" si="7"/>
        <v>49521</v>
      </c>
      <c r="B201" s="128">
        <f t="shared" si="6"/>
        <v>2035</v>
      </c>
      <c r="C201">
        <v>2184.4217169409512</v>
      </c>
      <c r="D201">
        <v>1157.3303512394366</v>
      </c>
      <c r="E201">
        <v>0</v>
      </c>
      <c r="F201">
        <v>761.91820516875362</v>
      </c>
      <c r="G201">
        <v>66379.297584834931</v>
      </c>
      <c r="H201">
        <v>0</v>
      </c>
      <c r="I201">
        <v>0</v>
      </c>
    </row>
    <row r="202" spans="1:9" x14ac:dyDescent="0.25">
      <c r="A202" s="113">
        <f t="shared" si="7"/>
        <v>49552</v>
      </c>
      <c r="B202" s="128">
        <f t="shared" si="6"/>
        <v>2035</v>
      </c>
      <c r="C202">
        <v>2254.7996870990578</v>
      </c>
      <c r="D202">
        <v>1173.9812839074857</v>
      </c>
      <c r="E202">
        <v>0</v>
      </c>
      <c r="F202">
        <v>759.47375082395945</v>
      </c>
      <c r="G202">
        <v>66814.600879511301</v>
      </c>
      <c r="H202">
        <v>0</v>
      </c>
      <c r="I202">
        <v>0</v>
      </c>
    </row>
    <row r="203" spans="1:9" x14ac:dyDescent="0.25">
      <c r="A203" s="113">
        <f t="shared" si="7"/>
        <v>49582</v>
      </c>
      <c r="B203" s="128">
        <f t="shared" si="6"/>
        <v>2035</v>
      </c>
      <c r="C203">
        <v>2455.3220577548004</v>
      </c>
      <c r="D203">
        <v>1225.7964014682527</v>
      </c>
      <c r="E203">
        <v>0</v>
      </c>
      <c r="F203">
        <v>757.05521007126458</v>
      </c>
      <c r="G203">
        <v>67401.777287971752</v>
      </c>
      <c r="H203">
        <v>0</v>
      </c>
      <c r="I203">
        <v>0</v>
      </c>
    </row>
    <row r="204" spans="1:9" x14ac:dyDescent="0.25">
      <c r="A204" s="113">
        <f t="shared" si="7"/>
        <v>49613</v>
      </c>
      <c r="B204" s="128">
        <f t="shared" si="6"/>
        <v>2035</v>
      </c>
      <c r="C204">
        <v>2676.6907784532373</v>
      </c>
      <c r="D204">
        <v>1289.7768557453808</v>
      </c>
      <c r="E204">
        <v>0</v>
      </c>
      <c r="F204">
        <v>754.70061312991709</v>
      </c>
      <c r="G204">
        <v>68149.704612436908</v>
      </c>
      <c r="H204">
        <v>0</v>
      </c>
      <c r="I204">
        <v>0</v>
      </c>
    </row>
    <row r="205" spans="1:9" x14ac:dyDescent="0.25">
      <c r="A205" s="113">
        <f t="shared" si="7"/>
        <v>49643</v>
      </c>
      <c r="B205" s="128">
        <f t="shared" si="6"/>
        <v>2035</v>
      </c>
      <c r="C205">
        <v>2170.5590274769279</v>
      </c>
      <c r="D205">
        <v>1172.0721956413722</v>
      </c>
      <c r="E205">
        <v>0</v>
      </c>
      <c r="F205">
        <v>752.41489625134</v>
      </c>
      <c r="G205">
        <v>68512.774589488006</v>
      </c>
      <c r="H205">
        <v>0</v>
      </c>
      <c r="I205">
        <v>0</v>
      </c>
    </row>
    <row r="206" spans="1:9" x14ac:dyDescent="0.25">
      <c r="A206" s="113">
        <f t="shared" si="7"/>
        <v>49674</v>
      </c>
      <c r="B206" s="128">
        <f t="shared" si="6"/>
        <v>2035</v>
      </c>
      <c r="C206">
        <v>2439.036335544994</v>
      </c>
      <c r="D206">
        <v>1249.0122231549738</v>
      </c>
      <c r="E206">
        <v>0</v>
      </c>
      <c r="F206">
        <v>749.96332550607326</v>
      </c>
      <c r="G206">
        <v>69070.456729069221</v>
      </c>
      <c r="H206">
        <v>0</v>
      </c>
      <c r="I206">
        <v>0</v>
      </c>
    </row>
    <row r="207" spans="1:9" x14ac:dyDescent="0.25">
      <c r="A207" s="113">
        <f t="shared" si="7"/>
        <v>49705</v>
      </c>
      <c r="B207" s="128">
        <f t="shared" si="6"/>
        <v>2036</v>
      </c>
      <c r="C207">
        <v>2127.4520854487587</v>
      </c>
      <c r="D207">
        <v>1169.2474200824163</v>
      </c>
      <c r="E207">
        <v>0</v>
      </c>
      <c r="F207">
        <v>747.32027877444068</v>
      </c>
      <c r="G207">
        <v>69398.812724425617</v>
      </c>
      <c r="H207">
        <v>0</v>
      </c>
      <c r="I207">
        <v>0</v>
      </c>
    </row>
    <row r="208" spans="1:9" x14ac:dyDescent="0.25">
      <c r="A208" s="113">
        <f t="shared" si="7"/>
        <v>49734</v>
      </c>
      <c r="B208" s="128">
        <f t="shared" si="6"/>
        <v>2036</v>
      </c>
      <c r="C208">
        <v>2194.9885106987308</v>
      </c>
      <c r="D208">
        <v>1183.8422708959365</v>
      </c>
      <c r="E208">
        <v>0</v>
      </c>
      <c r="F208">
        <v>744.85243004425251</v>
      </c>
      <c r="G208">
        <v>69783.136594547919</v>
      </c>
      <c r="H208">
        <v>0</v>
      </c>
      <c r="I208">
        <v>0</v>
      </c>
    </row>
    <row r="209" spans="1:9" x14ac:dyDescent="0.25">
      <c r="A209" s="113">
        <f t="shared" si="7"/>
        <v>49765</v>
      </c>
      <c r="B209" s="128">
        <f t="shared" si="6"/>
        <v>2036</v>
      </c>
      <c r="C209">
        <v>2120.9871903006983</v>
      </c>
      <c r="D209">
        <v>1158.1473448480244</v>
      </c>
      <c r="E209">
        <v>0</v>
      </c>
      <c r="F209">
        <v>742.42201777199193</v>
      </c>
      <c r="G209">
        <v>70122.23812157847</v>
      </c>
      <c r="H209">
        <v>0</v>
      </c>
      <c r="I209">
        <v>0</v>
      </c>
    </row>
    <row r="210" spans="1:9" x14ac:dyDescent="0.25">
      <c r="A210" s="113">
        <f t="shared" si="7"/>
        <v>49795</v>
      </c>
      <c r="B210" s="128">
        <f t="shared" si="6"/>
        <v>2036</v>
      </c>
      <c r="C210">
        <v>2646.9291904032643</v>
      </c>
      <c r="D210">
        <v>1297.5845874336942</v>
      </c>
      <c r="E210">
        <v>0</v>
      </c>
      <c r="F210">
        <v>739.96488186396016</v>
      </c>
      <c r="G210">
        <v>70850.878269100824</v>
      </c>
      <c r="H210">
        <v>0</v>
      </c>
      <c r="I210">
        <v>0</v>
      </c>
    </row>
    <row r="211" spans="1:9" x14ac:dyDescent="0.25">
      <c r="A211" s="113">
        <f t="shared" si="7"/>
        <v>49826</v>
      </c>
      <c r="B211" s="128">
        <f t="shared" si="6"/>
        <v>2036</v>
      </c>
      <c r="C211">
        <v>2936.6892732688534</v>
      </c>
      <c r="D211">
        <v>1374.5777352403531</v>
      </c>
      <c r="E211">
        <v>0</v>
      </c>
      <c r="F211">
        <v>737.64913871004364</v>
      </c>
      <c r="G211">
        <v>71795.840329878003</v>
      </c>
      <c r="H211">
        <v>0</v>
      </c>
      <c r="I211">
        <v>0</v>
      </c>
    </row>
    <row r="212" spans="1:9" x14ac:dyDescent="0.25">
      <c r="A212" s="113">
        <f t="shared" si="7"/>
        <v>49856</v>
      </c>
      <c r="B212" s="128">
        <f t="shared" si="6"/>
        <v>2036</v>
      </c>
      <c r="C212">
        <v>2442.8067413436133</v>
      </c>
      <c r="D212">
        <v>1251.3879320540614</v>
      </c>
      <c r="E212">
        <v>0</v>
      </c>
      <c r="F212">
        <v>735.44252316603593</v>
      </c>
      <c r="G212">
        <v>72373.923422088425</v>
      </c>
      <c r="H212">
        <v>0</v>
      </c>
      <c r="I212">
        <v>0</v>
      </c>
    </row>
    <row r="213" spans="1:9" x14ac:dyDescent="0.25">
      <c r="A213" s="113">
        <f t="shared" si="7"/>
        <v>49887</v>
      </c>
      <c r="B213" s="128">
        <f t="shared" si="6"/>
        <v>2036</v>
      </c>
      <c r="C213">
        <v>2070.9875970725652</v>
      </c>
      <c r="D213">
        <v>1156.4897351562693</v>
      </c>
      <c r="E213">
        <v>0</v>
      </c>
      <c r="F213">
        <v>733.10521942085518</v>
      </c>
      <c r="G213">
        <v>72678.406045736585</v>
      </c>
      <c r="H213">
        <v>0</v>
      </c>
      <c r="I213">
        <v>0</v>
      </c>
    </row>
    <row r="214" spans="1:9" x14ac:dyDescent="0.25">
      <c r="A214" s="113">
        <f t="shared" si="7"/>
        <v>49918</v>
      </c>
      <c r="B214" s="128">
        <f t="shared" si="6"/>
        <v>2036</v>
      </c>
      <c r="C214">
        <v>2135.8721469880434</v>
      </c>
      <c r="D214">
        <v>1171.6454819319404</v>
      </c>
      <c r="E214">
        <v>0</v>
      </c>
      <c r="F214">
        <v>730.66320891743396</v>
      </c>
      <c r="G214">
        <v>73035.577331980079</v>
      </c>
      <c r="H214">
        <v>0</v>
      </c>
      <c r="I214">
        <v>0</v>
      </c>
    </row>
    <row r="215" spans="1:9" x14ac:dyDescent="0.25">
      <c r="A215" s="113">
        <f t="shared" si="7"/>
        <v>49948</v>
      </c>
      <c r="B215" s="128">
        <f t="shared" si="6"/>
        <v>2036</v>
      </c>
      <c r="C215">
        <v>2324.3491955479349</v>
      </c>
      <c r="D215">
        <v>1220.3354334606136</v>
      </c>
      <c r="E215">
        <v>0</v>
      </c>
      <c r="F215">
        <v>728.24588200891878</v>
      </c>
      <c r="G215">
        <v>73535.560501380867</v>
      </c>
      <c r="H215">
        <v>0</v>
      </c>
      <c r="I215">
        <v>0</v>
      </c>
    </row>
    <row r="216" spans="1:9" x14ac:dyDescent="0.25">
      <c r="A216" s="113">
        <f t="shared" si="7"/>
        <v>49979</v>
      </c>
      <c r="B216" s="128">
        <f t="shared" si="6"/>
        <v>2036</v>
      </c>
      <c r="C216">
        <v>2537.121657798597</v>
      </c>
      <c r="D216">
        <v>1282.2665612756718</v>
      </c>
      <c r="E216">
        <v>0</v>
      </c>
      <c r="F216">
        <v>725.88886335467373</v>
      </c>
      <c r="G216">
        <v>74189.59237046029</v>
      </c>
      <c r="H216">
        <v>0</v>
      </c>
      <c r="I216">
        <v>0</v>
      </c>
    </row>
    <row r="217" spans="1:9" x14ac:dyDescent="0.25">
      <c r="A217" s="113">
        <f t="shared" si="7"/>
        <v>50009</v>
      </c>
      <c r="B217" s="128">
        <f t="shared" si="6"/>
        <v>2036</v>
      </c>
      <c r="C217">
        <v>2056.049407996542</v>
      </c>
      <c r="D217">
        <v>1170.8205465418487</v>
      </c>
      <c r="E217">
        <v>0</v>
      </c>
      <c r="F217">
        <v>723.59695625846086</v>
      </c>
      <c r="G217">
        <v>74477.402256548186</v>
      </c>
      <c r="H217">
        <v>0</v>
      </c>
      <c r="I217">
        <v>0</v>
      </c>
    </row>
    <row r="218" spans="1:9" x14ac:dyDescent="0.25">
      <c r="A218" s="113">
        <f t="shared" si="7"/>
        <v>50040</v>
      </c>
      <c r="B218" s="128">
        <f t="shared" si="6"/>
        <v>2036</v>
      </c>
      <c r="C218">
        <v>2310.8204093295731</v>
      </c>
      <c r="D218">
        <v>1244.3766335327018</v>
      </c>
      <c r="E218">
        <v>0</v>
      </c>
      <c r="F218">
        <v>721.14647273367177</v>
      </c>
      <c r="G218">
        <v>74949.367033289745</v>
      </c>
      <c r="H218">
        <v>0</v>
      </c>
      <c r="I218">
        <v>0</v>
      </c>
    </row>
    <row r="219" spans="1:9" x14ac:dyDescent="0.25">
      <c r="A219" s="113">
        <f t="shared" si="7"/>
        <v>50071</v>
      </c>
      <c r="B219" s="128">
        <f t="shared" si="6"/>
        <v>2037</v>
      </c>
      <c r="C219">
        <v>2015.3636581828523</v>
      </c>
      <c r="D219">
        <v>1168.4171487509768</v>
      </c>
      <c r="E219">
        <v>0</v>
      </c>
      <c r="F219">
        <v>718.48916171428198</v>
      </c>
      <c r="G219">
        <v>75204.601810654247</v>
      </c>
      <c r="H219">
        <v>0</v>
      </c>
      <c r="I219">
        <v>0</v>
      </c>
    </row>
    <row r="220" spans="1:9" x14ac:dyDescent="0.25">
      <c r="A220" s="113">
        <f t="shared" si="7"/>
        <v>50099</v>
      </c>
      <c r="B220" s="128">
        <f t="shared" si="6"/>
        <v>2037</v>
      </c>
      <c r="C220">
        <v>2077.4686807469907</v>
      </c>
      <c r="D220">
        <v>1181.4024352649556</v>
      </c>
      <c r="E220">
        <v>0</v>
      </c>
      <c r="F220">
        <v>716.02257554930861</v>
      </c>
      <c r="G220">
        <v>75511.854641819053</v>
      </c>
      <c r="H220">
        <v>0</v>
      </c>
      <c r="I220">
        <v>0</v>
      </c>
    </row>
    <row r="221" spans="1:9" x14ac:dyDescent="0.25">
      <c r="A221" s="113">
        <f t="shared" si="7"/>
        <v>50130</v>
      </c>
      <c r="B221" s="128">
        <f t="shared" si="6"/>
        <v>2037</v>
      </c>
      <c r="C221">
        <v>2008.3516624983899</v>
      </c>
      <c r="D221">
        <v>1163.3520811488449</v>
      </c>
      <c r="E221">
        <v>0</v>
      </c>
      <c r="F221">
        <v>713.59001834382752</v>
      </c>
      <c r="G221">
        <v>75770.993086579139</v>
      </c>
      <c r="H221">
        <v>0</v>
      </c>
      <c r="I221">
        <v>0</v>
      </c>
    </row>
    <row r="222" spans="1:9" x14ac:dyDescent="0.25">
      <c r="A222" s="113">
        <f t="shared" si="7"/>
        <v>50160</v>
      </c>
      <c r="B222" s="128">
        <f t="shared" si="6"/>
        <v>2037</v>
      </c>
      <c r="C222">
        <v>2507.5530103955412</v>
      </c>
      <c r="D222">
        <v>1296.0995891542132</v>
      </c>
      <c r="E222">
        <v>0</v>
      </c>
      <c r="F222">
        <v>711.13488485820608</v>
      </c>
      <c r="G222">
        <v>76399.478839385149</v>
      </c>
      <c r="H222">
        <v>0</v>
      </c>
      <c r="I222">
        <v>0</v>
      </c>
    </row>
    <row r="223" spans="1:9" x14ac:dyDescent="0.25">
      <c r="A223" s="113">
        <f t="shared" si="7"/>
        <v>50191</v>
      </c>
      <c r="B223" s="128">
        <f t="shared" si="6"/>
        <v>2037</v>
      </c>
      <c r="C223">
        <v>2778.6977251711241</v>
      </c>
      <c r="D223">
        <v>1368.1283840153433</v>
      </c>
      <c r="E223">
        <v>0</v>
      </c>
      <c r="F223">
        <v>708.81365357507514</v>
      </c>
      <c r="G223">
        <v>77230.464831863894</v>
      </c>
      <c r="H223">
        <v>0</v>
      </c>
      <c r="I223">
        <v>0</v>
      </c>
    </row>
    <row r="224" spans="1:9" x14ac:dyDescent="0.25">
      <c r="A224" s="113">
        <f t="shared" si="7"/>
        <v>50221</v>
      </c>
      <c r="B224" s="128">
        <f t="shared" si="6"/>
        <v>2037</v>
      </c>
      <c r="C224">
        <v>2311.6634129320119</v>
      </c>
      <c r="D224">
        <v>1251.341555731736</v>
      </c>
      <c r="E224">
        <v>0</v>
      </c>
      <c r="F224">
        <v>706.59520582057451</v>
      </c>
      <c r="G224">
        <v>77714.827407326447</v>
      </c>
      <c r="H224">
        <v>0</v>
      </c>
      <c r="I224">
        <v>0</v>
      </c>
    </row>
    <row r="225" spans="1:9" x14ac:dyDescent="0.25">
      <c r="A225" s="113">
        <f t="shared" si="7"/>
        <v>50252</v>
      </c>
      <c r="B225" s="128">
        <f t="shared" si="6"/>
        <v>2037</v>
      </c>
      <c r="C225">
        <v>1960.2274974752168</v>
      </c>
      <c r="D225">
        <v>1161.341121753476</v>
      </c>
      <c r="E225">
        <v>0</v>
      </c>
      <c r="F225">
        <v>704.2537401958092</v>
      </c>
      <c r="G225">
        <v>77940.91526994959</v>
      </c>
      <c r="H225">
        <v>0</v>
      </c>
      <c r="I225">
        <v>0</v>
      </c>
    </row>
    <row r="226" spans="1:9" x14ac:dyDescent="0.25">
      <c r="A226" s="113">
        <f t="shared" si="7"/>
        <v>50283</v>
      </c>
      <c r="B226" s="128">
        <f t="shared" si="6"/>
        <v>2037</v>
      </c>
      <c r="C226">
        <v>2019.749907042069</v>
      </c>
      <c r="D226">
        <v>1174.6939226635659</v>
      </c>
      <c r="E226">
        <v>0</v>
      </c>
      <c r="F226">
        <v>701.81418636662556</v>
      </c>
      <c r="G226">
        <v>78215.994724413875</v>
      </c>
      <c r="H226">
        <v>0</v>
      </c>
      <c r="I226">
        <v>0</v>
      </c>
    </row>
    <row r="227" spans="1:9" x14ac:dyDescent="0.25">
      <c r="A227" s="113">
        <f t="shared" si="7"/>
        <v>50313</v>
      </c>
      <c r="B227" s="128">
        <f t="shared" si="6"/>
        <v>2037</v>
      </c>
      <c r="C227">
        <v>2196.4419198287837</v>
      </c>
      <c r="D227">
        <v>1220.1020222810748</v>
      </c>
      <c r="E227">
        <v>0</v>
      </c>
      <c r="F227">
        <v>699.39843779062176</v>
      </c>
      <c r="G227">
        <v>78625.23913963206</v>
      </c>
      <c r="H227">
        <v>0</v>
      </c>
      <c r="I227">
        <v>0</v>
      </c>
    </row>
    <row r="228" spans="1:9" x14ac:dyDescent="0.25">
      <c r="A228" s="113">
        <f t="shared" si="7"/>
        <v>50344</v>
      </c>
      <c r="B228" s="128">
        <f t="shared" si="6"/>
        <v>2037</v>
      </c>
      <c r="C228">
        <v>2400.8577800686694</v>
      </c>
      <c r="D228">
        <v>1279.837798227057</v>
      </c>
      <c r="E228">
        <v>0</v>
      </c>
      <c r="F228">
        <v>697.03975474815115</v>
      </c>
      <c r="G228">
        <v>79182.214562256268</v>
      </c>
      <c r="H228">
        <v>0</v>
      </c>
      <c r="I228">
        <v>0</v>
      </c>
    </row>
    <row r="229" spans="1:9" x14ac:dyDescent="0.25">
      <c r="A229" s="113">
        <f t="shared" si="7"/>
        <v>50374</v>
      </c>
      <c r="B229" s="128">
        <f t="shared" si="6"/>
        <v>2037</v>
      </c>
      <c r="C229">
        <v>1944.2260550637254</v>
      </c>
      <c r="D229">
        <v>1170.6491302282986</v>
      </c>
      <c r="E229">
        <v>0</v>
      </c>
      <c r="F229">
        <v>694.74397519636204</v>
      </c>
      <c r="G229">
        <v>79394.98483562874</v>
      </c>
      <c r="H229">
        <v>0</v>
      </c>
      <c r="I229">
        <v>0</v>
      </c>
    </row>
    <row r="230" spans="1:9" x14ac:dyDescent="0.25">
      <c r="A230" s="113">
        <f t="shared" si="7"/>
        <v>50405</v>
      </c>
      <c r="B230" s="128">
        <f t="shared" si="6"/>
        <v>2037</v>
      </c>
      <c r="C230">
        <v>2185.6681136863253</v>
      </c>
      <c r="D230">
        <v>1234.5838992690233</v>
      </c>
      <c r="E230">
        <v>0</v>
      </c>
      <c r="F230">
        <v>692.29717259201016</v>
      </c>
      <c r="G230">
        <v>79788.069103738206</v>
      </c>
      <c r="H230">
        <v>0</v>
      </c>
      <c r="I230">
        <v>0</v>
      </c>
    </row>
    <row r="231" spans="1:9" x14ac:dyDescent="0.25">
      <c r="A231" s="113">
        <f t="shared" si="7"/>
        <v>50436</v>
      </c>
      <c r="B231" s="128">
        <f t="shared" si="6"/>
        <v>2038</v>
      </c>
      <c r="C231">
        <v>1905.9276756550848</v>
      </c>
      <c r="D231">
        <v>1162.3448981420067</v>
      </c>
      <c r="E231">
        <v>0</v>
      </c>
      <c r="F231">
        <v>689.62717725437267</v>
      </c>
      <c r="G231">
        <v>79977.397995529725</v>
      </c>
      <c r="H231">
        <v>0</v>
      </c>
      <c r="I231">
        <v>0</v>
      </c>
    </row>
    <row r="232" spans="1:9" x14ac:dyDescent="0.25">
      <c r="A232" s="113">
        <f t="shared" si="7"/>
        <v>50464</v>
      </c>
      <c r="B232" s="128">
        <f t="shared" si="6"/>
        <v>2038</v>
      </c>
      <c r="C232">
        <v>1962.73760550361</v>
      </c>
      <c r="D232">
        <v>1173.7752069129099</v>
      </c>
      <c r="E232">
        <v>0</v>
      </c>
      <c r="F232">
        <v>687.16198748058957</v>
      </c>
      <c r="G232">
        <v>80214.892925087202</v>
      </c>
      <c r="H232">
        <v>0</v>
      </c>
      <c r="I232">
        <v>0</v>
      </c>
    </row>
    <row r="233" spans="1:9" x14ac:dyDescent="0.25">
      <c r="A233" s="113">
        <f t="shared" si="7"/>
        <v>50495</v>
      </c>
      <c r="B233" s="128">
        <f t="shared" si="6"/>
        <v>2038</v>
      </c>
      <c r="C233">
        <v>1898.3654670253204</v>
      </c>
      <c r="D233">
        <v>1156.7260242177247</v>
      </c>
      <c r="E233">
        <v>0</v>
      </c>
      <c r="F233">
        <v>684.72931725262197</v>
      </c>
      <c r="G233">
        <v>80407.900517433853</v>
      </c>
      <c r="H233">
        <v>0</v>
      </c>
      <c r="I233">
        <v>0</v>
      </c>
    </row>
    <row r="234" spans="1:9" x14ac:dyDescent="0.25">
      <c r="A234" s="113">
        <f t="shared" si="7"/>
        <v>50525</v>
      </c>
      <c r="B234" s="128">
        <f t="shared" si="6"/>
        <v>2038</v>
      </c>
      <c r="C234">
        <v>2371.5371989779505</v>
      </c>
      <c r="D234">
        <v>1279.4853964101153</v>
      </c>
      <c r="E234">
        <v>0</v>
      </c>
      <c r="F234">
        <v>682.27736143458719</v>
      </c>
      <c r="G234">
        <v>80954.099893780585</v>
      </c>
      <c r="H234">
        <v>0</v>
      </c>
      <c r="I234">
        <v>0</v>
      </c>
    </row>
    <row r="235" spans="1:9" x14ac:dyDescent="0.25">
      <c r="A235" s="113">
        <f t="shared" si="7"/>
        <v>50556</v>
      </c>
      <c r="B235" s="128">
        <f t="shared" si="6"/>
        <v>2038</v>
      </c>
      <c r="C235">
        <v>2624.2902315981109</v>
      </c>
      <c r="D235">
        <v>1346.6750498789729</v>
      </c>
      <c r="E235">
        <v>0</v>
      </c>
      <c r="F235">
        <v>679.95078638833672</v>
      </c>
      <c r="G235">
        <v>81689.115939411917</v>
      </c>
      <c r="H235">
        <v>0</v>
      </c>
      <c r="I235">
        <v>0</v>
      </c>
    </row>
    <row r="236" spans="1:9" x14ac:dyDescent="0.25">
      <c r="A236" s="113">
        <f t="shared" si="7"/>
        <v>50586</v>
      </c>
      <c r="B236" s="128">
        <f t="shared" si="6"/>
        <v>2038</v>
      </c>
      <c r="C236">
        <v>2183.6194882471796</v>
      </c>
      <c r="D236">
        <v>1236.2567258673521</v>
      </c>
      <c r="E236">
        <v>0</v>
      </c>
      <c r="F236">
        <v>677.72079397379548</v>
      </c>
      <c r="G236">
        <v>82097.356631052418</v>
      </c>
      <c r="H236">
        <v>0</v>
      </c>
      <c r="I236">
        <v>0</v>
      </c>
    </row>
    <row r="237" spans="1:9" x14ac:dyDescent="0.25">
      <c r="A237" s="113">
        <f t="shared" si="7"/>
        <v>50617</v>
      </c>
      <c r="B237" s="128">
        <f t="shared" si="6"/>
        <v>2038</v>
      </c>
      <c r="C237">
        <v>1852.0962441992606</v>
      </c>
      <c r="D237">
        <v>1151.1172539232591</v>
      </c>
      <c r="E237">
        <v>0</v>
      </c>
      <c r="F237">
        <v>675.37536066769906</v>
      </c>
      <c r="G237">
        <v>82262.251629885868</v>
      </c>
      <c r="H237">
        <v>0</v>
      </c>
      <c r="I237">
        <v>0</v>
      </c>
    </row>
    <row r="238" spans="1:9" x14ac:dyDescent="0.25">
      <c r="A238" s="113">
        <f t="shared" si="7"/>
        <v>50648</v>
      </c>
      <c r="B238" s="128">
        <f t="shared" si="6"/>
        <v>2038</v>
      </c>
      <c r="C238">
        <v>1906.3977619356008</v>
      </c>
      <c r="D238">
        <v>1163.4627920898531</v>
      </c>
      <c r="E238">
        <v>0</v>
      </c>
      <c r="F238">
        <v>672.93834646771711</v>
      </c>
      <c r="G238">
        <v>82471.819393374579</v>
      </c>
      <c r="H238">
        <v>0</v>
      </c>
      <c r="I238">
        <v>0</v>
      </c>
    </row>
    <row r="239" spans="1:9" x14ac:dyDescent="0.25">
      <c r="A239" s="113">
        <f t="shared" si="7"/>
        <v>50678</v>
      </c>
      <c r="B239" s="128">
        <f t="shared" si="6"/>
        <v>2038</v>
      </c>
      <c r="C239">
        <v>2071.5721988616642</v>
      </c>
      <c r="D239">
        <v>1206.11814817305</v>
      </c>
      <c r="E239">
        <v>0</v>
      </c>
      <c r="F239">
        <v>670.52364715692897</v>
      </c>
      <c r="G239">
        <v>82806.676502432383</v>
      </c>
      <c r="H239">
        <v>0</v>
      </c>
      <c r="I239">
        <v>0</v>
      </c>
    </row>
    <row r="240" spans="1:9" x14ac:dyDescent="0.25">
      <c r="A240" s="113">
        <f t="shared" si="7"/>
        <v>50709</v>
      </c>
      <c r="B240" s="128">
        <f t="shared" si="6"/>
        <v>2038</v>
      </c>
      <c r="C240">
        <v>2267.8451803253743</v>
      </c>
      <c r="D240">
        <v>1253.0399759565639</v>
      </c>
      <c r="E240">
        <v>0</v>
      </c>
      <c r="F240">
        <v>668.16523013303276</v>
      </c>
      <c r="G240">
        <v>83293.811321134868</v>
      </c>
      <c r="H240">
        <v>0</v>
      </c>
      <c r="I240">
        <v>0</v>
      </c>
    </row>
    <row r="241" spans="1:9" x14ac:dyDescent="0.25">
      <c r="A241" s="113">
        <f t="shared" si="7"/>
        <v>50739</v>
      </c>
      <c r="B241" s="128">
        <f t="shared" si="6"/>
        <v>2038</v>
      </c>
      <c r="C241">
        <v>1835.0403565683039</v>
      </c>
      <c r="D241">
        <v>1165.3062508064031</v>
      </c>
      <c r="E241">
        <v>0</v>
      </c>
      <c r="F241">
        <v>665.85883434331015</v>
      </c>
      <c r="G241">
        <v>83439.007939585761</v>
      </c>
      <c r="H241">
        <v>0</v>
      </c>
      <c r="I241">
        <v>0</v>
      </c>
    </row>
    <row r="242" spans="1:9" x14ac:dyDescent="0.25">
      <c r="A242" s="113">
        <f t="shared" si="7"/>
        <v>50770</v>
      </c>
      <c r="B242" s="128">
        <f t="shared" si="6"/>
        <v>2038</v>
      </c>
      <c r="C242">
        <v>2063.5047892238099</v>
      </c>
      <c r="D242">
        <v>1221.9014393870518</v>
      </c>
      <c r="E242">
        <v>0</v>
      </c>
      <c r="F242">
        <v>663.41271745861309</v>
      </c>
      <c r="G242">
        <v>83758.766268411404</v>
      </c>
      <c r="H242">
        <v>0</v>
      </c>
      <c r="I242">
        <v>0</v>
      </c>
    </row>
    <row r="243" spans="1:9" x14ac:dyDescent="0.25">
      <c r="A243" s="113">
        <f t="shared" si="7"/>
        <v>50801</v>
      </c>
      <c r="B243" s="128">
        <f t="shared" si="6"/>
        <v>2039</v>
      </c>
      <c r="C243">
        <v>1799.0787090863414</v>
      </c>
      <c r="D243">
        <v>1164.0251510214659</v>
      </c>
      <c r="E243">
        <v>0</v>
      </c>
      <c r="F243">
        <v>660.72549576015717</v>
      </c>
      <c r="G243">
        <v>83887.286893836892</v>
      </c>
      <c r="H243">
        <v>0</v>
      </c>
      <c r="I243">
        <v>0</v>
      </c>
    </row>
    <row r="244" spans="1:9" x14ac:dyDescent="0.25">
      <c r="A244" s="113">
        <f t="shared" si="7"/>
        <v>50829</v>
      </c>
      <c r="B244" s="128">
        <f t="shared" si="6"/>
        <v>2039</v>
      </c>
      <c r="C244">
        <v>1850.7351139212558</v>
      </c>
      <c r="D244">
        <v>1163.2079828670617</v>
      </c>
      <c r="E244">
        <v>0</v>
      </c>
      <c r="F244">
        <v>658.26490820871652</v>
      </c>
      <c r="G244">
        <v>84070.978275033995</v>
      </c>
      <c r="H244">
        <v>0</v>
      </c>
      <c r="I244">
        <v>0</v>
      </c>
    </row>
    <row r="245" spans="1:9" x14ac:dyDescent="0.25">
      <c r="A245" s="113">
        <f t="shared" si="7"/>
        <v>50860</v>
      </c>
      <c r="B245" s="128">
        <f t="shared" si="6"/>
        <v>2039</v>
      </c>
      <c r="C245">
        <v>1790.9611705739928</v>
      </c>
      <c r="D245">
        <v>1157.7177737967666</v>
      </c>
      <c r="E245">
        <v>0</v>
      </c>
      <c r="F245">
        <v>655.8295937940569</v>
      </c>
      <c r="G245">
        <v>84203.159396135918</v>
      </c>
      <c r="H245">
        <v>0</v>
      </c>
      <c r="I245">
        <v>0</v>
      </c>
    </row>
    <row r="246" spans="1:9" x14ac:dyDescent="0.25">
      <c r="A246" s="113">
        <f t="shared" si="7"/>
        <v>50890</v>
      </c>
      <c r="B246" s="128">
        <f t="shared" si="6"/>
        <v>2039</v>
      </c>
      <c r="C246">
        <v>2238.7787093127235</v>
      </c>
      <c r="D246">
        <v>1267.1571183458359</v>
      </c>
      <c r="E246">
        <v>0</v>
      </c>
      <c r="F246">
        <v>653.38209048973863</v>
      </c>
      <c r="G246">
        <v>84676.409548615207</v>
      </c>
      <c r="H246">
        <v>0</v>
      </c>
      <c r="I246">
        <v>0</v>
      </c>
    </row>
    <row r="247" spans="1:9" x14ac:dyDescent="0.25">
      <c r="A247" s="113">
        <f t="shared" si="7"/>
        <v>50921</v>
      </c>
      <c r="B247" s="128">
        <f t="shared" si="6"/>
        <v>2039</v>
      </c>
      <c r="C247">
        <v>2473.4056078381277</v>
      </c>
      <c r="D247">
        <v>1333.1852047424086</v>
      </c>
      <c r="E247">
        <v>0</v>
      </c>
      <c r="F247">
        <v>651.05008726814185</v>
      </c>
      <c r="G247">
        <v>85321.461728584851</v>
      </c>
      <c r="H247">
        <v>0</v>
      </c>
      <c r="I247">
        <v>0</v>
      </c>
    </row>
    <row r="248" spans="1:9" x14ac:dyDescent="0.25">
      <c r="A248" s="113">
        <f t="shared" si="7"/>
        <v>50951</v>
      </c>
      <c r="B248" s="128">
        <f t="shared" si="6"/>
        <v>2039</v>
      </c>
      <c r="C248">
        <v>2058.592537483386</v>
      </c>
      <c r="D248">
        <v>1218.1276961155102</v>
      </c>
      <c r="E248">
        <v>0</v>
      </c>
      <c r="F248">
        <v>648.81262233900782</v>
      </c>
      <c r="G248">
        <v>85670.183296402596</v>
      </c>
      <c r="H248">
        <v>0</v>
      </c>
      <c r="I248">
        <v>0</v>
      </c>
    </row>
    <row r="249" spans="1:9" x14ac:dyDescent="0.25">
      <c r="A249" s="113">
        <f t="shared" si="7"/>
        <v>50982</v>
      </c>
      <c r="B249" s="128">
        <f t="shared" si="6"/>
        <v>2039</v>
      </c>
      <c r="C249">
        <v>1746.5094224389038</v>
      </c>
      <c r="D249">
        <v>1148.4749933237767</v>
      </c>
      <c r="E249">
        <v>0</v>
      </c>
      <c r="F249">
        <v>646.46129607667717</v>
      </c>
      <c r="G249">
        <v>85779.467744136913</v>
      </c>
      <c r="H249">
        <v>0</v>
      </c>
      <c r="I249">
        <v>0</v>
      </c>
    </row>
    <row r="250" spans="1:9" x14ac:dyDescent="0.25">
      <c r="A250" s="113">
        <f t="shared" si="7"/>
        <v>51013</v>
      </c>
      <c r="B250" s="128">
        <f t="shared" si="6"/>
        <v>2039</v>
      </c>
      <c r="C250">
        <v>1795.7366622202101</v>
      </c>
      <c r="D250">
        <v>1148.4667867732535</v>
      </c>
      <c r="E250">
        <v>0</v>
      </c>
      <c r="F250">
        <v>644.03067868985841</v>
      </c>
      <c r="G250">
        <v>85940.619438700276</v>
      </c>
      <c r="H250">
        <v>0</v>
      </c>
      <c r="I250">
        <v>0</v>
      </c>
    </row>
    <row r="251" spans="1:9" x14ac:dyDescent="0.25">
      <c r="A251" s="113">
        <f t="shared" si="7"/>
        <v>51043</v>
      </c>
      <c r="B251" s="128">
        <f t="shared" si="6"/>
        <v>2039</v>
      </c>
      <c r="C251">
        <v>1949.6734322988157</v>
      </c>
      <c r="D251">
        <v>1198.6685885554705</v>
      </c>
      <c r="E251">
        <v>0</v>
      </c>
      <c r="F251">
        <v>641.61579031041083</v>
      </c>
      <c r="G251">
        <v>86208.217656114517</v>
      </c>
      <c r="H251">
        <v>0</v>
      </c>
      <c r="I251">
        <v>0</v>
      </c>
    </row>
    <row r="252" spans="1:9" x14ac:dyDescent="0.25">
      <c r="A252" s="113">
        <f t="shared" si="7"/>
        <v>51074</v>
      </c>
      <c r="B252" s="128">
        <f t="shared" si="6"/>
        <v>2039</v>
      </c>
      <c r="C252">
        <v>2138.0013988941378</v>
      </c>
      <c r="D252">
        <v>1243.8842670097704</v>
      </c>
      <c r="E252">
        <v>0</v>
      </c>
      <c r="F252">
        <v>639.25697342444539</v>
      </c>
      <c r="G252">
        <v>86621.779603469855</v>
      </c>
      <c r="H252">
        <v>0</v>
      </c>
      <c r="I252">
        <v>0</v>
      </c>
    </row>
    <row r="253" spans="1:9" x14ac:dyDescent="0.25">
      <c r="A253" s="113">
        <f t="shared" si="7"/>
        <v>51104</v>
      </c>
      <c r="B253" s="128">
        <f t="shared" si="6"/>
        <v>2039</v>
      </c>
      <c r="C253">
        <v>1728.4271194398368</v>
      </c>
      <c r="D253">
        <v>1161.2176777281952</v>
      </c>
      <c r="E253">
        <v>0</v>
      </c>
      <c r="F253">
        <v>636.94745265766414</v>
      </c>
      <c r="G253">
        <v>86711.504712793991</v>
      </c>
      <c r="H253">
        <v>0</v>
      </c>
      <c r="I253">
        <v>0</v>
      </c>
    </row>
    <row r="254" spans="1:9" x14ac:dyDescent="0.25">
      <c r="A254" s="113">
        <f t="shared" si="7"/>
        <v>51135</v>
      </c>
      <c r="B254" s="128">
        <f t="shared" si="6"/>
        <v>2039</v>
      </c>
      <c r="C254">
        <v>1944.258886330513</v>
      </c>
      <c r="D254">
        <v>1212.7569803398283</v>
      </c>
      <c r="E254">
        <v>0</v>
      </c>
      <c r="F254">
        <v>634.50589497103874</v>
      </c>
      <c r="G254">
        <v>86968.12902016264</v>
      </c>
      <c r="H254">
        <v>0</v>
      </c>
      <c r="I254">
        <v>0</v>
      </c>
    </row>
    <row r="255" spans="1:9" x14ac:dyDescent="0.25">
      <c r="A255" s="113">
        <f t="shared" si="7"/>
        <v>51166</v>
      </c>
      <c r="B255" s="128">
        <f t="shared" si="6"/>
        <v>2040</v>
      </c>
      <c r="C255">
        <v>1694.7644535540139</v>
      </c>
      <c r="D255">
        <v>1157.9282826278873</v>
      </c>
      <c r="E255">
        <v>0</v>
      </c>
      <c r="F255">
        <v>631.78678141407477</v>
      </c>
      <c r="G255">
        <v>87031.176600691135</v>
      </c>
      <c r="H255">
        <v>0</v>
      </c>
      <c r="I255">
        <v>0</v>
      </c>
    </row>
    <row r="256" spans="1:9" x14ac:dyDescent="0.25">
      <c r="A256" s="113">
        <f t="shared" si="7"/>
        <v>51195</v>
      </c>
      <c r="B256" s="128">
        <f t="shared" si="6"/>
        <v>2040</v>
      </c>
      <c r="C256">
        <v>1741.4268595733467</v>
      </c>
      <c r="D256">
        <v>1156.039344389719</v>
      </c>
      <c r="E256">
        <v>0</v>
      </c>
      <c r="F256">
        <v>629.32768715767872</v>
      </c>
      <c r="G256">
        <v>87145.349160586367</v>
      </c>
      <c r="H256">
        <v>0</v>
      </c>
      <c r="I256">
        <v>0</v>
      </c>
    </row>
    <row r="257" spans="1:9" x14ac:dyDescent="0.25">
      <c r="A257" s="113">
        <f t="shared" si="7"/>
        <v>51226</v>
      </c>
      <c r="B257" s="128">
        <f t="shared" si="6"/>
        <v>2040</v>
      </c>
      <c r="C257">
        <v>1686.1103711752405</v>
      </c>
      <c r="D257">
        <v>1150.9976102725921</v>
      </c>
      <c r="E257">
        <v>0</v>
      </c>
      <c r="F257">
        <v>626.89277412269439</v>
      </c>
      <c r="G257">
        <v>87211.889300714349</v>
      </c>
      <c r="H257">
        <v>0</v>
      </c>
      <c r="I257">
        <v>0</v>
      </c>
    </row>
    <row r="258" spans="1:9" x14ac:dyDescent="0.25">
      <c r="A258" s="113">
        <f t="shared" si="7"/>
        <v>51256</v>
      </c>
      <c r="B258" s="128">
        <f t="shared" si="6"/>
        <v>2040</v>
      </c>
      <c r="C258">
        <v>2109.257597830413</v>
      </c>
      <c r="D258">
        <v>1254.8691506704943</v>
      </c>
      <c r="E258">
        <v>0</v>
      </c>
      <c r="F258">
        <v>624.44768753303231</v>
      </c>
      <c r="G258">
        <v>87600.271099603357</v>
      </c>
      <c r="H258">
        <v>0</v>
      </c>
      <c r="I258">
        <v>0</v>
      </c>
    </row>
    <row r="259" spans="1:9" x14ac:dyDescent="0.25">
      <c r="A259" s="113">
        <f t="shared" si="7"/>
        <v>51287</v>
      </c>
      <c r="B259" s="128">
        <f t="shared" ref="B259:B322" si="8">YEAR(A259)</f>
        <v>2040</v>
      </c>
      <c r="C259">
        <v>2326.0569563403396</v>
      </c>
      <c r="D259">
        <v>1322.450575725062</v>
      </c>
      <c r="E259">
        <v>0</v>
      </c>
      <c r="F259">
        <v>622.10908665611566</v>
      </c>
      <c r="G259">
        <v>88140.915020289161</v>
      </c>
      <c r="H259">
        <v>0</v>
      </c>
      <c r="I259">
        <v>0</v>
      </c>
    </row>
    <row r="260" spans="1:9" x14ac:dyDescent="0.25">
      <c r="A260" s="113">
        <f t="shared" ref="A260:A323" si="9">DATE(YEAR(A259),MONTH(A259)+2,1)-1</f>
        <v>51317</v>
      </c>
      <c r="B260" s="128">
        <f t="shared" si="8"/>
        <v>2040</v>
      </c>
      <c r="C260">
        <v>1936.5805157470409</v>
      </c>
      <c r="D260">
        <v>1214.2888777962521</v>
      </c>
      <c r="E260">
        <v>0</v>
      </c>
      <c r="F260">
        <v>619.8606258922764</v>
      </c>
      <c r="G260">
        <v>88403.474866722303</v>
      </c>
      <c r="H260">
        <v>0</v>
      </c>
      <c r="I260">
        <v>0</v>
      </c>
    </row>
    <row r="261" spans="1:9" x14ac:dyDescent="0.25">
      <c r="A261" s="113">
        <f t="shared" si="9"/>
        <v>51348</v>
      </c>
      <c r="B261" s="128">
        <f t="shared" si="8"/>
        <v>2040</v>
      </c>
      <c r="C261">
        <v>1643.4714949381193</v>
      </c>
      <c r="D261">
        <v>1148.2582361917639</v>
      </c>
      <c r="E261">
        <v>0</v>
      </c>
      <c r="F261">
        <v>617.50615427364164</v>
      </c>
      <c r="G261">
        <v>88441.787807676388</v>
      </c>
      <c r="H261">
        <v>0</v>
      </c>
      <c r="I261">
        <v>0</v>
      </c>
    </row>
    <row r="262" spans="1:9" x14ac:dyDescent="0.25">
      <c r="A262" s="113">
        <f t="shared" si="9"/>
        <v>51379</v>
      </c>
      <c r="B262" s="128">
        <f t="shared" si="8"/>
        <v>2040</v>
      </c>
      <c r="C262">
        <v>1687.7885276010813</v>
      </c>
      <c r="D262">
        <v>1147.6563477371462</v>
      </c>
      <c r="E262">
        <v>0</v>
      </c>
      <c r="F262">
        <v>615.07819853499518</v>
      </c>
      <c r="G262">
        <v>88527.517230012309</v>
      </c>
      <c r="H262">
        <v>0</v>
      </c>
      <c r="I262">
        <v>0</v>
      </c>
    </row>
    <row r="263" spans="1:9" x14ac:dyDescent="0.25">
      <c r="A263" s="113">
        <f t="shared" si="9"/>
        <v>51409</v>
      </c>
      <c r="B263" s="128">
        <f t="shared" si="8"/>
        <v>2040</v>
      </c>
      <c r="C263">
        <v>1830.7834802035356</v>
      </c>
      <c r="D263">
        <v>1189.8059925229381</v>
      </c>
      <c r="E263">
        <v>0</v>
      </c>
      <c r="F263">
        <v>612.66671133822456</v>
      </c>
      <c r="G263">
        <v>88716.659195148895</v>
      </c>
      <c r="H263">
        <v>0</v>
      </c>
      <c r="I263">
        <v>0</v>
      </c>
    </row>
    <row r="264" spans="1:9" x14ac:dyDescent="0.25">
      <c r="A264" s="113">
        <f t="shared" si="9"/>
        <v>51440</v>
      </c>
      <c r="B264" s="128">
        <f t="shared" si="8"/>
        <v>2040</v>
      </c>
      <c r="C264">
        <v>2011.331883746454</v>
      </c>
      <c r="D264">
        <v>1229.1755140353359</v>
      </c>
      <c r="E264">
        <v>0</v>
      </c>
      <c r="F264">
        <v>610.30782765658046</v>
      </c>
      <c r="G264">
        <v>89049.682547145581</v>
      </c>
      <c r="H264">
        <v>0</v>
      </c>
      <c r="I264">
        <v>0</v>
      </c>
    </row>
    <row r="265" spans="1:9" x14ac:dyDescent="0.25">
      <c r="A265" s="113">
        <f t="shared" si="9"/>
        <v>51470</v>
      </c>
      <c r="B265" s="128">
        <f t="shared" si="8"/>
        <v>2040</v>
      </c>
      <c r="C265">
        <v>1624.4195013732708</v>
      </c>
      <c r="D265">
        <v>1146.2883865306808</v>
      </c>
      <c r="E265">
        <v>0</v>
      </c>
      <c r="F265">
        <v>607.99583978755891</v>
      </c>
      <c r="G265">
        <v>89081.597647885734</v>
      </c>
      <c r="H265">
        <v>0</v>
      </c>
      <c r="I265">
        <v>0</v>
      </c>
    </row>
    <row r="266" spans="1:9" x14ac:dyDescent="0.25">
      <c r="A266" s="113">
        <f t="shared" si="9"/>
        <v>51501</v>
      </c>
      <c r="B266" s="128">
        <f t="shared" si="8"/>
        <v>2040</v>
      </c>
      <c r="C266">
        <v>1827.9468589163082</v>
      </c>
      <c r="D266">
        <v>1194.8759217453858</v>
      </c>
      <c r="E266">
        <v>0</v>
      </c>
      <c r="F266">
        <v>605.55622967820591</v>
      </c>
      <c r="G266">
        <v>89270.950162398047</v>
      </c>
      <c r="H266">
        <v>0</v>
      </c>
      <c r="I266">
        <v>0</v>
      </c>
    </row>
    <row r="267" spans="1:9" x14ac:dyDescent="0.25">
      <c r="A267" s="113">
        <f t="shared" si="9"/>
        <v>51532</v>
      </c>
      <c r="B267" s="128">
        <f t="shared" si="8"/>
        <v>2041</v>
      </c>
      <c r="C267">
        <v>1593.0051708007222</v>
      </c>
      <c r="D267">
        <v>1142.6156357327161</v>
      </c>
      <c r="E267">
        <v>0</v>
      </c>
      <c r="F267">
        <v>602.83491834978474</v>
      </c>
      <c r="G267">
        <v>89279.30824961602</v>
      </c>
      <c r="H267">
        <v>0</v>
      </c>
      <c r="I267">
        <v>0</v>
      </c>
    </row>
    <row r="268" spans="1:9" x14ac:dyDescent="0.25">
      <c r="A268" s="113">
        <f t="shared" si="9"/>
        <v>51560</v>
      </c>
      <c r="B268" s="128">
        <f t="shared" si="8"/>
        <v>2041</v>
      </c>
      <c r="C268">
        <v>1634.8386443865497</v>
      </c>
      <c r="D268">
        <v>1140.165928334638</v>
      </c>
      <c r="E268">
        <v>0</v>
      </c>
      <c r="F268">
        <v>600.37789855506492</v>
      </c>
      <c r="G268">
        <v>89334.421593007966</v>
      </c>
      <c r="H268">
        <v>0</v>
      </c>
      <c r="I268">
        <v>0</v>
      </c>
    </row>
    <row r="269" spans="1:9" x14ac:dyDescent="0.25">
      <c r="A269" s="113">
        <f t="shared" si="9"/>
        <v>51591</v>
      </c>
      <c r="B269" s="128">
        <f t="shared" si="8"/>
        <v>2041</v>
      </c>
      <c r="C269">
        <v>1583.8329167781183</v>
      </c>
      <c r="D269">
        <v>1131.0640506938933</v>
      </c>
      <c r="E269">
        <v>0</v>
      </c>
      <c r="F269">
        <v>597.94541626099908</v>
      </c>
      <c r="G269">
        <v>89350.162844211474</v>
      </c>
      <c r="H269">
        <v>0</v>
      </c>
      <c r="I269">
        <v>0</v>
      </c>
    </row>
    <row r="270" spans="1:9" x14ac:dyDescent="0.25">
      <c r="A270" s="113">
        <f t="shared" si="9"/>
        <v>51621</v>
      </c>
      <c r="B270" s="128">
        <f t="shared" si="8"/>
        <v>2041</v>
      </c>
      <c r="C270">
        <v>1982.9295791994755</v>
      </c>
      <c r="D270">
        <v>1223.4968388546988</v>
      </c>
      <c r="E270">
        <v>0</v>
      </c>
      <c r="F270">
        <v>595.50511167926334</v>
      </c>
      <c r="G270">
        <v>89675.036628921443</v>
      </c>
      <c r="H270">
        <v>0</v>
      </c>
      <c r="I270">
        <v>0</v>
      </c>
    </row>
    <row r="271" spans="1:9" x14ac:dyDescent="0.25">
      <c r="A271" s="113">
        <f t="shared" si="9"/>
        <v>51652</v>
      </c>
      <c r="B271" s="128">
        <f t="shared" si="8"/>
        <v>2041</v>
      </c>
      <c r="C271">
        <v>2182.2883280607625</v>
      </c>
      <c r="D271">
        <v>1287.4383804181907</v>
      </c>
      <c r="E271">
        <v>0</v>
      </c>
      <c r="F271">
        <v>593.16303187291771</v>
      </c>
      <c r="G271">
        <v>90138.254894821279</v>
      </c>
      <c r="H271">
        <v>0</v>
      </c>
      <c r="I271">
        <v>0</v>
      </c>
    </row>
    <row r="272" spans="1:9" x14ac:dyDescent="0.25">
      <c r="A272" s="113">
        <f t="shared" si="9"/>
        <v>51682</v>
      </c>
      <c r="B272" s="128">
        <f t="shared" si="8"/>
        <v>2041</v>
      </c>
      <c r="C272">
        <v>1817.5971309744275</v>
      </c>
      <c r="D272">
        <v>1176.8405091080431</v>
      </c>
      <c r="E272">
        <v>0</v>
      </c>
      <c r="F272">
        <v>590.90794845127959</v>
      </c>
      <c r="G272">
        <v>90350.469311913577</v>
      </c>
      <c r="H272">
        <v>0</v>
      </c>
      <c r="I272">
        <v>0</v>
      </c>
    </row>
    <row r="273" spans="1:9" x14ac:dyDescent="0.25">
      <c r="A273" s="113">
        <f t="shared" si="9"/>
        <v>51713</v>
      </c>
      <c r="B273" s="128">
        <f t="shared" si="8"/>
        <v>2041</v>
      </c>
      <c r="C273">
        <v>1542.9875538118345</v>
      </c>
      <c r="D273">
        <v>1120.6540564275504</v>
      </c>
      <c r="E273">
        <v>0</v>
      </c>
      <c r="F273">
        <v>588.55033634741665</v>
      </c>
      <c r="G273">
        <v>90347.000477763038</v>
      </c>
      <c r="H273">
        <v>0</v>
      </c>
      <c r="I273">
        <v>0</v>
      </c>
    </row>
    <row r="274" spans="1:9" x14ac:dyDescent="0.25">
      <c r="A274" s="113">
        <f t="shared" si="9"/>
        <v>51744</v>
      </c>
      <c r="B274" s="128">
        <f t="shared" si="8"/>
        <v>2041</v>
      </c>
      <c r="C274">
        <v>1582.5640329819792</v>
      </c>
      <c r="D274">
        <v>1113.5651212597293</v>
      </c>
      <c r="E274">
        <v>0</v>
      </c>
      <c r="F274">
        <v>586.12829804769137</v>
      </c>
      <c r="G274">
        <v>90392.612847850498</v>
      </c>
      <c r="H274">
        <v>0</v>
      </c>
      <c r="I274">
        <v>0</v>
      </c>
    </row>
    <row r="275" spans="1:9" x14ac:dyDescent="0.25">
      <c r="A275" s="113">
        <f t="shared" si="9"/>
        <v>51774</v>
      </c>
      <c r="B275" s="128">
        <f t="shared" si="8"/>
        <v>2041</v>
      </c>
      <c r="C275">
        <v>1714.9208689941074</v>
      </c>
      <c r="D275">
        <v>1117.0928985457592</v>
      </c>
      <c r="E275">
        <v>0</v>
      </c>
      <c r="F275">
        <v>583.7303216580143</v>
      </c>
      <c r="G275">
        <v>90569.53441446682</v>
      </c>
      <c r="H275">
        <v>0</v>
      </c>
      <c r="I275">
        <v>0</v>
      </c>
    </row>
    <row r="276" spans="1:9" x14ac:dyDescent="0.25">
      <c r="A276" s="113">
        <f t="shared" si="9"/>
        <v>51805</v>
      </c>
      <c r="B276" s="128">
        <f t="shared" si="8"/>
        <v>2041</v>
      </c>
      <c r="C276">
        <v>1887.8238696522833</v>
      </c>
      <c r="D276">
        <v>1195.1542177926292</v>
      </c>
      <c r="E276">
        <v>0</v>
      </c>
      <c r="F276">
        <v>581.36103498311252</v>
      </c>
      <c r="G276">
        <v>90843.985637408477</v>
      </c>
      <c r="H276">
        <v>0</v>
      </c>
      <c r="I276">
        <v>0</v>
      </c>
    </row>
    <row r="277" spans="1:9" x14ac:dyDescent="0.25">
      <c r="A277" s="113">
        <f t="shared" si="9"/>
        <v>51835</v>
      </c>
      <c r="B277" s="128">
        <f t="shared" si="8"/>
        <v>2041</v>
      </c>
      <c r="C277">
        <v>1523.0233419877334</v>
      </c>
      <c r="D277">
        <v>1128.2067079211754</v>
      </c>
      <c r="E277">
        <v>0</v>
      </c>
      <c r="F277">
        <v>579.04398862857204</v>
      </c>
      <c r="G277">
        <v>90823.395257001626</v>
      </c>
      <c r="H277">
        <v>0</v>
      </c>
      <c r="I277">
        <v>0</v>
      </c>
    </row>
    <row r="278" spans="1:9" x14ac:dyDescent="0.25">
      <c r="A278" s="113">
        <f t="shared" si="9"/>
        <v>51866</v>
      </c>
      <c r="B278" s="128">
        <f t="shared" si="8"/>
        <v>2041</v>
      </c>
      <c r="C278">
        <v>1714.5677751944947</v>
      </c>
      <c r="D278">
        <v>1165.6765066845173</v>
      </c>
      <c r="E278">
        <v>0</v>
      </c>
      <c r="F278">
        <v>576.61103593471898</v>
      </c>
      <c r="G278">
        <v>90959.2753743473</v>
      </c>
      <c r="H278">
        <v>0</v>
      </c>
      <c r="I278">
        <v>0</v>
      </c>
    </row>
    <row r="279" spans="1:9" x14ac:dyDescent="0.25">
      <c r="A279" s="113">
        <f t="shared" si="9"/>
        <v>51897</v>
      </c>
      <c r="B279" s="128">
        <f t="shared" si="8"/>
        <v>2042</v>
      </c>
      <c r="C279">
        <v>1493.8060457101783</v>
      </c>
      <c r="D279">
        <v>1121.8439995023723</v>
      </c>
      <c r="E279">
        <v>0</v>
      </c>
      <c r="F279">
        <v>573.88912689358995</v>
      </c>
      <c r="G279">
        <v>90920.055862829351</v>
      </c>
      <c r="H279">
        <v>0</v>
      </c>
      <c r="I279">
        <v>0</v>
      </c>
    </row>
    <row r="280" spans="1:9" x14ac:dyDescent="0.25">
      <c r="A280" s="113">
        <f t="shared" si="9"/>
        <v>51925</v>
      </c>
      <c r="B280" s="128">
        <f t="shared" si="8"/>
        <v>2042</v>
      </c>
      <c r="C280">
        <v>1530.9866334577889</v>
      </c>
      <c r="D280">
        <v>1113.0458783173149</v>
      </c>
      <c r="E280">
        <v>0</v>
      </c>
      <c r="F280">
        <v>571.4382790658924</v>
      </c>
      <c r="G280">
        <v>90929.195752374522</v>
      </c>
      <c r="H280">
        <v>0</v>
      </c>
      <c r="I280">
        <v>0</v>
      </c>
    </row>
    <row r="281" spans="1:9" x14ac:dyDescent="0.25">
      <c r="A281" s="113">
        <f t="shared" si="9"/>
        <v>51956</v>
      </c>
      <c r="B281" s="128">
        <f t="shared" si="8"/>
        <v>2042</v>
      </c>
      <c r="C281">
        <v>1484.1444327698416</v>
      </c>
      <c r="D281">
        <v>1113.8879229698882</v>
      </c>
      <c r="E281">
        <v>0</v>
      </c>
      <c r="F281">
        <v>569.00697340836621</v>
      </c>
      <c r="G281">
        <v>90893.099051632729</v>
      </c>
      <c r="H281">
        <v>0</v>
      </c>
      <c r="I281">
        <v>0</v>
      </c>
    </row>
    <row r="282" spans="1:9" x14ac:dyDescent="0.25">
      <c r="A282" s="113">
        <f t="shared" si="9"/>
        <v>51986</v>
      </c>
      <c r="B282" s="128">
        <f t="shared" si="8"/>
        <v>2042</v>
      </c>
      <c r="C282">
        <v>1859.8209417799885</v>
      </c>
      <c r="D282">
        <v>1198.6611728205039</v>
      </c>
      <c r="E282">
        <v>0</v>
      </c>
      <c r="F282">
        <v>566.57303420191931</v>
      </c>
      <c r="G282">
        <v>91150.274979630412</v>
      </c>
      <c r="H282">
        <v>0</v>
      </c>
      <c r="I282">
        <v>0</v>
      </c>
    </row>
    <row r="283" spans="1:9" x14ac:dyDescent="0.25">
      <c r="A283" s="113">
        <f t="shared" si="9"/>
        <v>52017</v>
      </c>
      <c r="B283" s="128">
        <f t="shared" si="8"/>
        <v>2042</v>
      </c>
      <c r="C283">
        <v>2042.1541865163285</v>
      </c>
      <c r="D283">
        <v>1261.1428319409067</v>
      </c>
      <c r="E283">
        <v>0</v>
      </c>
      <c r="F283">
        <v>564.22950803563651</v>
      </c>
      <c r="G283">
        <v>91530.106054628544</v>
      </c>
      <c r="H283">
        <v>0</v>
      </c>
      <c r="I283">
        <v>0</v>
      </c>
    </row>
    <row r="284" spans="1:9" x14ac:dyDescent="0.25">
      <c r="A284" s="113">
        <f t="shared" si="9"/>
        <v>52047</v>
      </c>
      <c r="B284" s="128">
        <f t="shared" si="8"/>
        <v>2042</v>
      </c>
      <c r="C284">
        <v>1701.6712574127005</v>
      </c>
      <c r="D284">
        <v>1160.8254851719325</v>
      </c>
      <c r="E284">
        <v>0</v>
      </c>
      <c r="F284">
        <v>561.9670617243944</v>
      </c>
      <c r="G284">
        <v>91672.713433832381</v>
      </c>
      <c r="H284">
        <v>0</v>
      </c>
      <c r="I284">
        <v>0</v>
      </c>
    </row>
    <row r="285" spans="1:9" x14ac:dyDescent="0.25">
      <c r="A285" s="113">
        <f t="shared" si="9"/>
        <v>52078</v>
      </c>
      <c r="B285" s="128">
        <f t="shared" si="8"/>
        <v>2042</v>
      </c>
      <c r="C285">
        <v>1445.0803972427966</v>
      </c>
      <c r="D285">
        <v>1107.6251443437195</v>
      </c>
      <c r="E285">
        <v>0</v>
      </c>
      <c r="F285">
        <v>559.61080439198429</v>
      </c>
      <c r="G285">
        <v>91614.541646507088</v>
      </c>
      <c r="H285">
        <v>0</v>
      </c>
      <c r="I285">
        <v>0</v>
      </c>
    </row>
    <row r="286" spans="1:9" x14ac:dyDescent="0.25">
      <c r="A286" s="113">
        <f t="shared" si="9"/>
        <v>52109</v>
      </c>
      <c r="B286" s="128">
        <f t="shared" si="8"/>
        <v>2042</v>
      </c>
      <c r="C286">
        <v>1480.0968398108764</v>
      </c>
      <c r="D286">
        <v>1100.5005320571668</v>
      </c>
      <c r="E286">
        <v>0</v>
      </c>
      <c r="F286">
        <v>557.19546675202457</v>
      </c>
      <c r="G286">
        <v>91600.822194227803</v>
      </c>
      <c r="H286">
        <v>0</v>
      </c>
      <c r="I286">
        <v>0</v>
      </c>
    </row>
    <row r="287" spans="1:9" x14ac:dyDescent="0.25">
      <c r="A287" s="113">
        <f t="shared" si="9"/>
        <v>52139</v>
      </c>
      <c r="B287" s="128">
        <f t="shared" si="8"/>
        <v>2042</v>
      </c>
      <c r="C287">
        <v>1602.1306148955773</v>
      </c>
      <c r="D287">
        <v>1103.5412718682412</v>
      </c>
      <c r="E287">
        <v>0</v>
      </c>
      <c r="F287">
        <v>554.80319186035274</v>
      </c>
      <c r="G287">
        <v>91708.463510815345</v>
      </c>
      <c r="H287">
        <v>0</v>
      </c>
      <c r="I287">
        <v>0</v>
      </c>
    </row>
    <row r="288" spans="1:9" x14ac:dyDescent="0.25">
      <c r="A288" s="113">
        <f t="shared" si="9"/>
        <v>52170</v>
      </c>
      <c r="B288" s="128">
        <f t="shared" si="8"/>
        <v>2042</v>
      </c>
      <c r="C288">
        <v>1767.5204119256744</v>
      </c>
      <c r="D288">
        <v>1177.4456130754447</v>
      </c>
      <c r="E288">
        <v>0</v>
      </c>
      <c r="F288">
        <v>552.43797390794464</v>
      </c>
      <c r="G288">
        <v>91910.148049512485</v>
      </c>
      <c r="H288">
        <v>0</v>
      </c>
      <c r="I288">
        <v>0</v>
      </c>
    </row>
    <row r="289" spans="1:9" x14ac:dyDescent="0.25">
      <c r="A289" s="113">
        <f t="shared" si="9"/>
        <v>52200</v>
      </c>
      <c r="B289" s="128">
        <f t="shared" si="8"/>
        <v>2042</v>
      </c>
      <c r="C289">
        <v>1424.2785729296147</v>
      </c>
      <c r="D289">
        <v>1108.8180840631053</v>
      </c>
      <c r="E289">
        <v>0</v>
      </c>
      <c r="F289">
        <v>550.12354914335788</v>
      </c>
      <c r="G289">
        <v>91839.893475444973</v>
      </c>
      <c r="H289">
        <v>0</v>
      </c>
      <c r="I289">
        <v>0</v>
      </c>
    </row>
    <row r="290" spans="1:9" x14ac:dyDescent="0.25">
      <c r="A290" s="113">
        <f t="shared" si="9"/>
        <v>52231</v>
      </c>
      <c r="B290" s="128">
        <f t="shared" si="8"/>
        <v>2042</v>
      </c>
      <c r="C290">
        <v>1604.1568282920507</v>
      </c>
      <c r="D290">
        <v>1152.9632042864669</v>
      </c>
      <c r="E290">
        <v>0</v>
      </c>
      <c r="F290">
        <v>547.69495426408378</v>
      </c>
      <c r="G290">
        <v>91907.674960309261</v>
      </c>
      <c r="H290">
        <v>0</v>
      </c>
      <c r="I290">
        <v>0</v>
      </c>
    </row>
    <row r="291" spans="1:9" x14ac:dyDescent="0.25">
      <c r="A291" s="113">
        <f t="shared" si="9"/>
        <v>52262</v>
      </c>
      <c r="B291" s="128">
        <f t="shared" si="8"/>
        <v>2043</v>
      </c>
      <c r="C291">
        <v>1397.2028018441958</v>
      </c>
      <c r="D291">
        <v>1107.4399852029781</v>
      </c>
      <c r="E291">
        <v>0</v>
      </c>
      <c r="F291">
        <v>544.97957423016953</v>
      </c>
      <c r="G291">
        <v>91816.22390142885</v>
      </c>
      <c r="H291">
        <v>0</v>
      </c>
      <c r="I291">
        <v>0</v>
      </c>
    </row>
    <row r="292" spans="1:9" x14ac:dyDescent="0.25">
      <c r="A292" s="113">
        <f t="shared" si="9"/>
        <v>52290</v>
      </c>
      <c r="B292" s="128">
        <f t="shared" si="8"/>
        <v>2043</v>
      </c>
      <c r="C292">
        <v>1429.9153950758202</v>
      </c>
      <c r="D292">
        <v>1098.5500774405839</v>
      </c>
      <c r="E292">
        <v>0</v>
      </c>
      <c r="F292">
        <v>542.53591283800654</v>
      </c>
      <c r="G292">
        <v>91768.656052857346</v>
      </c>
      <c r="H292">
        <v>0</v>
      </c>
      <c r="I292">
        <v>0</v>
      </c>
    </row>
    <row r="293" spans="1:9" x14ac:dyDescent="0.25">
      <c r="A293" s="113">
        <f t="shared" si="9"/>
        <v>52321</v>
      </c>
      <c r="B293" s="128">
        <f t="shared" si="8"/>
        <v>2043</v>
      </c>
      <c r="C293">
        <v>1387.0863004874584</v>
      </c>
      <c r="D293">
        <v>1098.8698837250938</v>
      </c>
      <c r="E293">
        <v>0</v>
      </c>
      <c r="F293">
        <v>540.11144665391316</v>
      </c>
      <c r="G293">
        <v>91680.279010821905</v>
      </c>
      <c r="H293">
        <v>0</v>
      </c>
      <c r="I293">
        <v>0</v>
      </c>
    </row>
    <row r="294" spans="1:9" x14ac:dyDescent="0.25">
      <c r="A294" s="113">
        <f t="shared" si="9"/>
        <v>52351</v>
      </c>
      <c r="B294" s="128">
        <f t="shared" si="8"/>
        <v>2043</v>
      </c>
      <c r="C294">
        <v>1739.9652311438822</v>
      </c>
      <c r="D294">
        <v>1178.4663192018324</v>
      </c>
      <c r="E294">
        <v>0</v>
      </c>
      <c r="F294">
        <v>537.686019601265</v>
      </c>
      <c r="G294">
        <v>91867.452416378583</v>
      </c>
      <c r="H294">
        <v>0</v>
      </c>
      <c r="I294">
        <v>0</v>
      </c>
    </row>
    <row r="295" spans="1:9" x14ac:dyDescent="0.25">
      <c r="A295" s="113">
        <f t="shared" si="9"/>
        <v>52382</v>
      </c>
      <c r="B295" s="128">
        <f t="shared" si="8"/>
        <v>2043</v>
      </c>
      <c r="C295">
        <v>1905.7316617769095</v>
      </c>
      <c r="D295">
        <v>1229.67885142353</v>
      </c>
      <c r="E295">
        <v>0</v>
      </c>
      <c r="F295">
        <v>535.34680539881799</v>
      </c>
      <c r="G295">
        <v>92171.852449498256</v>
      </c>
      <c r="H295">
        <v>0</v>
      </c>
      <c r="I295">
        <v>0</v>
      </c>
    </row>
    <row r="296" spans="1:9" x14ac:dyDescent="0.25">
      <c r="A296" s="113">
        <f t="shared" si="9"/>
        <v>52412</v>
      </c>
      <c r="B296" s="128">
        <f t="shared" si="8"/>
        <v>2043</v>
      </c>
      <c r="C296">
        <v>1588.8538660296192</v>
      </c>
      <c r="D296">
        <v>1141.7853385031872</v>
      </c>
      <c r="E296">
        <v>0</v>
      </c>
      <c r="F296">
        <v>533.07960511983833</v>
      </c>
      <c r="G296">
        <v>92250.077795295816</v>
      </c>
      <c r="H296">
        <v>0</v>
      </c>
      <c r="I296">
        <v>0</v>
      </c>
    </row>
    <row r="297" spans="1:9" x14ac:dyDescent="0.25">
      <c r="A297" s="113">
        <f t="shared" si="9"/>
        <v>52443</v>
      </c>
      <c r="B297" s="128">
        <f t="shared" si="8"/>
        <v>2043</v>
      </c>
      <c r="C297">
        <v>1349.7904366663834</v>
      </c>
      <c r="D297">
        <v>1091.4891718445469</v>
      </c>
      <c r="E297">
        <v>0</v>
      </c>
      <c r="F297">
        <v>530.72779562434027</v>
      </c>
      <c r="G297">
        <v>92142.027073723541</v>
      </c>
      <c r="H297">
        <v>0</v>
      </c>
      <c r="I297">
        <v>0</v>
      </c>
    </row>
    <row r="298" spans="1:9" x14ac:dyDescent="0.25">
      <c r="A298" s="113">
        <f t="shared" si="9"/>
        <v>52474</v>
      </c>
      <c r="B298" s="128">
        <f t="shared" si="8"/>
        <v>2043</v>
      </c>
      <c r="C298">
        <v>1380.436297650235</v>
      </c>
      <c r="D298">
        <v>1084.3239327747526</v>
      </c>
      <c r="E298">
        <v>0</v>
      </c>
      <c r="F298">
        <v>528.32215922784678</v>
      </c>
      <c r="G298">
        <v>92074.000558413507</v>
      </c>
      <c r="H298">
        <v>0</v>
      </c>
      <c r="I298">
        <v>0</v>
      </c>
    </row>
    <row r="299" spans="1:9" x14ac:dyDescent="0.25">
      <c r="A299" s="113">
        <f t="shared" si="9"/>
        <v>52504</v>
      </c>
      <c r="B299" s="128">
        <f t="shared" si="8"/>
        <v>2043</v>
      </c>
      <c r="C299">
        <v>1492.4704474397156</v>
      </c>
      <c r="D299">
        <v>1086.8813702868526</v>
      </c>
      <c r="E299">
        <v>0</v>
      </c>
      <c r="F299">
        <v>525.93867540219333</v>
      </c>
      <c r="G299">
        <v>92117.713026154393</v>
      </c>
      <c r="H299">
        <v>0</v>
      </c>
      <c r="I299">
        <v>0</v>
      </c>
    </row>
    <row r="300" spans="1:9" x14ac:dyDescent="0.25">
      <c r="A300" s="113">
        <f t="shared" si="9"/>
        <v>52535</v>
      </c>
      <c r="B300" s="128">
        <f t="shared" si="8"/>
        <v>2043</v>
      </c>
      <c r="C300">
        <v>1650.4692382395567</v>
      </c>
      <c r="D300">
        <v>1158.6421049270784</v>
      </c>
      <c r="E300">
        <v>0</v>
      </c>
      <c r="F300">
        <v>523.58018431244761</v>
      </c>
      <c r="G300">
        <v>92250.099930209049</v>
      </c>
      <c r="H300">
        <v>0</v>
      </c>
      <c r="I300">
        <v>0</v>
      </c>
    </row>
    <row r="301" spans="1:9" x14ac:dyDescent="0.25">
      <c r="A301" s="113">
        <f t="shared" si="9"/>
        <v>52565</v>
      </c>
      <c r="B301" s="128">
        <f t="shared" si="8"/>
        <v>2043</v>
      </c>
      <c r="C301">
        <v>1328.2334924730751</v>
      </c>
      <c r="D301">
        <v>1086.7864119511851</v>
      </c>
      <c r="E301">
        <v>0</v>
      </c>
      <c r="F301">
        <v>521.27207044530303</v>
      </c>
      <c r="G301">
        <v>92134.650788956962</v>
      </c>
      <c r="H301">
        <v>0</v>
      </c>
      <c r="I301">
        <v>0</v>
      </c>
    </row>
    <row r="302" spans="1:9" x14ac:dyDescent="0.25">
      <c r="A302" s="113">
        <f t="shared" si="9"/>
        <v>52596</v>
      </c>
      <c r="B302" s="128">
        <f t="shared" si="8"/>
        <v>2043</v>
      </c>
      <c r="C302">
        <v>1496.7621955843829</v>
      </c>
      <c r="D302">
        <v>1129.9000675053039</v>
      </c>
      <c r="E302">
        <v>0</v>
      </c>
      <c r="F302">
        <v>518.85314300945276</v>
      </c>
      <c r="G302">
        <v>92146.829909635358</v>
      </c>
      <c r="H302">
        <v>0</v>
      </c>
      <c r="I302">
        <v>0</v>
      </c>
    </row>
    <row r="303" spans="1:9" x14ac:dyDescent="0.25">
      <c r="A303" s="113">
        <f t="shared" si="9"/>
        <v>52627</v>
      </c>
      <c r="B303" s="128">
        <f t="shared" si="8"/>
        <v>2044</v>
      </c>
      <c r="C303">
        <v>1303.241164589424</v>
      </c>
      <c r="D303">
        <v>1089.8604700526125</v>
      </c>
      <c r="E303">
        <v>0</v>
      </c>
      <c r="F303">
        <v>516.14662889737417</v>
      </c>
      <c r="G303">
        <v>92017.903711654377</v>
      </c>
      <c r="H303">
        <v>0</v>
      </c>
      <c r="I303">
        <v>0</v>
      </c>
    </row>
    <row r="304" spans="1:9" x14ac:dyDescent="0.25">
      <c r="A304" s="113">
        <f t="shared" si="9"/>
        <v>52656</v>
      </c>
      <c r="B304" s="128">
        <f t="shared" si="8"/>
        <v>2044</v>
      </c>
      <c r="C304">
        <v>1331.6801459029266</v>
      </c>
      <c r="D304">
        <v>1080.8791446076223</v>
      </c>
      <c r="E304">
        <v>0</v>
      </c>
      <c r="F304">
        <v>513.71498712387836</v>
      </c>
      <c r="G304">
        <v>91928.586236298506</v>
      </c>
      <c r="H304">
        <v>0</v>
      </c>
      <c r="I304">
        <v>0</v>
      </c>
    </row>
    <row r="305" spans="1:9" x14ac:dyDescent="0.25">
      <c r="A305" s="113">
        <f t="shared" si="9"/>
        <v>52687</v>
      </c>
      <c r="B305" s="128">
        <f t="shared" si="8"/>
        <v>2044</v>
      </c>
      <c r="C305">
        <v>1292.7100584037266</v>
      </c>
      <c r="D305">
        <v>1080.6785243694201</v>
      </c>
      <c r="E305">
        <v>0</v>
      </c>
      <c r="F305">
        <v>511.30226458800149</v>
      </c>
      <c r="G305">
        <v>91802.743514204092</v>
      </c>
      <c r="H305">
        <v>0</v>
      </c>
      <c r="I305">
        <v>0</v>
      </c>
    </row>
    <row r="306" spans="1:9" x14ac:dyDescent="0.25">
      <c r="A306" s="113">
        <f t="shared" si="9"/>
        <v>52717</v>
      </c>
      <c r="B306" s="128">
        <f t="shared" si="8"/>
        <v>2044</v>
      </c>
      <c r="C306">
        <v>1623.4119371243871</v>
      </c>
      <c r="D306">
        <v>1156.7426133094125</v>
      </c>
      <c r="E306">
        <v>0</v>
      </c>
      <c r="F306">
        <v>508.889831339919</v>
      </c>
      <c r="G306">
        <v>91933.71360636763</v>
      </c>
      <c r="H306">
        <v>0</v>
      </c>
      <c r="I306">
        <v>0</v>
      </c>
    </row>
    <row r="307" spans="1:9" x14ac:dyDescent="0.25">
      <c r="A307" s="113">
        <f t="shared" si="9"/>
        <v>52748</v>
      </c>
      <c r="B307" s="128">
        <f t="shared" si="8"/>
        <v>2044</v>
      </c>
      <c r="C307">
        <v>1773.1082793724488</v>
      </c>
      <c r="D307">
        <v>1150.9341002480705</v>
      </c>
      <c r="E307">
        <v>0</v>
      </c>
      <c r="F307">
        <v>506.5726493166091</v>
      </c>
      <c r="G307">
        <v>92222.752817682136</v>
      </c>
      <c r="H307">
        <v>0</v>
      </c>
      <c r="I307">
        <v>0</v>
      </c>
    </row>
    <row r="308" spans="1:9" x14ac:dyDescent="0.25">
      <c r="A308" s="113">
        <f t="shared" si="9"/>
        <v>52778</v>
      </c>
      <c r="B308" s="128">
        <f t="shared" si="8"/>
        <v>2044</v>
      </c>
      <c r="C308">
        <v>1479.2096818163193</v>
      </c>
      <c r="D308">
        <v>1121.1625517317555</v>
      </c>
      <c r="E308">
        <v>0</v>
      </c>
      <c r="F308">
        <v>504.29352336160355</v>
      </c>
      <c r="G308">
        <v>92250.489393257565</v>
      </c>
      <c r="H308">
        <v>0</v>
      </c>
      <c r="I308">
        <v>0</v>
      </c>
    </row>
    <row r="309" spans="1:9" x14ac:dyDescent="0.25">
      <c r="A309" s="113">
        <f t="shared" si="9"/>
        <v>52809</v>
      </c>
      <c r="B309" s="128">
        <f t="shared" si="8"/>
        <v>2044</v>
      </c>
      <c r="C309">
        <v>1257.1701549807915</v>
      </c>
      <c r="D309">
        <v>1073.6776602142218</v>
      </c>
      <c r="E309">
        <v>0</v>
      </c>
      <c r="F309">
        <v>501.95139034610071</v>
      </c>
      <c r="G309">
        <v>92106.06579300767</v>
      </c>
      <c r="H309">
        <v>0</v>
      </c>
      <c r="I309">
        <v>0</v>
      </c>
    </row>
    <row r="310" spans="1:9" x14ac:dyDescent="0.25">
      <c r="A310" s="113">
        <f t="shared" si="9"/>
        <v>52840</v>
      </c>
      <c r="B310" s="128">
        <f t="shared" si="8"/>
        <v>2044</v>
      </c>
      <c r="C310">
        <v>1283.6445742840865</v>
      </c>
      <c r="D310">
        <v>1066.4587555230194</v>
      </c>
      <c r="E310">
        <v>0</v>
      </c>
      <c r="F310">
        <v>499.56058669951318</v>
      </c>
      <c r="G310">
        <v>91997.453857845147</v>
      </c>
      <c r="H310">
        <v>0</v>
      </c>
      <c r="I310">
        <v>0</v>
      </c>
    </row>
    <row r="311" spans="1:9" x14ac:dyDescent="0.25">
      <c r="A311" s="113">
        <f t="shared" si="9"/>
        <v>52870</v>
      </c>
      <c r="B311" s="128">
        <f t="shared" si="8"/>
        <v>2044</v>
      </c>
      <c r="C311">
        <v>1386.0107489778393</v>
      </c>
      <c r="D311">
        <v>1068.5265497132984</v>
      </c>
      <c r="E311">
        <v>0</v>
      </c>
      <c r="F311">
        <v>497.19111463833457</v>
      </c>
      <c r="G311">
        <v>91991.304873242523</v>
      </c>
      <c r="H311">
        <v>0</v>
      </c>
      <c r="I311">
        <v>0</v>
      </c>
    </row>
    <row r="312" spans="1:9" x14ac:dyDescent="0.25">
      <c r="A312" s="113">
        <f t="shared" si="9"/>
        <v>52901</v>
      </c>
      <c r="B312" s="128">
        <f t="shared" si="8"/>
        <v>2044</v>
      </c>
      <c r="C312">
        <v>1536.7348778183821</v>
      </c>
      <c r="D312">
        <v>1132.0368832030656</v>
      </c>
      <c r="E312">
        <v>0</v>
      </c>
      <c r="F312">
        <v>494.84636795757439</v>
      </c>
      <c r="G312">
        <v>92074.702830295661</v>
      </c>
      <c r="H312">
        <v>0</v>
      </c>
      <c r="I312">
        <v>0</v>
      </c>
    </row>
    <row r="313" spans="1:9" x14ac:dyDescent="0.25">
      <c r="A313" s="113">
        <f t="shared" si="9"/>
        <v>52931</v>
      </c>
      <c r="B313" s="128">
        <f t="shared" si="8"/>
        <v>2044</v>
      </c>
      <c r="C313">
        <v>1234.9489137239293</v>
      </c>
      <c r="D313">
        <v>1061.8610007331338</v>
      </c>
      <c r="E313">
        <v>0</v>
      </c>
      <c r="F313">
        <v>492.54862171850942</v>
      </c>
      <c r="G313">
        <v>91928.945786500699</v>
      </c>
      <c r="H313">
        <v>0</v>
      </c>
      <c r="I313">
        <v>0</v>
      </c>
    </row>
    <row r="314" spans="1:9" x14ac:dyDescent="0.25">
      <c r="A314" s="113">
        <f t="shared" si="9"/>
        <v>52962</v>
      </c>
      <c r="B314" s="128">
        <f t="shared" si="8"/>
        <v>2044</v>
      </c>
      <c r="C314">
        <v>1392.4485179182695</v>
      </c>
      <c r="D314">
        <v>1097.9150615696005</v>
      </c>
      <c r="E314">
        <v>0</v>
      </c>
      <c r="F314">
        <v>490.14633949889321</v>
      </c>
      <c r="G314">
        <v>91906.761590119786</v>
      </c>
      <c r="H314">
        <v>0</v>
      </c>
      <c r="I314">
        <v>0</v>
      </c>
    </row>
    <row r="315" spans="1:9" x14ac:dyDescent="0.25">
      <c r="A315" s="113">
        <f t="shared" si="9"/>
        <v>52993</v>
      </c>
      <c r="B315" s="128">
        <f t="shared" si="8"/>
        <v>2045</v>
      </c>
      <c r="C315">
        <v>1211.980022879701</v>
      </c>
      <c r="D315">
        <v>1059.7722673321284</v>
      </c>
      <c r="E315">
        <v>0</v>
      </c>
      <c r="F315">
        <v>487.4373946915876</v>
      </c>
      <c r="G315">
        <v>91787.935607929263</v>
      </c>
      <c r="H315">
        <v>0</v>
      </c>
      <c r="I315">
        <v>0</v>
      </c>
    </row>
    <row r="316" spans="1:9" x14ac:dyDescent="0.25">
      <c r="A316" s="113">
        <f t="shared" si="9"/>
        <v>53021</v>
      </c>
      <c r="B316" s="128">
        <f t="shared" si="8"/>
        <v>2045</v>
      </c>
      <c r="C316">
        <v>1236.3496637276196</v>
      </c>
      <c r="D316">
        <v>1050.7648475577157</v>
      </c>
      <c r="E316">
        <v>0</v>
      </c>
      <c r="F316">
        <v>485.02663908302242</v>
      </c>
      <c r="G316">
        <v>91704.617654317146</v>
      </c>
      <c r="H316">
        <v>0</v>
      </c>
      <c r="I316">
        <v>0</v>
      </c>
    </row>
    <row r="317" spans="1:9" x14ac:dyDescent="0.25">
      <c r="A317" s="113">
        <f t="shared" si="9"/>
        <v>53052</v>
      </c>
      <c r="B317" s="128">
        <f t="shared" si="8"/>
        <v>2045</v>
      </c>
      <c r="C317">
        <v>1201.0795520688137</v>
      </c>
      <c r="D317">
        <v>1050.1080719190975</v>
      </c>
      <c r="E317">
        <v>0</v>
      </c>
      <c r="F317">
        <v>482.63460049463282</v>
      </c>
      <c r="G317">
        <v>91588.882222823115</v>
      </c>
      <c r="H317">
        <v>0</v>
      </c>
      <c r="I317">
        <v>0</v>
      </c>
    </row>
    <row r="318" spans="1:9" x14ac:dyDescent="0.25">
      <c r="A318" s="113">
        <f t="shared" si="9"/>
        <v>53082</v>
      </c>
      <c r="B318" s="128">
        <f t="shared" si="8"/>
        <v>2045</v>
      </c>
      <c r="C318">
        <v>1510.2281660860347</v>
      </c>
      <c r="D318">
        <v>1102.9923083077554</v>
      </c>
      <c r="E318">
        <v>0</v>
      </c>
      <c r="F318">
        <v>480.24952985843686</v>
      </c>
      <c r="G318">
        <v>91731.523728951695</v>
      </c>
      <c r="H318">
        <v>0</v>
      </c>
      <c r="I318">
        <v>0</v>
      </c>
    </row>
    <row r="319" spans="1:9" x14ac:dyDescent="0.25">
      <c r="A319" s="113">
        <f t="shared" si="9"/>
        <v>53113</v>
      </c>
      <c r="B319" s="128">
        <f t="shared" si="8"/>
        <v>2045</v>
      </c>
      <c r="C319">
        <v>1644.3824614014206</v>
      </c>
      <c r="D319">
        <v>1118.0629330077245</v>
      </c>
      <c r="E319">
        <v>0</v>
      </c>
      <c r="F319">
        <v>477.94231304739344</v>
      </c>
      <c r="G319">
        <v>91995.891986191142</v>
      </c>
      <c r="H319">
        <v>0</v>
      </c>
      <c r="I319">
        <v>0</v>
      </c>
    </row>
    <row r="320" spans="1:9" x14ac:dyDescent="0.25">
      <c r="A320" s="113">
        <f t="shared" si="9"/>
        <v>53143</v>
      </c>
      <c r="B320" s="128">
        <f t="shared" si="8"/>
        <v>2045</v>
      </c>
      <c r="C320">
        <v>1372.8178394257491</v>
      </c>
      <c r="D320">
        <v>1072.4524663442885</v>
      </c>
      <c r="E320">
        <v>0</v>
      </c>
      <c r="F320">
        <v>475.68092535947051</v>
      </c>
      <c r="G320">
        <v>92037.189957293536</v>
      </c>
      <c r="H320">
        <v>0</v>
      </c>
      <c r="I320">
        <v>0</v>
      </c>
    </row>
    <row r="321" spans="1:9" x14ac:dyDescent="0.25">
      <c r="A321" s="113">
        <f t="shared" si="9"/>
        <v>53174</v>
      </c>
      <c r="B321" s="128">
        <f t="shared" si="8"/>
        <v>2045</v>
      </c>
      <c r="C321">
        <v>1167.2845057594714</v>
      </c>
      <c r="D321">
        <v>1045.5338775955329</v>
      </c>
      <c r="E321">
        <v>0</v>
      </c>
      <c r="F321">
        <v>473.3529360757463</v>
      </c>
      <c r="G321">
        <v>91902.298412963049</v>
      </c>
      <c r="H321">
        <v>0</v>
      </c>
      <c r="I321">
        <v>0</v>
      </c>
    </row>
    <row r="322" spans="1:9" x14ac:dyDescent="0.25">
      <c r="A322" s="113">
        <f t="shared" si="9"/>
        <v>53205</v>
      </c>
      <c r="B322" s="128">
        <f t="shared" si="8"/>
        <v>2045</v>
      </c>
      <c r="C322">
        <v>1189.7967965510331</v>
      </c>
      <c r="D322">
        <v>1038.309245083922</v>
      </c>
      <c r="E322">
        <v>0</v>
      </c>
      <c r="F322">
        <v>470.98619255363576</v>
      </c>
      <c r="G322">
        <v>91799.19291983344</v>
      </c>
      <c r="H322">
        <v>0</v>
      </c>
      <c r="I322">
        <v>0</v>
      </c>
    </row>
    <row r="323" spans="1:9" x14ac:dyDescent="0.25">
      <c r="A323" s="113">
        <f t="shared" si="9"/>
        <v>53235</v>
      </c>
      <c r="B323" s="128">
        <f t="shared" ref="B323:B386" si="10">YEAR(A323)</f>
        <v>2045</v>
      </c>
      <c r="C323">
        <v>1282.8348803503093</v>
      </c>
      <c r="D323">
        <v>1035.7972971840295</v>
      </c>
      <c r="E323">
        <v>0</v>
      </c>
      <c r="F323">
        <v>468.6411847452743</v>
      </c>
      <c r="G323">
        <v>91793.739694021482</v>
      </c>
      <c r="H323">
        <v>0</v>
      </c>
      <c r="I323">
        <v>0</v>
      </c>
    </row>
    <row r="324" spans="1:9" x14ac:dyDescent="0.25">
      <c r="A324" s="113">
        <f t="shared" ref="A324:A387" si="11">DATE(YEAR(A323),MONTH(A323)+2,1)-1</f>
        <v>53266</v>
      </c>
      <c r="B324" s="128">
        <f t="shared" si="10"/>
        <v>2045</v>
      </c>
      <c r="C324">
        <v>1426.3974686680378</v>
      </c>
      <c r="D324">
        <v>1080.0501007110672</v>
      </c>
      <c r="E324">
        <v>0</v>
      </c>
      <c r="F324">
        <v>466.32266890892646</v>
      </c>
      <c r="G324">
        <v>91889.901928671388</v>
      </c>
      <c r="H324">
        <v>0</v>
      </c>
      <c r="I324">
        <v>0</v>
      </c>
    </row>
    <row r="325" spans="1:9" x14ac:dyDescent="0.25">
      <c r="A325" s="113">
        <f t="shared" si="11"/>
        <v>53296</v>
      </c>
      <c r="B325" s="128">
        <f t="shared" si="10"/>
        <v>2045</v>
      </c>
      <c r="C325">
        <v>1144.4969114936771</v>
      </c>
      <c r="D325">
        <v>1028.4702202788799</v>
      </c>
      <c r="E325">
        <v>0</v>
      </c>
      <c r="F325">
        <v>464.0401975577297</v>
      </c>
      <c r="G325">
        <v>91758.252381523867</v>
      </c>
      <c r="H325">
        <v>0</v>
      </c>
      <c r="I325">
        <v>0</v>
      </c>
    </row>
    <row r="326" spans="1:9" x14ac:dyDescent="0.25">
      <c r="A326" s="113">
        <f t="shared" si="11"/>
        <v>53327</v>
      </c>
      <c r="B326" s="128">
        <f t="shared" si="10"/>
        <v>2045</v>
      </c>
      <c r="C326">
        <v>1291.2953809987825</v>
      </c>
      <c r="D326">
        <v>1067.8616663417736</v>
      </c>
      <c r="E326">
        <v>0</v>
      </c>
      <c r="F326">
        <v>461.66117376818875</v>
      </c>
      <c r="G326">
        <v>91736.078899589978</v>
      </c>
      <c r="H326">
        <v>0</v>
      </c>
      <c r="I326">
        <v>0</v>
      </c>
    </row>
    <row r="327" spans="1:9" x14ac:dyDescent="0.25">
      <c r="A327" s="113">
        <f t="shared" si="11"/>
        <v>53358</v>
      </c>
      <c r="B327" s="128">
        <f t="shared" si="10"/>
        <v>2046</v>
      </c>
      <c r="C327">
        <v>1123.4901007549017</v>
      </c>
      <c r="D327">
        <v>1035.5689879928982</v>
      </c>
      <c r="E327">
        <v>0</v>
      </c>
      <c r="F327">
        <v>458.89802463554042</v>
      </c>
      <c r="G327">
        <v>91581.103755214106</v>
      </c>
      <c r="H327">
        <v>0</v>
      </c>
      <c r="I327">
        <v>0</v>
      </c>
    </row>
    <row r="328" spans="1:9" x14ac:dyDescent="0.25">
      <c r="A328" s="113">
        <f t="shared" si="11"/>
        <v>53386</v>
      </c>
      <c r="B328" s="128">
        <f t="shared" si="10"/>
        <v>2046</v>
      </c>
      <c r="C328">
        <v>1144.0051618034095</v>
      </c>
      <c r="D328">
        <v>1026.4782570918528</v>
      </c>
      <c r="E328">
        <v>0</v>
      </c>
      <c r="F328">
        <v>456.50574215647555</v>
      </c>
      <c r="G328">
        <v>91457.761780798493</v>
      </c>
      <c r="H328">
        <v>0</v>
      </c>
      <c r="I328">
        <v>0</v>
      </c>
    </row>
    <row r="329" spans="1:9" x14ac:dyDescent="0.25">
      <c r="A329" s="113">
        <f t="shared" si="11"/>
        <v>53417</v>
      </c>
      <c r="B329" s="128">
        <f t="shared" si="10"/>
        <v>2046</v>
      </c>
      <c r="C329">
        <v>1112.2696449238072</v>
      </c>
      <c r="D329">
        <v>1021.3322112835436</v>
      </c>
      <c r="E329">
        <v>0</v>
      </c>
      <c r="F329">
        <v>454.13312821350297</v>
      </c>
      <c r="G329">
        <v>91309.912528246758</v>
      </c>
      <c r="H329">
        <v>0</v>
      </c>
      <c r="I329">
        <v>0</v>
      </c>
    </row>
    <row r="330" spans="1:9" x14ac:dyDescent="0.25">
      <c r="A330" s="113">
        <f t="shared" si="11"/>
        <v>53447</v>
      </c>
      <c r="B330" s="128">
        <f t="shared" si="10"/>
        <v>2046</v>
      </c>
      <c r="C330">
        <v>1400.4973151742142</v>
      </c>
      <c r="D330">
        <v>1073.5964319539139</v>
      </c>
      <c r="E330">
        <v>0</v>
      </c>
      <c r="F330">
        <v>451.7669061793294</v>
      </c>
      <c r="G330">
        <v>91400.04482146549</v>
      </c>
      <c r="H330">
        <v>0</v>
      </c>
      <c r="I330">
        <v>0</v>
      </c>
    </row>
    <row r="331" spans="1:9" x14ac:dyDescent="0.25">
      <c r="A331" s="113">
        <f t="shared" si="11"/>
        <v>53478</v>
      </c>
      <c r="B331" s="128">
        <f t="shared" si="10"/>
        <v>2046</v>
      </c>
      <c r="C331">
        <v>1519.6624355163817</v>
      </c>
      <c r="D331">
        <v>1030.8380392946683</v>
      </c>
      <c r="E331">
        <v>0</v>
      </c>
      <c r="F331">
        <v>449.48908578386164</v>
      </c>
      <c r="G331">
        <v>91654.590673574858</v>
      </c>
      <c r="H331">
        <v>0</v>
      </c>
      <c r="I331">
        <v>0</v>
      </c>
    </row>
    <row r="332" spans="1:9" x14ac:dyDescent="0.25">
      <c r="A332" s="113">
        <f t="shared" si="11"/>
        <v>53508</v>
      </c>
      <c r="B332" s="128">
        <f t="shared" si="10"/>
        <v>2046</v>
      </c>
      <c r="C332">
        <v>1269.770627697583</v>
      </c>
      <c r="D332">
        <v>1039.9405909105215</v>
      </c>
      <c r="E332">
        <v>0</v>
      </c>
      <c r="F332">
        <v>447.22409473038863</v>
      </c>
      <c r="G332">
        <v>91653.006510955645</v>
      </c>
      <c r="H332">
        <v>0</v>
      </c>
      <c r="I332">
        <v>0</v>
      </c>
    </row>
    <row r="333" spans="1:9" x14ac:dyDescent="0.25">
      <c r="A333" s="113">
        <f t="shared" si="11"/>
        <v>53539</v>
      </c>
      <c r="B333" s="128">
        <f t="shared" si="10"/>
        <v>2046</v>
      </c>
      <c r="C333">
        <v>1080.209760772939</v>
      </c>
      <c r="D333">
        <v>1018.1688854697552</v>
      </c>
      <c r="E333">
        <v>0</v>
      </c>
      <c r="F333">
        <v>444.9122499311639</v>
      </c>
      <c r="G333">
        <v>91485.941301582643</v>
      </c>
      <c r="H333">
        <v>0</v>
      </c>
      <c r="I333">
        <v>0</v>
      </c>
    </row>
    <row r="334" spans="1:9" x14ac:dyDescent="0.25">
      <c r="A334" s="113">
        <f t="shared" si="11"/>
        <v>53570</v>
      </c>
      <c r="B334" s="128">
        <f t="shared" si="10"/>
        <v>2046</v>
      </c>
      <c r="C334">
        <v>1098.9800587851248</v>
      </c>
      <c r="D334">
        <v>1010.914468303634</v>
      </c>
      <c r="E334">
        <v>0</v>
      </c>
      <c r="F334">
        <v>442.56726317744938</v>
      </c>
      <c r="G334">
        <v>91346.85242240662</v>
      </c>
      <c r="H334">
        <v>0</v>
      </c>
      <c r="I334">
        <v>0</v>
      </c>
    </row>
    <row r="335" spans="1:9" x14ac:dyDescent="0.25">
      <c r="A335" s="113">
        <f t="shared" si="11"/>
        <v>53600</v>
      </c>
      <c r="B335" s="128">
        <f t="shared" si="10"/>
        <v>2046</v>
      </c>
      <c r="C335">
        <v>1183.0390115541056</v>
      </c>
      <c r="D335">
        <v>1002.6179477404892</v>
      </c>
      <c r="E335">
        <v>0</v>
      </c>
      <c r="F335">
        <v>440.24482185500216</v>
      </c>
      <c r="G335">
        <v>91302.113959216178</v>
      </c>
      <c r="H335">
        <v>0</v>
      </c>
      <c r="I335">
        <v>0</v>
      </c>
    </row>
    <row r="336" spans="1:9" x14ac:dyDescent="0.25">
      <c r="A336" s="113">
        <f t="shared" si="11"/>
        <v>53631</v>
      </c>
      <c r="B336" s="128">
        <f t="shared" si="10"/>
        <v>2046</v>
      </c>
      <c r="C336">
        <v>1319.5514606603795</v>
      </c>
      <c r="D336">
        <v>1051.0561203550049</v>
      </c>
      <c r="E336">
        <v>0</v>
      </c>
      <c r="F336">
        <v>437.94399716248392</v>
      </c>
      <c r="G336">
        <v>91347.645256026517</v>
      </c>
      <c r="H336">
        <v>0</v>
      </c>
      <c r="I336">
        <v>0</v>
      </c>
    </row>
    <row r="337" spans="1:9" x14ac:dyDescent="0.25">
      <c r="A337" s="113">
        <f t="shared" si="11"/>
        <v>53661</v>
      </c>
      <c r="B337" s="128">
        <f t="shared" si="10"/>
        <v>2046</v>
      </c>
      <c r="C337">
        <v>1056.9600000331807</v>
      </c>
      <c r="D337">
        <v>1006.870055528777</v>
      </c>
      <c r="E337">
        <v>0</v>
      </c>
      <c r="F337">
        <v>435.67774570193171</v>
      </c>
      <c r="G337">
        <v>91177.144616485937</v>
      </c>
      <c r="H337">
        <v>0</v>
      </c>
      <c r="I337">
        <v>0</v>
      </c>
    </row>
    <row r="338" spans="1:9" x14ac:dyDescent="0.25">
      <c r="A338" s="113">
        <f t="shared" si="11"/>
        <v>53692</v>
      </c>
      <c r="B338" s="128">
        <f t="shared" si="10"/>
        <v>2046</v>
      </c>
      <c r="C338">
        <v>1193.3960364150785</v>
      </c>
      <c r="D338">
        <v>1048.0508600244345</v>
      </c>
      <c r="E338">
        <v>0</v>
      </c>
      <c r="F338">
        <v>433.32020331309974</v>
      </c>
      <c r="G338">
        <v>91103.855290421765</v>
      </c>
      <c r="H338">
        <v>0</v>
      </c>
      <c r="I338">
        <v>0</v>
      </c>
    </row>
    <row r="339" spans="1:9" x14ac:dyDescent="0.25">
      <c r="A339" s="113">
        <f t="shared" si="11"/>
        <v>53723</v>
      </c>
      <c r="B339" s="128">
        <f t="shared" si="10"/>
        <v>2047</v>
      </c>
      <c r="C339">
        <v>1037.8529436849274</v>
      </c>
      <c r="D339">
        <v>1011.6166698339659</v>
      </c>
      <c r="E339">
        <v>0</v>
      </c>
      <c r="F339">
        <v>430.58786210435784</v>
      </c>
      <c r="G339">
        <v>90913.957650965269</v>
      </c>
      <c r="H339">
        <v>0</v>
      </c>
      <c r="I339">
        <v>0</v>
      </c>
    </row>
    <row r="340" spans="1:9" x14ac:dyDescent="0.25">
      <c r="A340" s="113">
        <f t="shared" si="11"/>
        <v>53751</v>
      </c>
      <c r="B340" s="128">
        <f t="shared" si="10"/>
        <v>2047</v>
      </c>
      <c r="C340">
        <v>1054.7393867838769</v>
      </c>
      <c r="D340">
        <v>1007.8854617888099</v>
      </c>
      <c r="E340">
        <v>0</v>
      </c>
      <c r="F340">
        <v>428.2174231417381</v>
      </c>
      <c r="G340">
        <v>90746.60109200739</v>
      </c>
      <c r="H340">
        <v>0</v>
      </c>
      <c r="I340">
        <v>0</v>
      </c>
    </row>
    <row r="341" spans="1:9" x14ac:dyDescent="0.25">
      <c r="A341" s="113">
        <f t="shared" si="11"/>
        <v>53782</v>
      </c>
      <c r="B341" s="128">
        <f t="shared" si="10"/>
        <v>2047</v>
      </c>
      <c r="C341">
        <v>1026.3653003590568</v>
      </c>
      <c r="D341">
        <v>997.06190173060907</v>
      </c>
      <c r="E341">
        <v>0</v>
      </c>
      <c r="F341">
        <v>425.86948661469904</v>
      </c>
      <c r="G341">
        <v>90563.64799418542</v>
      </c>
      <c r="H341">
        <v>0</v>
      </c>
      <c r="I341">
        <v>0</v>
      </c>
    </row>
    <row r="342" spans="1:9" x14ac:dyDescent="0.25">
      <c r="A342" s="113">
        <f t="shared" si="11"/>
        <v>53812</v>
      </c>
      <c r="B342" s="128">
        <f t="shared" si="10"/>
        <v>2047</v>
      </c>
      <c r="C342">
        <v>1294.317937559985</v>
      </c>
      <c r="D342">
        <v>1050.3931602717712</v>
      </c>
      <c r="E342">
        <v>0</v>
      </c>
      <c r="F342">
        <v>423.52660587770697</v>
      </c>
      <c r="G342">
        <v>90597.228493258022</v>
      </c>
      <c r="H342">
        <v>0</v>
      </c>
      <c r="I342">
        <v>0</v>
      </c>
    </row>
    <row r="343" spans="1:9" x14ac:dyDescent="0.25">
      <c r="A343" s="113">
        <f t="shared" si="11"/>
        <v>53843</v>
      </c>
      <c r="B343" s="128">
        <f t="shared" si="10"/>
        <v>2047</v>
      </c>
      <c r="C343">
        <v>1399.0663914111988</v>
      </c>
      <c r="D343">
        <v>1004.240468163123</v>
      </c>
      <c r="E343">
        <v>0</v>
      </c>
      <c r="F343">
        <v>421.26848074282503</v>
      </c>
      <c r="G343">
        <v>90784.047310251743</v>
      </c>
      <c r="H343">
        <v>0</v>
      </c>
      <c r="I343">
        <v>0</v>
      </c>
    </row>
    <row r="344" spans="1:9" x14ac:dyDescent="0.25">
      <c r="A344" s="113">
        <f t="shared" si="11"/>
        <v>53873</v>
      </c>
      <c r="B344" s="128">
        <f t="shared" si="10"/>
        <v>2047</v>
      </c>
      <c r="C344">
        <v>1170.1725205773921</v>
      </c>
      <c r="D344">
        <v>1017.6848909503993</v>
      </c>
      <c r="E344">
        <v>0</v>
      </c>
      <c r="F344">
        <v>419.01899644519472</v>
      </c>
      <c r="G344">
        <v>90731.217080135044</v>
      </c>
      <c r="H344">
        <v>0</v>
      </c>
      <c r="I344">
        <v>0</v>
      </c>
    </row>
    <row r="345" spans="1:9" x14ac:dyDescent="0.25">
      <c r="A345" s="113">
        <f t="shared" si="11"/>
        <v>53904</v>
      </c>
      <c r="B345" s="128">
        <f t="shared" si="10"/>
        <v>2047</v>
      </c>
      <c r="C345">
        <v>996.03259072827052</v>
      </c>
      <c r="D345">
        <v>991.47120380479748</v>
      </c>
      <c r="E345">
        <v>0</v>
      </c>
      <c r="F345">
        <v>416.73113223450497</v>
      </c>
      <c r="G345">
        <v>90532.624111788595</v>
      </c>
      <c r="H345">
        <v>0</v>
      </c>
      <c r="I345">
        <v>0</v>
      </c>
    </row>
    <row r="346" spans="1:9" x14ac:dyDescent="0.25">
      <c r="A346" s="113">
        <f t="shared" si="11"/>
        <v>53935</v>
      </c>
      <c r="B346" s="128">
        <f t="shared" si="10"/>
        <v>2047</v>
      </c>
      <c r="C346">
        <v>1011.2925582098854</v>
      </c>
      <c r="D346">
        <v>986.14434156024879</v>
      </c>
      <c r="E346">
        <v>0</v>
      </c>
      <c r="F346">
        <v>414.41248054109764</v>
      </c>
      <c r="G346">
        <v>90356.469146881544</v>
      </c>
      <c r="H346">
        <v>0</v>
      </c>
      <c r="I346">
        <v>0</v>
      </c>
    </row>
    <row r="347" spans="1:9" x14ac:dyDescent="0.25">
      <c r="A347" s="113">
        <f t="shared" si="11"/>
        <v>53965</v>
      </c>
      <c r="B347" s="128">
        <f t="shared" si="10"/>
        <v>2047</v>
      </c>
      <c r="C347">
        <v>1086.7321201518773</v>
      </c>
      <c r="D347">
        <v>978.12169600627533</v>
      </c>
      <c r="E347">
        <v>0</v>
      </c>
      <c r="F347">
        <v>412.11614451707032</v>
      </c>
      <c r="G347">
        <v>90265.658065459473</v>
      </c>
      <c r="H347">
        <v>0</v>
      </c>
      <c r="I347">
        <v>0</v>
      </c>
    </row>
    <row r="348" spans="1:9" x14ac:dyDescent="0.25">
      <c r="A348" s="113">
        <f t="shared" si="11"/>
        <v>53996</v>
      </c>
      <c r="B348" s="128">
        <f t="shared" si="10"/>
        <v>2047</v>
      </c>
      <c r="C348">
        <v>1216.3045024762453</v>
      </c>
      <c r="D348">
        <v>1019.4099576926665</v>
      </c>
      <c r="E348">
        <v>0</v>
      </c>
      <c r="F348">
        <v>409.84144152148872</v>
      </c>
      <c r="G348">
        <v>90265.192042897295</v>
      </c>
      <c r="H348">
        <v>0</v>
      </c>
      <c r="I348">
        <v>0</v>
      </c>
    </row>
    <row r="349" spans="1:9" x14ac:dyDescent="0.25">
      <c r="A349" s="113">
        <f t="shared" si="11"/>
        <v>54026</v>
      </c>
      <c r="B349" s="128">
        <f t="shared" si="10"/>
        <v>2047</v>
      </c>
      <c r="C349">
        <v>972.4305595263188</v>
      </c>
      <c r="D349">
        <v>980.46638314511233</v>
      </c>
      <c r="E349">
        <v>0</v>
      </c>
      <c r="F349">
        <v>407.59737566356353</v>
      </c>
      <c r="G349">
        <v>90062.038620796695</v>
      </c>
      <c r="H349">
        <v>0</v>
      </c>
      <c r="I349">
        <v>0</v>
      </c>
    </row>
    <row r="350" spans="1:9" x14ac:dyDescent="0.25">
      <c r="A350" s="113">
        <f t="shared" si="11"/>
        <v>54057</v>
      </c>
      <c r="B350" s="128">
        <f t="shared" si="10"/>
        <v>2047</v>
      </c>
      <c r="C350">
        <v>1098.8561743208595</v>
      </c>
      <c r="D350">
        <v>1016.6001432873779</v>
      </c>
      <c r="E350">
        <v>0</v>
      </c>
      <c r="F350">
        <v>405.26850068225372</v>
      </c>
      <c r="G350">
        <v>89951.02771526789</v>
      </c>
      <c r="H350">
        <v>0</v>
      </c>
      <c r="I350">
        <v>0</v>
      </c>
    </row>
    <row r="351" spans="1:9" x14ac:dyDescent="0.25">
      <c r="A351" s="113">
        <f t="shared" si="11"/>
        <v>54088</v>
      </c>
      <c r="B351" s="128">
        <f t="shared" si="10"/>
        <v>2048</v>
      </c>
      <c r="C351">
        <v>955.16006243191612</v>
      </c>
      <c r="D351">
        <v>986.78977581883851</v>
      </c>
      <c r="E351">
        <v>0</v>
      </c>
      <c r="F351">
        <v>402.57164394312883</v>
      </c>
      <c r="G351">
        <v>89728.573912435953</v>
      </c>
      <c r="H351">
        <v>0</v>
      </c>
      <c r="I351">
        <v>0</v>
      </c>
    </row>
    <row r="352" spans="1:9" x14ac:dyDescent="0.25">
      <c r="A352" s="113">
        <f t="shared" si="11"/>
        <v>54117</v>
      </c>
      <c r="B352" s="128">
        <f t="shared" si="10"/>
        <v>2048</v>
      </c>
      <c r="C352">
        <v>968.65575549188873</v>
      </c>
      <c r="D352">
        <v>977.73413040864909</v>
      </c>
      <c r="E352">
        <v>0</v>
      </c>
      <c r="F352">
        <v>400.23143381112158</v>
      </c>
      <c r="G352">
        <v>89530.487994942581</v>
      </c>
      <c r="H352">
        <v>0</v>
      </c>
      <c r="I352">
        <v>0</v>
      </c>
    </row>
    <row r="353" spans="1:9" x14ac:dyDescent="0.25">
      <c r="A353" s="113">
        <f t="shared" si="11"/>
        <v>54148</v>
      </c>
      <c r="B353" s="128">
        <f t="shared" si="10"/>
        <v>2048</v>
      </c>
      <c r="C353">
        <v>943.46088024850064</v>
      </c>
      <c r="D353">
        <v>971.87902765171225</v>
      </c>
      <c r="E353">
        <v>0</v>
      </c>
      <c r="F353">
        <v>397.91079017382407</v>
      </c>
      <c r="G353">
        <v>89314.916648106577</v>
      </c>
      <c r="H353">
        <v>0</v>
      </c>
      <c r="I353">
        <v>0</v>
      </c>
    </row>
    <row r="354" spans="1:9" x14ac:dyDescent="0.25">
      <c r="A354" s="113">
        <f t="shared" si="11"/>
        <v>54178</v>
      </c>
      <c r="B354" s="128">
        <f t="shared" si="10"/>
        <v>2048</v>
      </c>
      <c r="C354">
        <v>1191.8025965106688</v>
      </c>
      <c r="D354">
        <v>1016.985501895799</v>
      </c>
      <c r="E354">
        <v>0</v>
      </c>
      <c r="F354">
        <v>395.59934276609067</v>
      </c>
      <c r="G354">
        <v>89304.384528951065</v>
      </c>
      <c r="H354">
        <v>0</v>
      </c>
      <c r="I354">
        <v>0</v>
      </c>
    </row>
    <row r="355" spans="1:9" x14ac:dyDescent="0.25">
      <c r="A355" s="113">
        <f t="shared" si="11"/>
        <v>54209</v>
      </c>
      <c r="B355" s="128">
        <f t="shared" si="10"/>
        <v>2048</v>
      </c>
      <c r="C355">
        <v>1282.7233965324385</v>
      </c>
      <c r="D355">
        <v>964.7757391624632</v>
      </c>
      <c r="E355">
        <v>0</v>
      </c>
      <c r="F355">
        <v>393.36745472931972</v>
      </c>
      <c r="G355">
        <v>89439.190067647112</v>
      </c>
      <c r="H355">
        <v>0</v>
      </c>
      <c r="I355">
        <v>0</v>
      </c>
    </row>
    <row r="356" spans="1:9" x14ac:dyDescent="0.25">
      <c r="A356" s="113">
        <f t="shared" si="11"/>
        <v>54239</v>
      </c>
      <c r="B356" s="128">
        <f t="shared" si="10"/>
        <v>2048</v>
      </c>
      <c r="C356">
        <v>1074.1393168089226</v>
      </c>
      <c r="D356">
        <v>981.30528330505933</v>
      </c>
      <c r="E356">
        <v>0</v>
      </c>
      <c r="F356">
        <v>391.13977486076271</v>
      </c>
      <c r="G356">
        <v>89351.426998832729</v>
      </c>
      <c r="H356">
        <v>0</v>
      </c>
      <c r="I356">
        <v>0</v>
      </c>
    </row>
    <row r="357" spans="1:9" x14ac:dyDescent="0.25">
      <c r="A357" s="113">
        <f t="shared" si="11"/>
        <v>54270</v>
      </c>
      <c r="B357" s="128">
        <f t="shared" si="10"/>
        <v>2048</v>
      </c>
      <c r="C357">
        <v>914.84923844525201</v>
      </c>
      <c r="D357">
        <v>961.02071995205836</v>
      </c>
      <c r="E357">
        <v>0</v>
      </c>
      <c r="F357">
        <v>388.87886584540911</v>
      </c>
      <c r="G357">
        <v>89126.712726992657</v>
      </c>
      <c r="H357">
        <v>0</v>
      </c>
      <c r="I357">
        <v>0</v>
      </c>
    </row>
    <row r="358" spans="1:9" x14ac:dyDescent="0.25">
      <c r="A358" s="113">
        <f t="shared" si="11"/>
        <v>54301</v>
      </c>
      <c r="B358" s="128">
        <f t="shared" si="10"/>
        <v>2048</v>
      </c>
      <c r="C358">
        <v>926.84267903923876</v>
      </c>
      <c r="D358">
        <v>949.27301837474022</v>
      </c>
      <c r="E358">
        <v>0</v>
      </c>
      <c r="F358">
        <v>386.59453093125705</v>
      </c>
      <c r="G358">
        <v>88927.494947759289</v>
      </c>
      <c r="H358">
        <v>0</v>
      </c>
      <c r="I358">
        <v>0</v>
      </c>
    </row>
    <row r="359" spans="1:9" x14ac:dyDescent="0.25">
      <c r="A359" s="113">
        <f t="shared" si="11"/>
        <v>54331</v>
      </c>
      <c r="B359" s="128">
        <f t="shared" si="10"/>
        <v>2048</v>
      </c>
      <c r="C359">
        <v>994.03589655334918</v>
      </c>
      <c r="D359">
        <v>949.31906436518193</v>
      </c>
      <c r="E359">
        <v>0</v>
      </c>
      <c r="F359">
        <v>384.32794704974168</v>
      </c>
      <c r="G359">
        <v>88797.221958999304</v>
      </c>
      <c r="H359">
        <v>0</v>
      </c>
      <c r="I359">
        <v>0</v>
      </c>
    </row>
    <row r="360" spans="1:9" x14ac:dyDescent="0.25">
      <c r="A360" s="113">
        <f t="shared" si="11"/>
        <v>54362</v>
      </c>
      <c r="B360" s="128">
        <f t="shared" si="10"/>
        <v>2048</v>
      </c>
      <c r="C360">
        <v>1116.7763525011003</v>
      </c>
      <c r="D360">
        <v>982.56509164898716</v>
      </c>
      <c r="E360">
        <v>0</v>
      </c>
      <c r="F360">
        <v>382.08551984600535</v>
      </c>
      <c r="G360">
        <v>88758.379159385309</v>
      </c>
      <c r="H360">
        <v>0</v>
      </c>
      <c r="I360">
        <v>0</v>
      </c>
    </row>
    <row r="361" spans="1:9" x14ac:dyDescent="0.25">
      <c r="A361" s="113">
        <f t="shared" si="11"/>
        <v>54392</v>
      </c>
      <c r="B361" s="128">
        <f t="shared" si="10"/>
        <v>2048</v>
      </c>
      <c r="C361">
        <v>891.01034007431906</v>
      </c>
      <c r="D361">
        <v>948.21072915804882</v>
      </c>
      <c r="E361">
        <v>0</v>
      </c>
      <c r="F361">
        <v>379.86977819583944</v>
      </c>
      <c r="G361">
        <v>88530.249014310932</v>
      </c>
      <c r="H361">
        <v>0</v>
      </c>
      <c r="I361">
        <v>0</v>
      </c>
    </row>
    <row r="362" spans="1:9" x14ac:dyDescent="0.25">
      <c r="A362" s="113">
        <f t="shared" si="11"/>
        <v>54423</v>
      </c>
      <c r="B362" s="128">
        <f t="shared" si="10"/>
        <v>2048</v>
      </c>
      <c r="C362">
        <v>1007.7925478950921</v>
      </c>
      <c r="D362">
        <v>980.07742917598182</v>
      </c>
      <c r="E362">
        <v>0</v>
      </c>
      <c r="F362">
        <v>377.57526588153598</v>
      </c>
      <c r="G362">
        <v>88388.791863801656</v>
      </c>
      <c r="H362">
        <v>0</v>
      </c>
      <c r="I362">
        <v>0</v>
      </c>
    </row>
    <row r="363" spans="1:9" x14ac:dyDescent="0.25">
      <c r="A363" s="113">
        <f t="shared" si="11"/>
        <v>54454</v>
      </c>
      <c r="B363" s="128">
        <f t="shared" si="10"/>
        <v>2049</v>
      </c>
      <c r="C363">
        <v>875.51209559305767</v>
      </c>
      <c r="D363">
        <v>956.14270129683257</v>
      </c>
      <c r="E363">
        <v>0</v>
      </c>
      <c r="F363">
        <v>374.9218217665337</v>
      </c>
      <c r="G363">
        <v>88141.302260721714</v>
      </c>
      <c r="H363">
        <v>0</v>
      </c>
      <c r="I363">
        <v>0</v>
      </c>
    </row>
    <row r="364" spans="1:9" x14ac:dyDescent="0.25">
      <c r="A364" s="113">
        <f t="shared" si="11"/>
        <v>54482</v>
      </c>
      <c r="B364" s="128">
        <f t="shared" si="10"/>
        <v>2049</v>
      </c>
      <c r="C364">
        <v>885.86732548811733</v>
      </c>
      <c r="D364">
        <v>942.5105846961095</v>
      </c>
      <c r="E364">
        <v>0</v>
      </c>
      <c r="F364">
        <v>372.61766986332412</v>
      </c>
      <c r="G364">
        <v>87919.521577811844</v>
      </c>
      <c r="H364">
        <v>0</v>
      </c>
      <c r="I364">
        <v>0</v>
      </c>
    </row>
    <row r="365" spans="1:9" x14ac:dyDescent="0.25">
      <c r="A365" s="113">
        <f t="shared" si="11"/>
        <v>54513</v>
      </c>
      <c r="B365" s="128">
        <f t="shared" si="10"/>
        <v>2049</v>
      </c>
      <c r="C365">
        <v>863.65948021229735</v>
      </c>
      <c r="D365">
        <v>937.22457130039129</v>
      </c>
      <c r="E365">
        <v>0</v>
      </c>
      <c r="F365">
        <v>370.33161974164108</v>
      </c>
      <c r="G365">
        <v>87682.583052435351</v>
      </c>
      <c r="H365">
        <v>0</v>
      </c>
      <c r="I365">
        <v>0</v>
      </c>
    </row>
    <row r="366" spans="1:9" x14ac:dyDescent="0.25">
      <c r="A366" s="113">
        <f t="shared" si="11"/>
        <v>54543</v>
      </c>
      <c r="B366" s="128">
        <f t="shared" si="10"/>
        <v>2049</v>
      </c>
      <c r="C366">
        <v>1093.0764790803462</v>
      </c>
      <c r="D366">
        <v>976.88492670872574</v>
      </c>
      <c r="E366">
        <v>0</v>
      </c>
      <c r="F366">
        <v>368.0569555058234</v>
      </c>
      <c r="G366">
        <v>87637.118093237965</v>
      </c>
      <c r="H366">
        <v>0</v>
      </c>
      <c r="I366">
        <v>0</v>
      </c>
    </row>
    <row r="367" spans="1:9" x14ac:dyDescent="0.25">
      <c r="A367" s="113">
        <f t="shared" si="11"/>
        <v>54574</v>
      </c>
      <c r="B367" s="128">
        <f t="shared" si="10"/>
        <v>2049</v>
      </c>
      <c r="C367">
        <v>1170.7747225922144</v>
      </c>
      <c r="D367">
        <v>935.7301861024697</v>
      </c>
      <c r="E367">
        <v>0</v>
      </c>
      <c r="F367">
        <v>365.85298751555177</v>
      </c>
      <c r="G367">
        <v>87712.603063894116</v>
      </c>
      <c r="H367">
        <v>0</v>
      </c>
      <c r="I367">
        <v>0</v>
      </c>
    </row>
    <row r="368" spans="1:9" x14ac:dyDescent="0.25">
      <c r="A368" s="113">
        <f t="shared" si="11"/>
        <v>54604</v>
      </c>
      <c r="B368" s="128">
        <f t="shared" si="10"/>
        <v>2049</v>
      </c>
      <c r="C368">
        <v>981.7971414375213</v>
      </c>
      <c r="D368">
        <v>942.58763161906472</v>
      </c>
      <c r="E368">
        <v>0</v>
      </c>
      <c r="F368">
        <v>363.65710876309987</v>
      </c>
      <c r="G368">
        <v>87594.626574501832</v>
      </c>
      <c r="H368">
        <v>0</v>
      </c>
      <c r="I368">
        <v>0</v>
      </c>
    </row>
    <row r="369" spans="1:9" x14ac:dyDescent="0.25">
      <c r="A369" s="113">
        <f t="shared" si="11"/>
        <v>54635</v>
      </c>
      <c r="B369" s="128">
        <f t="shared" si="10"/>
        <v>2049</v>
      </c>
      <c r="C369">
        <v>836.76460269378833</v>
      </c>
      <c r="D369">
        <v>931.08789857503905</v>
      </c>
      <c r="E369">
        <v>0</v>
      </c>
      <c r="F369">
        <v>361.42873660798193</v>
      </c>
      <c r="G369">
        <v>87345.067940770561</v>
      </c>
      <c r="H369">
        <v>0</v>
      </c>
      <c r="I369">
        <v>0</v>
      </c>
    </row>
    <row r="370" spans="1:9" x14ac:dyDescent="0.25">
      <c r="A370" s="113">
        <f t="shared" si="11"/>
        <v>54666</v>
      </c>
      <c r="B370" s="128">
        <f t="shared" si="10"/>
        <v>2049</v>
      </c>
      <c r="C370">
        <v>845.74778342954187</v>
      </c>
      <c r="D370">
        <v>919.60539300928815</v>
      </c>
      <c r="E370">
        <v>0</v>
      </c>
      <c r="F370">
        <v>359.18311867361354</v>
      </c>
      <c r="G370">
        <v>87117.633162650935</v>
      </c>
      <c r="H370">
        <v>0</v>
      </c>
      <c r="I370">
        <v>0</v>
      </c>
    </row>
    <row r="371" spans="1:9" x14ac:dyDescent="0.25">
      <c r="A371" s="113">
        <f t="shared" si="11"/>
        <v>54696</v>
      </c>
      <c r="B371" s="128">
        <f t="shared" si="10"/>
        <v>2049</v>
      </c>
      <c r="C371">
        <v>905.08413836224543</v>
      </c>
      <c r="D371">
        <v>916.97705063918829</v>
      </c>
      <c r="E371">
        <v>0</v>
      </c>
      <c r="F371">
        <v>356.95553498664191</v>
      </c>
      <c r="G371">
        <v>86953.855295353598</v>
      </c>
      <c r="H371">
        <v>0</v>
      </c>
      <c r="I371">
        <v>0</v>
      </c>
    </row>
    <row r="372" spans="1:9" x14ac:dyDescent="0.25">
      <c r="A372" s="113">
        <f t="shared" si="11"/>
        <v>54727</v>
      </c>
      <c r="B372" s="128">
        <f t="shared" si="10"/>
        <v>2049</v>
      </c>
      <c r="C372">
        <v>1021.097539814946</v>
      </c>
      <c r="D372">
        <v>949.81081055551215</v>
      </c>
      <c r="E372">
        <v>0</v>
      </c>
      <c r="F372">
        <v>354.74973814160182</v>
      </c>
      <c r="G372">
        <v>86875.077341475509</v>
      </c>
      <c r="H372">
        <v>0</v>
      </c>
      <c r="I372">
        <v>0</v>
      </c>
    </row>
    <row r="373" spans="1:9" x14ac:dyDescent="0.25">
      <c r="A373" s="113">
        <f t="shared" si="11"/>
        <v>54757</v>
      </c>
      <c r="B373" s="128">
        <f t="shared" si="10"/>
        <v>2049</v>
      </c>
      <c r="C373">
        <v>812.80978311945375</v>
      </c>
      <c r="D373">
        <v>922.16574546580023</v>
      </c>
      <c r="E373">
        <v>0</v>
      </c>
      <c r="F373">
        <v>352.56823632199985</v>
      </c>
      <c r="G373">
        <v>86617.652758421929</v>
      </c>
      <c r="H373">
        <v>0</v>
      </c>
      <c r="I373">
        <v>0</v>
      </c>
    </row>
    <row r="374" spans="1:9" x14ac:dyDescent="0.25">
      <c r="A374" s="113">
        <f t="shared" si="11"/>
        <v>54788</v>
      </c>
      <c r="B374" s="128">
        <f t="shared" si="10"/>
        <v>2049</v>
      </c>
      <c r="C374">
        <v>920.33126847256278</v>
      </c>
      <c r="D374">
        <v>939.39093990162792</v>
      </c>
      <c r="E374">
        <v>0</v>
      </c>
      <c r="F374">
        <v>350.31738882949924</v>
      </c>
      <c r="G374">
        <v>86452.169349099975</v>
      </c>
      <c r="H374">
        <v>0</v>
      </c>
      <c r="I374">
        <v>0</v>
      </c>
    </row>
    <row r="375" spans="1:9" x14ac:dyDescent="0.25">
      <c r="A375" s="113">
        <f t="shared" si="11"/>
        <v>54819</v>
      </c>
      <c r="B375" s="128">
        <f t="shared" si="10"/>
        <v>2050</v>
      </c>
      <c r="C375">
        <v>799.01775930456665</v>
      </c>
      <c r="D375">
        <v>919.90637430469883</v>
      </c>
      <c r="E375">
        <v>0</v>
      </c>
      <c r="F375">
        <v>347.7160671101268</v>
      </c>
      <c r="G375">
        <v>86141.875357915022</v>
      </c>
      <c r="H375">
        <v>0</v>
      </c>
      <c r="I375">
        <v>0</v>
      </c>
    </row>
    <row r="376" spans="1:9" x14ac:dyDescent="0.25">
      <c r="A376" s="113">
        <f t="shared" si="11"/>
        <v>54847</v>
      </c>
      <c r="B376" s="128">
        <f t="shared" si="10"/>
        <v>2050</v>
      </c>
      <c r="C376">
        <v>806.49533681159505</v>
      </c>
      <c r="D376">
        <v>906.53221771107792</v>
      </c>
      <c r="E376">
        <v>0</v>
      </c>
      <c r="F376">
        <v>345.44701285755355</v>
      </c>
      <c r="G376">
        <v>85854.133946598668</v>
      </c>
      <c r="H376">
        <v>0</v>
      </c>
      <c r="I376">
        <v>0</v>
      </c>
    </row>
    <row r="377" spans="1:9" x14ac:dyDescent="0.25">
      <c r="A377" s="113">
        <f t="shared" si="11"/>
        <v>54878</v>
      </c>
      <c r="B377" s="128">
        <f t="shared" si="10"/>
        <v>2050</v>
      </c>
      <c r="C377">
        <v>787.07204622134179</v>
      </c>
      <c r="D377">
        <v>900.99924904367242</v>
      </c>
      <c r="E377">
        <v>0</v>
      </c>
      <c r="F377">
        <v>343.19620407280826</v>
      </c>
      <c r="G377">
        <v>85554.226111807933</v>
      </c>
      <c r="H377">
        <v>0</v>
      </c>
      <c r="I377">
        <v>0</v>
      </c>
    </row>
    <row r="378" spans="1:9" x14ac:dyDescent="0.25">
      <c r="A378" s="113">
        <f t="shared" si="11"/>
        <v>54908</v>
      </c>
      <c r="B378" s="128">
        <f t="shared" si="10"/>
        <v>2050</v>
      </c>
      <c r="C378">
        <v>998.27551156389961</v>
      </c>
      <c r="D378">
        <v>943.50166800482566</v>
      </c>
      <c r="E378">
        <v>0</v>
      </c>
      <c r="F378">
        <v>340.95648888160696</v>
      </c>
      <c r="G378">
        <v>85424.709849172083</v>
      </c>
      <c r="H378">
        <v>0</v>
      </c>
      <c r="I378">
        <v>0</v>
      </c>
    </row>
    <row r="379" spans="1:9" x14ac:dyDescent="0.25">
      <c r="A379" s="113">
        <f t="shared" si="11"/>
        <v>54939</v>
      </c>
      <c r="B379" s="128">
        <f t="shared" si="10"/>
        <v>2050</v>
      </c>
      <c r="C379">
        <v>1063.3749267510923</v>
      </c>
      <c r="D379">
        <v>904.54385355696058</v>
      </c>
      <c r="E379">
        <v>0</v>
      </c>
      <c r="F379">
        <v>338.78354716328323</v>
      </c>
      <c r="G379">
        <v>85401.186588490891</v>
      </c>
      <c r="H379">
        <v>0</v>
      </c>
      <c r="I379">
        <v>0</v>
      </c>
    </row>
    <row r="380" spans="1:9" x14ac:dyDescent="0.25">
      <c r="A380" s="113">
        <f t="shared" si="11"/>
        <v>54969</v>
      </c>
      <c r="B380" s="128">
        <f t="shared" si="10"/>
        <v>2050</v>
      </c>
      <c r="C380">
        <v>893.28098529628392</v>
      </c>
      <c r="D380">
        <v>910.34199460902221</v>
      </c>
      <c r="E380">
        <v>0</v>
      </c>
      <c r="F380">
        <v>336.6179051232819</v>
      </c>
      <c r="G380">
        <v>85203.893811689763</v>
      </c>
      <c r="H380">
        <v>0</v>
      </c>
      <c r="I380">
        <v>0</v>
      </c>
    </row>
    <row r="381" spans="1:9" x14ac:dyDescent="0.25">
      <c r="A381" s="113">
        <f t="shared" si="11"/>
        <v>55000</v>
      </c>
      <c r="B381" s="128">
        <f t="shared" si="10"/>
        <v>2050</v>
      </c>
      <c r="C381">
        <v>761.89098044652042</v>
      </c>
      <c r="D381">
        <v>899.02350218028016</v>
      </c>
      <c r="E381">
        <v>0</v>
      </c>
      <c r="F381">
        <v>334.42505377549878</v>
      </c>
      <c r="G381">
        <v>84888.361092472886</v>
      </c>
      <c r="H381">
        <v>0</v>
      </c>
      <c r="I381">
        <v>0</v>
      </c>
    </row>
    <row r="382" spans="1:9" x14ac:dyDescent="0.25">
      <c r="A382" s="113">
        <f t="shared" si="11"/>
        <v>55031</v>
      </c>
      <c r="B382" s="128">
        <f t="shared" si="10"/>
        <v>2050</v>
      </c>
      <c r="C382">
        <v>768.13243401629632</v>
      </c>
      <c r="D382">
        <v>887.79882232284831</v>
      </c>
      <c r="E382">
        <v>0</v>
      </c>
      <c r="F382">
        <v>332.21865015358571</v>
      </c>
      <c r="G382">
        <v>84591.923108693416</v>
      </c>
      <c r="H382">
        <v>0</v>
      </c>
      <c r="I382">
        <v>0</v>
      </c>
    </row>
    <row r="383" spans="1:9" x14ac:dyDescent="0.25">
      <c r="A383" s="113">
        <f t="shared" si="11"/>
        <v>55061</v>
      </c>
      <c r="B383" s="128">
        <f t="shared" si="10"/>
        <v>2050</v>
      </c>
      <c r="C383">
        <v>820.02127685355833</v>
      </c>
      <c r="D383">
        <v>884.93454515451685</v>
      </c>
      <c r="E383">
        <v>0</v>
      </c>
      <c r="F383">
        <v>330.02997482597311</v>
      </c>
      <c r="G383">
        <v>84351.884084799633</v>
      </c>
      <c r="H383">
        <v>0</v>
      </c>
      <c r="I383">
        <v>0</v>
      </c>
    </row>
    <row r="384" spans="1:9" x14ac:dyDescent="0.25">
      <c r="A384" s="113">
        <f t="shared" si="11"/>
        <v>55092</v>
      </c>
      <c r="B384" s="128">
        <f t="shared" si="10"/>
        <v>2050</v>
      </c>
      <c r="C384">
        <v>929.40748785087419</v>
      </c>
      <c r="D384">
        <v>907.80957475108517</v>
      </c>
      <c r="E384">
        <v>0</v>
      </c>
      <c r="F384">
        <v>327.86413121665322</v>
      </c>
      <c r="G384">
        <v>84200.082527903622</v>
      </c>
      <c r="H384">
        <v>0</v>
      </c>
      <c r="I384">
        <v>0</v>
      </c>
    </row>
    <row r="385" spans="1:9" x14ac:dyDescent="0.25">
      <c r="A385" s="113">
        <f t="shared" si="11"/>
        <v>55122</v>
      </c>
      <c r="B385" s="128">
        <f t="shared" si="10"/>
        <v>2050</v>
      </c>
      <c r="C385">
        <v>737.94684999242918</v>
      </c>
      <c r="D385">
        <v>895.03220704471573</v>
      </c>
      <c r="E385">
        <v>0</v>
      </c>
      <c r="F385">
        <v>325.71540145058992</v>
      </c>
      <c r="G385">
        <v>83871.468452526417</v>
      </c>
      <c r="H385">
        <v>0</v>
      </c>
      <c r="I385">
        <v>0</v>
      </c>
    </row>
    <row r="386" spans="1:9" x14ac:dyDescent="0.25">
      <c r="A386" s="113">
        <f t="shared" si="11"/>
        <v>55153</v>
      </c>
      <c r="B386" s="128">
        <f t="shared" si="10"/>
        <v>2050</v>
      </c>
      <c r="C386">
        <v>836.60549308916211</v>
      </c>
      <c r="D386">
        <v>915.36805052423836</v>
      </c>
      <c r="E386">
        <v>0</v>
      </c>
      <c r="F386">
        <v>323.50411003017467</v>
      </c>
      <c r="G386">
        <v>83622.786712074812</v>
      </c>
      <c r="H386">
        <v>0</v>
      </c>
      <c r="I386">
        <v>0</v>
      </c>
    </row>
    <row r="387" spans="1:9" x14ac:dyDescent="0.25">
      <c r="A387" s="113">
        <f t="shared" si="11"/>
        <v>55184</v>
      </c>
      <c r="B387" s="128">
        <f t="shared" ref="B387:B450" si="12">YEAR(A387)</f>
        <v>2051</v>
      </c>
      <c r="C387">
        <v>725.79233710232097</v>
      </c>
      <c r="D387">
        <v>896.45330650129711</v>
      </c>
      <c r="E387">
        <v>0</v>
      </c>
      <c r="F387">
        <v>321.03351472423606</v>
      </c>
      <c r="G387">
        <v>83283.135766458014</v>
      </c>
      <c r="H387">
        <v>0</v>
      </c>
      <c r="I387">
        <v>0</v>
      </c>
    </row>
    <row r="388" spans="1:9" x14ac:dyDescent="0.25">
      <c r="A388" s="113">
        <f t="shared" ref="A388:A394" si="13">DATE(YEAR(A387),MONTH(A387)+2,1)-1</f>
        <v>55212</v>
      </c>
      <c r="B388" s="128">
        <f t="shared" si="12"/>
        <v>2051</v>
      </c>
      <c r="C388">
        <v>730.66706175937986</v>
      </c>
      <c r="D388">
        <v>883.23364312990873</v>
      </c>
      <c r="E388">
        <v>0</v>
      </c>
      <c r="F388">
        <v>318.81316808993341</v>
      </c>
      <c r="G388">
        <v>82963.181999767578</v>
      </c>
      <c r="H388">
        <v>0</v>
      </c>
      <c r="I388">
        <v>0</v>
      </c>
    </row>
    <row r="389" spans="1:9" x14ac:dyDescent="0.25">
      <c r="A389" s="113">
        <f t="shared" si="13"/>
        <v>55243</v>
      </c>
      <c r="B389" s="128">
        <f t="shared" si="12"/>
        <v>2051</v>
      </c>
      <c r="C389">
        <v>713.81598610210369</v>
      </c>
      <c r="D389">
        <v>877.34848833285355</v>
      </c>
      <c r="E389">
        <v>0</v>
      </c>
      <c r="F389">
        <v>316.61124832540463</v>
      </c>
      <c r="G389">
        <v>82633.882489794414</v>
      </c>
      <c r="H389">
        <v>0</v>
      </c>
      <c r="I389">
        <v>0</v>
      </c>
    </row>
    <row r="390" spans="1:9" x14ac:dyDescent="0.25">
      <c r="A390" s="113">
        <f t="shared" si="13"/>
        <v>55273</v>
      </c>
      <c r="B390" s="128">
        <f t="shared" si="12"/>
        <v>2051</v>
      </c>
      <c r="C390">
        <v>907.54376998987141</v>
      </c>
      <c r="D390">
        <v>914.06577167764704</v>
      </c>
      <c r="E390">
        <v>0</v>
      </c>
      <c r="F390">
        <v>314.42243704247124</v>
      </c>
      <c r="G390">
        <v>82463.18355696353</v>
      </c>
      <c r="H390">
        <v>0</v>
      </c>
      <c r="I390">
        <v>0</v>
      </c>
    </row>
    <row r="391" spans="1:9" x14ac:dyDescent="0.25">
      <c r="A391" s="113">
        <f t="shared" si="13"/>
        <v>55304</v>
      </c>
      <c r="B391" s="128">
        <f t="shared" si="12"/>
        <v>2051</v>
      </c>
      <c r="C391">
        <v>960.69212814455977</v>
      </c>
      <c r="D391">
        <v>877.18671376178077</v>
      </c>
      <c r="E391">
        <v>0</v>
      </c>
      <c r="F391">
        <v>312.29443081046287</v>
      </c>
      <c r="G391">
        <v>82384.329680436</v>
      </c>
      <c r="H391">
        <v>0</v>
      </c>
      <c r="I391">
        <v>0</v>
      </c>
    </row>
    <row r="392" spans="1:9" x14ac:dyDescent="0.25">
      <c r="A392" s="113">
        <f t="shared" si="13"/>
        <v>55334</v>
      </c>
      <c r="B392" s="128">
        <f t="shared" si="12"/>
        <v>2051</v>
      </c>
      <c r="C392">
        <v>808.732504577599</v>
      </c>
      <c r="D392">
        <v>881.90109185400217</v>
      </c>
      <c r="E392">
        <v>0</v>
      </c>
      <c r="F392">
        <v>310.17309424665439</v>
      </c>
      <c r="G392">
        <v>82150.779766140506</v>
      </c>
      <c r="H392">
        <v>0</v>
      </c>
      <c r="I392">
        <v>0</v>
      </c>
    </row>
    <row r="393" spans="1:9" x14ac:dyDescent="0.25">
      <c r="A393" s="113">
        <f t="shared" si="13"/>
        <v>55365</v>
      </c>
      <c r="B393" s="128">
        <f t="shared" si="12"/>
        <v>2051</v>
      </c>
      <c r="C393">
        <v>690.34624231135047</v>
      </c>
      <c r="D393">
        <v>870.72625518437462</v>
      </c>
      <c r="E393">
        <v>0</v>
      </c>
      <c r="F393">
        <v>308.02966670633106</v>
      </c>
      <c r="G393">
        <v>81811.737211693238</v>
      </c>
      <c r="H393">
        <v>0</v>
      </c>
      <c r="I393">
        <v>0</v>
      </c>
    </row>
    <row r="394" spans="1:9" x14ac:dyDescent="0.25">
      <c r="A394" s="113">
        <f t="shared" si="13"/>
        <v>55396</v>
      </c>
      <c r="B394" s="128">
        <f t="shared" si="12"/>
        <v>2051</v>
      </c>
      <c r="C394">
        <v>694.12582809323214</v>
      </c>
      <c r="D394">
        <v>859.71490492140947</v>
      </c>
      <c r="E394">
        <v>0</v>
      </c>
      <c r="F394">
        <v>305.87620266541006</v>
      </c>
      <c r="G394">
        <v>81489.022607776307</v>
      </c>
      <c r="H394">
        <v>0</v>
      </c>
      <c r="I394">
        <v>0</v>
      </c>
    </row>
    <row r="395" spans="1:9" x14ac:dyDescent="0.25">
      <c r="A395" s="113">
        <f>DATE(YEAR(A394),MONTH(A394)+2,1)-1</f>
        <v>55426</v>
      </c>
      <c r="B395" s="128">
        <f t="shared" si="12"/>
        <v>2051</v>
      </c>
      <c r="C395">
        <v>738.99964142391946</v>
      </c>
      <c r="D395">
        <v>856.5665281336386</v>
      </c>
      <c r="E395">
        <v>0</v>
      </c>
      <c r="F395">
        <v>303.7402172903831</v>
      </c>
      <c r="G395">
        <v>81215.879417392091</v>
      </c>
      <c r="H395">
        <v>0</v>
      </c>
      <c r="I395">
        <v>0</v>
      </c>
    </row>
    <row r="396" spans="1:9" x14ac:dyDescent="0.25">
      <c r="A396" s="113">
        <f t="shared" ref="A396:A459" si="14">DATE(YEAR(A395),MONTH(A395)+2,1)-1</f>
        <v>55457</v>
      </c>
      <c r="B396" s="128">
        <f t="shared" si="12"/>
        <v>2051</v>
      </c>
      <c r="C396">
        <v>841.85188524746866</v>
      </c>
      <c r="D396">
        <v>874.55198055103551</v>
      </c>
      <c r="E396">
        <v>0</v>
      </c>
      <c r="F396">
        <v>301.62683412140058</v>
      </c>
      <c r="G396">
        <v>81029.21977071451</v>
      </c>
      <c r="H396">
        <v>0</v>
      </c>
      <c r="I396">
        <v>0</v>
      </c>
    </row>
    <row r="397" spans="1:9" x14ac:dyDescent="0.25">
      <c r="A397" s="113">
        <f t="shared" si="14"/>
        <v>55487</v>
      </c>
      <c r="B397" s="128">
        <f t="shared" si="12"/>
        <v>2051</v>
      </c>
      <c r="C397">
        <v>666.54510873430763</v>
      </c>
      <c r="D397">
        <v>862.6986523105038</v>
      </c>
      <c r="E397">
        <v>0</v>
      </c>
      <c r="F397">
        <v>299.52867851270463</v>
      </c>
      <c r="G397">
        <v>80680.865445491625</v>
      </c>
      <c r="H397">
        <v>0</v>
      </c>
      <c r="I397">
        <v>0</v>
      </c>
    </row>
    <row r="398" spans="1:9" x14ac:dyDescent="0.25">
      <c r="A398" s="113">
        <f t="shared" si="14"/>
        <v>55518</v>
      </c>
      <c r="B398" s="128">
        <f t="shared" si="12"/>
        <v>2051</v>
      </c>
      <c r="C398">
        <v>756.75236101000041</v>
      </c>
      <c r="D398">
        <v>884.68232437115466</v>
      </c>
      <c r="E398">
        <v>0</v>
      </c>
      <c r="F398">
        <v>297.37132733138628</v>
      </c>
      <c r="G398">
        <v>80402.258671382559</v>
      </c>
      <c r="H398">
        <v>0</v>
      </c>
      <c r="I398">
        <v>0</v>
      </c>
    </row>
    <row r="399" spans="1:9" x14ac:dyDescent="0.25">
      <c r="A399" s="113">
        <f t="shared" si="14"/>
        <v>55549</v>
      </c>
      <c r="B399" s="128">
        <f t="shared" si="12"/>
        <v>2052</v>
      </c>
      <c r="C399">
        <v>655.95550472892899</v>
      </c>
      <c r="D399">
        <v>866.34941999175487</v>
      </c>
      <c r="E399">
        <v>0</v>
      </c>
      <c r="F399">
        <v>294.96960478269386</v>
      </c>
      <c r="G399">
        <v>79896.895151337027</v>
      </c>
      <c r="H399">
        <v>0</v>
      </c>
      <c r="I399">
        <v>0</v>
      </c>
    </row>
    <row r="400" spans="1:9" x14ac:dyDescent="0.25">
      <c r="A400" s="113">
        <f t="shared" si="14"/>
        <v>55578</v>
      </c>
      <c r="B400" s="128">
        <f t="shared" si="12"/>
        <v>2052</v>
      </c>
      <c r="C400">
        <v>658.51278113271223</v>
      </c>
      <c r="D400">
        <v>853.31508607934427</v>
      </c>
      <c r="E400">
        <v>0</v>
      </c>
      <c r="F400">
        <v>292.78630590661032</v>
      </c>
      <c r="G400">
        <v>79409.306540483813</v>
      </c>
      <c r="H400">
        <v>0</v>
      </c>
      <c r="I400">
        <v>0</v>
      </c>
    </row>
    <row r="401" spans="1:9" x14ac:dyDescent="0.25">
      <c r="A401" s="113">
        <f t="shared" si="14"/>
        <v>55609</v>
      </c>
      <c r="B401" s="128">
        <f t="shared" si="12"/>
        <v>2052</v>
      </c>
      <c r="C401">
        <v>644.01305589988669</v>
      </c>
      <c r="D401">
        <v>847.10839516051146</v>
      </c>
      <c r="E401">
        <v>0</v>
      </c>
      <c r="F401">
        <v>290.62173884929467</v>
      </c>
      <c r="G401">
        <v>78915.589462373886</v>
      </c>
      <c r="H401">
        <v>0</v>
      </c>
      <c r="I401">
        <v>0</v>
      </c>
    </row>
    <row r="402" spans="1:9" x14ac:dyDescent="0.25">
      <c r="A402" s="113">
        <f t="shared" si="14"/>
        <v>55639</v>
      </c>
      <c r="B402" s="128">
        <f t="shared" si="12"/>
        <v>2052</v>
      </c>
      <c r="C402">
        <v>821.03000844091298</v>
      </c>
      <c r="D402">
        <v>881.99721425861526</v>
      </c>
      <c r="E402">
        <v>0</v>
      </c>
      <c r="F402">
        <v>288.47127966688424</v>
      </c>
      <c r="G402">
        <v>78566.150976889345</v>
      </c>
      <c r="H402">
        <v>0</v>
      </c>
      <c r="I402">
        <v>0</v>
      </c>
    </row>
    <row r="403" spans="1:9" x14ac:dyDescent="0.25">
      <c r="A403" s="113">
        <f t="shared" si="14"/>
        <v>55670</v>
      </c>
      <c r="B403" s="128">
        <f t="shared" si="12"/>
        <v>2052</v>
      </c>
      <c r="C403">
        <v>862.90682510433624</v>
      </c>
      <c r="D403">
        <v>847.12162350457891</v>
      </c>
      <c r="E403">
        <v>0</v>
      </c>
      <c r="F403">
        <v>286.37704347957401</v>
      </c>
      <c r="G403">
        <v>78295.559135009564</v>
      </c>
      <c r="H403">
        <v>0</v>
      </c>
      <c r="I403">
        <v>0</v>
      </c>
    </row>
    <row r="404" spans="1:9" x14ac:dyDescent="0.25">
      <c r="A404" s="113">
        <f t="shared" si="14"/>
        <v>55700</v>
      </c>
      <c r="B404" s="128">
        <f t="shared" si="12"/>
        <v>2052</v>
      </c>
      <c r="C404">
        <v>728.29687408756593</v>
      </c>
      <c r="D404">
        <v>850.77803411711659</v>
      </c>
      <c r="E404">
        <v>0</v>
      </c>
      <c r="F404">
        <v>284.28893294974682</v>
      </c>
      <c r="G404">
        <v>77888.789042030185</v>
      </c>
      <c r="H404">
        <v>0</v>
      </c>
      <c r="I404">
        <v>0</v>
      </c>
    </row>
    <row r="405" spans="1:9" x14ac:dyDescent="0.25">
      <c r="A405" s="113">
        <f t="shared" si="14"/>
        <v>55731</v>
      </c>
      <c r="B405" s="128">
        <f t="shared" si="12"/>
        <v>2052</v>
      </c>
      <c r="C405">
        <v>622.25124649749239</v>
      </c>
      <c r="D405">
        <v>835.75101462033388</v>
      </c>
      <c r="E405">
        <v>0</v>
      </c>
      <c r="F405">
        <v>282.1848052582057</v>
      </c>
      <c r="G405">
        <v>77393.104468649122</v>
      </c>
      <c r="H405">
        <v>0</v>
      </c>
      <c r="I405">
        <v>0</v>
      </c>
    </row>
    <row r="406" spans="1:9" x14ac:dyDescent="0.25">
      <c r="A406" s="113">
        <f t="shared" si="14"/>
        <v>55762</v>
      </c>
      <c r="B406" s="128">
        <f t="shared" si="12"/>
        <v>2052</v>
      </c>
      <c r="C406">
        <v>623.85828303109167</v>
      </c>
      <c r="D406">
        <v>824.98285999979066</v>
      </c>
      <c r="E406">
        <v>0</v>
      </c>
      <c r="F406">
        <v>280.07295865628686</v>
      </c>
      <c r="G406">
        <v>76911.906933024176</v>
      </c>
      <c r="H406">
        <v>0</v>
      </c>
      <c r="I406">
        <v>0</v>
      </c>
    </row>
    <row r="407" spans="1:9" x14ac:dyDescent="0.25">
      <c r="A407" s="113">
        <f t="shared" si="14"/>
        <v>55792</v>
      </c>
      <c r="B407" s="128">
        <f t="shared" si="12"/>
        <v>2052</v>
      </c>
      <c r="C407">
        <v>662.17525231218133</v>
      </c>
      <c r="D407">
        <v>818.05232040479689</v>
      </c>
      <c r="E407">
        <v>0</v>
      </c>
      <c r="F407">
        <v>277.97945203706121</v>
      </c>
      <c r="G407">
        <v>76478.050412894503</v>
      </c>
      <c r="H407">
        <v>0</v>
      </c>
      <c r="I407">
        <v>0</v>
      </c>
    </row>
    <row r="408" spans="1:9" x14ac:dyDescent="0.25">
      <c r="A408" s="113">
        <f t="shared" si="14"/>
        <v>55823</v>
      </c>
      <c r="B408" s="128">
        <f t="shared" si="12"/>
        <v>2052</v>
      </c>
      <c r="C408">
        <v>758.57905438956152</v>
      </c>
      <c r="D408">
        <v>837.96572330348351</v>
      </c>
      <c r="E408">
        <v>0</v>
      </c>
      <c r="F408">
        <v>275.90568408453476</v>
      </c>
      <c r="G408">
        <v>76122.758059896049</v>
      </c>
      <c r="H408">
        <v>0</v>
      </c>
      <c r="I408">
        <v>0</v>
      </c>
    </row>
    <row r="409" spans="1:9" x14ac:dyDescent="0.25">
      <c r="A409" s="113">
        <f t="shared" si="14"/>
        <v>55853</v>
      </c>
      <c r="B409" s="128">
        <f t="shared" si="12"/>
        <v>2052</v>
      </c>
      <c r="C409">
        <v>598.73086016671664</v>
      </c>
      <c r="D409">
        <v>828.92173462226413</v>
      </c>
      <c r="E409">
        <v>0</v>
      </c>
      <c r="F409">
        <v>273.84671902529919</v>
      </c>
      <c r="G409">
        <v>75618.72046641518</v>
      </c>
      <c r="H409">
        <v>0</v>
      </c>
      <c r="I409">
        <v>0</v>
      </c>
    </row>
    <row r="410" spans="1:9" x14ac:dyDescent="0.25">
      <c r="A410" s="113">
        <f t="shared" si="14"/>
        <v>55884</v>
      </c>
      <c r="B410" s="128">
        <f t="shared" si="12"/>
        <v>2052</v>
      </c>
      <c r="C410">
        <v>680.9090477742451</v>
      </c>
      <c r="D410">
        <v>846.5992916665009</v>
      </c>
      <c r="E410">
        <v>0</v>
      </c>
      <c r="F410">
        <v>271.73417665094888</v>
      </c>
      <c r="G410">
        <v>75181.296045871961</v>
      </c>
      <c r="H410">
        <v>0</v>
      </c>
      <c r="I410">
        <v>0</v>
      </c>
    </row>
    <row r="411" spans="1:9" x14ac:dyDescent="0.25">
      <c r="A411" s="113">
        <f t="shared" si="14"/>
        <v>55915</v>
      </c>
      <c r="B411" s="128">
        <f t="shared" si="12"/>
        <v>2053</v>
      </c>
      <c r="C411">
        <v>589.62831835815689</v>
      </c>
      <c r="D411">
        <v>828.87266828314171</v>
      </c>
      <c r="E411">
        <v>0</v>
      </c>
      <c r="F411">
        <v>269.61972603365678</v>
      </c>
      <c r="G411">
        <v>74672.431969913334</v>
      </c>
      <c r="H411">
        <v>0</v>
      </c>
      <c r="I411">
        <v>0</v>
      </c>
    </row>
    <row r="412" spans="1:9" x14ac:dyDescent="0.25">
      <c r="A412" s="113">
        <f t="shared" si="14"/>
        <v>55943</v>
      </c>
      <c r="B412" s="128">
        <f t="shared" si="12"/>
        <v>2053</v>
      </c>
      <c r="C412">
        <v>590.16176563952524</v>
      </c>
      <c r="D412">
        <v>816.06771970529906</v>
      </c>
      <c r="E412">
        <v>0</v>
      </c>
      <c r="F412">
        <v>267.50227542160917</v>
      </c>
      <c r="G412">
        <v>74179.023740425968</v>
      </c>
      <c r="H412">
        <v>0</v>
      </c>
      <c r="I412">
        <v>0</v>
      </c>
    </row>
    <row r="413" spans="1:9" x14ac:dyDescent="0.25">
      <c r="A413" s="113">
        <f t="shared" si="14"/>
        <v>55974</v>
      </c>
      <c r="B413" s="128">
        <f t="shared" si="12"/>
        <v>2053</v>
      </c>
      <c r="C413">
        <v>577.78633232271272</v>
      </c>
      <c r="D413">
        <v>809.58625739493129</v>
      </c>
      <c r="E413">
        <v>0</v>
      </c>
      <c r="F413">
        <v>265.40378337813814</v>
      </c>
      <c r="G413">
        <v>73681.820031975585</v>
      </c>
      <c r="H413">
        <v>0</v>
      </c>
      <c r="I413">
        <v>0</v>
      </c>
    </row>
    <row r="414" spans="1:9" x14ac:dyDescent="0.25">
      <c r="A414" s="113">
        <f t="shared" si="14"/>
        <v>56004</v>
      </c>
      <c r="B414" s="128">
        <f t="shared" si="12"/>
        <v>2053</v>
      </c>
      <c r="C414">
        <v>738.88314877319112</v>
      </c>
      <c r="D414">
        <v>827.92481679003674</v>
      </c>
      <c r="E414">
        <v>0</v>
      </c>
      <c r="F414">
        <v>263.32428185596893</v>
      </c>
      <c r="G414">
        <v>73329.454082102791</v>
      </c>
      <c r="H414">
        <v>0</v>
      </c>
      <c r="I414">
        <v>0</v>
      </c>
    </row>
    <row r="415" spans="1:9" x14ac:dyDescent="0.25">
      <c r="A415" s="113">
        <f t="shared" si="14"/>
        <v>56035</v>
      </c>
      <c r="B415" s="128">
        <f t="shared" si="12"/>
        <v>2053</v>
      </c>
      <c r="C415">
        <v>770.20885123950484</v>
      </c>
      <c r="D415">
        <v>807.29907249180599</v>
      </c>
      <c r="E415">
        <v>0</v>
      </c>
      <c r="F415">
        <v>261.28927494559093</v>
      </c>
      <c r="G415">
        <v>73031.07458590492</v>
      </c>
      <c r="H415">
        <v>0</v>
      </c>
      <c r="I415">
        <v>0</v>
      </c>
    </row>
    <row r="416" spans="1:9" x14ac:dyDescent="0.25">
      <c r="A416" s="113">
        <f t="shared" si="14"/>
        <v>56065</v>
      </c>
      <c r="B416" s="128">
        <f t="shared" si="12"/>
        <v>2053</v>
      </c>
      <c r="C416">
        <v>652.11851603355944</v>
      </c>
      <c r="D416">
        <v>801.25443851153113</v>
      </c>
      <c r="E416">
        <v>0</v>
      </c>
      <c r="F416">
        <v>259.26575875420548</v>
      </c>
      <c r="G416">
        <v>72622.672904672741</v>
      </c>
      <c r="H416">
        <v>0</v>
      </c>
      <c r="I416">
        <v>0</v>
      </c>
    </row>
    <row r="417" spans="1:9" x14ac:dyDescent="0.25">
      <c r="A417" s="113">
        <f t="shared" si="14"/>
        <v>56096</v>
      </c>
      <c r="B417" s="128">
        <f t="shared" si="12"/>
        <v>2053</v>
      </c>
      <c r="C417">
        <v>557.72637343064241</v>
      </c>
      <c r="D417">
        <v>794.52312751107411</v>
      </c>
      <c r="E417">
        <v>0</v>
      </c>
      <c r="F417">
        <v>257.226320830953</v>
      </c>
      <c r="G417">
        <v>72128.649829761285</v>
      </c>
      <c r="H417">
        <v>0</v>
      </c>
      <c r="I417">
        <v>0</v>
      </c>
    </row>
    <row r="418" spans="1:9" x14ac:dyDescent="0.25">
      <c r="A418" s="113">
        <f t="shared" si="14"/>
        <v>56127</v>
      </c>
      <c r="B418" s="128">
        <f t="shared" si="12"/>
        <v>2053</v>
      </c>
      <c r="C418">
        <v>557.45672010830572</v>
      </c>
      <c r="D418">
        <v>788.65892671158679</v>
      </c>
      <c r="E418">
        <v>0</v>
      </c>
      <c r="F418">
        <v>255.18321694873916</v>
      </c>
      <c r="G418">
        <v>71642.264406209302</v>
      </c>
      <c r="H418">
        <v>0</v>
      </c>
      <c r="I418">
        <v>0</v>
      </c>
    </row>
    <row r="419" spans="1:9" x14ac:dyDescent="0.25">
      <c r="A419" s="113">
        <f t="shared" si="14"/>
        <v>56157</v>
      </c>
      <c r="B419" s="128">
        <f t="shared" si="12"/>
        <v>2053</v>
      </c>
      <c r="C419">
        <v>589.70202110126343</v>
      </c>
      <c r="D419">
        <v>784.99469687701605</v>
      </c>
      <c r="E419">
        <v>0</v>
      </c>
      <c r="F419">
        <v>253.15860586106319</v>
      </c>
      <c r="G419">
        <v>71193.813124572465</v>
      </c>
      <c r="H419">
        <v>0</v>
      </c>
      <c r="I419">
        <v>0</v>
      </c>
    </row>
    <row r="420" spans="1:9" x14ac:dyDescent="0.25">
      <c r="A420" s="113">
        <f t="shared" si="14"/>
        <v>56188</v>
      </c>
      <c r="B420" s="128">
        <f t="shared" si="12"/>
        <v>2053</v>
      </c>
      <c r="C420">
        <v>679.73523852646952</v>
      </c>
      <c r="D420">
        <v>797.96679626948116</v>
      </c>
      <c r="E420">
        <v>0</v>
      </c>
      <c r="F420">
        <v>251.1552684621098</v>
      </c>
      <c r="G420">
        <v>70824.426298367369</v>
      </c>
      <c r="H420">
        <v>0</v>
      </c>
      <c r="I420">
        <v>0</v>
      </c>
    </row>
    <row r="421" spans="1:9" x14ac:dyDescent="0.25">
      <c r="A421" s="113">
        <f t="shared" si="14"/>
        <v>56218</v>
      </c>
      <c r="B421" s="128">
        <f t="shared" si="12"/>
        <v>2053</v>
      </c>
      <c r="C421">
        <v>534.62918889300022</v>
      </c>
      <c r="D421">
        <v>793.41214186764819</v>
      </c>
      <c r="E421">
        <v>0</v>
      </c>
      <c r="F421">
        <v>249.1634859894254</v>
      </c>
      <c r="G421">
        <v>70316.479859403291</v>
      </c>
      <c r="H421">
        <v>0</v>
      </c>
      <c r="I421">
        <v>0</v>
      </c>
    </row>
    <row r="422" spans="1:9" x14ac:dyDescent="0.25">
      <c r="A422" s="113">
        <f t="shared" si="14"/>
        <v>56249</v>
      </c>
      <c r="B422" s="128">
        <f t="shared" si="12"/>
        <v>2053</v>
      </c>
      <c r="C422">
        <v>609.20790811012841</v>
      </c>
      <c r="D422">
        <v>798.83540406841564</v>
      </c>
      <c r="E422">
        <v>0</v>
      </c>
      <c r="F422">
        <v>247.12631160528051</v>
      </c>
      <c r="G422">
        <v>69879.726051839752</v>
      </c>
      <c r="H422">
        <v>0</v>
      </c>
      <c r="I422">
        <v>0</v>
      </c>
    </row>
    <row r="423" spans="1:9" x14ac:dyDescent="0.25">
      <c r="A423" s="113">
        <f t="shared" si="14"/>
        <v>56280</v>
      </c>
      <c r="B423" s="128">
        <f t="shared" si="12"/>
        <v>2054</v>
      </c>
      <c r="C423">
        <v>526.9292914432848</v>
      </c>
      <c r="D423">
        <v>791.26971920151061</v>
      </c>
      <c r="E423">
        <v>0</v>
      </c>
      <c r="F423">
        <v>245.08080688653513</v>
      </c>
      <c r="G423">
        <v>69370.304817194963</v>
      </c>
      <c r="H423">
        <v>0</v>
      </c>
      <c r="I423">
        <v>0</v>
      </c>
    </row>
    <row r="424" spans="1:9" x14ac:dyDescent="0.25">
      <c r="A424" s="113">
        <f t="shared" si="14"/>
        <v>56308</v>
      </c>
      <c r="B424" s="128">
        <f t="shared" si="12"/>
        <v>2054</v>
      </c>
      <c r="C424">
        <v>525.73727084854909</v>
      </c>
      <c r="D424">
        <v>783.13705314918036</v>
      </c>
      <c r="E424">
        <v>0</v>
      </c>
      <c r="F424">
        <v>243.03639151958998</v>
      </c>
      <c r="G424">
        <v>68869.868643374764</v>
      </c>
      <c r="H424">
        <v>0</v>
      </c>
      <c r="I424">
        <v>0</v>
      </c>
    </row>
    <row r="425" spans="1:9" x14ac:dyDescent="0.25">
      <c r="A425" s="113">
        <f t="shared" si="14"/>
        <v>56339</v>
      </c>
      <c r="B425" s="128">
        <f t="shared" si="12"/>
        <v>2054</v>
      </c>
      <c r="C425">
        <v>515.25617921957189</v>
      </c>
      <c r="D425">
        <v>776.36041801163742</v>
      </c>
      <c r="E425">
        <v>0</v>
      </c>
      <c r="F425">
        <v>241.01237569767238</v>
      </c>
      <c r="G425">
        <v>68367.752028885006</v>
      </c>
      <c r="H425">
        <v>0</v>
      </c>
      <c r="I425">
        <v>0</v>
      </c>
    </row>
    <row r="426" spans="1:9" x14ac:dyDescent="0.25">
      <c r="A426" s="113">
        <f t="shared" si="14"/>
        <v>56369</v>
      </c>
      <c r="B426" s="128">
        <f t="shared" si="12"/>
        <v>2054</v>
      </c>
      <c r="C426">
        <v>661.24675008631311</v>
      </c>
      <c r="D426">
        <v>789.56435061343063</v>
      </c>
      <c r="E426">
        <v>0</v>
      </c>
      <c r="F426">
        <v>239.00900678455852</v>
      </c>
      <c r="G426">
        <v>68000.425421573353</v>
      </c>
      <c r="H426">
        <v>0</v>
      </c>
      <c r="I426">
        <v>0</v>
      </c>
    </row>
    <row r="427" spans="1:9" x14ac:dyDescent="0.25">
      <c r="A427" s="113">
        <f t="shared" si="14"/>
        <v>56400</v>
      </c>
      <c r="B427" s="128">
        <f t="shared" si="12"/>
        <v>2054</v>
      </c>
      <c r="C427">
        <v>682.79198122536354</v>
      </c>
      <c r="D427">
        <v>777.01043813590536</v>
      </c>
      <c r="E427">
        <v>0</v>
      </c>
      <c r="F427">
        <v>237.04347040818411</v>
      </c>
      <c r="G427">
        <v>67669.163494254608</v>
      </c>
      <c r="H427">
        <v>0</v>
      </c>
      <c r="I427">
        <v>0</v>
      </c>
    </row>
    <row r="428" spans="1:9" x14ac:dyDescent="0.25">
      <c r="A428" s="113">
        <f t="shared" si="14"/>
        <v>56430</v>
      </c>
      <c r="B428" s="128">
        <f t="shared" si="12"/>
        <v>2054</v>
      </c>
      <c r="C428">
        <v>580.33570945087251</v>
      </c>
      <c r="D428">
        <v>770.64995450767697</v>
      </c>
      <c r="E428">
        <v>0</v>
      </c>
      <c r="F428">
        <v>235.09065835958395</v>
      </c>
      <c r="G428">
        <v>67243.758590838203</v>
      </c>
      <c r="H428">
        <v>0</v>
      </c>
      <c r="I428">
        <v>0</v>
      </c>
    </row>
    <row r="429" spans="1:9" x14ac:dyDescent="0.25">
      <c r="A429" s="113">
        <f t="shared" si="14"/>
        <v>56461</v>
      </c>
      <c r="B429" s="128">
        <f t="shared" si="12"/>
        <v>2054</v>
      </c>
      <c r="C429">
        <v>496.88712993455829</v>
      </c>
      <c r="D429">
        <v>763.76460810741924</v>
      </c>
      <c r="E429">
        <v>0</v>
      </c>
      <c r="F429">
        <v>233.12663209687625</v>
      </c>
      <c r="G429">
        <v>66743.754480568459</v>
      </c>
      <c r="H429">
        <v>0</v>
      </c>
      <c r="I429">
        <v>0</v>
      </c>
    </row>
    <row r="430" spans="1:9" x14ac:dyDescent="0.25">
      <c r="A430" s="113">
        <f t="shared" si="14"/>
        <v>56492</v>
      </c>
      <c r="B430" s="128">
        <f t="shared" si="12"/>
        <v>2054</v>
      </c>
      <c r="C430">
        <v>495.03920837570951</v>
      </c>
      <c r="D430">
        <v>757.72980767131878</v>
      </c>
      <c r="E430">
        <v>0</v>
      </c>
      <c r="F430">
        <v>231.16182250259342</v>
      </c>
      <c r="G430">
        <v>66249.902058770313</v>
      </c>
      <c r="H430">
        <v>0</v>
      </c>
      <c r="I430">
        <v>0</v>
      </c>
    </row>
    <row r="431" spans="1:9" x14ac:dyDescent="0.25">
      <c r="A431" s="113">
        <f t="shared" si="14"/>
        <v>56522</v>
      </c>
      <c r="B431" s="128">
        <f t="shared" si="12"/>
        <v>2054</v>
      </c>
      <c r="C431">
        <v>521.72444649208319</v>
      </c>
      <c r="D431">
        <v>753.76735627795665</v>
      </c>
      <c r="E431">
        <v>0</v>
      </c>
      <c r="F431">
        <v>229.21526390030868</v>
      </c>
      <c r="G431">
        <v>65788.643885084108</v>
      </c>
      <c r="H431">
        <v>0</v>
      </c>
      <c r="I431">
        <v>0</v>
      </c>
    </row>
    <row r="432" spans="1:9" x14ac:dyDescent="0.25">
      <c r="A432" s="113">
        <f t="shared" si="14"/>
        <v>56553</v>
      </c>
      <c r="B432" s="128">
        <f t="shared" si="12"/>
        <v>2054</v>
      </c>
      <c r="C432">
        <v>605.4588091928963</v>
      </c>
      <c r="D432">
        <v>766.3891035521583</v>
      </c>
      <c r="E432">
        <v>0</v>
      </c>
      <c r="F432">
        <v>227.28882231127085</v>
      </c>
      <c r="G432">
        <v>65400.424768413584</v>
      </c>
      <c r="H432">
        <v>0</v>
      </c>
      <c r="I432">
        <v>0</v>
      </c>
    </row>
    <row r="433" spans="1:9" x14ac:dyDescent="0.25">
      <c r="A433" s="113">
        <f t="shared" si="14"/>
        <v>56583</v>
      </c>
      <c r="B433" s="128">
        <f t="shared" si="12"/>
        <v>2054</v>
      </c>
      <c r="C433">
        <v>474.35892090263701</v>
      </c>
      <c r="D433">
        <v>762.034197385222</v>
      </c>
      <c r="E433">
        <v>0</v>
      </c>
      <c r="F433">
        <v>225.37375378847122</v>
      </c>
      <c r="G433">
        <v>64887.375738142502</v>
      </c>
      <c r="H433">
        <v>0</v>
      </c>
      <c r="I433">
        <v>0</v>
      </c>
    </row>
    <row r="434" spans="1:9" x14ac:dyDescent="0.25">
      <c r="A434" s="113">
        <f t="shared" si="14"/>
        <v>56614</v>
      </c>
      <c r="B434" s="128">
        <f t="shared" si="12"/>
        <v>2054</v>
      </c>
      <c r="C434">
        <v>541.77081294876166</v>
      </c>
      <c r="D434">
        <v>766.3221726570988</v>
      </c>
      <c r="E434">
        <v>0</v>
      </c>
      <c r="F434">
        <v>223.41727667425067</v>
      </c>
      <c r="G434">
        <v>64439.407101759934</v>
      </c>
      <c r="H434">
        <v>0</v>
      </c>
      <c r="I434">
        <v>0</v>
      </c>
    </row>
    <row r="435" spans="1:9" x14ac:dyDescent="0.25">
      <c r="A435" s="113">
        <f t="shared" si="14"/>
        <v>56645</v>
      </c>
      <c r="B435" s="128">
        <f t="shared" si="12"/>
        <v>2055</v>
      </c>
      <c r="C435">
        <v>467.96956460244087</v>
      </c>
      <c r="D435">
        <v>758.55437459672839</v>
      </c>
      <c r="E435">
        <v>0</v>
      </c>
      <c r="F435">
        <v>221.45222066894431</v>
      </c>
      <c r="G435">
        <v>63927.37007109671</v>
      </c>
      <c r="H435">
        <v>0</v>
      </c>
      <c r="I435">
        <v>0</v>
      </c>
    </row>
    <row r="436" spans="1:9" x14ac:dyDescent="0.25">
      <c r="A436" s="113">
        <f t="shared" si="14"/>
        <v>56673</v>
      </c>
      <c r="B436" s="128">
        <f t="shared" si="12"/>
        <v>2055</v>
      </c>
      <c r="C436">
        <v>465.35068503262198</v>
      </c>
      <c r="D436">
        <v>750.26453870132104</v>
      </c>
      <c r="E436">
        <v>0</v>
      </c>
      <c r="F436">
        <v>219.49063231176507</v>
      </c>
      <c r="G436">
        <v>63422.965585116202</v>
      </c>
      <c r="H436">
        <v>0</v>
      </c>
      <c r="I436">
        <v>0</v>
      </c>
    </row>
    <row r="437" spans="1:9" x14ac:dyDescent="0.25">
      <c r="A437" s="113">
        <f t="shared" si="14"/>
        <v>56704</v>
      </c>
      <c r="B437" s="128">
        <f t="shared" si="12"/>
        <v>2055</v>
      </c>
      <c r="C437">
        <v>456.53523015330882</v>
      </c>
      <c r="D437">
        <v>743.21184357568893</v>
      </c>
      <c r="E437">
        <v>0</v>
      </c>
      <c r="F437">
        <v>217.5495247546701</v>
      </c>
      <c r="G437">
        <v>62918.73944693918</v>
      </c>
      <c r="H437">
        <v>0</v>
      </c>
      <c r="I437">
        <v>0</v>
      </c>
    </row>
    <row r="438" spans="1:9" x14ac:dyDescent="0.25">
      <c r="A438" s="113">
        <f t="shared" si="14"/>
        <v>56734</v>
      </c>
      <c r="B438" s="128">
        <f t="shared" si="12"/>
        <v>2055</v>
      </c>
      <c r="C438">
        <v>588.2525534926225</v>
      </c>
      <c r="D438">
        <v>750.7965386603006</v>
      </c>
      <c r="E438">
        <v>0</v>
      </c>
      <c r="F438">
        <v>215.63073631465468</v>
      </c>
      <c r="G438">
        <v>62540.564725456825</v>
      </c>
      <c r="H438">
        <v>0</v>
      </c>
      <c r="I438">
        <v>0</v>
      </c>
    </row>
    <row r="439" spans="1:9" x14ac:dyDescent="0.25">
      <c r="A439" s="113">
        <f t="shared" si="14"/>
        <v>56765</v>
      </c>
      <c r="B439" s="128">
        <f t="shared" si="12"/>
        <v>2055</v>
      </c>
      <c r="C439">
        <v>600.84616368603258</v>
      </c>
      <c r="D439">
        <v>743.02706629768727</v>
      </c>
      <c r="E439">
        <v>0</v>
      </c>
      <c r="F439">
        <v>213.74412237165885</v>
      </c>
      <c r="G439">
        <v>62184.639700473534</v>
      </c>
      <c r="H439">
        <v>0</v>
      </c>
      <c r="I439">
        <v>0</v>
      </c>
    </row>
    <row r="440" spans="1:9" x14ac:dyDescent="0.25">
      <c r="A440" s="113">
        <f t="shared" si="14"/>
        <v>56795</v>
      </c>
      <c r="B440" s="128">
        <f t="shared" si="12"/>
        <v>2055</v>
      </c>
      <c r="C440">
        <v>513.0741715367709</v>
      </c>
      <c r="D440">
        <v>736.39170752530981</v>
      </c>
      <c r="E440">
        <v>0</v>
      </c>
      <c r="F440">
        <v>211.87067825904876</v>
      </c>
      <c r="G440">
        <v>61749.45148622596</v>
      </c>
      <c r="H440">
        <v>0</v>
      </c>
      <c r="I440">
        <v>0</v>
      </c>
    </row>
    <row r="441" spans="1:9" x14ac:dyDescent="0.25">
      <c r="A441" s="113">
        <f t="shared" si="14"/>
        <v>56826</v>
      </c>
      <c r="B441" s="128">
        <f t="shared" si="12"/>
        <v>2055</v>
      </c>
      <c r="C441">
        <v>439.83891554681111</v>
      </c>
      <c r="D441">
        <v>729.4005304349165</v>
      </c>
      <c r="E441">
        <v>0</v>
      </c>
      <c r="F441">
        <v>209.99040823049964</v>
      </c>
      <c r="G441">
        <v>61249.899463107329</v>
      </c>
      <c r="H441">
        <v>0</v>
      </c>
      <c r="I441">
        <v>0</v>
      </c>
    </row>
    <row r="442" spans="1:9" x14ac:dyDescent="0.25">
      <c r="A442" s="113">
        <f t="shared" si="14"/>
        <v>56857</v>
      </c>
      <c r="B442" s="128">
        <f t="shared" si="12"/>
        <v>2055</v>
      </c>
      <c r="C442">
        <v>436.70878823795749</v>
      </c>
      <c r="D442">
        <v>723.23402652700702</v>
      </c>
      <c r="E442">
        <v>0</v>
      </c>
      <c r="F442">
        <v>208.11196868648341</v>
      </c>
      <c r="G442">
        <v>60755.262256131798</v>
      </c>
      <c r="H442">
        <v>0</v>
      </c>
      <c r="I442">
        <v>0</v>
      </c>
    </row>
    <row r="443" spans="1:9" x14ac:dyDescent="0.25">
      <c r="A443" s="113">
        <f t="shared" si="14"/>
        <v>56887</v>
      </c>
      <c r="B443" s="128">
        <f t="shared" si="12"/>
        <v>2055</v>
      </c>
      <c r="C443">
        <v>458.3691288876874</v>
      </c>
      <c r="D443">
        <v>719.00211995185225</v>
      </c>
      <c r="E443">
        <v>0</v>
      </c>
      <c r="F443">
        <v>206.25154152658286</v>
      </c>
      <c r="G443">
        <v>60288.377723541074</v>
      </c>
      <c r="H443">
        <v>0</v>
      </c>
      <c r="I443">
        <v>0</v>
      </c>
    </row>
    <row r="444" spans="1:9" x14ac:dyDescent="0.25">
      <c r="A444" s="113">
        <f t="shared" si="14"/>
        <v>56918</v>
      </c>
      <c r="B444" s="128">
        <f t="shared" si="12"/>
        <v>2055</v>
      </c>
      <c r="C444">
        <v>535.87357073948795</v>
      </c>
      <c r="D444">
        <v>726.06805083206336</v>
      </c>
      <c r="E444">
        <v>0</v>
      </c>
      <c r="F444">
        <v>204.41158126495165</v>
      </c>
      <c r="G444">
        <v>59893.77166218355</v>
      </c>
      <c r="H444">
        <v>0</v>
      </c>
      <c r="I444">
        <v>0</v>
      </c>
    </row>
    <row r="445" spans="1:9" x14ac:dyDescent="0.25">
      <c r="A445" s="113">
        <f t="shared" si="14"/>
        <v>56948</v>
      </c>
      <c r="B445" s="128">
        <f t="shared" si="12"/>
        <v>2055</v>
      </c>
      <c r="C445">
        <v>418.02663283637446</v>
      </c>
      <c r="D445">
        <v>726.8871812038426</v>
      </c>
      <c r="E445">
        <v>0</v>
      </c>
      <c r="F445">
        <v>202.58010206822843</v>
      </c>
      <c r="G445">
        <v>59382.331011747825</v>
      </c>
      <c r="H445">
        <v>0</v>
      </c>
      <c r="I445">
        <v>0</v>
      </c>
    </row>
    <row r="446" spans="1:9" x14ac:dyDescent="0.25">
      <c r="A446" s="113">
        <f t="shared" si="14"/>
        <v>56979</v>
      </c>
      <c r="B446" s="128">
        <f t="shared" si="12"/>
        <v>2055</v>
      </c>
      <c r="C446">
        <v>478.70288216250907</v>
      </c>
      <c r="D446">
        <v>731.81384721340953</v>
      </c>
      <c r="E446">
        <v>0</v>
      </c>
      <c r="F446">
        <v>200.71208475315615</v>
      </c>
      <c r="G446">
        <v>58928.507961943767</v>
      </c>
      <c r="H446">
        <v>0</v>
      </c>
      <c r="I446">
        <v>0</v>
      </c>
    </row>
    <row r="447" spans="1:9" x14ac:dyDescent="0.25">
      <c r="A447" s="113">
        <f t="shared" si="14"/>
        <v>57010</v>
      </c>
      <c r="B447" s="128">
        <f t="shared" si="12"/>
        <v>2056</v>
      </c>
      <c r="C447">
        <v>412.84733200406225</v>
      </c>
      <c r="D447">
        <v>723.88063749582921</v>
      </c>
      <c r="E447">
        <v>0</v>
      </c>
      <c r="F447">
        <v>198.83599211835025</v>
      </c>
      <c r="G447">
        <v>58418.638664333666</v>
      </c>
      <c r="H447">
        <v>0</v>
      </c>
      <c r="I447">
        <v>0</v>
      </c>
    </row>
    <row r="448" spans="1:9" x14ac:dyDescent="0.25">
      <c r="A448" s="113">
        <f t="shared" si="14"/>
        <v>57039</v>
      </c>
      <c r="B448" s="128">
        <f t="shared" si="12"/>
        <v>2056</v>
      </c>
      <c r="C448">
        <v>409.09511352983583</v>
      </c>
      <c r="D448">
        <v>715.4781238975869</v>
      </c>
      <c r="E448">
        <v>0</v>
      </c>
      <c r="F448">
        <v>196.96552056854347</v>
      </c>
      <c r="G448">
        <v>57915.290133397371</v>
      </c>
      <c r="H448">
        <v>0</v>
      </c>
      <c r="I448">
        <v>0</v>
      </c>
    </row>
    <row r="449" spans="1:9" x14ac:dyDescent="0.25">
      <c r="A449" s="113">
        <f t="shared" si="14"/>
        <v>57070</v>
      </c>
      <c r="B449" s="128">
        <f t="shared" si="12"/>
        <v>2056</v>
      </c>
      <c r="C449">
        <v>401.72255765656155</v>
      </c>
      <c r="D449">
        <v>708.19415496498743</v>
      </c>
      <c r="E449">
        <v>0</v>
      </c>
      <c r="F449">
        <v>195.11555480944142</v>
      </c>
      <c r="G449">
        <v>57413.702981279464</v>
      </c>
      <c r="H449">
        <v>0</v>
      </c>
      <c r="I449">
        <v>0</v>
      </c>
    </row>
    <row r="450" spans="1:9" x14ac:dyDescent="0.25">
      <c r="A450" s="113">
        <f t="shared" si="14"/>
        <v>57100</v>
      </c>
      <c r="B450" s="128">
        <f t="shared" si="12"/>
        <v>2056</v>
      </c>
      <c r="C450">
        <v>520.01339709346087</v>
      </c>
      <c r="D450">
        <v>715.05144542675805</v>
      </c>
      <c r="E450">
        <v>0</v>
      </c>
      <c r="F450">
        <v>193.28810240286529</v>
      </c>
      <c r="G450">
        <v>57025.376830543311</v>
      </c>
      <c r="H450">
        <v>0</v>
      </c>
      <c r="I450">
        <v>0</v>
      </c>
    </row>
    <row r="451" spans="1:9" x14ac:dyDescent="0.25">
      <c r="A451" s="113">
        <f t="shared" si="14"/>
        <v>57131</v>
      </c>
      <c r="B451" s="128">
        <f t="shared" ref="B451:B514" si="15">YEAR(A451)</f>
        <v>2056</v>
      </c>
      <c r="C451">
        <v>524.54741441318936</v>
      </c>
      <c r="D451">
        <v>707.16940758117732</v>
      </c>
      <c r="E451">
        <v>0</v>
      </c>
      <c r="F451">
        <v>191.49007099674122</v>
      </c>
      <c r="G451">
        <v>56651.264766378612</v>
      </c>
      <c r="H451">
        <v>0</v>
      </c>
      <c r="I451">
        <v>0</v>
      </c>
    </row>
    <row r="452" spans="1:9" x14ac:dyDescent="0.25">
      <c r="A452" s="113">
        <f t="shared" si="14"/>
        <v>57161</v>
      </c>
      <c r="B452" s="128">
        <f t="shared" si="15"/>
        <v>2056</v>
      </c>
      <c r="C452">
        <v>450.43992660542676</v>
      </c>
      <c r="D452">
        <v>700.30079834513037</v>
      </c>
      <c r="E452">
        <v>0</v>
      </c>
      <c r="F452">
        <v>189.70441523849325</v>
      </c>
      <c r="G452">
        <v>56211.69947940042</v>
      </c>
      <c r="H452">
        <v>0</v>
      </c>
      <c r="I452">
        <v>0</v>
      </c>
    </row>
    <row r="453" spans="1:9" x14ac:dyDescent="0.25">
      <c r="A453" s="113">
        <f t="shared" si="14"/>
        <v>57192</v>
      </c>
      <c r="B453" s="128">
        <f t="shared" si="15"/>
        <v>2056</v>
      </c>
      <c r="C453">
        <v>386.67117255538881</v>
      </c>
      <c r="D453">
        <v>693.24765014980915</v>
      </c>
      <c r="E453">
        <v>0</v>
      </c>
      <c r="F453">
        <v>187.91595750374904</v>
      </c>
      <c r="G453">
        <v>55717.207044302209</v>
      </c>
      <c r="H453">
        <v>0</v>
      </c>
      <c r="I453">
        <v>0</v>
      </c>
    </row>
    <row r="454" spans="1:9" x14ac:dyDescent="0.25">
      <c r="A454" s="113">
        <f t="shared" si="14"/>
        <v>57223</v>
      </c>
      <c r="B454" s="128">
        <f t="shared" si="15"/>
        <v>2056</v>
      </c>
      <c r="C454">
        <v>382.54692524420108</v>
      </c>
      <c r="D454">
        <v>686.98416906816624</v>
      </c>
      <c r="E454">
        <v>0</v>
      </c>
      <c r="F454">
        <v>186.13165133550609</v>
      </c>
      <c r="G454">
        <v>55226.638149142789</v>
      </c>
      <c r="H454">
        <v>0</v>
      </c>
      <c r="I454">
        <v>0</v>
      </c>
    </row>
    <row r="455" spans="1:9" x14ac:dyDescent="0.25">
      <c r="A455" s="113">
        <f t="shared" si="14"/>
        <v>57253</v>
      </c>
      <c r="B455" s="128">
        <f t="shared" si="15"/>
        <v>2056</v>
      </c>
      <c r="C455">
        <v>399.73561137395978</v>
      </c>
      <c r="D455">
        <v>682.51032038776873</v>
      </c>
      <c r="E455">
        <v>0</v>
      </c>
      <c r="F455">
        <v>184.36510142149629</v>
      </c>
      <c r="G455">
        <v>54759.498338707454</v>
      </c>
      <c r="H455">
        <v>0</v>
      </c>
      <c r="I455">
        <v>0</v>
      </c>
    </row>
    <row r="456" spans="1:9" x14ac:dyDescent="0.25">
      <c r="A456" s="113">
        <f t="shared" si="14"/>
        <v>57284</v>
      </c>
      <c r="B456" s="128">
        <f t="shared" si="15"/>
        <v>2056</v>
      </c>
      <c r="C456">
        <v>471.08149601994933</v>
      </c>
      <c r="D456">
        <v>688.70986824127704</v>
      </c>
      <c r="E456">
        <v>0</v>
      </c>
      <c r="F456">
        <v>182.61814410209075</v>
      </c>
      <c r="G456">
        <v>54359.251822384031</v>
      </c>
      <c r="H456">
        <v>0</v>
      </c>
      <c r="I456">
        <v>0</v>
      </c>
    </row>
    <row r="457" spans="1:9" x14ac:dyDescent="0.25">
      <c r="A457" s="113">
        <f t="shared" si="14"/>
        <v>57314</v>
      </c>
      <c r="B457" s="128">
        <f t="shared" si="15"/>
        <v>2056</v>
      </c>
      <c r="C457">
        <v>365.720012397147</v>
      </c>
      <c r="D457">
        <v>687.92557318926117</v>
      </c>
      <c r="E457">
        <v>0</v>
      </c>
      <c r="F457">
        <v>180.87998191741752</v>
      </c>
      <c r="G457">
        <v>53856.166279674508</v>
      </c>
      <c r="H457">
        <v>0</v>
      </c>
      <c r="I457">
        <v>0</v>
      </c>
    </row>
    <row r="458" spans="1:9" x14ac:dyDescent="0.25">
      <c r="A458" s="113">
        <f t="shared" si="14"/>
        <v>57345</v>
      </c>
      <c r="B458" s="128">
        <f t="shared" si="15"/>
        <v>2056</v>
      </c>
      <c r="C458">
        <v>420.08599503758774</v>
      </c>
      <c r="D458">
        <v>691.69601094454265</v>
      </c>
      <c r="E458">
        <v>0</v>
      </c>
      <c r="F458">
        <v>179.10877993370124</v>
      </c>
      <c r="G458">
        <v>53405.447483833843</v>
      </c>
      <c r="H458">
        <v>0</v>
      </c>
      <c r="I458">
        <v>0</v>
      </c>
    </row>
    <row r="459" spans="1:9" x14ac:dyDescent="0.25">
      <c r="A459" s="113">
        <f t="shared" si="14"/>
        <v>57376</v>
      </c>
      <c r="B459" s="128">
        <f t="shared" si="15"/>
        <v>2057</v>
      </c>
      <c r="C459">
        <v>361.64180268635846</v>
      </c>
      <c r="D459">
        <v>683.67016399839508</v>
      </c>
      <c r="E459">
        <v>0</v>
      </c>
      <c r="F459">
        <v>177.32974764483944</v>
      </c>
      <c r="G459">
        <v>52906.089374876967</v>
      </c>
      <c r="H459">
        <v>0</v>
      </c>
      <c r="I459">
        <v>0</v>
      </c>
    </row>
    <row r="460" spans="1:9" x14ac:dyDescent="0.25">
      <c r="A460" s="113">
        <f t="shared" ref="A460:A523" si="16">DATE(YEAR(A459),MONTH(A459)+2,1)-1</f>
        <v>57404</v>
      </c>
      <c r="B460" s="128">
        <f t="shared" si="15"/>
        <v>2057</v>
      </c>
      <c r="C460">
        <v>357.0388115913791</v>
      </c>
      <c r="D460">
        <v>675.23381684192441</v>
      </c>
      <c r="E460">
        <v>0</v>
      </c>
      <c r="F460">
        <v>175.55823871547815</v>
      </c>
      <c r="G460">
        <v>52412.336130910946</v>
      </c>
      <c r="H460">
        <v>0</v>
      </c>
      <c r="I460">
        <v>0</v>
      </c>
    </row>
    <row r="461" spans="1:9" x14ac:dyDescent="0.25">
      <c r="A461" s="113">
        <f t="shared" si="16"/>
        <v>57435</v>
      </c>
      <c r="B461" s="128">
        <f t="shared" si="15"/>
        <v>2057</v>
      </c>
      <c r="C461">
        <v>350.89732348127166</v>
      </c>
      <c r="D461">
        <v>667.80027522393868</v>
      </c>
      <c r="E461">
        <v>0</v>
      </c>
      <c r="F461">
        <v>173.80717850641958</v>
      </c>
      <c r="G461">
        <v>51921.626000661861</v>
      </c>
      <c r="H461">
        <v>0</v>
      </c>
      <c r="I461">
        <v>0</v>
      </c>
    </row>
    <row r="462" spans="1:9" x14ac:dyDescent="0.25">
      <c r="A462" s="113">
        <f t="shared" si="16"/>
        <v>57465</v>
      </c>
      <c r="B462" s="128">
        <f t="shared" si="15"/>
        <v>2057</v>
      </c>
      <c r="C462">
        <v>456.61589631949875</v>
      </c>
      <c r="D462">
        <v>673.9513580052535</v>
      </c>
      <c r="E462">
        <v>0</v>
      </c>
      <c r="F462">
        <v>172.07866717916232</v>
      </c>
      <c r="G462">
        <v>51532.21187179695</v>
      </c>
      <c r="H462">
        <v>0</v>
      </c>
      <c r="I462">
        <v>0</v>
      </c>
    </row>
    <row r="463" spans="1:9" x14ac:dyDescent="0.25">
      <c r="A463" s="113">
        <f t="shared" si="16"/>
        <v>57496</v>
      </c>
      <c r="B463" s="128">
        <f t="shared" si="15"/>
        <v>2057</v>
      </c>
      <c r="C463">
        <v>454.04588618874345</v>
      </c>
      <c r="D463">
        <v>665.9986326023776</v>
      </c>
      <c r="E463">
        <v>0</v>
      </c>
      <c r="F463">
        <v>170.37702518718393</v>
      </c>
      <c r="G463">
        <v>51149.882100196162</v>
      </c>
      <c r="H463">
        <v>0</v>
      </c>
      <c r="I463">
        <v>0</v>
      </c>
    </row>
    <row r="464" spans="1:9" x14ac:dyDescent="0.25">
      <c r="A464" s="113">
        <f t="shared" si="16"/>
        <v>57526</v>
      </c>
      <c r="B464" s="128">
        <f t="shared" si="15"/>
        <v>2057</v>
      </c>
      <c r="C464">
        <v>392.51186718337982</v>
      </c>
      <c r="D464">
        <v>658.97483578207164</v>
      </c>
      <c r="E464">
        <v>0</v>
      </c>
      <c r="F464">
        <v>168.68705558206753</v>
      </c>
      <c r="G464">
        <v>50714.73207601536</v>
      </c>
      <c r="H464">
        <v>0</v>
      </c>
      <c r="I464">
        <v>0</v>
      </c>
    </row>
    <row r="465" spans="1:9" x14ac:dyDescent="0.25">
      <c r="A465" s="113">
        <f t="shared" si="16"/>
        <v>57557</v>
      </c>
      <c r="B465" s="128">
        <f t="shared" si="15"/>
        <v>2057</v>
      </c>
      <c r="C465">
        <v>337.45125129313914</v>
      </c>
      <c r="D465">
        <v>651.93422362089984</v>
      </c>
      <c r="E465">
        <v>0</v>
      </c>
      <c r="F465">
        <v>166.99789871354591</v>
      </c>
      <c r="G465">
        <v>50233.251204974054</v>
      </c>
      <c r="H465">
        <v>0</v>
      </c>
      <c r="I465">
        <v>0</v>
      </c>
    </row>
    <row r="466" spans="1:9" x14ac:dyDescent="0.25">
      <c r="A466" s="113">
        <f t="shared" si="16"/>
        <v>57588</v>
      </c>
      <c r="B466" s="128">
        <f t="shared" si="15"/>
        <v>2057</v>
      </c>
      <c r="C466">
        <v>332.60704732331925</v>
      </c>
      <c r="D466">
        <v>644.04939048322274</v>
      </c>
      <c r="E466">
        <v>0</v>
      </c>
      <c r="F466">
        <v>165.31533675609975</v>
      </c>
      <c r="G466">
        <v>49756.493525058046</v>
      </c>
      <c r="H466">
        <v>0</v>
      </c>
      <c r="I466">
        <v>0</v>
      </c>
    </row>
    <row r="467" spans="1:9" x14ac:dyDescent="0.25">
      <c r="A467" s="113">
        <f t="shared" si="16"/>
        <v>57618</v>
      </c>
      <c r="B467" s="128">
        <f t="shared" si="15"/>
        <v>2057</v>
      </c>
      <c r="C467">
        <v>345.88727010838414</v>
      </c>
      <c r="D467">
        <v>638.49537719202783</v>
      </c>
      <c r="E467">
        <v>0</v>
      </c>
      <c r="F467">
        <v>163.6500472951013</v>
      </c>
      <c r="G467">
        <v>49300.235370679329</v>
      </c>
      <c r="H467">
        <v>0</v>
      </c>
      <c r="I467">
        <v>0</v>
      </c>
    </row>
    <row r="468" spans="1:9" x14ac:dyDescent="0.25">
      <c r="A468" s="113">
        <f t="shared" si="16"/>
        <v>57649</v>
      </c>
      <c r="B468" s="128">
        <f t="shared" si="15"/>
        <v>2057</v>
      </c>
      <c r="C468">
        <v>411.15535061014066</v>
      </c>
      <c r="D468">
        <v>643.25406492002628</v>
      </c>
      <c r="E468">
        <v>0</v>
      </c>
      <c r="F468">
        <v>162.00343577413545</v>
      </c>
      <c r="G468">
        <v>48906.133220595315</v>
      </c>
      <c r="H468">
        <v>0</v>
      </c>
      <c r="I468">
        <v>0</v>
      </c>
    </row>
    <row r="469" spans="1:9" x14ac:dyDescent="0.25">
      <c r="A469" s="113">
        <f t="shared" si="16"/>
        <v>57679</v>
      </c>
      <c r="B469" s="128">
        <f t="shared" si="15"/>
        <v>2057</v>
      </c>
      <c r="C469">
        <v>317.50098616900891</v>
      </c>
      <c r="D469">
        <v>641.62870152491473</v>
      </c>
      <c r="E469">
        <v>0</v>
      </c>
      <c r="F469">
        <v>160.36561282247871</v>
      </c>
      <c r="G469">
        <v>48421.639892416912</v>
      </c>
      <c r="H469">
        <v>0</v>
      </c>
      <c r="I469">
        <v>0</v>
      </c>
    </row>
    <row r="470" spans="1:9" x14ac:dyDescent="0.25">
      <c r="A470" s="113">
        <f t="shared" si="16"/>
        <v>57710</v>
      </c>
      <c r="B470" s="128">
        <f t="shared" si="15"/>
        <v>2057</v>
      </c>
      <c r="C470">
        <v>365.97250194925334</v>
      </c>
      <c r="D470">
        <v>645.38804497421745</v>
      </c>
      <c r="E470">
        <v>0</v>
      </c>
      <c r="F470">
        <v>158.69810953054576</v>
      </c>
      <c r="G470">
        <v>47983.526239861392</v>
      </c>
      <c r="H470">
        <v>0</v>
      </c>
      <c r="I470">
        <v>0</v>
      </c>
    </row>
    <row r="471" spans="1:9" x14ac:dyDescent="0.25">
      <c r="A471" s="113">
        <f t="shared" si="16"/>
        <v>57741</v>
      </c>
      <c r="B471" s="128">
        <f t="shared" si="15"/>
        <v>2058</v>
      </c>
      <c r="C471">
        <v>314.40708205972601</v>
      </c>
      <c r="D471">
        <v>637.35867417432041</v>
      </c>
      <c r="E471">
        <v>0</v>
      </c>
      <c r="F471">
        <v>157.02353039232904</v>
      </c>
      <c r="G471">
        <v>47503.551117354466</v>
      </c>
      <c r="H471">
        <v>0</v>
      </c>
      <c r="I471">
        <v>0</v>
      </c>
    </row>
    <row r="472" spans="1:9" x14ac:dyDescent="0.25">
      <c r="A472" s="113">
        <f t="shared" si="16"/>
        <v>57769</v>
      </c>
      <c r="B472" s="128">
        <f t="shared" si="15"/>
        <v>2058</v>
      </c>
      <c r="C472">
        <v>309.21895482541493</v>
      </c>
      <c r="D472">
        <v>628.98166198895331</v>
      </c>
      <c r="E472">
        <v>0</v>
      </c>
      <c r="F472">
        <v>155.35810212022005</v>
      </c>
      <c r="G472">
        <v>47028.43030807071</v>
      </c>
      <c r="H472">
        <v>0</v>
      </c>
      <c r="I472">
        <v>0</v>
      </c>
    </row>
    <row r="473" spans="1:9" x14ac:dyDescent="0.25">
      <c r="A473" s="113">
        <f t="shared" si="16"/>
        <v>57800</v>
      </c>
      <c r="B473" s="128">
        <f t="shared" si="15"/>
        <v>2058</v>
      </c>
      <c r="C473">
        <v>304.11233058768795</v>
      </c>
      <c r="D473">
        <v>621.49683193519718</v>
      </c>
      <c r="E473">
        <v>0</v>
      </c>
      <c r="F473">
        <v>153.71295892337355</v>
      </c>
      <c r="G473">
        <v>46557.332847799837</v>
      </c>
      <c r="H473">
        <v>0</v>
      </c>
      <c r="I473">
        <v>0</v>
      </c>
    </row>
    <row r="474" spans="1:9" x14ac:dyDescent="0.25">
      <c r="A474" s="113">
        <f t="shared" si="16"/>
        <v>57830</v>
      </c>
      <c r="B474" s="128">
        <f t="shared" si="15"/>
        <v>2058</v>
      </c>
      <c r="C474">
        <v>398.11340664322455</v>
      </c>
      <c r="D474">
        <v>626.97683018743351</v>
      </c>
      <c r="E474">
        <v>0</v>
      </c>
      <c r="F474">
        <v>152.09022176247751</v>
      </c>
      <c r="G474">
        <v>46176.379202493139</v>
      </c>
      <c r="H474">
        <v>0</v>
      </c>
      <c r="I474">
        <v>0</v>
      </c>
    </row>
    <row r="475" spans="1:9" x14ac:dyDescent="0.25">
      <c r="A475" s="113">
        <f t="shared" si="16"/>
        <v>57861</v>
      </c>
      <c r="B475" s="128">
        <f t="shared" si="15"/>
        <v>2058</v>
      </c>
      <c r="C475">
        <v>389.45283804114575</v>
      </c>
      <c r="D475">
        <v>619.01419836632601</v>
      </c>
      <c r="E475">
        <v>0</v>
      </c>
      <c r="F475">
        <v>150.49198564349891</v>
      </c>
      <c r="G475">
        <v>45796.325856524483</v>
      </c>
      <c r="H475">
        <v>0</v>
      </c>
      <c r="I475">
        <v>0</v>
      </c>
    </row>
    <row r="476" spans="1:9" x14ac:dyDescent="0.25">
      <c r="A476" s="113">
        <f t="shared" si="16"/>
        <v>57891</v>
      </c>
      <c r="B476" s="128">
        <f t="shared" si="15"/>
        <v>2058</v>
      </c>
      <c r="C476">
        <v>339.33454965782698</v>
      </c>
      <c r="D476">
        <v>611.93005424195508</v>
      </c>
      <c r="E476">
        <v>0</v>
      </c>
      <c r="F476">
        <v>148.90479616397272</v>
      </c>
      <c r="G476">
        <v>45374.825555776391</v>
      </c>
      <c r="H476">
        <v>0</v>
      </c>
      <c r="I476">
        <v>0</v>
      </c>
    </row>
    <row r="477" spans="1:9" x14ac:dyDescent="0.25">
      <c r="A477" s="113">
        <f t="shared" si="16"/>
        <v>57922</v>
      </c>
      <c r="B477" s="128">
        <f t="shared" si="15"/>
        <v>2058</v>
      </c>
      <c r="C477">
        <v>292.21842411250492</v>
      </c>
      <c r="D477">
        <v>604.98735656696465</v>
      </c>
      <c r="E477">
        <v>0</v>
      </c>
      <c r="F477">
        <v>147.32158357428904</v>
      </c>
      <c r="G477">
        <v>44914.735039747626</v>
      </c>
      <c r="H477">
        <v>0</v>
      </c>
      <c r="I477">
        <v>0</v>
      </c>
    </row>
    <row r="478" spans="1:9" x14ac:dyDescent="0.25">
      <c r="A478" s="113">
        <f t="shared" si="16"/>
        <v>57953</v>
      </c>
      <c r="B478" s="128">
        <f t="shared" si="15"/>
        <v>2058</v>
      </c>
      <c r="C478">
        <v>286.90867903377523</v>
      </c>
      <c r="D478">
        <v>598.73926906804763</v>
      </c>
      <c r="E478">
        <v>0</v>
      </c>
      <c r="F478">
        <v>145.74620899731207</v>
      </c>
      <c r="G478">
        <v>44457.158240716024</v>
      </c>
      <c r="H478">
        <v>0</v>
      </c>
      <c r="I478">
        <v>0</v>
      </c>
    </row>
    <row r="479" spans="1:9" x14ac:dyDescent="0.25">
      <c r="A479" s="113">
        <f t="shared" si="16"/>
        <v>57983</v>
      </c>
      <c r="B479" s="128">
        <f t="shared" si="15"/>
        <v>2058</v>
      </c>
      <c r="C479">
        <v>296.84309120333938</v>
      </c>
      <c r="D479">
        <v>593.98221545369881</v>
      </c>
      <c r="E479">
        <v>0</v>
      </c>
      <c r="F479">
        <v>144.18794249442072</v>
      </c>
      <c r="G479">
        <v>44015.831173971274</v>
      </c>
      <c r="H479">
        <v>0</v>
      </c>
      <c r="I479">
        <v>0</v>
      </c>
    </row>
    <row r="480" spans="1:9" x14ac:dyDescent="0.25">
      <c r="A480" s="113">
        <f t="shared" si="16"/>
        <v>58014</v>
      </c>
      <c r="B480" s="128">
        <f t="shared" si="15"/>
        <v>2058</v>
      </c>
      <c r="C480">
        <v>356.13173880967639</v>
      </c>
      <c r="D480">
        <v>598.51481348216305</v>
      </c>
      <c r="E480">
        <v>0</v>
      </c>
      <c r="F480">
        <v>142.64763161466337</v>
      </c>
      <c r="G480">
        <v>43630.800467684116</v>
      </c>
      <c r="H480">
        <v>0</v>
      </c>
      <c r="I480">
        <v>0</v>
      </c>
    </row>
    <row r="481" spans="1:9" x14ac:dyDescent="0.25">
      <c r="A481" s="113">
        <f t="shared" si="16"/>
        <v>58044</v>
      </c>
      <c r="B481" s="128">
        <f t="shared" si="15"/>
        <v>2058</v>
      </c>
      <c r="C481">
        <v>273.39914540772298</v>
      </c>
      <c r="D481">
        <v>598.32659764020423</v>
      </c>
      <c r="E481">
        <v>0</v>
      </c>
      <c r="F481">
        <v>141.11583398756042</v>
      </c>
      <c r="G481">
        <v>43164.757181464069</v>
      </c>
      <c r="H481">
        <v>0</v>
      </c>
      <c r="I481">
        <v>0</v>
      </c>
    </row>
    <row r="482" spans="1:9" x14ac:dyDescent="0.25">
      <c r="A482" s="113">
        <f t="shared" si="16"/>
        <v>58075</v>
      </c>
      <c r="B482" s="128">
        <f t="shared" si="15"/>
        <v>2058</v>
      </c>
      <c r="C482">
        <v>316.37961900969731</v>
      </c>
      <c r="D482">
        <v>601.47907953478875</v>
      </c>
      <c r="E482">
        <v>0</v>
      </c>
      <c r="F482">
        <v>139.55843396474233</v>
      </c>
      <c r="G482">
        <v>42740.099286974233</v>
      </c>
      <c r="H482">
        <v>0</v>
      </c>
      <c r="I482">
        <v>0</v>
      </c>
    </row>
    <row r="483" spans="1:9" x14ac:dyDescent="0.25">
      <c r="A483" s="113">
        <f t="shared" si="16"/>
        <v>58106</v>
      </c>
      <c r="B483" s="128">
        <f t="shared" si="15"/>
        <v>2059</v>
      </c>
      <c r="C483">
        <v>271.16643221547639</v>
      </c>
      <c r="D483">
        <v>593.48795794579303</v>
      </c>
      <c r="E483">
        <v>0</v>
      </c>
      <c r="F483">
        <v>137.9947170170235</v>
      </c>
      <c r="G483">
        <v>42279.783044226919</v>
      </c>
      <c r="H483">
        <v>0</v>
      </c>
      <c r="I483">
        <v>0</v>
      </c>
    </row>
    <row r="484" spans="1:9" x14ac:dyDescent="0.25">
      <c r="A484" s="113">
        <f t="shared" si="16"/>
        <v>58134</v>
      </c>
      <c r="B484" s="128">
        <f t="shared" si="15"/>
        <v>2059</v>
      </c>
      <c r="C484">
        <v>265.63625860391932</v>
      </c>
      <c r="D484">
        <v>585.21423176839994</v>
      </c>
      <c r="E484">
        <v>0</v>
      </c>
      <c r="F484">
        <v>136.44148452526204</v>
      </c>
      <c r="G484">
        <v>41823.763586537149</v>
      </c>
      <c r="H484">
        <v>0</v>
      </c>
      <c r="I484">
        <v>0</v>
      </c>
    </row>
    <row r="485" spans="1:9" x14ac:dyDescent="0.25">
      <c r="A485" s="113">
        <f t="shared" si="16"/>
        <v>58165</v>
      </c>
      <c r="B485" s="128">
        <f t="shared" si="15"/>
        <v>2059</v>
      </c>
      <c r="C485">
        <v>261.38795798919875</v>
      </c>
      <c r="D485">
        <v>577.72928473288232</v>
      </c>
      <c r="E485">
        <v>0</v>
      </c>
      <c r="F485">
        <v>134.9082453446531</v>
      </c>
      <c r="G485">
        <v>41372.514014448803</v>
      </c>
      <c r="H485">
        <v>0</v>
      </c>
      <c r="I485">
        <v>0</v>
      </c>
    </row>
    <row r="486" spans="1:9" x14ac:dyDescent="0.25">
      <c r="A486" s="113">
        <f t="shared" si="16"/>
        <v>58195</v>
      </c>
      <c r="B486" s="128">
        <f t="shared" si="15"/>
        <v>2059</v>
      </c>
      <c r="C486">
        <v>344.51980489326149</v>
      </c>
      <c r="D486">
        <v>579.25529706503062</v>
      </c>
      <c r="E486">
        <v>0</v>
      </c>
      <c r="F486">
        <v>133.39797319391289</v>
      </c>
      <c r="G486">
        <v>41004.380549083115</v>
      </c>
      <c r="H486">
        <v>0</v>
      </c>
      <c r="I486">
        <v>0</v>
      </c>
    </row>
    <row r="487" spans="1:9" x14ac:dyDescent="0.25">
      <c r="A487" s="113">
        <f t="shared" si="16"/>
        <v>58226</v>
      </c>
      <c r="B487" s="128">
        <f t="shared" si="15"/>
        <v>2059</v>
      </c>
      <c r="C487">
        <v>330.82752583587205</v>
      </c>
      <c r="D487">
        <v>574.57327458595569</v>
      </c>
      <c r="E487">
        <v>0</v>
      </c>
      <c r="F487">
        <v>131.90820601065457</v>
      </c>
      <c r="G487">
        <v>40628.726594322376</v>
      </c>
      <c r="H487">
        <v>0</v>
      </c>
      <c r="I487">
        <v>0</v>
      </c>
    </row>
    <row r="488" spans="1:9" x14ac:dyDescent="0.25">
      <c r="A488" s="113">
        <f t="shared" si="16"/>
        <v>58256</v>
      </c>
      <c r="B488" s="128">
        <f t="shared" si="15"/>
        <v>2059</v>
      </c>
      <c r="C488">
        <v>290.91179434565009</v>
      </c>
      <c r="D488">
        <v>567.47819646462574</v>
      </c>
      <c r="E488">
        <v>0</v>
      </c>
      <c r="F488">
        <v>130.42981933560776</v>
      </c>
      <c r="G488">
        <v>40221.730372867802</v>
      </c>
      <c r="H488">
        <v>0</v>
      </c>
      <c r="I488">
        <v>0</v>
      </c>
    </row>
    <row r="489" spans="1:9" x14ac:dyDescent="0.25">
      <c r="A489" s="113">
        <f t="shared" si="16"/>
        <v>58287</v>
      </c>
      <c r="B489" s="128">
        <f t="shared" si="15"/>
        <v>2059</v>
      </c>
      <c r="C489">
        <v>250.97851944453615</v>
      </c>
      <c r="D489">
        <v>560.66816434467671</v>
      </c>
      <c r="E489">
        <v>0</v>
      </c>
      <c r="F489">
        <v>128.95808894915149</v>
      </c>
      <c r="G489">
        <v>39783.082639018503</v>
      </c>
      <c r="H489">
        <v>0</v>
      </c>
      <c r="I489">
        <v>0</v>
      </c>
    </row>
    <row r="490" spans="1:9" x14ac:dyDescent="0.25">
      <c r="A490" s="113">
        <f t="shared" si="16"/>
        <v>58318</v>
      </c>
      <c r="B490" s="128">
        <f t="shared" si="15"/>
        <v>2059</v>
      </c>
      <c r="C490">
        <v>245.43266966597639</v>
      </c>
      <c r="D490">
        <v>554.49579348038833</v>
      </c>
      <c r="E490">
        <v>0</v>
      </c>
      <c r="F490">
        <v>127.49553690356851</v>
      </c>
      <c r="G490">
        <v>39346.52397830056</v>
      </c>
      <c r="H490">
        <v>0</v>
      </c>
      <c r="I490">
        <v>0</v>
      </c>
    </row>
    <row r="491" spans="1:9" x14ac:dyDescent="0.25">
      <c r="A491" s="113">
        <f t="shared" si="16"/>
        <v>58348</v>
      </c>
      <c r="B491" s="128">
        <f t="shared" si="15"/>
        <v>2059</v>
      </c>
      <c r="C491">
        <v>252.57115442085018</v>
      </c>
      <c r="D491">
        <v>549.66702388550107</v>
      </c>
      <c r="E491">
        <v>0</v>
      </c>
      <c r="F491">
        <v>126.04966278156381</v>
      </c>
      <c r="G491">
        <v>38923.378446054347</v>
      </c>
      <c r="H491">
        <v>0</v>
      </c>
      <c r="I491">
        <v>0</v>
      </c>
    </row>
    <row r="492" spans="1:9" x14ac:dyDescent="0.25">
      <c r="A492" s="113">
        <f t="shared" si="16"/>
        <v>58379</v>
      </c>
      <c r="B492" s="128">
        <f t="shared" si="15"/>
        <v>2059</v>
      </c>
      <c r="C492">
        <v>306.00513444923166</v>
      </c>
      <c r="D492">
        <v>550.23831950750298</v>
      </c>
      <c r="E492">
        <v>0</v>
      </c>
      <c r="F492">
        <v>124.62179660474089</v>
      </c>
      <c r="G492">
        <v>38554.523464391277</v>
      </c>
      <c r="H492">
        <v>0</v>
      </c>
      <c r="I492">
        <v>0</v>
      </c>
    </row>
    <row r="493" spans="1:9" x14ac:dyDescent="0.25">
      <c r="A493" s="113">
        <f t="shared" si="16"/>
        <v>58409</v>
      </c>
      <c r="B493" s="128">
        <f t="shared" si="15"/>
        <v>2059</v>
      </c>
      <c r="C493">
        <v>233.406051295336</v>
      </c>
      <c r="D493">
        <v>551.91695971156844</v>
      </c>
      <c r="E493">
        <v>0</v>
      </c>
      <c r="F493">
        <v>123.20103875075685</v>
      </c>
      <c r="G493">
        <v>38112.811517224334</v>
      </c>
      <c r="H493">
        <v>0</v>
      </c>
      <c r="I493">
        <v>0</v>
      </c>
    </row>
    <row r="494" spans="1:9" x14ac:dyDescent="0.25">
      <c r="A494" s="113">
        <f t="shared" si="16"/>
        <v>58440</v>
      </c>
      <c r="B494" s="128">
        <f t="shared" si="15"/>
        <v>2059</v>
      </c>
      <c r="C494">
        <v>271.28499472039607</v>
      </c>
      <c r="D494">
        <v>554.48497011156871</v>
      </c>
      <c r="E494">
        <v>0</v>
      </c>
      <c r="F494">
        <v>121.75875801890511</v>
      </c>
      <c r="G494">
        <v>37707.852783814262</v>
      </c>
      <c r="H494">
        <v>0</v>
      </c>
      <c r="I494">
        <v>0</v>
      </c>
    </row>
    <row r="495" spans="1:9" x14ac:dyDescent="0.25">
      <c r="A495" s="113">
        <f t="shared" si="16"/>
        <v>58471</v>
      </c>
      <c r="B495" s="128">
        <f t="shared" si="15"/>
        <v>2060</v>
      </c>
      <c r="C495">
        <v>231.9074437694504</v>
      </c>
      <c r="D495">
        <v>546.61907103527392</v>
      </c>
      <c r="E495">
        <v>0</v>
      </c>
      <c r="F495">
        <v>120.31103384482128</v>
      </c>
      <c r="G495">
        <v>37272.830122703599</v>
      </c>
      <c r="H495">
        <v>0</v>
      </c>
      <c r="I495">
        <v>0</v>
      </c>
    </row>
    <row r="496" spans="1:9" x14ac:dyDescent="0.25">
      <c r="A496" s="113">
        <f t="shared" si="16"/>
        <v>58500</v>
      </c>
      <c r="B496" s="128">
        <f t="shared" si="15"/>
        <v>2060</v>
      </c>
      <c r="C496">
        <v>226.25099055827525</v>
      </c>
      <c r="D496">
        <v>538.53512215853857</v>
      </c>
      <c r="E496">
        <v>0</v>
      </c>
      <c r="F496">
        <v>118.87482102320746</v>
      </c>
      <c r="G496">
        <v>36841.671170080132</v>
      </c>
      <c r="H496">
        <v>0</v>
      </c>
      <c r="I496">
        <v>0</v>
      </c>
    </row>
    <row r="497" spans="1:9" x14ac:dyDescent="0.25">
      <c r="A497" s="113">
        <f t="shared" si="16"/>
        <v>58531</v>
      </c>
      <c r="B497" s="128">
        <f t="shared" si="15"/>
        <v>2060</v>
      </c>
      <c r="C497">
        <v>222.70708253922803</v>
      </c>
      <c r="D497">
        <v>531.14464119284833</v>
      </c>
      <c r="E497">
        <v>0</v>
      </c>
      <c r="F497">
        <v>117.45816501758013</v>
      </c>
      <c r="G497">
        <v>36415.77544640893</v>
      </c>
      <c r="H497">
        <v>0</v>
      </c>
      <c r="I497">
        <v>0</v>
      </c>
    </row>
    <row r="498" spans="1:9" x14ac:dyDescent="0.25">
      <c r="A498" s="113">
        <f t="shared" si="16"/>
        <v>58561</v>
      </c>
      <c r="B498" s="128">
        <f t="shared" si="15"/>
        <v>2060</v>
      </c>
      <c r="C498">
        <v>295.80472483646372</v>
      </c>
      <c r="D498">
        <v>532.28410755722973</v>
      </c>
      <c r="E498">
        <v>0</v>
      </c>
      <c r="F498">
        <v>116.06387021530395</v>
      </c>
      <c r="G498">
        <v>36063.232193472861</v>
      </c>
      <c r="H498">
        <v>0</v>
      </c>
      <c r="I498">
        <v>0</v>
      </c>
    </row>
    <row r="499" spans="1:9" x14ac:dyDescent="0.25">
      <c r="A499" s="113">
        <f t="shared" si="16"/>
        <v>58592</v>
      </c>
      <c r="B499" s="128">
        <f t="shared" si="15"/>
        <v>2060</v>
      </c>
      <c r="C499">
        <v>278.1653684761842</v>
      </c>
      <c r="D499">
        <v>527.41878832074747</v>
      </c>
      <c r="E499">
        <v>0</v>
      </c>
      <c r="F499">
        <v>114.68816624301297</v>
      </c>
      <c r="G499">
        <v>35699.290607385301</v>
      </c>
      <c r="H499">
        <v>0</v>
      </c>
      <c r="I499">
        <v>0</v>
      </c>
    </row>
    <row r="500" spans="1:9" x14ac:dyDescent="0.25">
      <c r="A500" s="113">
        <f t="shared" si="16"/>
        <v>58622</v>
      </c>
      <c r="B500" s="128">
        <f t="shared" si="15"/>
        <v>2060</v>
      </c>
      <c r="C500">
        <v>247.2017835427543</v>
      </c>
      <c r="D500">
        <v>520.40552448017036</v>
      </c>
      <c r="E500">
        <v>0</v>
      </c>
      <c r="F500">
        <v>113.32325822562598</v>
      </c>
      <c r="G500">
        <v>35312.763608222238</v>
      </c>
      <c r="H500">
        <v>0</v>
      </c>
      <c r="I500">
        <v>0</v>
      </c>
    </row>
    <row r="501" spans="1:9" x14ac:dyDescent="0.25">
      <c r="A501" s="113">
        <f t="shared" si="16"/>
        <v>58653</v>
      </c>
      <c r="B501" s="128">
        <f t="shared" si="15"/>
        <v>2060</v>
      </c>
      <c r="C501">
        <v>213.69979663304505</v>
      </c>
      <c r="D501">
        <v>513.80104909150157</v>
      </c>
      <c r="E501">
        <v>0</v>
      </c>
      <c r="F501">
        <v>111.96717782087062</v>
      </c>
      <c r="G501">
        <v>34900.695177942915</v>
      </c>
      <c r="H501">
        <v>0</v>
      </c>
      <c r="I501">
        <v>0</v>
      </c>
    </row>
    <row r="502" spans="1:9" x14ac:dyDescent="0.25">
      <c r="A502" s="113">
        <f t="shared" si="16"/>
        <v>58684</v>
      </c>
      <c r="B502" s="128">
        <f t="shared" si="15"/>
        <v>2060</v>
      </c>
      <c r="C502">
        <v>208.11811333951601</v>
      </c>
      <c r="D502">
        <v>507.77348350019025</v>
      </c>
      <c r="E502">
        <v>0</v>
      </c>
      <c r="F502">
        <v>110.62127621260709</v>
      </c>
      <c r="G502">
        <v>34490.418531569645</v>
      </c>
      <c r="H502">
        <v>0</v>
      </c>
      <c r="I502">
        <v>0</v>
      </c>
    </row>
    <row r="503" spans="1:9" x14ac:dyDescent="0.25">
      <c r="A503" s="113">
        <f t="shared" si="16"/>
        <v>58714</v>
      </c>
      <c r="B503" s="128">
        <f t="shared" si="15"/>
        <v>2060</v>
      </c>
      <c r="C503">
        <v>212.98475967210007</v>
      </c>
      <c r="D503">
        <v>502.94713933103242</v>
      </c>
      <c r="E503">
        <v>0</v>
      </c>
      <c r="F503">
        <v>109.29153127823325</v>
      </c>
      <c r="G503">
        <v>34091.164620632473</v>
      </c>
      <c r="H503">
        <v>0</v>
      </c>
      <c r="I503">
        <v>0</v>
      </c>
    </row>
    <row r="504" spans="1:9" x14ac:dyDescent="0.25">
      <c r="A504" s="113">
        <f t="shared" si="16"/>
        <v>58745</v>
      </c>
      <c r="B504" s="128">
        <f t="shared" si="15"/>
        <v>2060</v>
      </c>
      <c r="C504">
        <v>260.72359193493617</v>
      </c>
      <c r="D504">
        <v>503.0238814594548</v>
      </c>
      <c r="E504">
        <v>0</v>
      </c>
      <c r="F504">
        <v>107.97889667270057</v>
      </c>
      <c r="G504">
        <v>33740.885434435244</v>
      </c>
      <c r="H504">
        <v>0</v>
      </c>
      <c r="I504">
        <v>0</v>
      </c>
    </row>
    <row r="505" spans="1:9" x14ac:dyDescent="0.25">
      <c r="A505" s="113">
        <f t="shared" si="16"/>
        <v>58775</v>
      </c>
      <c r="B505" s="128">
        <f t="shared" si="15"/>
        <v>2060</v>
      </c>
      <c r="C505">
        <v>197.47103517741331</v>
      </c>
      <c r="D505">
        <v>504.979922021086</v>
      </c>
      <c r="E505">
        <v>0</v>
      </c>
      <c r="F505">
        <v>106.67328502627484</v>
      </c>
      <c r="G505">
        <v>33326.703262565316</v>
      </c>
      <c r="H505">
        <v>0</v>
      </c>
      <c r="I505">
        <v>0</v>
      </c>
    </row>
    <row r="506" spans="1:9" x14ac:dyDescent="0.25">
      <c r="A506" s="113">
        <f t="shared" si="16"/>
        <v>58806</v>
      </c>
      <c r="B506" s="128">
        <f t="shared" si="15"/>
        <v>2060</v>
      </c>
      <c r="C506">
        <v>230.62379113346529</v>
      </c>
      <c r="D506">
        <v>506.98486141012762</v>
      </c>
      <c r="E506">
        <v>0</v>
      </c>
      <c r="F506">
        <v>105.34963396312308</v>
      </c>
      <c r="G506">
        <v>32944.992558325517</v>
      </c>
      <c r="H506">
        <v>0</v>
      </c>
      <c r="I506">
        <v>0</v>
      </c>
    </row>
    <row r="507" spans="1:9" x14ac:dyDescent="0.25">
      <c r="A507" s="113">
        <f t="shared" si="16"/>
        <v>58837</v>
      </c>
      <c r="B507" s="128">
        <f t="shared" si="15"/>
        <v>2061</v>
      </c>
      <c r="C507">
        <v>196.57839221546379</v>
      </c>
      <c r="D507">
        <v>499.32055046314849</v>
      </c>
      <c r="E507">
        <v>0</v>
      </c>
      <c r="F507">
        <v>104.0214809028096</v>
      </c>
      <c r="G507">
        <v>32538.228919175024</v>
      </c>
      <c r="H507">
        <v>0</v>
      </c>
      <c r="I507">
        <v>0</v>
      </c>
    </row>
    <row r="508" spans="1:9" x14ac:dyDescent="0.25">
      <c r="A508" s="113">
        <f t="shared" si="16"/>
        <v>58865</v>
      </c>
      <c r="B508" s="128">
        <f t="shared" si="15"/>
        <v>2061</v>
      </c>
      <c r="C508">
        <v>190.98046319653054</v>
      </c>
      <c r="D508">
        <v>491.49999791857425</v>
      </c>
      <c r="E508">
        <v>0</v>
      </c>
      <c r="F508">
        <v>102.70555445262687</v>
      </c>
      <c r="G508">
        <v>32135.003830000343</v>
      </c>
      <c r="H508">
        <v>0</v>
      </c>
      <c r="I508">
        <v>0</v>
      </c>
    </row>
    <row r="509" spans="1:9" x14ac:dyDescent="0.25">
      <c r="A509" s="113">
        <f t="shared" si="16"/>
        <v>58896</v>
      </c>
      <c r="B509" s="128">
        <f t="shared" si="15"/>
        <v>2061</v>
      </c>
      <c r="C509">
        <v>188.01105929672039</v>
      </c>
      <c r="D509">
        <v>484.28632518611477</v>
      </c>
      <c r="E509">
        <v>0</v>
      </c>
      <c r="F509">
        <v>101.40859343636453</v>
      </c>
      <c r="G509">
        <v>31737.319970674605</v>
      </c>
      <c r="H509">
        <v>0</v>
      </c>
      <c r="I509">
        <v>0</v>
      </c>
    </row>
    <row r="510" spans="1:9" x14ac:dyDescent="0.25">
      <c r="A510" s="113">
        <f t="shared" si="16"/>
        <v>58926</v>
      </c>
      <c r="B510" s="128">
        <f t="shared" si="15"/>
        <v>2061</v>
      </c>
      <c r="C510">
        <v>251.89015588644403</v>
      </c>
      <c r="D510">
        <v>485.06083665067121</v>
      </c>
      <c r="E510">
        <v>0</v>
      </c>
      <c r="F510">
        <v>100.13319204705871</v>
      </c>
      <c r="G510">
        <v>31404.016097863307</v>
      </c>
      <c r="H510">
        <v>0</v>
      </c>
      <c r="I510">
        <v>0</v>
      </c>
    </row>
    <row r="511" spans="1:9" x14ac:dyDescent="0.25">
      <c r="A511" s="113">
        <f t="shared" si="16"/>
        <v>58957</v>
      </c>
      <c r="B511" s="128">
        <f t="shared" si="15"/>
        <v>2061</v>
      </c>
      <c r="C511">
        <v>231.38802102244932</v>
      </c>
      <c r="D511">
        <v>480.08412124684827</v>
      </c>
      <c r="E511">
        <v>0</v>
      </c>
      <c r="F511">
        <v>98.874593838817859</v>
      </c>
      <c r="G511">
        <v>31056.445403800095</v>
      </c>
      <c r="H511">
        <v>0</v>
      </c>
      <c r="I511">
        <v>0</v>
      </c>
    </row>
    <row r="512" spans="1:9" x14ac:dyDescent="0.25">
      <c r="A512" s="113">
        <f t="shared" si="16"/>
        <v>58987</v>
      </c>
      <c r="B512" s="128">
        <f t="shared" si="15"/>
        <v>2061</v>
      </c>
      <c r="C512">
        <v>208.11337767452727</v>
      </c>
      <c r="D512">
        <v>473.23408844099015</v>
      </c>
      <c r="E512">
        <v>0</v>
      </c>
      <c r="F512">
        <v>97.626244560745363</v>
      </c>
      <c r="G512">
        <v>30693.698448472886</v>
      </c>
      <c r="H512">
        <v>0</v>
      </c>
      <c r="I512">
        <v>0</v>
      </c>
    </row>
    <row r="513" spans="1:9" x14ac:dyDescent="0.25">
      <c r="A513" s="113">
        <f t="shared" si="16"/>
        <v>59018</v>
      </c>
      <c r="B513" s="128">
        <f t="shared" si="15"/>
        <v>2061</v>
      </c>
      <c r="C513">
        <v>180.30959839464941</v>
      </c>
      <c r="D513">
        <v>466.892969437217</v>
      </c>
      <c r="E513">
        <v>0</v>
      </c>
      <c r="F513">
        <v>96.388376781040151</v>
      </c>
      <c r="G513">
        <v>30310.72670064928</v>
      </c>
      <c r="H513">
        <v>0</v>
      </c>
      <c r="I513">
        <v>0</v>
      </c>
    </row>
    <row r="514" spans="1:9" x14ac:dyDescent="0.25">
      <c r="A514" s="113">
        <f t="shared" si="16"/>
        <v>59049</v>
      </c>
      <c r="B514" s="128">
        <f t="shared" si="15"/>
        <v>2061</v>
      </c>
      <c r="C514">
        <v>174.86028819018111</v>
      </c>
      <c r="D514">
        <v>461.06662436278987</v>
      </c>
      <c r="E514">
        <v>0</v>
      </c>
      <c r="F514">
        <v>95.161355461989245</v>
      </c>
      <c r="G514">
        <v>29929.359009014683</v>
      </c>
      <c r="H514">
        <v>0</v>
      </c>
      <c r="I514">
        <v>0</v>
      </c>
    </row>
    <row r="515" spans="1:9" x14ac:dyDescent="0.25">
      <c r="A515" s="113">
        <f t="shared" si="16"/>
        <v>59079</v>
      </c>
      <c r="B515" s="128">
        <f t="shared" ref="B515:B578" si="17">YEAR(A515)</f>
        <v>2061</v>
      </c>
      <c r="C515">
        <v>177.94061725644031</v>
      </c>
      <c r="D515">
        <v>456.30638536979205</v>
      </c>
      <c r="E515">
        <v>0</v>
      </c>
      <c r="F515">
        <v>93.949869028260679</v>
      </c>
      <c r="G515">
        <v>29557.043371873064</v>
      </c>
      <c r="H515">
        <v>0</v>
      </c>
      <c r="I515">
        <v>0</v>
      </c>
    </row>
    <row r="516" spans="1:9" x14ac:dyDescent="0.25">
      <c r="A516" s="113">
        <f t="shared" si="16"/>
        <v>59110</v>
      </c>
      <c r="B516" s="128">
        <f t="shared" si="17"/>
        <v>2061</v>
      </c>
      <c r="C516">
        <v>220.18536482816029</v>
      </c>
      <c r="D516">
        <v>455.85034855670256</v>
      </c>
      <c r="E516">
        <v>0</v>
      </c>
      <c r="F516">
        <v>92.754561785021451</v>
      </c>
      <c r="G516">
        <v>29228.623826359515</v>
      </c>
      <c r="H516">
        <v>0</v>
      </c>
      <c r="I516">
        <v>0</v>
      </c>
    </row>
    <row r="517" spans="1:9" x14ac:dyDescent="0.25">
      <c r="A517" s="113">
        <f t="shared" si="16"/>
        <v>59140</v>
      </c>
      <c r="B517" s="128">
        <f t="shared" si="17"/>
        <v>2061</v>
      </c>
      <c r="C517">
        <v>165.49828715133259</v>
      </c>
      <c r="D517">
        <v>457.22691927811388</v>
      </c>
      <c r="E517">
        <v>0</v>
      </c>
      <c r="F517">
        <v>91.56654255762551</v>
      </c>
      <c r="G517">
        <v>28845.328651675103</v>
      </c>
      <c r="H517">
        <v>0</v>
      </c>
      <c r="I517">
        <v>0</v>
      </c>
    </row>
    <row r="518" spans="1:9" x14ac:dyDescent="0.25">
      <c r="A518" s="113">
        <f t="shared" si="16"/>
        <v>59171</v>
      </c>
      <c r="B518" s="128">
        <f t="shared" si="17"/>
        <v>2061</v>
      </c>
      <c r="C518">
        <v>194.28738220020801</v>
      </c>
      <c r="D518">
        <v>458.70777672160773</v>
      </c>
      <c r="E518">
        <v>0</v>
      </c>
      <c r="F518">
        <v>90.363521023924847</v>
      </c>
      <c r="G518">
        <v>28490.54473612977</v>
      </c>
      <c r="H518">
        <v>0</v>
      </c>
      <c r="I518">
        <v>0</v>
      </c>
    </row>
    <row r="519" spans="1:9" x14ac:dyDescent="0.25">
      <c r="A519" s="113">
        <f t="shared" si="16"/>
        <v>59202</v>
      </c>
      <c r="B519" s="128">
        <f t="shared" si="17"/>
        <v>2062</v>
      </c>
      <c r="C519">
        <v>165.08653241559119</v>
      </c>
      <c r="D519">
        <v>451.32680769204461</v>
      </c>
      <c r="E519">
        <v>0</v>
      </c>
      <c r="F519">
        <v>89.156960266013499</v>
      </c>
      <c r="G519">
        <v>28115.147500587311</v>
      </c>
      <c r="H519">
        <v>0</v>
      </c>
      <c r="I519">
        <v>0</v>
      </c>
    </row>
    <row r="520" spans="1:9" x14ac:dyDescent="0.25">
      <c r="A520" s="113">
        <f t="shared" si="16"/>
        <v>59230</v>
      </c>
      <c r="B520" s="128">
        <f t="shared" si="17"/>
        <v>2062</v>
      </c>
      <c r="C520">
        <v>159.69915282283816</v>
      </c>
      <c r="D520">
        <v>443.84648157744198</v>
      </c>
      <c r="E520">
        <v>0</v>
      </c>
      <c r="F520">
        <v>87.963032558509752</v>
      </c>
      <c r="G520">
        <v>27743.037139274194</v>
      </c>
      <c r="H520">
        <v>0</v>
      </c>
      <c r="I520">
        <v>0</v>
      </c>
    </row>
    <row r="521" spans="1:9" x14ac:dyDescent="0.25">
      <c r="A521" s="113">
        <f t="shared" si="16"/>
        <v>59261</v>
      </c>
      <c r="B521" s="128">
        <f t="shared" si="17"/>
        <v>2062</v>
      </c>
      <c r="C521">
        <v>157.19859670324286</v>
      </c>
      <c r="D521">
        <v>436.87209820121842</v>
      </c>
      <c r="E521">
        <v>0</v>
      </c>
      <c r="F521">
        <v>86.787320416207834</v>
      </c>
      <c r="G521">
        <v>27376.576317359995</v>
      </c>
      <c r="H521">
        <v>0</v>
      </c>
      <c r="I521">
        <v>0</v>
      </c>
    </row>
    <row r="522" spans="1:9" x14ac:dyDescent="0.25">
      <c r="A522" s="113">
        <f t="shared" si="16"/>
        <v>59291</v>
      </c>
      <c r="B522" s="128">
        <f t="shared" si="17"/>
        <v>2062</v>
      </c>
      <c r="C522">
        <v>212.65088780274476</v>
      </c>
      <c r="D522">
        <v>437.31811998229551</v>
      </c>
      <c r="E522">
        <v>0</v>
      </c>
      <c r="F522">
        <v>85.632221069858886</v>
      </c>
      <c r="G522">
        <v>27066.276864110594</v>
      </c>
      <c r="H522">
        <v>0</v>
      </c>
      <c r="I522">
        <v>0</v>
      </c>
    </row>
    <row r="523" spans="1:9" x14ac:dyDescent="0.25">
      <c r="A523" s="113">
        <f t="shared" si="16"/>
        <v>59322</v>
      </c>
      <c r="B523" s="128">
        <f t="shared" si="17"/>
        <v>2062</v>
      </c>
      <c r="C523">
        <v>190.33942961316302</v>
      </c>
      <c r="D523">
        <v>432.31535571537091</v>
      </c>
      <c r="E523">
        <v>0</v>
      </c>
      <c r="F523">
        <v>84.492245623272538</v>
      </c>
      <c r="G523">
        <v>26739.808692385119</v>
      </c>
      <c r="H523">
        <v>0</v>
      </c>
      <c r="I523">
        <v>0</v>
      </c>
    </row>
    <row r="524" spans="1:9" x14ac:dyDescent="0.25">
      <c r="A524" s="113">
        <f t="shared" ref="A524:A587" si="18">DATE(YEAR(A523),MONTH(A523)+2,1)-1</f>
        <v>59352</v>
      </c>
      <c r="B524" s="128">
        <f t="shared" si="17"/>
        <v>2062</v>
      </c>
      <c r="C524">
        <v>173.50754363403331</v>
      </c>
      <c r="D524">
        <v>425.71546571726026</v>
      </c>
      <c r="E524">
        <v>0</v>
      </c>
      <c r="F524">
        <v>83.361991685470414</v>
      </c>
      <c r="G524">
        <v>26404.238778616411</v>
      </c>
      <c r="H524">
        <v>0</v>
      </c>
      <c r="I524">
        <v>0</v>
      </c>
    </row>
    <row r="525" spans="1:9" x14ac:dyDescent="0.25">
      <c r="A525" s="113">
        <f t="shared" si="18"/>
        <v>59383</v>
      </c>
      <c r="B525" s="128">
        <f t="shared" si="17"/>
        <v>2062</v>
      </c>
      <c r="C525">
        <v>150.69627750599031</v>
      </c>
      <c r="D525">
        <v>419.69827979682157</v>
      </c>
      <c r="E525">
        <v>0</v>
      </c>
      <c r="F525">
        <v>82.243357858390453</v>
      </c>
      <c r="G525">
        <v>26052.99341846718</v>
      </c>
      <c r="H525">
        <v>0</v>
      </c>
      <c r="I525">
        <v>0</v>
      </c>
    </row>
    <row r="526" spans="1:9" x14ac:dyDescent="0.25">
      <c r="A526" s="113">
        <f t="shared" si="18"/>
        <v>59414</v>
      </c>
      <c r="B526" s="128">
        <f t="shared" si="17"/>
        <v>2062</v>
      </c>
      <c r="C526">
        <v>145.51459228824527</v>
      </c>
      <c r="D526">
        <v>414.13467538737677</v>
      </c>
      <c r="E526">
        <v>0</v>
      </c>
      <c r="F526">
        <v>81.135917143336229</v>
      </c>
      <c r="G526">
        <v>25703.237418224715</v>
      </c>
      <c r="H526">
        <v>0</v>
      </c>
      <c r="I526">
        <v>0</v>
      </c>
    </row>
    <row r="527" spans="1:9" x14ac:dyDescent="0.25">
      <c r="A527" s="113">
        <f t="shared" si="18"/>
        <v>59444</v>
      </c>
      <c r="B527" s="128">
        <f t="shared" si="17"/>
        <v>2062</v>
      </c>
      <c r="C527">
        <v>147.24478102976727</v>
      </c>
      <c r="D527">
        <v>409.51053414806211</v>
      </c>
      <c r="E527">
        <v>0</v>
      </c>
      <c r="F527">
        <v>80.043281340345061</v>
      </c>
      <c r="G527">
        <v>25360.928383766102</v>
      </c>
      <c r="H527">
        <v>0</v>
      </c>
      <c r="I527">
        <v>0</v>
      </c>
    </row>
    <row r="528" spans="1:9" x14ac:dyDescent="0.25">
      <c r="A528" s="113">
        <f t="shared" si="18"/>
        <v>59475</v>
      </c>
      <c r="B528" s="128">
        <f t="shared" si="17"/>
        <v>2062</v>
      </c>
      <c r="C528">
        <v>184.24274083328757</v>
      </c>
      <c r="D528">
        <v>408.7873529609526</v>
      </c>
      <c r="E528">
        <v>0</v>
      </c>
      <c r="F528">
        <v>78.965845635393578</v>
      </c>
      <c r="G528">
        <v>25057.417926003025</v>
      </c>
      <c r="H528">
        <v>0</v>
      </c>
      <c r="I528">
        <v>0</v>
      </c>
    </row>
    <row r="529" spans="1:9" x14ac:dyDescent="0.25">
      <c r="A529" s="113">
        <f t="shared" si="18"/>
        <v>59505</v>
      </c>
      <c r="B529" s="128">
        <f t="shared" si="17"/>
        <v>2062</v>
      </c>
      <c r="C529">
        <v>137.34987380623966</v>
      </c>
      <c r="D529">
        <v>409.64183808501537</v>
      </c>
      <c r="E529">
        <v>0</v>
      </c>
      <c r="F529">
        <v>77.895528694141689</v>
      </c>
      <c r="G529">
        <v>24707.230433030101</v>
      </c>
      <c r="H529">
        <v>0</v>
      </c>
      <c r="I529">
        <v>0</v>
      </c>
    </row>
    <row r="530" spans="1:9" x14ac:dyDescent="0.25">
      <c r="A530" s="113">
        <f t="shared" si="18"/>
        <v>59536</v>
      </c>
      <c r="B530" s="128">
        <f t="shared" si="17"/>
        <v>2062</v>
      </c>
      <c r="C530">
        <v>162.12637986669142</v>
      </c>
      <c r="D530">
        <v>410.64673322525442</v>
      </c>
      <c r="E530">
        <v>0</v>
      </c>
      <c r="F530">
        <v>76.813004860499348</v>
      </c>
      <c r="G530">
        <v>24381.897074811044</v>
      </c>
      <c r="H530">
        <v>0</v>
      </c>
      <c r="I530">
        <v>0</v>
      </c>
    </row>
    <row r="531" spans="1:9" x14ac:dyDescent="0.25">
      <c r="A531" s="113">
        <f t="shared" si="18"/>
        <v>59567</v>
      </c>
      <c r="B531" s="128">
        <f t="shared" si="17"/>
        <v>2063</v>
      </c>
      <c r="C531">
        <v>137.29942585396375</v>
      </c>
      <c r="D531">
        <v>403.62590157101954</v>
      </c>
      <c r="E531">
        <v>0</v>
      </c>
      <c r="F531">
        <v>75.727883740490569</v>
      </c>
      <c r="G531">
        <v>24039.842715353516</v>
      </c>
      <c r="H531">
        <v>0</v>
      </c>
      <c r="I531">
        <v>0</v>
      </c>
    </row>
    <row r="532" spans="1:9" x14ac:dyDescent="0.25">
      <c r="A532" s="113">
        <f t="shared" si="18"/>
        <v>59595</v>
      </c>
      <c r="B532" s="128">
        <f t="shared" si="17"/>
        <v>2063</v>
      </c>
      <c r="C532">
        <v>132.24064929647059</v>
      </c>
      <c r="D532">
        <v>396.55583166979159</v>
      </c>
      <c r="E532">
        <v>0</v>
      </c>
      <c r="F532">
        <v>74.655505740931517</v>
      </c>
      <c r="G532">
        <v>23700.872027239249</v>
      </c>
      <c r="H532">
        <v>0</v>
      </c>
      <c r="I532">
        <v>0</v>
      </c>
    </row>
    <row r="533" spans="1:9" x14ac:dyDescent="0.25">
      <c r="A533" s="113">
        <f t="shared" si="18"/>
        <v>59626</v>
      </c>
      <c r="B533" s="128">
        <f t="shared" si="17"/>
        <v>2063</v>
      </c>
      <c r="C533">
        <v>130.12521623358458</v>
      </c>
      <c r="D533">
        <v>389.78846498711482</v>
      </c>
      <c r="E533">
        <v>0</v>
      </c>
      <c r="F533">
        <v>73.600440085871583</v>
      </c>
      <c r="G533">
        <v>23367.608338399838</v>
      </c>
      <c r="H533">
        <v>0</v>
      </c>
      <c r="I533">
        <v>0</v>
      </c>
    </row>
    <row r="534" spans="1:9" x14ac:dyDescent="0.25">
      <c r="A534" s="113">
        <f t="shared" si="18"/>
        <v>59656</v>
      </c>
      <c r="B534" s="128">
        <f t="shared" si="17"/>
        <v>2063</v>
      </c>
      <c r="C534">
        <v>177.91457077893347</v>
      </c>
      <c r="D534">
        <v>389.94390395565637</v>
      </c>
      <c r="E534">
        <v>0</v>
      </c>
      <c r="F534">
        <v>72.565075329796244</v>
      </c>
      <c r="G534">
        <v>23083.013929893325</v>
      </c>
      <c r="H534">
        <v>0</v>
      </c>
      <c r="I534">
        <v>0</v>
      </c>
    </row>
    <row r="535" spans="1:9" x14ac:dyDescent="0.25">
      <c r="A535" s="113">
        <f t="shared" si="18"/>
        <v>59687</v>
      </c>
      <c r="B535" s="128">
        <f t="shared" si="17"/>
        <v>2063</v>
      </c>
      <c r="C535">
        <v>154.78283333139237</v>
      </c>
      <c r="D535">
        <v>385.00365068520068</v>
      </c>
      <c r="E535">
        <v>0</v>
      </c>
      <c r="F535">
        <v>71.543291815434756</v>
      </c>
      <c r="G535">
        <v>22781.249820724086</v>
      </c>
      <c r="H535">
        <v>0</v>
      </c>
      <c r="I535">
        <v>0</v>
      </c>
    </row>
    <row r="536" spans="1:9" x14ac:dyDescent="0.25">
      <c r="A536" s="113">
        <f t="shared" si="18"/>
        <v>59717</v>
      </c>
      <c r="B536" s="128">
        <f t="shared" si="17"/>
        <v>2063</v>
      </c>
      <c r="C536">
        <v>143.19640136496122</v>
      </c>
      <c r="D536">
        <v>378.73593075778092</v>
      </c>
      <c r="E536">
        <v>0</v>
      </c>
      <c r="F536">
        <v>70.530702349238609</v>
      </c>
      <c r="G536">
        <v>22475.179588982013</v>
      </c>
      <c r="H536">
        <v>0</v>
      </c>
      <c r="I536">
        <v>0</v>
      </c>
    </row>
    <row r="537" spans="1:9" x14ac:dyDescent="0.25">
      <c r="A537" s="113">
        <f t="shared" si="18"/>
        <v>59748</v>
      </c>
      <c r="B537" s="128">
        <f t="shared" si="17"/>
        <v>2063</v>
      </c>
      <c r="C537">
        <v>124.70733945686474</v>
      </c>
      <c r="D537">
        <v>373.09730546233789</v>
      </c>
      <c r="E537">
        <v>0</v>
      </c>
      <c r="F537">
        <v>69.530372769191104</v>
      </c>
      <c r="G537">
        <v>22157.259250207364</v>
      </c>
      <c r="H537">
        <v>0</v>
      </c>
      <c r="I537">
        <v>0</v>
      </c>
    </row>
    <row r="538" spans="1:9" x14ac:dyDescent="0.25">
      <c r="A538" s="113">
        <f t="shared" si="18"/>
        <v>59779</v>
      </c>
      <c r="B538" s="128">
        <f t="shared" si="17"/>
        <v>2063</v>
      </c>
      <c r="C538">
        <v>119.89572980832628</v>
      </c>
      <c r="D538">
        <v>367.85432041628366</v>
      </c>
      <c r="E538">
        <v>0</v>
      </c>
      <c r="F538">
        <v>68.541279625510384</v>
      </c>
      <c r="G538">
        <v>21840.759379973893</v>
      </c>
      <c r="H538">
        <v>0</v>
      </c>
      <c r="I538">
        <v>0</v>
      </c>
    </row>
    <row r="539" spans="1:9" x14ac:dyDescent="0.25">
      <c r="A539" s="113">
        <f t="shared" si="18"/>
        <v>59809</v>
      </c>
      <c r="B539" s="128">
        <f t="shared" si="17"/>
        <v>2063</v>
      </c>
      <c r="C539">
        <v>120.6540234574444</v>
      </c>
      <c r="D539">
        <v>363.43323718746603</v>
      </c>
      <c r="E539">
        <v>0</v>
      </c>
      <c r="F539">
        <v>67.566149431503348</v>
      </c>
      <c r="G539">
        <v>21530.414016812359</v>
      </c>
      <c r="H539">
        <v>0</v>
      </c>
      <c r="I539">
        <v>0</v>
      </c>
    </row>
    <row r="540" spans="1:9" x14ac:dyDescent="0.25">
      <c r="A540" s="113">
        <f t="shared" si="18"/>
        <v>59840</v>
      </c>
      <c r="B540" s="128">
        <f t="shared" si="17"/>
        <v>2063</v>
      </c>
      <c r="C540">
        <v>152.6995840812356</v>
      </c>
      <c r="D540">
        <v>362.32655896001705</v>
      </c>
      <c r="E540">
        <v>0</v>
      </c>
      <c r="F540">
        <v>66.605181543350724</v>
      </c>
      <c r="G540">
        <v>21254.181860390254</v>
      </c>
      <c r="H540">
        <v>0</v>
      </c>
      <c r="I540">
        <v>0</v>
      </c>
    </row>
    <row r="541" spans="1:9" x14ac:dyDescent="0.25">
      <c r="A541" s="113">
        <f t="shared" si="18"/>
        <v>59870</v>
      </c>
      <c r="B541" s="128">
        <f t="shared" si="17"/>
        <v>2063</v>
      </c>
      <c r="C541">
        <v>112.84578671142803</v>
      </c>
      <c r="D541">
        <v>362.71691081834564</v>
      </c>
      <c r="E541">
        <v>0</v>
      </c>
      <c r="F541">
        <v>65.651421555613481</v>
      </c>
      <c r="G541">
        <v>20938.659314727713</v>
      </c>
      <c r="H541">
        <v>0</v>
      </c>
      <c r="I541">
        <v>0</v>
      </c>
    </row>
    <row r="542" spans="1:9" x14ac:dyDescent="0.25">
      <c r="A542" s="113">
        <f t="shared" si="18"/>
        <v>59901</v>
      </c>
      <c r="B542" s="128">
        <f t="shared" si="17"/>
        <v>2063</v>
      </c>
      <c r="C542">
        <v>133.95359093729888</v>
      </c>
      <c r="D542">
        <v>363.28011266135343</v>
      </c>
      <c r="E542">
        <v>0</v>
      </c>
      <c r="F542">
        <v>64.688004238806869</v>
      </c>
      <c r="G542">
        <v>20644.64478876485</v>
      </c>
      <c r="H542">
        <v>0</v>
      </c>
      <c r="I542">
        <v>0</v>
      </c>
    </row>
    <row r="543" spans="1:9" x14ac:dyDescent="0.25">
      <c r="A543" s="113">
        <f t="shared" si="18"/>
        <v>59932</v>
      </c>
      <c r="B543" s="128">
        <f t="shared" si="17"/>
        <v>2064</v>
      </c>
      <c r="C543">
        <v>113.04993774211771</v>
      </c>
      <c r="D543">
        <v>356.69566239485863</v>
      </c>
      <c r="E543">
        <v>0</v>
      </c>
      <c r="F543">
        <v>63.722940689814401</v>
      </c>
      <c r="G543">
        <v>20337.276123422289</v>
      </c>
      <c r="H543">
        <v>0</v>
      </c>
      <c r="I543">
        <v>0</v>
      </c>
    </row>
    <row r="544" spans="1:9" x14ac:dyDescent="0.25">
      <c r="A544" s="113">
        <f t="shared" si="18"/>
        <v>59961</v>
      </c>
      <c r="B544" s="128">
        <f t="shared" si="17"/>
        <v>2064</v>
      </c>
      <c r="C544">
        <v>108.4067380073779</v>
      </c>
      <c r="D544">
        <v>350.10371484765921</v>
      </c>
      <c r="E544">
        <v>0</v>
      </c>
      <c r="F544">
        <v>62.770436240485814</v>
      </c>
      <c r="G544">
        <v>20032.808710341531</v>
      </c>
      <c r="H544">
        <v>0</v>
      </c>
      <c r="I544">
        <v>0</v>
      </c>
    </row>
    <row r="545" spans="1:9" x14ac:dyDescent="0.25">
      <c r="A545" s="113">
        <f t="shared" si="18"/>
        <v>59992</v>
      </c>
      <c r="B545" s="128">
        <f t="shared" si="17"/>
        <v>2064</v>
      </c>
      <c r="C545">
        <v>106.61359768065701</v>
      </c>
      <c r="D545">
        <v>344.03704238931522</v>
      </c>
      <c r="E545">
        <v>0</v>
      </c>
      <c r="F545">
        <v>61.834182544319333</v>
      </c>
      <c r="G545">
        <v>19733.551083088543</v>
      </c>
      <c r="H545">
        <v>0</v>
      </c>
      <c r="I545">
        <v>0</v>
      </c>
    </row>
    <row r="546" spans="1:9" x14ac:dyDescent="0.25">
      <c r="A546" s="113">
        <f t="shared" si="18"/>
        <v>60022</v>
      </c>
      <c r="B546" s="128">
        <f t="shared" si="17"/>
        <v>2064</v>
      </c>
      <c r="C546">
        <v>147.46961161152836</v>
      </c>
      <c r="D546">
        <v>343.89377407059118</v>
      </c>
      <c r="E546">
        <v>0</v>
      </c>
      <c r="F546">
        <v>60.915781021969487</v>
      </c>
      <c r="G546">
        <v>19476.211139607502</v>
      </c>
      <c r="H546">
        <v>0</v>
      </c>
      <c r="I546">
        <v>0</v>
      </c>
    </row>
    <row r="547" spans="1:9" x14ac:dyDescent="0.25">
      <c r="A547" s="113">
        <f t="shared" si="18"/>
        <v>60053</v>
      </c>
      <c r="B547" s="128">
        <f t="shared" si="17"/>
        <v>2064</v>
      </c>
      <c r="C547">
        <v>124.40581989046827</v>
      </c>
      <c r="D547">
        <v>339.08704632424764</v>
      </c>
      <c r="E547">
        <v>0</v>
      </c>
      <c r="F547">
        <v>60.009775801760782</v>
      </c>
      <c r="G547">
        <v>19201.520137371976</v>
      </c>
      <c r="H547">
        <v>0</v>
      </c>
      <c r="I547">
        <v>0</v>
      </c>
    </row>
    <row r="548" spans="1:9" x14ac:dyDescent="0.25">
      <c r="A548" s="113">
        <f t="shared" si="18"/>
        <v>60083</v>
      </c>
      <c r="B548" s="128">
        <f t="shared" si="17"/>
        <v>2064</v>
      </c>
      <c r="C548">
        <v>116.94488831342031</v>
      </c>
      <c r="D548">
        <v>333.20896757345292</v>
      </c>
      <c r="E548">
        <v>0</v>
      </c>
      <c r="F548">
        <v>59.112446274570353</v>
      </c>
      <c r="G548">
        <v>18926.143611837368</v>
      </c>
      <c r="H548">
        <v>0</v>
      </c>
      <c r="I548">
        <v>0</v>
      </c>
    </row>
    <row r="549" spans="1:9" x14ac:dyDescent="0.25">
      <c r="A549" s="113">
        <f t="shared" si="18"/>
        <v>60114</v>
      </c>
      <c r="B549" s="128">
        <f t="shared" si="17"/>
        <v>2064</v>
      </c>
      <c r="C549">
        <v>102.14734501507505</v>
      </c>
      <c r="D549">
        <v>327.98013487906684</v>
      </c>
      <c r="E549">
        <v>0</v>
      </c>
      <c r="F549">
        <v>58.227576459743943</v>
      </c>
      <c r="G549">
        <v>18642.083245513641</v>
      </c>
      <c r="H549">
        <v>0</v>
      </c>
      <c r="I549">
        <v>0</v>
      </c>
    </row>
    <row r="550" spans="1:9" x14ac:dyDescent="0.25">
      <c r="A550" s="113">
        <f t="shared" si="18"/>
        <v>60145</v>
      </c>
      <c r="B550" s="128">
        <f t="shared" si="17"/>
        <v>2064</v>
      </c>
      <c r="C550">
        <v>97.774193354596051</v>
      </c>
      <c r="D550">
        <v>323.09496017742543</v>
      </c>
      <c r="E550">
        <v>0</v>
      </c>
      <c r="F550">
        <v>57.353733308247087</v>
      </c>
      <c r="G550">
        <v>18359.408745382556</v>
      </c>
      <c r="H550">
        <v>0</v>
      </c>
      <c r="I550">
        <v>0</v>
      </c>
    </row>
    <row r="551" spans="1:9" x14ac:dyDescent="0.25">
      <c r="A551" s="113">
        <f t="shared" si="18"/>
        <v>60175</v>
      </c>
      <c r="B551" s="128">
        <f t="shared" si="17"/>
        <v>2064</v>
      </c>
      <c r="C551">
        <v>97.873196772354646</v>
      </c>
      <c r="D551">
        <v>318.9237850938826</v>
      </c>
      <c r="E551">
        <v>0</v>
      </c>
      <c r="F551">
        <v>56.492925532513929</v>
      </c>
      <c r="G551">
        <v>18081.865231528522</v>
      </c>
      <c r="H551">
        <v>0</v>
      </c>
      <c r="I551">
        <v>0</v>
      </c>
    </row>
    <row r="552" spans="1:9" x14ac:dyDescent="0.25">
      <c r="A552" s="113">
        <f t="shared" si="18"/>
        <v>60206</v>
      </c>
      <c r="B552" s="128">
        <f t="shared" si="17"/>
        <v>2064</v>
      </c>
      <c r="C552">
        <v>125.30242585377296</v>
      </c>
      <c r="D552">
        <v>317.54375475459312</v>
      </c>
      <c r="E552">
        <v>0</v>
      </c>
      <c r="F552">
        <v>55.645202169289249</v>
      </c>
      <c r="G552">
        <v>17833.97870045841</v>
      </c>
      <c r="H552">
        <v>0</v>
      </c>
      <c r="I552">
        <v>0</v>
      </c>
    </row>
    <row r="553" spans="1:9" x14ac:dyDescent="0.25">
      <c r="A553" s="113">
        <f t="shared" si="18"/>
        <v>60236</v>
      </c>
      <c r="B553" s="128">
        <f t="shared" si="17"/>
        <v>2064</v>
      </c>
      <c r="C553">
        <v>91.749426853686558</v>
      </c>
      <c r="D553">
        <v>317.46441777220264</v>
      </c>
      <c r="E553">
        <v>0</v>
      </c>
      <c r="F553">
        <v>54.804614172161855</v>
      </c>
      <c r="G553">
        <v>17553.459095367725</v>
      </c>
      <c r="H553">
        <v>0</v>
      </c>
      <c r="I553">
        <v>0</v>
      </c>
    </row>
    <row r="554" spans="1:9" x14ac:dyDescent="0.25">
      <c r="A554" s="113">
        <f t="shared" si="18"/>
        <v>60267</v>
      </c>
      <c r="B554" s="128">
        <f t="shared" si="17"/>
        <v>2064</v>
      </c>
      <c r="C554">
        <v>109.5245913263509</v>
      </c>
      <c r="D554">
        <v>317.51555657729523</v>
      </c>
      <c r="E554">
        <v>0</v>
      </c>
      <c r="F554">
        <v>53.956814061969425</v>
      </c>
      <c r="G554">
        <v>17291.511316054817</v>
      </c>
      <c r="H554">
        <v>0</v>
      </c>
      <c r="I554">
        <v>0</v>
      </c>
    </row>
    <row r="555" spans="1:9" x14ac:dyDescent="0.25">
      <c r="A555" s="113">
        <f t="shared" si="18"/>
        <v>60298</v>
      </c>
      <c r="B555" s="128">
        <f t="shared" si="17"/>
        <v>2065</v>
      </c>
      <c r="C555">
        <v>92.110930700039106</v>
      </c>
      <c r="D555">
        <v>311.42545344907035</v>
      </c>
      <c r="E555">
        <v>0</v>
      </c>
      <c r="F555">
        <v>53.108613507020657</v>
      </c>
      <c r="G555">
        <v>17019.088179798768</v>
      </c>
      <c r="H555">
        <v>0</v>
      </c>
      <c r="I555">
        <v>0</v>
      </c>
    </row>
    <row r="556" spans="1:9" x14ac:dyDescent="0.25">
      <c r="A556" s="113">
        <f t="shared" si="18"/>
        <v>60326</v>
      </c>
      <c r="B556" s="128">
        <f t="shared" si="17"/>
        <v>2065</v>
      </c>
      <c r="C556">
        <v>87.939878196192197</v>
      </c>
      <c r="D556">
        <v>305.36096863310007</v>
      </c>
      <c r="E556">
        <v>0</v>
      </c>
      <c r="F556">
        <v>52.27252725933603</v>
      </c>
      <c r="G556">
        <v>16749.394562102523</v>
      </c>
      <c r="H556">
        <v>0</v>
      </c>
      <c r="I556">
        <v>0</v>
      </c>
    </row>
    <row r="557" spans="1:9" x14ac:dyDescent="0.25">
      <c r="A557" s="113">
        <f t="shared" si="18"/>
        <v>60357</v>
      </c>
      <c r="B557" s="128">
        <f t="shared" si="17"/>
        <v>2065</v>
      </c>
      <c r="C557">
        <v>86.419537311788119</v>
      </c>
      <c r="D557">
        <v>299.63372224607542</v>
      </c>
      <c r="E557">
        <v>0</v>
      </c>
      <c r="F557">
        <v>51.451495929642014</v>
      </c>
      <c r="G557">
        <v>16484.728881238589</v>
      </c>
      <c r="H557">
        <v>0</v>
      </c>
      <c r="I557">
        <v>0</v>
      </c>
    </row>
    <row r="558" spans="1:9" x14ac:dyDescent="0.25">
      <c r="A558" s="113">
        <f t="shared" si="18"/>
        <v>60387</v>
      </c>
      <c r="B558" s="128">
        <f t="shared" si="17"/>
        <v>2065</v>
      </c>
      <c r="C558">
        <v>121.04738397844136</v>
      </c>
      <c r="D558">
        <v>299.28157798828136</v>
      </c>
      <c r="E558">
        <v>0</v>
      </c>
      <c r="F558">
        <v>50.647113472319603</v>
      </c>
      <c r="G558">
        <v>16255.847573756424</v>
      </c>
      <c r="H558">
        <v>0</v>
      </c>
      <c r="I558">
        <v>0</v>
      </c>
    </row>
    <row r="559" spans="1:9" x14ac:dyDescent="0.25">
      <c r="A559" s="113">
        <f t="shared" si="18"/>
        <v>60418</v>
      </c>
      <c r="B559" s="128">
        <f t="shared" si="17"/>
        <v>2065</v>
      </c>
      <c r="C559">
        <v>98.817840300845305</v>
      </c>
      <c r="D559">
        <v>294.68674830439204</v>
      </c>
      <c r="E559">
        <v>0</v>
      </c>
      <c r="F559">
        <v>49.853403818339075</v>
      </c>
      <c r="G559">
        <v>16010.12526193454</v>
      </c>
      <c r="H559">
        <v>0</v>
      </c>
      <c r="I559">
        <v>0</v>
      </c>
    </row>
    <row r="560" spans="1:9" x14ac:dyDescent="0.25">
      <c r="A560" s="113">
        <f t="shared" si="18"/>
        <v>60448</v>
      </c>
      <c r="B560" s="128">
        <f t="shared" si="17"/>
        <v>2065</v>
      </c>
      <c r="C560">
        <v>94.4793735269716</v>
      </c>
      <c r="D560">
        <v>289.25528491399871</v>
      </c>
      <c r="E560">
        <v>0</v>
      </c>
      <c r="F560">
        <v>49.067860452139016</v>
      </c>
      <c r="G560">
        <v>15766.281490095373</v>
      </c>
      <c r="H560">
        <v>0</v>
      </c>
      <c r="I560">
        <v>0</v>
      </c>
    </row>
    <row r="561" spans="1:9" x14ac:dyDescent="0.25">
      <c r="A561" s="113">
        <f t="shared" si="18"/>
        <v>60479</v>
      </c>
      <c r="B561" s="128">
        <f t="shared" si="17"/>
        <v>2065</v>
      </c>
      <c r="C561">
        <v>82.795714064337034</v>
      </c>
      <c r="D561">
        <v>284.48583617378034</v>
      </c>
      <c r="E561">
        <v>0</v>
      </c>
      <c r="F561">
        <v>48.294598943105086</v>
      </c>
      <c r="G561">
        <v>15516.296769042829</v>
      </c>
      <c r="H561">
        <v>0</v>
      </c>
      <c r="I561">
        <v>0</v>
      </c>
    </row>
    <row r="562" spans="1:9" x14ac:dyDescent="0.25">
      <c r="A562" s="113">
        <f t="shared" si="18"/>
        <v>60510</v>
      </c>
      <c r="B562" s="128">
        <f t="shared" si="17"/>
        <v>2065</v>
      </c>
      <c r="C562">
        <v>78.908650177141993</v>
      </c>
      <c r="D562">
        <v>280.01427873058822</v>
      </c>
      <c r="E562">
        <v>0</v>
      </c>
      <c r="F562">
        <v>47.531905087748243</v>
      </c>
      <c r="G562">
        <v>15267.659235401637</v>
      </c>
      <c r="H562">
        <v>0</v>
      </c>
      <c r="I562">
        <v>0</v>
      </c>
    </row>
    <row r="563" spans="1:9" x14ac:dyDescent="0.25">
      <c r="A563" s="113">
        <f t="shared" si="18"/>
        <v>60540</v>
      </c>
      <c r="B563" s="128">
        <f t="shared" si="17"/>
        <v>2065</v>
      </c>
      <c r="C563">
        <v>78.600379949012407</v>
      </c>
      <c r="D563">
        <v>276.15671453354406</v>
      </c>
      <c r="E563">
        <v>0</v>
      </c>
      <c r="F563">
        <v>46.781216231873181</v>
      </c>
      <c r="G563">
        <v>15023.321684585231</v>
      </c>
      <c r="H563">
        <v>0</v>
      </c>
      <c r="I563">
        <v>0</v>
      </c>
    </row>
    <row r="564" spans="1:9" x14ac:dyDescent="0.25">
      <c r="A564" s="113">
        <f t="shared" si="18"/>
        <v>60571</v>
      </c>
      <c r="B564" s="128">
        <f t="shared" si="17"/>
        <v>2065</v>
      </c>
      <c r="C564">
        <v>101.79444395809001</v>
      </c>
      <c r="D564">
        <v>274.49882258000827</v>
      </c>
      <c r="E564">
        <v>0</v>
      </c>
      <c r="F564">
        <v>46.042470428050429</v>
      </c>
      <c r="G564">
        <v>14804.574835535272</v>
      </c>
      <c r="H564">
        <v>0</v>
      </c>
      <c r="I564">
        <v>0</v>
      </c>
    </row>
    <row r="565" spans="1:9" x14ac:dyDescent="0.25">
      <c r="A565" s="113">
        <f t="shared" si="18"/>
        <v>60601</v>
      </c>
      <c r="B565" s="128">
        <f t="shared" si="17"/>
        <v>2065</v>
      </c>
      <c r="C565">
        <v>73.831849325407291</v>
      </c>
      <c r="D565">
        <v>274.34614243997208</v>
      </c>
      <c r="E565">
        <v>0</v>
      </c>
      <c r="F565">
        <v>45.31085903468157</v>
      </c>
      <c r="G565">
        <v>14558.749683386015</v>
      </c>
      <c r="H565">
        <v>0</v>
      </c>
      <c r="I565">
        <v>0</v>
      </c>
    </row>
    <row r="566" spans="1:9" x14ac:dyDescent="0.25">
      <c r="A566" s="113">
        <f t="shared" si="18"/>
        <v>60632</v>
      </c>
      <c r="B566" s="128">
        <f t="shared" si="17"/>
        <v>2065</v>
      </c>
      <c r="C566">
        <v>88.612974909690209</v>
      </c>
      <c r="D566">
        <v>274.42014753487206</v>
      </c>
      <c r="E566">
        <v>0</v>
      </c>
      <c r="F566">
        <v>44.573407468759186</v>
      </c>
      <c r="G566">
        <v>14328.369103292076</v>
      </c>
      <c r="H566">
        <v>0</v>
      </c>
      <c r="I566">
        <v>0</v>
      </c>
    </row>
    <row r="567" spans="1:9" x14ac:dyDescent="0.25">
      <c r="A567" s="113">
        <f t="shared" si="18"/>
        <v>60663</v>
      </c>
      <c r="B567" s="128">
        <f t="shared" si="17"/>
        <v>2066</v>
      </c>
      <c r="C567">
        <v>74.268297342746237</v>
      </c>
      <c r="D567">
        <v>268.84974035502267</v>
      </c>
      <c r="E567">
        <v>0</v>
      </c>
      <c r="F567">
        <v>43.835303765889172</v>
      </c>
      <c r="G567">
        <v>14089.952356513908</v>
      </c>
      <c r="H567">
        <v>0</v>
      </c>
      <c r="I567">
        <v>0</v>
      </c>
    </row>
    <row r="568" spans="1:9" x14ac:dyDescent="0.25">
      <c r="A568" s="113">
        <f t="shared" si="18"/>
        <v>60691</v>
      </c>
      <c r="B568" s="128">
        <f t="shared" si="17"/>
        <v>2066</v>
      </c>
      <c r="C568">
        <v>70.603911120129766</v>
      </c>
      <c r="D568">
        <v>263.33028406659554</v>
      </c>
      <c r="E568">
        <v>0</v>
      </c>
      <c r="F568">
        <v>43.108733856976713</v>
      </c>
      <c r="G568">
        <v>13854.117249710469</v>
      </c>
      <c r="H568">
        <v>0</v>
      </c>
      <c r="I568">
        <v>0</v>
      </c>
    </row>
    <row r="569" spans="1:9" x14ac:dyDescent="0.25">
      <c r="A569" s="113">
        <f t="shared" si="18"/>
        <v>60722</v>
      </c>
      <c r="B569" s="128">
        <f t="shared" si="17"/>
        <v>2066</v>
      </c>
      <c r="C569">
        <v>69.308431035873809</v>
      </c>
      <c r="D569">
        <v>258.10173184390243</v>
      </c>
      <c r="E569">
        <v>0</v>
      </c>
      <c r="F569">
        <v>42.396003064944829</v>
      </c>
      <c r="G569">
        <v>13622.927945837488</v>
      </c>
      <c r="H569">
        <v>0</v>
      </c>
      <c r="I569">
        <v>0</v>
      </c>
    </row>
    <row r="570" spans="1:9" x14ac:dyDescent="0.25">
      <c r="A570" s="113">
        <f t="shared" si="18"/>
        <v>60752</v>
      </c>
      <c r="B570" s="128">
        <f t="shared" si="17"/>
        <v>2066</v>
      </c>
      <c r="C570">
        <v>98.382734073503386</v>
      </c>
      <c r="D570">
        <v>257.71824966528987</v>
      </c>
      <c r="E570">
        <v>0</v>
      </c>
      <c r="F570">
        <v>41.698450996814479</v>
      </c>
      <c r="G570">
        <v>13421.893979248887</v>
      </c>
      <c r="H570">
        <v>0</v>
      </c>
      <c r="I570">
        <v>0</v>
      </c>
    </row>
    <row r="571" spans="1:9" x14ac:dyDescent="0.25">
      <c r="A571" s="113">
        <f t="shared" si="18"/>
        <v>60783</v>
      </c>
      <c r="B571" s="128">
        <f t="shared" si="17"/>
        <v>2066</v>
      </c>
      <c r="C571">
        <v>77.584979691158267</v>
      </c>
      <c r="D571">
        <v>253.30012365313053</v>
      </c>
      <c r="E571">
        <v>0</v>
      </c>
      <c r="F571">
        <v>41.010074839749343</v>
      </c>
      <c r="G571">
        <v>13205.16876044717</v>
      </c>
      <c r="H571">
        <v>0</v>
      </c>
      <c r="I571">
        <v>0</v>
      </c>
    </row>
    <row r="572" spans="1:9" x14ac:dyDescent="0.25">
      <c r="A572" s="113">
        <f t="shared" si="18"/>
        <v>60813</v>
      </c>
      <c r="B572" s="128">
        <f t="shared" si="17"/>
        <v>2066</v>
      </c>
      <c r="C572">
        <v>75.500145200733172</v>
      </c>
      <c r="D572">
        <v>248.25156460323186</v>
      </c>
      <c r="E572">
        <v>0</v>
      </c>
      <c r="F572">
        <v>40.329589534026475</v>
      </c>
      <c r="G572">
        <v>12992.087751510648</v>
      </c>
      <c r="H572">
        <v>0</v>
      </c>
      <c r="I572">
        <v>0</v>
      </c>
    </row>
    <row r="573" spans="1:9" x14ac:dyDescent="0.25">
      <c r="A573" s="113">
        <f t="shared" si="18"/>
        <v>60844</v>
      </c>
      <c r="B573" s="128">
        <f t="shared" si="17"/>
        <v>2066</v>
      </c>
      <c r="C573">
        <v>66.386744912168268</v>
      </c>
      <c r="D573">
        <v>243.93990425885303</v>
      </c>
      <c r="E573">
        <v>0</v>
      </c>
      <c r="F573">
        <v>39.661130562177476</v>
      </c>
      <c r="G573">
        <v>12774.873461601781</v>
      </c>
      <c r="H573">
        <v>0</v>
      </c>
      <c r="I573">
        <v>0</v>
      </c>
    </row>
    <row r="574" spans="1:9" x14ac:dyDescent="0.25">
      <c r="A574" s="113">
        <f t="shared" si="18"/>
        <v>60875</v>
      </c>
      <c r="B574" s="128">
        <f t="shared" si="17"/>
        <v>2066</v>
      </c>
      <c r="C574">
        <v>63.014557688451127</v>
      </c>
      <c r="D574">
        <v>239.88953570658086</v>
      </c>
      <c r="E574">
        <v>0</v>
      </c>
      <c r="F574">
        <v>39.002644582052675</v>
      </c>
      <c r="G574">
        <v>12558.995839001604</v>
      </c>
      <c r="H574">
        <v>0</v>
      </c>
      <c r="I574">
        <v>0</v>
      </c>
    </row>
    <row r="575" spans="1:9" x14ac:dyDescent="0.25">
      <c r="A575" s="113">
        <f t="shared" si="18"/>
        <v>60905</v>
      </c>
      <c r="B575" s="128">
        <f t="shared" si="17"/>
        <v>2066</v>
      </c>
      <c r="C575">
        <v>62.468956573904485</v>
      </c>
      <c r="D575">
        <v>236.34313797439719</v>
      </c>
      <c r="E575">
        <v>0</v>
      </c>
      <c r="F575">
        <v>38.355123622312924</v>
      </c>
      <c r="G575">
        <v>12346.766533978798</v>
      </c>
      <c r="H575">
        <v>0</v>
      </c>
      <c r="I575">
        <v>0</v>
      </c>
    </row>
    <row r="576" spans="1:9" x14ac:dyDescent="0.25">
      <c r="A576" s="113">
        <f t="shared" si="18"/>
        <v>60936</v>
      </c>
      <c r="B576" s="128">
        <f t="shared" si="17"/>
        <v>2066</v>
      </c>
      <c r="C576">
        <v>81.846085020686715</v>
      </c>
      <c r="D576">
        <v>234.82524669229642</v>
      </c>
      <c r="E576">
        <v>0</v>
      </c>
      <c r="F576">
        <v>37.718455095363971</v>
      </c>
      <c r="G576">
        <v>12156.068917211822</v>
      </c>
      <c r="H576">
        <v>0</v>
      </c>
      <c r="I576">
        <v>0</v>
      </c>
    </row>
    <row r="577" spans="1:9" x14ac:dyDescent="0.25">
      <c r="A577" s="113">
        <f t="shared" si="18"/>
        <v>60966</v>
      </c>
      <c r="B577" s="128">
        <f t="shared" si="17"/>
        <v>2066</v>
      </c>
      <c r="C577">
        <v>58.771880386796369</v>
      </c>
      <c r="D577">
        <v>234.33517423922694</v>
      </c>
      <c r="E577">
        <v>0</v>
      </c>
      <c r="F577">
        <v>37.088184240527291</v>
      </c>
      <c r="G577">
        <v>11943.417439118854</v>
      </c>
      <c r="H577">
        <v>0</v>
      </c>
      <c r="I577">
        <v>0</v>
      </c>
    </row>
    <row r="578" spans="1:9" x14ac:dyDescent="0.25">
      <c r="A578" s="113">
        <f t="shared" si="18"/>
        <v>60997</v>
      </c>
      <c r="B578" s="128">
        <f t="shared" si="17"/>
        <v>2066</v>
      </c>
      <c r="C578">
        <v>70.894727176395619</v>
      </c>
      <c r="D578">
        <v>233.94313627994853</v>
      </c>
      <c r="E578">
        <v>0</v>
      </c>
      <c r="F578">
        <v>36.453993072919957</v>
      </c>
      <c r="G578">
        <v>11743.915036942391</v>
      </c>
      <c r="H578">
        <v>0</v>
      </c>
      <c r="I578">
        <v>0</v>
      </c>
    </row>
    <row r="579" spans="1:9" x14ac:dyDescent="0.25">
      <c r="A579" s="113">
        <f t="shared" si="18"/>
        <v>61028</v>
      </c>
      <c r="B579" s="128">
        <f t="shared" ref="B579:B642" si="19">YEAR(A579)</f>
        <v>2067</v>
      </c>
      <c r="C579">
        <v>59.223663573663877</v>
      </c>
      <c r="D579">
        <v>228.9343183552723</v>
      </c>
      <c r="E579">
        <v>0</v>
      </c>
      <c r="F579">
        <v>35.820498578909771</v>
      </c>
      <c r="G579">
        <v>11538.383883581879</v>
      </c>
      <c r="H579">
        <v>0</v>
      </c>
      <c r="I579">
        <v>0</v>
      </c>
    </row>
    <row r="580" spans="1:9" x14ac:dyDescent="0.25">
      <c r="A580" s="113">
        <f t="shared" si="18"/>
        <v>61056</v>
      </c>
      <c r="B580" s="128">
        <f t="shared" si="19"/>
        <v>2067</v>
      </c>
      <c r="C580">
        <v>56.07400125480742</v>
      </c>
      <c r="D580">
        <v>223.99286167776302</v>
      </c>
      <c r="E580">
        <v>0</v>
      </c>
      <c r="F580">
        <v>35.197728076807259</v>
      </c>
      <c r="G580">
        <v>11335.267295082114</v>
      </c>
      <c r="H580">
        <v>0</v>
      </c>
      <c r="I580">
        <v>0</v>
      </c>
    </row>
    <row r="581" spans="1:9" x14ac:dyDescent="0.25">
      <c r="A581" s="113">
        <f t="shared" si="18"/>
        <v>61087</v>
      </c>
      <c r="B581" s="128">
        <f t="shared" si="19"/>
        <v>2067</v>
      </c>
      <c r="C581">
        <v>54.979354865787236</v>
      </c>
      <c r="D581">
        <v>219.257089332475</v>
      </c>
      <c r="E581">
        <v>0</v>
      </c>
      <c r="F581">
        <v>34.587460687687731</v>
      </c>
      <c r="G581">
        <v>11136.402099927735</v>
      </c>
      <c r="H581">
        <v>0</v>
      </c>
      <c r="I581">
        <v>0</v>
      </c>
    </row>
    <row r="582" spans="1:9" x14ac:dyDescent="0.25">
      <c r="A582" s="113">
        <f t="shared" si="18"/>
        <v>61117</v>
      </c>
      <c r="B582" s="128">
        <f t="shared" si="19"/>
        <v>2067</v>
      </c>
      <c r="C582">
        <v>79.127854194212333</v>
      </c>
      <c r="D582">
        <v>218.67276568539441</v>
      </c>
      <c r="E582">
        <v>0</v>
      </c>
      <c r="F582">
        <v>33.990888335732336</v>
      </c>
      <c r="G582">
        <v>10962.866300100826</v>
      </c>
      <c r="H582">
        <v>0</v>
      </c>
      <c r="I582">
        <v>0</v>
      </c>
    </row>
    <row r="583" spans="1:9" x14ac:dyDescent="0.25">
      <c r="A583" s="113">
        <f t="shared" si="18"/>
        <v>61148</v>
      </c>
      <c r="B583" s="128">
        <f t="shared" si="19"/>
        <v>2067</v>
      </c>
      <c r="C583">
        <v>60.229506702024885</v>
      </c>
      <c r="D583">
        <v>214.76742235453426</v>
      </c>
      <c r="E583">
        <v>0</v>
      </c>
      <c r="F583">
        <v>33.402523409223257</v>
      </c>
      <c r="G583">
        <v>10774.925861039088</v>
      </c>
      <c r="H583">
        <v>0</v>
      </c>
      <c r="I583">
        <v>0</v>
      </c>
    </row>
    <row r="584" spans="1:9" x14ac:dyDescent="0.25">
      <c r="A584" s="113">
        <f t="shared" si="18"/>
        <v>61178</v>
      </c>
      <c r="B584" s="128">
        <f t="shared" si="19"/>
        <v>2067</v>
      </c>
      <c r="C584">
        <v>59.654895516546887</v>
      </c>
      <c r="D584">
        <v>210.42542127170717</v>
      </c>
      <c r="E584">
        <v>0</v>
      </c>
      <c r="F584">
        <v>32.821018315609386</v>
      </c>
      <c r="G584">
        <v>10591.334316968314</v>
      </c>
      <c r="H584">
        <v>0</v>
      </c>
      <c r="I584">
        <v>0</v>
      </c>
    </row>
    <row r="585" spans="1:9" x14ac:dyDescent="0.25">
      <c r="A585" s="113">
        <f t="shared" si="18"/>
        <v>61209</v>
      </c>
      <c r="B585" s="128">
        <f t="shared" si="19"/>
        <v>2067</v>
      </c>
      <c r="C585">
        <v>52.655850517283419</v>
      </c>
      <c r="D585">
        <v>206.57722461990357</v>
      </c>
      <c r="E585">
        <v>0</v>
      </c>
      <c r="F585">
        <v>32.250291547622311</v>
      </c>
      <c r="G585">
        <v>10405.162651318073</v>
      </c>
      <c r="H585">
        <v>0</v>
      </c>
      <c r="I585">
        <v>0</v>
      </c>
    </row>
    <row r="586" spans="1:9" x14ac:dyDescent="0.25">
      <c r="A586" s="113">
        <f t="shared" si="18"/>
        <v>61240</v>
      </c>
      <c r="B586" s="128">
        <f t="shared" si="19"/>
        <v>2067</v>
      </c>
      <c r="C586">
        <v>49.776450895653632</v>
      </c>
      <c r="D586">
        <v>202.96173031069597</v>
      </c>
      <c r="E586">
        <v>0</v>
      </c>
      <c r="F586">
        <v>31.688794195490726</v>
      </c>
      <c r="G586">
        <v>10220.288577707544</v>
      </c>
      <c r="H586">
        <v>0</v>
      </c>
      <c r="I586">
        <v>0</v>
      </c>
    </row>
    <row r="587" spans="1:9" x14ac:dyDescent="0.25">
      <c r="A587" s="113">
        <f t="shared" si="18"/>
        <v>61270</v>
      </c>
      <c r="B587" s="128">
        <f t="shared" si="19"/>
        <v>2067</v>
      </c>
      <c r="C587">
        <v>49.148614369804307</v>
      </c>
      <c r="D587">
        <v>199.6378618974625</v>
      </c>
      <c r="E587">
        <v>0</v>
      </c>
      <c r="F587">
        <v>31.13716746238681</v>
      </c>
      <c r="G587">
        <v>10038.662162717499</v>
      </c>
      <c r="H587">
        <v>0</v>
      </c>
      <c r="I587">
        <v>0</v>
      </c>
    </row>
    <row r="588" spans="1:9" x14ac:dyDescent="0.25">
      <c r="A588" s="113">
        <f t="shared" ref="A588:A651" si="20">DATE(YEAR(A587),MONTH(A587)+2,1)-1</f>
        <v>61301</v>
      </c>
      <c r="B588" s="128">
        <f t="shared" si="19"/>
        <v>2067</v>
      </c>
      <c r="C588">
        <v>65.104412529239454</v>
      </c>
      <c r="D588">
        <v>197.84841002008673</v>
      </c>
      <c r="E588">
        <v>0</v>
      </c>
      <c r="F588">
        <v>30.595534909228459</v>
      </c>
      <c r="G588">
        <v>9875.3226303174179</v>
      </c>
      <c r="H588">
        <v>0</v>
      </c>
      <c r="I588">
        <v>0</v>
      </c>
    </row>
    <row r="589" spans="1:9" x14ac:dyDescent="0.25">
      <c r="A589" s="113">
        <f t="shared" si="20"/>
        <v>61331</v>
      </c>
      <c r="B589" s="128">
        <f t="shared" si="19"/>
        <v>2067</v>
      </c>
      <c r="C589">
        <v>46.301902241931501</v>
      </c>
      <c r="D589">
        <v>197.11055186471822</v>
      </c>
      <c r="E589">
        <v>0</v>
      </c>
      <c r="F589">
        <v>30.060379667631931</v>
      </c>
      <c r="G589">
        <v>9694.453601027004</v>
      </c>
      <c r="H589">
        <v>0</v>
      </c>
      <c r="I589">
        <v>0</v>
      </c>
    </row>
    <row r="590" spans="1:9" x14ac:dyDescent="0.25">
      <c r="A590" s="113">
        <f t="shared" si="20"/>
        <v>61362</v>
      </c>
      <c r="B590" s="128">
        <f t="shared" si="19"/>
        <v>2067</v>
      </c>
      <c r="C590">
        <v>56.072550087604526</v>
      </c>
      <c r="D590">
        <v>196.57854748785499</v>
      </c>
      <c r="E590">
        <v>0</v>
      </c>
      <c r="F590">
        <v>29.522965847396225</v>
      </c>
      <c r="G590">
        <v>9524.4246377793534</v>
      </c>
      <c r="H590">
        <v>0</v>
      </c>
      <c r="I590">
        <v>0</v>
      </c>
    </row>
    <row r="591" spans="1:9" x14ac:dyDescent="0.25">
      <c r="A591" s="113">
        <f t="shared" si="20"/>
        <v>61393</v>
      </c>
      <c r="B591" s="128">
        <f t="shared" si="19"/>
        <v>2068</v>
      </c>
      <c r="C591">
        <v>46.726203191782048</v>
      </c>
      <c r="D591">
        <v>192.15588454454033</v>
      </c>
      <c r="E591">
        <v>0</v>
      </c>
      <c r="F591">
        <v>28.986746557184738</v>
      </c>
      <c r="G591">
        <v>9350.0082098694093</v>
      </c>
      <c r="H591">
        <v>0</v>
      </c>
      <c r="I591">
        <v>0</v>
      </c>
    </row>
    <row r="592" spans="1:9" x14ac:dyDescent="0.25">
      <c r="A592" s="113">
        <f t="shared" si="20"/>
        <v>61422</v>
      </c>
      <c r="B592" s="128">
        <f t="shared" si="19"/>
        <v>2068</v>
      </c>
      <c r="C592">
        <v>44.064450810846026</v>
      </c>
      <c r="D592">
        <v>187.80893935564654</v>
      </c>
      <c r="E592">
        <v>0</v>
      </c>
      <c r="F592">
        <v>28.460288758051885</v>
      </c>
      <c r="G592">
        <v>9177.8034325665558</v>
      </c>
      <c r="H592">
        <v>0</v>
      </c>
      <c r="I592">
        <v>0</v>
      </c>
    </row>
    <row r="593" spans="1:9" x14ac:dyDescent="0.25">
      <c r="A593" s="113">
        <f t="shared" si="20"/>
        <v>61453</v>
      </c>
      <c r="B593" s="128">
        <f t="shared" si="19"/>
        <v>2068</v>
      </c>
      <c r="C593">
        <v>43.160827101805694</v>
      </c>
      <c r="D593">
        <v>183.54522757271548</v>
      </c>
      <c r="E593">
        <v>0</v>
      </c>
      <c r="F593">
        <v>27.944935634723727</v>
      </c>
      <c r="G593">
        <v>9009.4740964609264</v>
      </c>
      <c r="H593">
        <v>0</v>
      </c>
      <c r="I593">
        <v>0</v>
      </c>
    </row>
    <row r="594" spans="1:9" x14ac:dyDescent="0.25">
      <c r="A594" s="113">
        <f t="shared" si="20"/>
        <v>61483</v>
      </c>
      <c r="B594" s="128">
        <f t="shared" si="19"/>
        <v>2068</v>
      </c>
      <c r="C594">
        <v>62.975131218698614</v>
      </c>
      <c r="D594">
        <v>182.8078536211066</v>
      </c>
      <c r="E594">
        <v>0</v>
      </c>
      <c r="F594">
        <v>27.441843692349504</v>
      </c>
      <c r="G594">
        <v>8862.1995303661697</v>
      </c>
      <c r="H594">
        <v>0</v>
      </c>
      <c r="I594">
        <v>0</v>
      </c>
    </row>
    <row r="595" spans="1:9" x14ac:dyDescent="0.25">
      <c r="A595" s="113">
        <f t="shared" si="20"/>
        <v>61514</v>
      </c>
      <c r="B595" s="128">
        <f t="shared" si="19"/>
        <v>2068</v>
      </c>
      <c r="C595">
        <v>46.273490502410176</v>
      </c>
      <c r="D595">
        <v>179.09129586125661</v>
      </c>
      <c r="E595">
        <v>0</v>
      </c>
      <c r="F595">
        <v>26.946076551409714</v>
      </c>
      <c r="G595">
        <v>8702.4356484559175</v>
      </c>
      <c r="H595">
        <v>0</v>
      </c>
      <c r="I595">
        <v>0</v>
      </c>
    </row>
    <row r="596" spans="1:9" x14ac:dyDescent="0.25">
      <c r="A596" s="113">
        <f t="shared" si="20"/>
        <v>61544</v>
      </c>
      <c r="B596" s="128">
        <f t="shared" si="19"/>
        <v>2068</v>
      </c>
      <c r="C596">
        <v>46.624629471412234</v>
      </c>
      <c r="D596">
        <v>175.12027776800264</v>
      </c>
      <c r="E596">
        <v>0</v>
      </c>
      <c r="F596">
        <v>26.456967658472145</v>
      </c>
      <c r="G596">
        <v>8547.4830325008479</v>
      </c>
      <c r="H596">
        <v>0</v>
      </c>
      <c r="I596">
        <v>0</v>
      </c>
    </row>
    <row r="597" spans="1:9" x14ac:dyDescent="0.25">
      <c r="A597" s="113">
        <f t="shared" si="20"/>
        <v>61575</v>
      </c>
      <c r="B597" s="128">
        <f t="shared" si="19"/>
        <v>2068</v>
      </c>
      <c r="C597">
        <v>41.338799877885542</v>
      </c>
      <c r="D597">
        <v>171.77433163805458</v>
      </c>
      <c r="E597">
        <v>0</v>
      </c>
      <c r="F597">
        <v>25.978027970860911</v>
      </c>
      <c r="G597">
        <v>8391.0694727698174</v>
      </c>
      <c r="H597">
        <v>0</v>
      </c>
      <c r="I597">
        <v>0</v>
      </c>
    </row>
    <row r="598" spans="1:9" x14ac:dyDescent="0.25">
      <c r="A598" s="113">
        <f t="shared" si="20"/>
        <v>61606</v>
      </c>
      <c r="B598" s="128">
        <f t="shared" si="19"/>
        <v>2068</v>
      </c>
      <c r="C598">
        <v>38.936590745846054</v>
      </c>
      <c r="D598">
        <v>168.63811504674013</v>
      </c>
      <c r="E598">
        <v>0</v>
      </c>
      <c r="F598">
        <v>25.507373988158598</v>
      </c>
      <c r="G598">
        <v>8235.8605744807701</v>
      </c>
      <c r="H598">
        <v>0</v>
      </c>
      <c r="I598">
        <v>0</v>
      </c>
    </row>
    <row r="599" spans="1:9" x14ac:dyDescent="0.25">
      <c r="A599" s="113">
        <f t="shared" si="20"/>
        <v>61636</v>
      </c>
      <c r="B599" s="128">
        <f t="shared" si="19"/>
        <v>2068</v>
      </c>
      <c r="C599">
        <v>38.327675474290551</v>
      </c>
      <c r="D599">
        <v>165.84459227651118</v>
      </c>
      <c r="E599">
        <v>0</v>
      </c>
      <c r="F599">
        <v>25.045383630216374</v>
      </c>
      <c r="G599">
        <v>8083.2982740483294</v>
      </c>
      <c r="H599">
        <v>0</v>
      </c>
      <c r="I599">
        <v>0</v>
      </c>
    </row>
    <row r="600" spans="1:9" x14ac:dyDescent="0.25">
      <c r="A600" s="113">
        <f t="shared" si="20"/>
        <v>61667</v>
      </c>
      <c r="B600" s="128">
        <f t="shared" si="19"/>
        <v>2068</v>
      </c>
      <c r="C600">
        <v>51.283824785200679</v>
      </c>
      <c r="D600">
        <v>164.22457490085998</v>
      </c>
      <c r="E600">
        <v>0</v>
      </c>
      <c r="F600">
        <v>24.592103916026844</v>
      </c>
      <c r="G600">
        <v>7945.7654200166435</v>
      </c>
      <c r="H600">
        <v>0</v>
      </c>
      <c r="I600">
        <v>0</v>
      </c>
    </row>
    <row r="601" spans="1:9" x14ac:dyDescent="0.25">
      <c r="A601" s="113">
        <f t="shared" si="20"/>
        <v>61697</v>
      </c>
      <c r="B601" s="128">
        <f t="shared" si="19"/>
        <v>2068</v>
      </c>
      <c r="C601">
        <v>36.141761385613719</v>
      </c>
      <c r="D601">
        <v>163.70424508452689</v>
      </c>
      <c r="E601">
        <v>0</v>
      </c>
      <c r="F601">
        <v>24.144562104597487</v>
      </c>
      <c r="G601">
        <v>7794.0583742131366</v>
      </c>
      <c r="H601">
        <v>0</v>
      </c>
      <c r="I601">
        <v>0</v>
      </c>
    </row>
    <row r="602" spans="1:9" x14ac:dyDescent="0.25">
      <c r="A602" s="113">
        <f t="shared" si="20"/>
        <v>61728</v>
      </c>
      <c r="B602" s="128">
        <f t="shared" si="19"/>
        <v>2068</v>
      </c>
      <c r="C602">
        <v>43.880888846846226</v>
      </c>
      <c r="D602">
        <v>162.96086401211923</v>
      </c>
      <c r="E602">
        <v>0</v>
      </c>
      <c r="F602">
        <v>23.694857466479867</v>
      </c>
      <c r="G602">
        <v>7651.2835415813779</v>
      </c>
      <c r="H602">
        <v>0</v>
      </c>
      <c r="I602">
        <v>0</v>
      </c>
    </row>
    <row r="603" spans="1:9" x14ac:dyDescent="0.25">
      <c r="A603" s="113">
        <f t="shared" si="20"/>
        <v>61759</v>
      </c>
      <c r="B603" s="128">
        <f t="shared" si="19"/>
        <v>2069</v>
      </c>
      <c r="C603">
        <v>36.503889795606</v>
      </c>
      <c r="D603">
        <v>159.0960999736341</v>
      </c>
      <c r="E603">
        <v>0</v>
      </c>
      <c r="F603">
        <v>23.246955037214171</v>
      </c>
      <c r="G603">
        <v>7505.444376366142</v>
      </c>
      <c r="H603">
        <v>0</v>
      </c>
      <c r="I603">
        <v>0</v>
      </c>
    </row>
    <row r="604" spans="1:9" x14ac:dyDescent="0.25">
      <c r="A604" s="113">
        <f t="shared" si="20"/>
        <v>61787</v>
      </c>
      <c r="B604" s="128">
        <f t="shared" si="19"/>
        <v>2069</v>
      </c>
      <c r="C604">
        <v>34.309652226719585</v>
      </c>
      <c r="D604">
        <v>155.32858565160697</v>
      </c>
      <c r="E604">
        <v>0</v>
      </c>
      <c r="F604">
        <v>22.807819539131064</v>
      </c>
      <c r="G604">
        <v>7361.6176234021186</v>
      </c>
      <c r="H604">
        <v>0</v>
      </c>
      <c r="I604">
        <v>0</v>
      </c>
    </row>
    <row r="605" spans="1:9" x14ac:dyDescent="0.25">
      <c r="A605" s="113">
        <f t="shared" si="20"/>
        <v>61818</v>
      </c>
      <c r="B605" s="128">
        <f t="shared" si="19"/>
        <v>2069</v>
      </c>
      <c r="C605">
        <v>33.563616558973258</v>
      </c>
      <c r="D605">
        <v>151.83897377233035</v>
      </c>
      <c r="E605">
        <v>0</v>
      </c>
      <c r="F605">
        <v>22.378408293762178</v>
      </c>
      <c r="G605">
        <v>7220.9638578950007</v>
      </c>
      <c r="H605">
        <v>0</v>
      </c>
      <c r="I605">
        <v>0</v>
      </c>
    </row>
    <row r="606" spans="1:9" x14ac:dyDescent="0.25">
      <c r="A606" s="113">
        <f t="shared" si="20"/>
        <v>61848</v>
      </c>
      <c r="B606" s="128">
        <f t="shared" si="19"/>
        <v>2069</v>
      </c>
      <c r="C606">
        <v>49.616408830814386</v>
      </c>
      <c r="D606">
        <v>151.12131731419066</v>
      </c>
      <c r="E606">
        <v>0</v>
      </c>
      <c r="F606">
        <v>21.959241991565744</v>
      </c>
      <c r="G606">
        <v>7097.4997074200573</v>
      </c>
      <c r="H606">
        <v>0</v>
      </c>
      <c r="I606">
        <v>0</v>
      </c>
    </row>
    <row r="607" spans="1:9" x14ac:dyDescent="0.25">
      <c r="A607" s="113">
        <f t="shared" si="20"/>
        <v>61879</v>
      </c>
      <c r="B607" s="128">
        <f t="shared" si="19"/>
        <v>2069</v>
      </c>
      <c r="C607">
        <v>35.231449126939715</v>
      </c>
      <c r="D607">
        <v>148.05281110814926</v>
      </c>
      <c r="E607">
        <v>0</v>
      </c>
      <c r="F607">
        <v>21.546159181929216</v>
      </c>
      <c r="G607">
        <v>6963.1321862569175</v>
      </c>
      <c r="H607">
        <v>0</v>
      </c>
      <c r="I607">
        <v>0</v>
      </c>
    </row>
    <row r="608" spans="1:9" x14ac:dyDescent="0.25">
      <c r="A608" s="113">
        <f t="shared" si="20"/>
        <v>61909</v>
      </c>
      <c r="B608" s="128">
        <f t="shared" si="19"/>
        <v>2069</v>
      </c>
      <c r="C608">
        <v>36.069000576140844</v>
      </c>
      <c r="D608">
        <v>144.76279182833255</v>
      </c>
      <c r="E608">
        <v>0</v>
      </c>
      <c r="F608">
        <v>21.138654145825633</v>
      </c>
      <c r="G608">
        <v>6833.2997408589044</v>
      </c>
      <c r="H608">
        <v>0</v>
      </c>
      <c r="I608">
        <v>0</v>
      </c>
    </row>
    <row r="609" spans="1:9" x14ac:dyDescent="0.25">
      <c r="A609" s="113">
        <f t="shared" si="20"/>
        <v>61940</v>
      </c>
      <c r="B609" s="128">
        <f t="shared" si="19"/>
        <v>2069</v>
      </c>
      <c r="C609">
        <v>32.127284783968435</v>
      </c>
      <c r="D609">
        <v>141.84137919772735</v>
      </c>
      <c r="E609">
        <v>0</v>
      </c>
      <c r="F609">
        <v>20.739812374219376</v>
      </c>
      <c r="G609">
        <v>6702.8458340709221</v>
      </c>
      <c r="H609">
        <v>0</v>
      </c>
      <c r="I609">
        <v>0</v>
      </c>
    </row>
    <row r="610" spans="1:9" x14ac:dyDescent="0.25">
      <c r="A610" s="113">
        <f t="shared" si="20"/>
        <v>61971</v>
      </c>
      <c r="B610" s="128">
        <f t="shared" si="19"/>
        <v>2069</v>
      </c>
      <c r="C610">
        <v>30.162169322392522</v>
      </c>
      <c r="D610">
        <v>139.11602114285782</v>
      </c>
      <c r="E610">
        <v>0</v>
      </c>
      <c r="F610">
        <v>20.348398367575129</v>
      </c>
      <c r="G610">
        <v>6573.5435838828862</v>
      </c>
      <c r="H610">
        <v>0</v>
      </c>
      <c r="I610">
        <v>0</v>
      </c>
    </row>
    <row r="611" spans="1:9" x14ac:dyDescent="0.25">
      <c r="A611" s="113">
        <f t="shared" si="20"/>
        <v>62001</v>
      </c>
      <c r="B611" s="128">
        <f t="shared" si="19"/>
        <v>2069</v>
      </c>
      <c r="C611">
        <v>29.691910273131413</v>
      </c>
      <c r="D611">
        <v>136.7806256767324</v>
      </c>
      <c r="E611">
        <v>0</v>
      </c>
      <c r="F611">
        <v>19.964590837689023</v>
      </c>
      <c r="G611">
        <v>6446.4902776416002</v>
      </c>
      <c r="H611">
        <v>0</v>
      </c>
      <c r="I611">
        <v>0</v>
      </c>
    </row>
    <row r="612" spans="1:9" x14ac:dyDescent="0.25">
      <c r="A612" s="113">
        <f t="shared" si="20"/>
        <v>62032</v>
      </c>
      <c r="B612" s="128">
        <f t="shared" si="19"/>
        <v>2069</v>
      </c>
      <c r="C612">
        <v>39.976853823761125</v>
      </c>
      <c r="D612">
        <v>135.21782375283365</v>
      </c>
      <c r="E612">
        <v>0</v>
      </c>
      <c r="F612">
        <v>19.587788131552255</v>
      </c>
      <c r="G612">
        <v>6331.6615195809718</v>
      </c>
      <c r="H612">
        <v>0</v>
      </c>
      <c r="I612">
        <v>0</v>
      </c>
    </row>
    <row r="613" spans="1:9" x14ac:dyDescent="0.25">
      <c r="A613" s="113">
        <f t="shared" si="20"/>
        <v>62062</v>
      </c>
      <c r="B613" s="128">
        <f t="shared" si="19"/>
        <v>2069</v>
      </c>
      <c r="C613">
        <v>27.938525436379813</v>
      </c>
      <c r="D613">
        <v>134.48998681669104</v>
      </c>
      <c r="E613">
        <v>0</v>
      </c>
      <c r="F613">
        <v>19.216478117411082</v>
      </c>
      <c r="G613">
        <v>6205.8935800832451</v>
      </c>
      <c r="H613">
        <v>0</v>
      </c>
      <c r="I613">
        <v>0</v>
      </c>
    </row>
    <row r="614" spans="1:9" x14ac:dyDescent="0.25">
      <c r="A614" s="113">
        <f t="shared" si="20"/>
        <v>62093</v>
      </c>
      <c r="B614" s="128">
        <f t="shared" si="19"/>
        <v>2069</v>
      </c>
      <c r="C614">
        <v>33.941177152089111</v>
      </c>
      <c r="D614">
        <v>133.82685401659722</v>
      </c>
      <c r="E614">
        <v>0</v>
      </c>
      <c r="F614">
        <v>18.844466860206055</v>
      </c>
      <c r="G614">
        <v>6087.1634363585299</v>
      </c>
      <c r="H614">
        <v>0</v>
      </c>
      <c r="I614">
        <v>0</v>
      </c>
    </row>
    <row r="615" spans="1:9" x14ac:dyDescent="0.25">
      <c r="A615" s="113">
        <f t="shared" si="20"/>
        <v>62124</v>
      </c>
      <c r="B615" s="128">
        <f t="shared" si="19"/>
        <v>2070</v>
      </c>
      <c r="C615">
        <v>28.220047107114031</v>
      </c>
      <c r="D615">
        <v>130.38660200066602</v>
      </c>
      <c r="E615">
        <v>0</v>
      </c>
      <c r="F615">
        <v>18.473577230967937</v>
      </c>
      <c r="G615">
        <v>5966.5233042340096</v>
      </c>
      <c r="H615">
        <v>0</v>
      </c>
      <c r="I615">
        <v>0</v>
      </c>
    </row>
    <row r="616" spans="1:9" x14ac:dyDescent="0.25">
      <c r="A616" s="113">
        <f t="shared" si="20"/>
        <v>62152</v>
      </c>
      <c r="B616" s="128">
        <f t="shared" si="19"/>
        <v>2070</v>
      </c>
      <c r="C616">
        <v>26.441897707462751</v>
      </c>
      <c r="D616">
        <v>127.14704268454111</v>
      </c>
      <c r="E616">
        <v>0</v>
      </c>
      <c r="F616">
        <v>18.110691887213424</v>
      </c>
      <c r="G616">
        <v>5847.7074673697171</v>
      </c>
      <c r="H616">
        <v>0</v>
      </c>
      <c r="I616">
        <v>0</v>
      </c>
    </row>
    <row r="617" spans="1:9" x14ac:dyDescent="0.25">
      <c r="A617" s="113">
        <f t="shared" si="20"/>
        <v>62183</v>
      </c>
      <c r="B617" s="128">
        <f t="shared" si="19"/>
        <v>2070</v>
      </c>
      <c r="C617">
        <v>25.841822919442038</v>
      </c>
      <c r="D617">
        <v>124.04947115507241</v>
      </c>
      <c r="E617">
        <v>0</v>
      </c>
      <c r="F617">
        <v>17.756274455345945</v>
      </c>
      <c r="G617">
        <v>5731.7435446787449</v>
      </c>
      <c r="H617">
        <v>0</v>
      </c>
      <c r="I617">
        <v>0</v>
      </c>
    </row>
    <row r="618" spans="1:9" x14ac:dyDescent="0.25">
      <c r="A618" s="113">
        <f t="shared" si="20"/>
        <v>62213</v>
      </c>
      <c r="B618" s="128">
        <f t="shared" si="19"/>
        <v>2070</v>
      </c>
      <c r="C618">
        <v>38.65038894483915</v>
      </c>
      <c r="D618">
        <v>123.2972278736965</v>
      </c>
      <c r="E618">
        <v>0</v>
      </c>
      <c r="F618">
        <v>17.410900603834552</v>
      </c>
      <c r="G618">
        <v>5629.6858051460522</v>
      </c>
      <c r="H618">
        <v>0</v>
      </c>
      <c r="I618">
        <v>0</v>
      </c>
    </row>
    <row r="619" spans="1:9" x14ac:dyDescent="0.25">
      <c r="A619" s="113">
        <f t="shared" si="20"/>
        <v>62244</v>
      </c>
      <c r="B619" s="128">
        <f t="shared" si="19"/>
        <v>2070</v>
      </c>
      <c r="C619">
        <v>26.597460144698438</v>
      </c>
      <c r="D619">
        <v>120.4670079591849</v>
      </c>
      <c r="E619">
        <v>0</v>
      </c>
      <c r="F619">
        <v>17.070698905793332</v>
      </c>
      <c r="G619">
        <v>5518.745558425775</v>
      </c>
      <c r="H619">
        <v>0</v>
      </c>
      <c r="I619">
        <v>0</v>
      </c>
    </row>
    <row r="620" spans="1:9" x14ac:dyDescent="0.25">
      <c r="A620" s="113">
        <f t="shared" si="20"/>
        <v>62274</v>
      </c>
      <c r="B620" s="128">
        <f t="shared" si="19"/>
        <v>2070</v>
      </c>
      <c r="C620">
        <v>27.600289895507288</v>
      </c>
      <c r="D620">
        <v>117.56918620465855</v>
      </c>
      <c r="E620">
        <v>0</v>
      </c>
      <c r="F620">
        <v>16.735798813327804</v>
      </c>
      <c r="G620">
        <v>5412.0408633032903</v>
      </c>
      <c r="H620">
        <v>0</v>
      </c>
      <c r="I620">
        <v>0</v>
      </c>
    </row>
    <row r="621" spans="1:9" x14ac:dyDescent="0.25">
      <c r="A621" s="113">
        <f t="shared" si="20"/>
        <v>62305</v>
      </c>
      <c r="B621" s="128">
        <f t="shared" si="19"/>
        <v>2070</v>
      </c>
      <c r="C621">
        <v>24.7171825087241</v>
      </c>
      <c r="D621">
        <v>115.07805892265455</v>
      </c>
      <c r="E621">
        <v>0</v>
      </c>
      <c r="F621">
        <v>16.408701033028116</v>
      </c>
      <c r="G621">
        <v>5305.2712858563309</v>
      </c>
      <c r="H621">
        <v>0</v>
      </c>
      <c r="I621">
        <v>0</v>
      </c>
    </row>
    <row r="622" spans="1:9" x14ac:dyDescent="0.25">
      <c r="A622" s="113">
        <f t="shared" si="20"/>
        <v>62336</v>
      </c>
      <c r="B622" s="128">
        <f t="shared" si="19"/>
        <v>2070</v>
      </c>
      <c r="C622">
        <v>23.144459371290981</v>
      </c>
      <c r="D622">
        <v>112.77235290156358</v>
      </c>
      <c r="E622">
        <v>0</v>
      </c>
      <c r="F622">
        <v>16.088121092555294</v>
      </c>
      <c r="G622">
        <v>5199.555271233502</v>
      </c>
      <c r="H622">
        <v>0</v>
      </c>
      <c r="I622">
        <v>0</v>
      </c>
    </row>
    <row r="623" spans="1:9" x14ac:dyDescent="0.25">
      <c r="A623" s="113">
        <f t="shared" si="20"/>
        <v>62366</v>
      </c>
      <c r="B623" s="128">
        <f t="shared" si="19"/>
        <v>2070</v>
      </c>
      <c r="C623">
        <v>22.725153958862048</v>
      </c>
      <c r="D623">
        <v>110.68969968196602</v>
      </c>
      <c r="E623">
        <v>0</v>
      </c>
      <c r="F623">
        <v>15.774086856589548</v>
      </c>
      <c r="G623">
        <v>5095.8166386538178</v>
      </c>
      <c r="H623">
        <v>0</v>
      </c>
      <c r="I623">
        <v>0</v>
      </c>
    </row>
    <row r="624" spans="1:9" x14ac:dyDescent="0.25">
      <c r="A624" s="113">
        <f t="shared" si="20"/>
        <v>62397</v>
      </c>
      <c r="B624" s="128">
        <f t="shared" si="19"/>
        <v>2070</v>
      </c>
      <c r="C624">
        <v>30.853886395568171</v>
      </c>
      <c r="D624">
        <v>109.3269300304113</v>
      </c>
      <c r="E624">
        <v>0</v>
      </c>
      <c r="F624">
        <v>15.466401654770323</v>
      </c>
      <c r="G624">
        <v>5001.8771933642001</v>
      </c>
      <c r="H624">
        <v>0</v>
      </c>
      <c r="I624">
        <v>0</v>
      </c>
    </row>
    <row r="625" spans="1:9" x14ac:dyDescent="0.25">
      <c r="A625" s="113">
        <f t="shared" si="20"/>
        <v>62427</v>
      </c>
      <c r="B625" s="128">
        <f t="shared" si="19"/>
        <v>2070</v>
      </c>
      <c r="C625">
        <v>21.424988096700034</v>
      </c>
      <c r="D625">
        <v>108.44134549608509</v>
      </c>
      <c r="E625">
        <v>0</v>
      </c>
      <c r="F625">
        <v>15.16320569099177</v>
      </c>
      <c r="G625">
        <v>4899.6976302738258</v>
      </c>
      <c r="H625">
        <v>0</v>
      </c>
      <c r="I625">
        <v>0</v>
      </c>
    </row>
    <row r="626" spans="1:9" x14ac:dyDescent="0.25">
      <c r="A626" s="113">
        <f t="shared" si="20"/>
        <v>62458</v>
      </c>
      <c r="B626" s="128">
        <f t="shared" si="19"/>
        <v>2070</v>
      </c>
      <c r="C626">
        <v>25.971133320973532</v>
      </c>
      <c r="D626">
        <v>107.71370835546674</v>
      </c>
      <c r="E626">
        <v>0</v>
      </c>
      <c r="F626">
        <v>14.860124078992174</v>
      </c>
      <c r="G626">
        <v>4803.0949311603354</v>
      </c>
      <c r="H626">
        <v>0</v>
      </c>
      <c r="I626">
        <v>0</v>
      </c>
    </row>
    <row r="627" spans="1:9" x14ac:dyDescent="0.25">
      <c r="A627" s="113">
        <f t="shared" si="20"/>
        <v>62489</v>
      </c>
      <c r="B627" s="128">
        <f t="shared" si="19"/>
        <v>2071</v>
      </c>
      <c r="C627">
        <v>21.62025525716448</v>
      </c>
      <c r="D627">
        <v>105.02133558561351</v>
      </c>
      <c r="E627">
        <v>0</v>
      </c>
      <c r="F627">
        <v>14.558788886500695</v>
      </c>
      <c r="G627">
        <v>4705.1350619453879</v>
      </c>
      <c r="H627">
        <v>0</v>
      </c>
      <c r="I627">
        <v>0</v>
      </c>
    </row>
    <row r="628" spans="1:9" x14ac:dyDescent="0.25">
      <c r="A628" s="113">
        <f t="shared" si="20"/>
        <v>62517</v>
      </c>
      <c r="B628" s="128">
        <f t="shared" si="19"/>
        <v>2071</v>
      </c>
      <c r="C628">
        <v>20.214941587482951</v>
      </c>
      <c r="D628">
        <v>102.30136540512606</v>
      </c>
      <c r="E628">
        <v>0</v>
      </c>
      <c r="F628">
        <v>14.263963932533455</v>
      </c>
      <c r="G628">
        <v>4608.7846741952153</v>
      </c>
      <c r="H628">
        <v>0</v>
      </c>
      <c r="I628">
        <v>0</v>
      </c>
    </row>
    <row r="629" spans="1:9" x14ac:dyDescent="0.25">
      <c r="A629" s="113">
        <f t="shared" si="20"/>
        <v>62548</v>
      </c>
      <c r="B629" s="128">
        <f t="shared" si="19"/>
        <v>2071</v>
      </c>
      <c r="C629">
        <v>19.741204886606248</v>
      </c>
      <c r="D629">
        <v>99.698286189802957</v>
      </c>
      <c r="E629">
        <v>0</v>
      </c>
      <c r="F629">
        <v>13.976347850071381</v>
      </c>
      <c r="G629">
        <v>4514.8512450419421</v>
      </c>
      <c r="H629">
        <v>0</v>
      </c>
      <c r="I629">
        <v>0</v>
      </c>
    </row>
    <row r="630" spans="1:9" x14ac:dyDescent="0.25">
      <c r="A630" s="113">
        <f t="shared" si="20"/>
        <v>62578</v>
      </c>
      <c r="B630" s="128">
        <f t="shared" si="19"/>
        <v>2071</v>
      </c>
      <c r="C630">
        <v>29.802073306968293</v>
      </c>
      <c r="D630">
        <v>99.015860336936456</v>
      </c>
      <c r="E630">
        <v>0</v>
      </c>
      <c r="F630">
        <v>13.696380856442458</v>
      </c>
      <c r="G630">
        <v>4431.9410771555313</v>
      </c>
      <c r="H630">
        <v>0</v>
      </c>
      <c r="I630">
        <v>0</v>
      </c>
    </row>
    <row r="631" spans="1:9" x14ac:dyDescent="0.25">
      <c r="A631" s="113">
        <f t="shared" si="20"/>
        <v>62609</v>
      </c>
      <c r="B631" s="128">
        <f t="shared" si="19"/>
        <v>2071</v>
      </c>
      <c r="C631">
        <v>19.970510149845772</v>
      </c>
      <c r="D631">
        <v>96.462220772581333</v>
      </c>
      <c r="E631">
        <v>0</v>
      </c>
      <c r="F631">
        <v>13.420725099991692</v>
      </c>
      <c r="G631">
        <v>4342.0286414328093</v>
      </c>
      <c r="H631">
        <v>0</v>
      </c>
      <c r="I631">
        <v>0</v>
      </c>
    </row>
    <row r="632" spans="1:9" x14ac:dyDescent="0.25">
      <c r="A632" s="113">
        <f t="shared" si="20"/>
        <v>62639</v>
      </c>
      <c r="B632" s="128">
        <f t="shared" si="19"/>
        <v>2071</v>
      </c>
      <c r="C632">
        <v>20.937597132534531</v>
      </c>
      <c r="D632">
        <v>94.047983231102847</v>
      </c>
      <c r="E632">
        <v>0</v>
      </c>
      <c r="F632">
        <v>13.14990989504979</v>
      </c>
      <c r="G632">
        <v>4255.7683454391872</v>
      </c>
      <c r="H632">
        <v>0</v>
      </c>
      <c r="I632">
        <v>0</v>
      </c>
    </row>
    <row r="633" spans="1:9" x14ac:dyDescent="0.25">
      <c r="A633" s="113">
        <f t="shared" si="20"/>
        <v>62670</v>
      </c>
      <c r="B633" s="128">
        <f t="shared" si="19"/>
        <v>2071</v>
      </c>
      <c r="C633">
        <v>18.862755412596798</v>
      </c>
      <c r="D633">
        <v>91.961398701849177</v>
      </c>
      <c r="E633">
        <v>0</v>
      </c>
      <c r="F633">
        <v>12.885739107403683</v>
      </c>
      <c r="G633">
        <v>4169.783963042536</v>
      </c>
      <c r="H633">
        <v>0</v>
      </c>
      <c r="I633">
        <v>0</v>
      </c>
    </row>
    <row r="634" spans="1:9" x14ac:dyDescent="0.25">
      <c r="A634" s="113">
        <f t="shared" si="20"/>
        <v>62701</v>
      </c>
      <c r="B634" s="128">
        <f t="shared" si="19"/>
        <v>2071</v>
      </c>
      <c r="C634">
        <v>17.634520052622992</v>
      </c>
      <c r="D634">
        <v>90.051662322707259</v>
      </c>
      <c r="E634">
        <v>0</v>
      </c>
      <c r="F634">
        <v>12.627167150204118</v>
      </c>
      <c r="G634">
        <v>4084.739653622245</v>
      </c>
      <c r="H634">
        <v>0</v>
      </c>
      <c r="I634">
        <v>0</v>
      </c>
    </row>
    <row r="635" spans="1:9" x14ac:dyDescent="0.25">
      <c r="A635" s="113">
        <f t="shared" si="20"/>
        <v>62731</v>
      </c>
      <c r="B635" s="128">
        <f t="shared" si="19"/>
        <v>2071</v>
      </c>
      <c r="C635">
        <v>17.281537426088001</v>
      </c>
      <c r="D635">
        <v>88.283294339566282</v>
      </c>
      <c r="E635">
        <v>0</v>
      </c>
      <c r="F635">
        <v>12.374116692121406</v>
      </c>
      <c r="G635">
        <v>4001.3637800166443</v>
      </c>
      <c r="H635">
        <v>0</v>
      </c>
      <c r="I635">
        <v>0</v>
      </c>
    </row>
    <row r="636" spans="1:9" x14ac:dyDescent="0.25">
      <c r="A636" s="113">
        <f t="shared" si="20"/>
        <v>62762</v>
      </c>
      <c r="B636" s="128">
        <f t="shared" si="19"/>
        <v>2071</v>
      </c>
      <c r="C636">
        <v>23.610038178515943</v>
      </c>
      <c r="D636">
        <v>86.87630118952606</v>
      </c>
      <c r="E636">
        <v>0</v>
      </c>
      <c r="F636">
        <v>12.126470069892232</v>
      </c>
      <c r="G636">
        <v>3925.9710469357424</v>
      </c>
      <c r="H636">
        <v>0</v>
      </c>
      <c r="I636">
        <v>0</v>
      </c>
    </row>
    <row r="637" spans="1:9" x14ac:dyDescent="0.25">
      <c r="A637" s="113">
        <f t="shared" si="20"/>
        <v>62792</v>
      </c>
      <c r="B637" s="128">
        <f t="shared" si="19"/>
        <v>2071</v>
      </c>
      <c r="C637">
        <v>16.316715608636784</v>
      </c>
      <c r="D637">
        <v>86.092151200729688</v>
      </c>
      <c r="E637">
        <v>0</v>
      </c>
      <c r="F637">
        <v>11.883199865930294</v>
      </c>
      <c r="G637">
        <v>3844.312411477717</v>
      </c>
      <c r="H637">
        <v>0</v>
      </c>
      <c r="I637">
        <v>0</v>
      </c>
    </row>
    <row r="638" spans="1:9" x14ac:dyDescent="0.25">
      <c r="A638" s="113">
        <f t="shared" si="20"/>
        <v>62823</v>
      </c>
      <c r="B638" s="128">
        <f t="shared" si="19"/>
        <v>2071</v>
      </c>
      <c r="C638">
        <v>19.687370499630418</v>
      </c>
      <c r="D638">
        <v>85.204734988354787</v>
      </c>
      <c r="E638">
        <v>0</v>
      </c>
      <c r="F638">
        <v>11.640341390326892</v>
      </c>
      <c r="G638">
        <v>3767.1547055986675</v>
      </c>
      <c r="H638">
        <v>0</v>
      </c>
      <c r="I638">
        <v>0</v>
      </c>
    </row>
    <row r="639" spans="1:9" x14ac:dyDescent="0.25">
      <c r="A639" s="113">
        <f t="shared" si="20"/>
        <v>62854</v>
      </c>
      <c r="B639" s="128">
        <f t="shared" si="19"/>
        <v>2072</v>
      </c>
      <c r="C639">
        <v>16.445185029968719</v>
      </c>
      <c r="D639">
        <v>82.916894303556575</v>
      </c>
      <c r="E639">
        <v>0</v>
      </c>
      <c r="F639">
        <v>11.399675615571855</v>
      </c>
      <c r="G639">
        <v>3689.2833207095077</v>
      </c>
      <c r="H639">
        <v>0</v>
      </c>
      <c r="I639">
        <v>0</v>
      </c>
    </row>
    <row r="640" spans="1:9" x14ac:dyDescent="0.25">
      <c r="A640" s="113">
        <f t="shared" si="20"/>
        <v>62883</v>
      </c>
      <c r="B640" s="128">
        <f t="shared" si="19"/>
        <v>2072</v>
      </c>
      <c r="C640">
        <v>15.363929991943143</v>
      </c>
      <c r="D640">
        <v>80.695946004723979</v>
      </c>
      <c r="E640">
        <v>0</v>
      </c>
      <c r="F640">
        <v>11.164658871918885</v>
      </c>
      <c r="G640">
        <v>3612.7866458248086</v>
      </c>
      <c r="H640">
        <v>0</v>
      </c>
      <c r="I640">
        <v>0</v>
      </c>
    </row>
    <row r="641" spans="1:9" x14ac:dyDescent="0.25">
      <c r="A641" s="113">
        <f t="shared" si="20"/>
        <v>62914</v>
      </c>
      <c r="B641" s="128">
        <f t="shared" si="19"/>
        <v>2072</v>
      </c>
      <c r="C641">
        <v>14.998486082964058</v>
      </c>
      <c r="D641">
        <v>78.549076430218733</v>
      </c>
      <c r="E641">
        <v>0</v>
      </c>
      <c r="F641">
        <v>10.935618683979509</v>
      </c>
      <c r="G641">
        <v>3538.3004367935737</v>
      </c>
      <c r="H641">
        <v>0</v>
      </c>
      <c r="I641">
        <v>0</v>
      </c>
    </row>
    <row r="642" spans="1:9" x14ac:dyDescent="0.25">
      <c r="A642" s="113">
        <f t="shared" si="20"/>
        <v>62944</v>
      </c>
      <c r="B642" s="128">
        <f t="shared" si="19"/>
        <v>2072</v>
      </c>
      <c r="C642">
        <v>22.770760812549767</v>
      </c>
      <c r="D642">
        <v>77.858598364099635</v>
      </c>
      <c r="E642">
        <v>0</v>
      </c>
      <c r="F642">
        <v>10.712926903623886</v>
      </c>
      <c r="G642">
        <v>3472.4996723384006</v>
      </c>
      <c r="H642">
        <v>0</v>
      </c>
      <c r="I642">
        <v>0</v>
      </c>
    </row>
    <row r="643" spans="1:9" x14ac:dyDescent="0.25">
      <c r="A643" s="113">
        <f t="shared" si="20"/>
        <v>62975</v>
      </c>
      <c r="B643" s="128">
        <f t="shared" ref="B643:B706" si="21">YEAR(A643)</f>
        <v>2072</v>
      </c>
      <c r="C643">
        <v>15.042776875895305</v>
      </c>
      <c r="D643">
        <v>75.988304046435815</v>
      </c>
      <c r="E643">
        <v>0</v>
      </c>
      <c r="F643">
        <v>10.493817657762333</v>
      </c>
      <c r="G643">
        <v>3401.0603275100971</v>
      </c>
      <c r="H643">
        <v>0</v>
      </c>
      <c r="I643">
        <v>0</v>
      </c>
    </row>
    <row r="644" spans="1:9" x14ac:dyDescent="0.25">
      <c r="A644" s="113">
        <f t="shared" si="20"/>
        <v>63005</v>
      </c>
      <c r="B644" s="128">
        <f t="shared" si="21"/>
        <v>2072</v>
      </c>
      <c r="C644">
        <v>15.788712761992119</v>
      </c>
      <c r="D644">
        <v>73.951639714993362</v>
      </c>
      <c r="E644">
        <v>0</v>
      </c>
      <c r="F644">
        <v>10.278514742033476</v>
      </c>
      <c r="G644">
        <v>3332.6188858150604</v>
      </c>
      <c r="H644">
        <v>0</v>
      </c>
      <c r="I644">
        <v>0</v>
      </c>
    </row>
    <row r="645" spans="1:9" x14ac:dyDescent="0.25">
      <c r="A645" s="113">
        <f t="shared" si="20"/>
        <v>63036</v>
      </c>
      <c r="B645" s="128">
        <f t="shared" si="21"/>
        <v>2072</v>
      </c>
      <c r="C645">
        <v>14.318274469201166</v>
      </c>
      <c r="D645">
        <v>72.242496217813255</v>
      </c>
      <c r="E645">
        <v>0</v>
      </c>
      <c r="F645">
        <v>10.068944001183747</v>
      </c>
      <c r="G645">
        <v>3264.6257200652667</v>
      </c>
      <c r="H645">
        <v>0</v>
      </c>
      <c r="I645">
        <v>0</v>
      </c>
    </row>
    <row r="646" spans="1:9" x14ac:dyDescent="0.25">
      <c r="A646" s="113">
        <f t="shared" si="20"/>
        <v>63067</v>
      </c>
      <c r="B646" s="128">
        <f t="shared" si="21"/>
        <v>2072</v>
      </c>
      <c r="C646">
        <v>13.385926708174804</v>
      </c>
      <c r="D646">
        <v>70.701572261411826</v>
      </c>
      <c r="E646">
        <v>0</v>
      </c>
      <c r="F646">
        <v>9.8640564750857553</v>
      </c>
      <c r="G646">
        <v>3197.4460180369424</v>
      </c>
      <c r="H646">
        <v>0</v>
      </c>
      <c r="I646">
        <v>0</v>
      </c>
    </row>
    <row r="647" spans="1:9" x14ac:dyDescent="0.25">
      <c r="A647" s="113">
        <f t="shared" si="20"/>
        <v>63097</v>
      </c>
      <c r="B647" s="128">
        <f t="shared" si="21"/>
        <v>2072</v>
      </c>
      <c r="C647">
        <v>13.10271178679305</v>
      </c>
      <c r="D647">
        <v>69.195228902685102</v>
      </c>
      <c r="E647">
        <v>0</v>
      </c>
      <c r="F647">
        <v>9.6637082597616484</v>
      </c>
      <c r="G647">
        <v>3131.6897926612887</v>
      </c>
      <c r="H647">
        <v>0</v>
      </c>
      <c r="I647">
        <v>0</v>
      </c>
    </row>
    <row r="648" spans="1:9" x14ac:dyDescent="0.25">
      <c r="A648" s="113">
        <f t="shared" si="20"/>
        <v>63128</v>
      </c>
      <c r="B648" s="128">
        <f t="shared" si="21"/>
        <v>2072</v>
      </c>
      <c r="C648">
        <v>17.977627520709369</v>
      </c>
      <c r="D648">
        <v>68.133441154170896</v>
      </c>
      <c r="E648">
        <v>0</v>
      </c>
      <c r="F648">
        <v>9.4680516464823246</v>
      </c>
      <c r="G648">
        <v>3072.0659273813458</v>
      </c>
      <c r="H648">
        <v>0</v>
      </c>
      <c r="I648">
        <v>0</v>
      </c>
    </row>
    <row r="649" spans="1:9" x14ac:dyDescent="0.25">
      <c r="A649" s="113">
        <f t="shared" si="20"/>
        <v>63158</v>
      </c>
      <c r="B649" s="128">
        <f t="shared" si="21"/>
        <v>2072</v>
      </c>
      <c r="C649">
        <v>12.395204035776082</v>
      </c>
      <c r="D649">
        <v>67.536571486026602</v>
      </c>
      <c r="E649">
        <v>0</v>
      </c>
      <c r="F649">
        <v>9.2760919404884667</v>
      </c>
      <c r="G649">
        <v>3007.6484679906075</v>
      </c>
      <c r="H649">
        <v>0</v>
      </c>
      <c r="I649">
        <v>0</v>
      </c>
    </row>
    <row r="650" spans="1:9" x14ac:dyDescent="0.25">
      <c r="A650" s="113">
        <f t="shared" si="20"/>
        <v>63189</v>
      </c>
      <c r="B650" s="128">
        <f t="shared" si="21"/>
        <v>2072</v>
      </c>
      <c r="C650">
        <v>14.830702127637917</v>
      </c>
      <c r="D650">
        <v>66.949014983716111</v>
      </c>
      <c r="E650">
        <v>0</v>
      </c>
      <c r="F650">
        <v>9.0848645074534069</v>
      </c>
      <c r="G650">
        <v>2946.4452906270735</v>
      </c>
      <c r="H650">
        <v>0</v>
      </c>
      <c r="I650">
        <v>0</v>
      </c>
    </row>
    <row r="651" spans="1:9" x14ac:dyDescent="0.25">
      <c r="A651" s="113">
        <f t="shared" si="20"/>
        <v>63220</v>
      </c>
      <c r="B651" s="128">
        <f t="shared" si="21"/>
        <v>2073</v>
      </c>
      <c r="C651">
        <v>12.460655747945921</v>
      </c>
      <c r="D651">
        <v>65.081955734347261</v>
      </c>
      <c r="E651">
        <v>0</v>
      </c>
      <c r="F651">
        <v>8.8951928939608891</v>
      </c>
      <c r="G651">
        <v>2884.9287977467134</v>
      </c>
      <c r="H651">
        <v>0</v>
      </c>
      <c r="I651">
        <v>0</v>
      </c>
    </row>
    <row r="652" spans="1:9" x14ac:dyDescent="0.25">
      <c r="A652" s="113">
        <f t="shared" ref="A652:A715" si="22">DATE(YEAR(A651),MONTH(A651)+2,1)-1</f>
        <v>63248</v>
      </c>
      <c r="B652" s="128">
        <f t="shared" si="21"/>
        <v>2073</v>
      </c>
      <c r="C652">
        <v>11.648324177442213</v>
      </c>
      <c r="D652">
        <v>63.271996414151452</v>
      </c>
      <c r="E652">
        <v>0</v>
      </c>
      <c r="F652">
        <v>8.7102047816501518</v>
      </c>
      <c r="G652">
        <v>2824.5949207283529</v>
      </c>
      <c r="H652">
        <v>0</v>
      </c>
      <c r="I652">
        <v>0</v>
      </c>
    </row>
    <row r="653" spans="1:9" x14ac:dyDescent="0.25">
      <c r="A653" s="113">
        <f t="shared" si="22"/>
        <v>63279</v>
      </c>
      <c r="B653" s="128">
        <f t="shared" si="21"/>
        <v>2073</v>
      </c>
      <c r="C653">
        <v>11.371734546325586</v>
      </c>
      <c r="D653">
        <v>61.536847368149232</v>
      </c>
      <c r="E653">
        <v>0</v>
      </c>
      <c r="F653">
        <v>8.5301133133971661</v>
      </c>
      <c r="G653">
        <v>2765.8996945931331</v>
      </c>
      <c r="H653">
        <v>0</v>
      </c>
      <c r="I653">
        <v>0</v>
      </c>
    </row>
    <row r="654" spans="1:9" x14ac:dyDescent="0.25">
      <c r="A654" s="113">
        <f t="shared" si="22"/>
        <v>63309</v>
      </c>
      <c r="B654" s="128">
        <f t="shared" si="21"/>
        <v>2073</v>
      </c>
      <c r="C654">
        <v>17.29596077881445</v>
      </c>
      <c r="D654">
        <v>60.981519282464362</v>
      </c>
      <c r="E654">
        <v>0</v>
      </c>
      <c r="F654">
        <v>8.3551622797141096</v>
      </c>
      <c r="G654">
        <v>2713.858973809768</v>
      </c>
      <c r="H654">
        <v>0</v>
      </c>
      <c r="I654">
        <v>0</v>
      </c>
    </row>
    <row r="655" spans="1:9" x14ac:dyDescent="0.25">
      <c r="A655" s="113">
        <f t="shared" si="22"/>
        <v>63340</v>
      </c>
      <c r="B655" s="128">
        <f t="shared" si="21"/>
        <v>2073</v>
      </c>
      <c r="C655">
        <v>11.260428201449111</v>
      </c>
      <c r="D655">
        <v>59.193338697096692</v>
      </c>
      <c r="E655">
        <v>0</v>
      </c>
      <c r="F655">
        <v>8.1831072631250379</v>
      </c>
      <c r="G655">
        <v>2657.7429560509972</v>
      </c>
      <c r="H655">
        <v>0</v>
      </c>
      <c r="I655">
        <v>0</v>
      </c>
    </row>
    <row r="656" spans="1:9" x14ac:dyDescent="0.25">
      <c r="A656" s="113">
        <f t="shared" si="22"/>
        <v>63370</v>
      </c>
      <c r="B656" s="128">
        <f t="shared" si="21"/>
        <v>2073</v>
      </c>
      <c r="C656">
        <v>11.895455082707198</v>
      </c>
      <c r="D656">
        <v>57.648898133250157</v>
      </c>
      <c r="E656">
        <v>0</v>
      </c>
      <c r="F656">
        <v>8.014604558498025</v>
      </c>
      <c r="G656">
        <v>2603.9749084419568</v>
      </c>
      <c r="H656">
        <v>0</v>
      </c>
      <c r="I656">
        <v>0</v>
      </c>
    </row>
    <row r="657" spans="1:9" x14ac:dyDescent="0.25">
      <c r="A657" s="113">
        <f t="shared" si="22"/>
        <v>63401</v>
      </c>
      <c r="B657" s="128">
        <f t="shared" si="21"/>
        <v>2073</v>
      </c>
      <c r="C657">
        <v>10.830895470958115</v>
      </c>
      <c r="D657">
        <v>56.254226757988476</v>
      </c>
      <c r="E657">
        <v>0</v>
      </c>
      <c r="F657">
        <v>7.8503837011894637</v>
      </c>
      <c r="G657">
        <v>2550.7011934537354</v>
      </c>
      <c r="H657">
        <v>0</v>
      </c>
      <c r="I657">
        <v>0</v>
      </c>
    </row>
    <row r="658" spans="1:9" x14ac:dyDescent="0.25">
      <c r="A658" s="113">
        <f t="shared" si="22"/>
        <v>63432</v>
      </c>
      <c r="B658" s="128">
        <f t="shared" si="21"/>
        <v>2073</v>
      </c>
      <c r="C658">
        <v>10.140579050398127</v>
      </c>
      <c r="D658">
        <v>55.000607438886746</v>
      </c>
      <c r="E658">
        <v>0</v>
      </c>
      <c r="F658">
        <v>7.6900274287238446</v>
      </c>
      <c r="G658">
        <v>2498.1511376365224</v>
      </c>
      <c r="H658">
        <v>0</v>
      </c>
      <c r="I658">
        <v>0</v>
      </c>
    </row>
    <row r="659" spans="1:9" x14ac:dyDescent="0.25">
      <c r="A659" s="113">
        <f t="shared" si="22"/>
        <v>63462</v>
      </c>
      <c r="B659" s="128">
        <f t="shared" si="21"/>
        <v>2073</v>
      </c>
      <c r="C659">
        <v>9.9396463091769167</v>
      </c>
      <c r="D659">
        <v>53.791037875418439</v>
      </c>
      <c r="E659">
        <v>0</v>
      </c>
      <c r="F659">
        <v>7.5333912168583748</v>
      </c>
      <c r="G659">
        <v>2446.7663548534224</v>
      </c>
      <c r="H659">
        <v>0</v>
      </c>
      <c r="I659">
        <v>0</v>
      </c>
    </row>
    <row r="660" spans="1:9" x14ac:dyDescent="0.25">
      <c r="A660" s="113">
        <f t="shared" si="22"/>
        <v>63493</v>
      </c>
      <c r="B660" s="128">
        <f t="shared" si="21"/>
        <v>2073</v>
      </c>
      <c r="C660">
        <v>13.605083468086052</v>
      </c>
      <c r="D660">
        <v>52.900109761507693</v>
      </c>
      <c r="E660">
        <v>0</v>
      </c>
      <c r="F660">
        <v>7.3803415867375772</v>
      </c>
      <c r="G660">
        <v>2400.0909869732654</v>
      </c>
      <c r="H660">
        <v>0</v>
      </c>
      <c r="I660">
        <v>0</v>
      </c>
    </row>
    <row r="661" spans="1:9" x14ac:dyDescent="0.25">
      <c r="A661" s="113">
        <f t="shared" si="22"/>
        <v>63523</v>
      </c>
      <c r="B661" s="128">
        <f t="shared" si="21"/>
        <v>2073</v>
      </c>
      <c r="C661">
        <v>9.4140736071623383</v>
      </c>
      <c r="D661">
        <v>52.801505169151667</v>
      </c>
      <c r="E661">
        <v>0</v>
      </c>
      <c r="F661">
        <v>7.230101326323517</v>
      </c>
      <c r="G661">
        <v>2349.4734540849531</v>
      </c>
      <c r="H661">
        <v>0</v>
      </c>
      <c r="I661">
        <v>0</v>
      </c>
    </row>
    <row r="662" spans="1:9" x14ac:dyDescent="0.25">
      <c r="A662" s="113">
        <f t="shared" si="22"/>
        <v>63554</v>
      </c>
      <c r="B662" s="128">
        <f t="shared" si="21"/>
        <v>2073</v>
      </c>
      <c r="C662">
        <v>11.112107467082501</v>
      </c>
      <c r="D662">
        <v>52.078048947969123</v>
      </c>
      <c r="E662">
        <v>0</v>
      </c>
      <c r="F662">
        <v>7.0790212386934845</v>
      </c>
      <c r="G662">
        <v>2301.4284913653705</v>
      </c>
      <c r="H662">
        <v>0</v>
      </c>
      <c r="I662">
        <v>0</v>
      </c>
    </row>
    <row r="663" spans="1:9" x14ac:dyDescent="0.25">
      <c r="A663" s="113">
        <f t="shared" si="22"/>
        <v>63585</v>
      </c>
      <c r="B663" s="128">
        <f t="shared" si="21"/>
        <v>2074</v>
      </c>
      <c r="C663">
        <v>9.4201818356079787</v>
      </c>
      <c r="D663">
        <v>50.554587044900074</v>
      </c>
      <c r="E663">
        <v>0</v>
      </c>
      <c r="F663">
        <v>6.9294744268340311</v>
      </c>
      <c r="G663">
        <v>2253.3646117292451</v>
      </c>
      <c r="H663">
        <v>0</v>
      </c>
      <c r="I663">
        <v>0</v>
      </c>
    </row>
    <row r="664" spans="1:9" x14ac:dyDescent="0.25">
      <c r="A664" s="113">
        <f t="shared" si="22"/>
        <v>63613</v>
      </c>
      <c r="B664" s="128">
        <f t="shared" si="21"/>
        <v>2074</v>
      </c>
      <c r="C664">
        <v>8.8222959398755538</v>
      </c>
      <c r="D664">
        <v>49.098071916682279</v>
      </c>
      <c r="E664">
        <v>0</v>
      </c>
      <c r="F664">
        <v>6.7838865454180439</v>
      </c>
      <c r="G664">
        <v>2206.304949207019</v>
      </c>
      <c r="H664">
        <v>0</v>
      </c>
      <c r="I664">
        <v>0</v>
      </c>
    </row>
    <row r="665" spans="1:9" x14ac:dyDescent="0.25">
      <c r="A665" s="113">
        <f t="shared" si="22"/>
        <v>63644</v>
      </c>
      <c r="B665" s="128">
        <f t="shared" si="21"/>
        <v>2074</v>
      </c>
      <c r="C665">
        <v>8.6202112649174598</v>
      </c>
      <c r="D665">
        <v>47.700932951653471</v>
      </c>
      <c r="E665">
        <v>0</v>
      </c>
      <c r="F665">
        <v>6.6423422017195701</v>
      </c>
      <c r="G665">
        <v>2160.5818853185642</v>
      </c>
      <c r="H665">
        <v>0</v>
      </c>
      <c r="I665">
        <v>0</v>
      </c>
    </row>
    <row r="666" spans="1:9" x14ac:dyDescent="0.25">
      <c r="A666" s="113">
        <f t="shared" si="22"/>
        <v>63674</v>
      </c>
      <c r="B666" s="128">
        <f t="shared" si="21"/>
        <v>2074</v>
      </c>
      <c r="C666">
        <v>13.003147204403719</v>
      </c>
      <c r="D666">
        <v>47.07777239906418</v>
      </c>
      <c r="E666">
        <v>0</v>
      </c>
      <c r="F666">
        <v>6.5050098238667529</v>
      </c>
      <c r="G666">
        <v>2120.0022503000382</v>
      </c>
      <c r="H666">
        <v>0</v>
      </c>
      <c r="I666">
        <v>0</v>
      </c>
    </row>
    <row r="667" spans="1:9" x14ac:dyDescent="0.25">
      <c r="A667" s="113">
        <f t="shared" si="22"/>
        <v>63705</v>
      </c>
      <c r="B667" s="128">
        <f t="shared" si="21"/>
        <v>2074</v>
      </c>
      <c r="C667">
        <v>8.5482901275279968</v>
      </c>
      <c r="D667">
        <v>45.8672345472757</v>
      </c>
      <c r="E667">
        <v>0</v>
      </c>
      <c r="F667">
        <v>6.3701338417137734</v>
      </c>
      <c r="G667">
        <v>2076.3131720385754</v>
      </c>
      <c r="H667">
        <v>0</v>
      </c>
      <c r="I667">
        <v>0</v>
      </c>
    </row>
    <row r="668" spans="1:9" x14ac:dyDescent="0.25">
      <c r="A668" s="113">
        <f t="shared" si="22"/>
        <v>63735</v>
      </c>
      <c r="B668" s="128">
        <f t="shared" si="21"/>
        <v>2074</v>
      </c>
      <c r="C668">
        <v>8.9105930981255774</v>
      </c>
      <c r="D668">
        <v>44.587404201919952</v>
      </c>
      <c r="E668">
        <v>0</v>
      </c>
      <c r="F668">
        <v>6.2379813529634651</v>
      </c>
      <c r="G668">
        <v>2034.3983795818174</v>
      </c>
      <c r="H668">
        <v>0</v>
      </c>
      <c r="I668">
        <v>0</v>
      </c>
    </row>
    <row r="669" spans="1:9" x14ac:dyDescent="0.25">
      <c r="A669" s="113">
        <f t="shared" si="22"/>
        <v>63766</v>
      </c>
      <c r="B669" s="128">
        <f t="shared" si="21"/>
        <v>2074</v>
      </c>
      <c r="C669">
        <v>8.191083298555947</v>
      </c>
      <c r="D669">
        <v>43.457735118393344</v>
      </c>
      <c r="E669">
        <v>0</v>
      </c>
      <c r="F669">
        <v>6.1094819887998177</v>
      </c>
      <c r="G669">
        <v>1993.0222457731809</v>
      </c>
      <c r="H669">
        <v>0</v>
      </c>
      <c r="I669">
        <v>0</v>
      </c>
    </row>
    <row r="670" spans="1:9" x14ac:dyDescent="0.25">
      <c r="A670" s="113">
        <f t="shared" si="22"/>
        <v>63797</v>
      </c>
      <c r="B670" s="128">
        <f t="shared" si="21"/>
        <v>2074</v>
      </c>
      <c r="C670">
        <v>7.6859811816318375</v>
      </c>
      <c r="D670">
        <v>42.337221926691726</v>
      </c>
      <c r="E670">
        <v>0</v>
      </c>
      <c r="F670">
        <v>5.9842036459796075</v>
      </c>
      <c r="G670">
        <v>1952.3868013821414</v>
      </c>
      <c r="H670">
        <v>0</v>
      </c>
      <c r="I670">
        <v>0</v>
      </c>
    </row>
    <row r="671" spans="1:9" x14ac:dyDescent="0.25">
      <c r="A671" s="113">
        <f t="shared" si="22"/>
        <v>63827</v>
      </c>
      <c r="B671" s="128">
        <f t="shared" si="21"/>
        <v>2074</v>
      </c>
      <c r="C671">
        <v>7.5499346292974234</v>
      </c>
      <c r="D671">
        <v>41.487632612148438</v>
      </c>
      <c r="E671">
        <v>0</v>
      </c>
      <c r="F671">
        <v>5.8621830883356933</v>
      </c>
      <c r="G671">
        <v>1912.5869203109544</v>
      </c>
      <c r="H671">
        <v>0</v>
      </c>
      <c r="I671">
        <v>0</v>
      </c>
    </row>
    <row r="672" spans="1:9" x14ac:dyDescent="0.25">
      <c r="A672" s="113">
        <f t="shared" si="22"/>
        <v>63858</v>
      </c>
      <c r="B672" s="128">
        <f t="shared" si="21"/>
        <v>2074</v>
      </c>
      <c r="C672">
        <v>10.240797099634406</v>
      </c>
      <c r="D672">
        <v>40.676180194192</v>
      </c>
      <c r="E672">
        <v>0</v>
      </c>
      <c r="F672">
        <v>5.7429136402219942</v>
      </c>
      <c r="G672">
        <v>1876.4086235761754</v>
      </c>
      <c r="H672">
        <v>0</v>
      </c>
      <c r="I672">
        <v>0</v>
      </c>
    </row>
    <row r="673" spans="1:9" x14ac:dyDescent="0.25">
      <c r="A673" s="113">
        <f t="shared" si="22"/>
        <v>63888</v>
      </c>
      <c r="B673" s="128">
        <f t="shared" si="21"/>
        <v>2074</v>
      </c>
      <c r="C673">
        <v>7.1584601557214604</v>
      </c>
      <c r="D673">
        <v>40.173305699900766</v>
      </c>
      <c r="E673">
        <v>0</v>
      </c>
      <c r="F673">
        <v>5.6262799141961128</v>
      </c>
      <c r="G673">
        <v>1837.7674981178002</v>
      </c>
      <c r="H673">
        <v>0</v>
      </c>
      <c r="I673">
        <v>0</v>
      </c>
    </row>
    <row r="674" spans="1:9" x14ac:dyDescent="0.25">
      <c r="A674" s="113">
        <f t="shared" si="22"/>
        <v>63919</v>
      </c>
      <c r="B674" s="128">
        <f t="shared" si="21"/>
        <v>2074</v>
      </c>
      <c r="C674">
        <v>8.3064493211716144</v>
      </c>
      <c r="D674">
        <v>39.691294658051461</v>
      </c>
      <c r="E674">
        <v>0</v>
      </c>
      <c r="F674">
        <v>5.5103133375109605</v>
      </c>
      <c r="G674">
        <v>1800.8723394434078</v>
      </c>
      <c r="H674">
        <v>0</v>
      </c>
      <c r="I674">
        <v>0</v>
      </c>
    </row>
    <row r="675" spans="1:9" x14ac:dyDescent="0.25">
      <c r="A675" s="113">
        <f t="shared" si="22"/>
        <v>63950</v>
      </c>
      <c r="B675" s="128">
        <f t="shared" si="21"/>
        <v>2075</v>
      </c>
      <c r="C675">
        <v>7.1343921760553544</v>
      </c>
      <c r="D675">
        <v>38.515675217107336</v>
      </c>
      <c r="E675">
        <v>0</v>
      </c>
      <c r="F675">
        <v>5.395981606646278</v>
      </c>
      <c r="G675">
        <v>1764.0950747957111</v>
      </c>
      <c r="H675">
        <v>0</v>
      </c>
      <c r="I675">
        <v>0</v>
      </c>
    </row>
    <row r="676" spans="1:9" x14ac:dyDescent="0.25">
      <c r="A676" s="113">
        <f t="shared" si="22"/>
        <v>63978</v>
      </c>
      <c r="B676" s="128">
        <f t="shared" si="21"/>
        <v>2075</v>
      </c>
      <c r="C676">
        <v>6.7115812884379347</v>
      </c>
      <c r="D676">
        <v>37.379088314797919</v>
      </c>
      <c r="E676">
        <v>0</v>
      </c>
      <c r="F676">
        <v>5.2847709869991046</v>
      </c>
      <c r="G676">
        <v>1728.1427967823504</v>
      </c>
      <c r="H676">
        <v>0</v>
      </c>
      <c r="I676">
        <v>0</v>
      </c>
    </row>
    <row r="677" spans="1:9" x14ac:dyDescent="0.25">
      <c r="A677" s="113">
        <f t="shared" si="22"/>
        <v>64009</v>
      </c>
      <c r="B677" s="128">
        <f t="shared" si="21"/>
        <v>2075</v>
      </c>
      <c r="C677">
        <v>6.5586030554174544</v>
      </c>
      <c r="D677">
        <v>36.281547049864344</v>
      </c>
      <c r="E677">
        <v>0</v>
      </c>
      <c r="F677">
        <v>5.1767495269332953</v>
      </c>
      <c r="G677">
        <v>1693.2431032609713</v>
      </c>
      <c r="H677">
        <v>0</v>
      </c>
      <c r="I677">
        <v>0</v>
      </c>
    </row>
    <row r="678" spans="1:9" x14ac:dyDescent="0.25">
      <c r="A678" s="113">
        <f t="shared" si="22"/>
        <v>64039</v>
      </c>
      <c r="B678" s="128">
        <f t="shared" si="21"/>
        <v>2075</v>
      </c>
      <c r="C678">
        <v>9.7435240011971676</v>
      </c>
      <c r="D678">
        <v>35.763858904963584</v>
      </c>
      <c r="E678">
        <v>0</v>
      </c>
      <c r="F678">
        <v>5.0720571063958708</v>
      </c>
      <c r="G678">
        <v>1662.1507112508084</v>
      </c>
      <c r="H678">
        <v>0</v>
      </c>
      <c r="I678">
        <v>0</v>
      </c>
    </row>
    <row r="679" spans="1:9" x14ac:dyDescent="0.25">
      <c r="A679" s="113">
        <f t="shared" si="22"/>
        <v>64070</v>
      </c>
      <c r="B679" s="128">
        <f t="shared" si="21"/>
        <v>2075</v>
      </c>
      <c r="C679">
        <v>6.4498832634824801</v>
      </c>
      <c r="D679">
        <v>34.516840119439941</v>
      </c>
      <c r="E679">
        <v>0</v>
      </c>
      <c r="F679">
        <v>4.9693255505532532</v>
      </c>
      <c r="G679">
        <v>1629.1144288442979</v>
      </c>
      <c r="H679">
        <v>0</v>
      </c>
      <c r="I679">
        <v>0</v>
      </c>
    </row>
    <row r="680" spans="1:9" x14ac:dyDescent="0.25">
      <c r="A680" s="113">
        <f t="shared" si="22"/>
        <v>64100</v>
      </c>
      <c r="B680" s="128">
        <f t="shared" si="21"/>
        <v>2075</v>
      </c>
      <c r="C680">
        <v>6.7117573229458296</v>
      </c>
      <c r="D680">
        <v>33.537248695100317</v>
      </c>
      <c r="E680">
        <v>0</v>
      </c>
      <c r="F680">
        <v>4.86938572301941</v>
      </c>
      <c r="G680">
        <v>1597.4195517491244</v>
      </c>
      <c r="H680">
        <v>0</v>
      </c>
      <c r="I680">
        <v>0</v>
      </c>
    </row>
    <row r="681" spans="1:9" x14ac:dyDescent="0.25">
      <c r="A681" s="113">
        <f t="shared" si="22"/>
        <v>64131</v>
      </c>
      <c r="B681" s="128">
        <f t="shared" si="21"/>
        <v>2075</v>
      </c>
      <c r="C681">
        <v>6.2229013732429239</v>
      </c>
      <c r="D681">
        <v>32.665740139900286</v>
      </c>
      <c r="E681">
        <v>0</v>
      </c>
      <c r="F681">
        <v>4.7722778138021482</v>
      </c>
      <c r="G681">
        <v>1566.2044351686648</v>
      </c>
      <c r="H681">
        <v>0</v>
      </c>
      <c r="I681">
        <v>0</v>
      </c>
    </row>
    <row r="682" spans="1:9" x14ac:dyDescent="0.25">
      <c r="A682" s="113">
        <f t="shared" si="22"/>
        <v>64162</v>
      </c>
      <c r="B682" s="128">
        <f t="shared" si="21"/>
        <v>2075</v>
      </c>
      <c r="C682">
        <v>5.8816254958964507</v>
      </c>
      <c r="D682">
        <v>31.936483800209601</v>
      </c>
      <c r="E682">
        <v>0</v>
      </c>
      <c r="F682">
        <v>4.677692469468413</v>
      </c>
      <c r="G682">
        <v>1535.4718843948845</v>
      </c>
      <c r="H682">
        <v>0</v>
      </c>
      <c r="I682">
        <v>0</v>
      </c>
    </row>
    <row r="683" spans="1:9" x14ac:dyDescent="0.25">
      <c r="A683" s="113">
        <f t="shared" si="22"/>
        <v>64192</v>
      </c>
      <c r="B683" s="128">
        <f t="shared" si="21"/>
        <v>2075</v>
      </c>
      <c r="C683">
        <v>5.7756666782828052</v>
      </c>
      <c r="D683">
        <v>31.165784102458254</v>
      </c>
      <c r="E683">
        <v>0</v>
      </c>
      <c r="F683">
        <v>4.5854601052161836</v>
      </c>
      <c r="G683">
        <v>1505.4963068654913</v>
      </c>
      <c r="H683">
        <v>0</v>
      </c>
      <c r="I683">
        <v>0</v>
      </c>
    </row>
    <row r="684" spans="1:9" x14ac:dyDescent="0.25">
      <c r="A684" s="113">
        <f t="shared" si="22"/>
        <v>64223</v>
      </c>
      <c r="B684" s="128">
        <f t="shared" si="21"/>
        <v>2075</v>
      </c>
      <c r="C684">
        <v>7.7340677692659723</v>
      </c>
      <c r="D684">
        <v>30.613851713397143</v>
      </c>
      <c r="E684">
        <v>0</v>
      </c>
      <c r="F684">
        <v>4.4956661674330345</v>
      </c>
      <c r="G684">
        <v>1478.1208567539279</v>
      </c>
      <c r="H684">
        <v>0</v>
      </c>
      <c r="I684">
        <v>0</v>
      </c>
    </row>
    <row r="685" spans="1:9" x14ac:dyDescent="0.25">
      <c r="A685" s="113">
        <f t="shared" si="22"/>
        <v>64253</v>
      </c>
      <c r="B685" s="128">
        <f t="shared" si="21"/>
        <v>2075</v>
      </c>
      <c r="C685">
        <v>5.4880398872859431</v>
      </c>
      <c r="D685">
        <v>30.213367256868903</v>
      </c>
      <c r="E685">
        <v>0</v>
      </c>
      <c r="F685">
        <v>4.4076454691295552</v>
      </c>
      <c r="G685">
        <v>1448.987883915215</v>
      </c>
      <c r="H685">
        <v>0</v>
      </c>
      <c r="I685">
        <v>0</v>
      </c>
    </row>
    <row r="686" spans="1:9" x14ac:dyDescent="0.25">
      <c r="A686" s="113">
        <f t="shared" si="22"/>
        <v>64284</v>
      </c>
      <c r="B686" s="128">
        <f t="shared" si="21"/>
        <v>2075</v>
      </c>
      <c r="C686">
        <v>6.2525464735273912</v>
      </c>
      <c r="D686">
        <v>29.748639960148122</v>
      </c>
      <c r="E686">
        <v>0</v>
      </c>
      <c r="F686">
        <v>4.3203849186828682</v>
      </c>
      <c r="G686">
        <v>1421.1714055099126</v>
      </c>
      <c r="H686">
        <v>0</v>
      </c>
      <c r="I686">
        <v>0</v>
      </c>
    </row>
    <row r="687" spans="1:9" x14ac:dyDescent="0.25">
      <c r="A687" s="113">
        <f t="shared" si="22"/>
        <v>64315</v>
      </c>
      <c r="B687" s="128">
        <f t="shared" si="21"/>
        <v>2076</v>
      </c>
      <c r="C687">
        <v>5.4469697105285046</v>
      </c>
      <c r="D687">
        <v>28.857966985712359</v>
      </c>
      <c r="E687">
        <v>0</v>
      </c>
      <c r="F687">
        <v>4.2340454033776487</v>
      </c>
      <c r="G687">
        <v>1393.5263628313505</v>
      </c>
      <c r="H687">
        <v>0</v>
      </c>
      <c r="I687">
        <v>0</v>
      </c>
    </row>
    <row r="688" spans="1:9" x14ac:dyDescent="0.25">
      <c r="A688" s="113">
        <f t="shared" si="22"/>
        <v>64344</v>
      </c>
      <c r="B688" s="128">
        <f t="shared" si="21"/>
        <v>2076</v>
      </c>
      <c r="C688">
        <v>5.170425336439239</v>
      </c>
      <c r="D688">
        <v>27.997692693677433</v>
      </c>
      <c r="E688">
        <v>0</v>
      </c>
      <c r="F688">
        <v>4.1501387629124604</v>
      </c>
      <c r="G688">
        <v>1366.5489567111997</v>
      </c>
      <c r="H688">
        <v>0</v>
      </c>
      <c r="I688">
        <v>0</v>
      </c>
    </row>
    <row r="689" spans="1:9" x14ac:dyDescent="0.25">
      <c r="A689" s="113">
        <f t="shared" si="22"/>
        <v>64375</v>
      </c>
      <c r="B689" s="128">
        <f t="shared" si="21"/>
        <v>2076</v>
      </c>
      <c r="C689">
        <v>5.0453545204830279</v>
      </c>
      <c r="D689">
        <v>27.126271518778463</v>
      </c>
      <c r="E689">
        <v>0</v>
      </c>
      <c r="F689">
        <v>4.0687016644379899</v>
      </c>
      <c r="G689">
        <v>1340.399338048466</v>
      </c>
      <c r="H689">
        <v>0</v>
      </c>
      <c r="I689">
        <v>0</v>
      </c>
    </row>
    <row r="690" spans="1:9" x14ac:dyDescent="0.25">
      <c r="A690" s="113">
        <f t="shared" si="22"/>
        <v>64405</v>
      </c>
      <c r="B690" s="128">
        <f t="shared" si="21"/>
        <v>2076</v>
      </c>
      <c r="C690">
        <v>7.3155412019253152</v>
      </c>
      <c r="D690">
        <v>26.653665598250743</v>
      </c>
      <c r="E690">
        <v>0</v>
      </c>
      <c r="F690">
        <v>3.9899911135901891</v>
      </c>
      <c r="G690">
        <v>1317.0712225385494</v>
      </c>
      <c r="H690">
        <v>0</v>
      </c>
      <c r="I690">
        <v>0</v>
      </c>
    </row>
    <row r="691" spans="1:9" x14ac:dyDescent="0.25">
      <c r="A691" s="113">
        <f t="shared" si="22"/>
        <v>64436</v>
      </c>
      <c r="B691" s="128">
        <f t="shared" si="21"/>
        <v>2076</v>
      </c>
      <c r="C691">
        <v>4.9703845499417536</v>
      </c>
      <c r="D691">
        <v>25.972242672855508</v>
      </c>
      <c r="E691">
        <v>0</v>
      </c>
      <c r="F691">
        <v>3.9129628358650361</v>
      </c>
      <c r="G691">
        <v>1292.1564015797721</v>
      </c>
      <c r="H691">
        <v>0</v>
      </c>
      <c r="I691">
        <v>0</v>
      </c>
    </row>
    <row r="692" spans="1:9" x14ac:dyDescent="0.25">
      <c r="A692" s="113">
        <f t="shared" si="22"/>
        <v>64466</v>
      </c>
      <c r="B692" s="128">
        <f t="shared" si="21"/>
        <v>2076</v>
      </c>
      <c r="C692">
        <v>5.1196904237763494</v>
      </c>
      <c r="D692">
        <v>25.21487848578958</v>
      </c>
      <c r="E692">
        <v>0</v>
      </c>
      <c r="F692">
        <v>3.8376009582656918</v>
      </c>
      <c r="G692">
        <v>1268.223612559492</v>
      </c>
      <c r="H692">
        <v>0</v>
      </c>
      <c r="I692">
        <v>0</v>
      </c>
    </row>
    <row r="693" spans="1:9" x14ac:dyDescent="0.25">
      <c r="A693" s="113">
        <f t="shared" si="22"/>
        <v>64497</v>
      </c>
      <c r="B693" s="128">
        <f t="shared" si="21"/>
        <v>2076</v>
      </c>
      <c r="C693">
        <v>4.7828816611647458</v>
      </c>
      <c r="D693">
        <v>24.542238676238597</v>
      </c>
      <c r="E693">
        <v>0</v>
      </c>
      <c r="F693">
        <v>3.7644598964709868</v>
      </c>
      <c r="G693">
        <v>1244.6997956479472</v>
      </c>
      <c r="H693">
        <v>0</v>
      </c>
      <c r="I693">
        <v>0</v>
      </c>
    </row>
    <row r="694" spans="1:9" x14ac:dyDescent="0.25">
      <c r="A694" s="113">
        <f t="shared" si="22"/>
        <v>64528</v>
      </c>
      <c r="B694" s="128">
        <f t="shared" si="21"/>
        <v>2076</v>
      </c>
      <c r="C694">
        <v>4.5633967115930716</v>
      </c>
      <c r="D694">
        <v>24.061626102887224</v>
      </c>
      <c r="E694">
        <v>0</v>
      </c>
      <c r="F694">
        <v>3.6932901995927159</v>
      </c>
      <c r="G694">
        <v>1221.508276057061</v>
      </c>
      <c r="H694">
        <v>0</v>
      </c>
      <c r="I694">
        <v>0</v>
      </c>
    </row>
    <row r="695" spans="1:9" x14ac:dyDescent="0.25">
      <c r="A695" s="113">
        <f t="shared" si="22"/>
        <v>64558</v>
      </c>
      <c r="B695" s="128">
        <f t="shared" si="21"/>
        <v>2076</v>
      </c>
      <c r="C695">
        <v>4.4848455767160793</v>
      </c>
      <c r="D695">
        <v>23.548045317202185</v>
      </c>
      <c r="E695">
        <v>0</v>
      </c>
      <c r="F695">
        <v>3.6237424051356464</v>
      </c>
      <c r="G695">
        <v>1198.8213339114391</v>
      </c>
      <c r="H695">
        <v>0</v>
      </c>
      <c r="I695">
        <v>0</v>
      </c>
    </row>
    <row r="696" spans="1:9" x14ac:dyDescent="0.25">
      <c r="A696" s="113">
        <f t="shared" si="22"/>
        <v>64589</v>
      </c>
      <c r="B696" s="128">
        <f t="shared" si="21"/>
        <v>2076</v>
      </c>
      <c r="C696">
        <v>5.8767669524891009</v>
      </c>
      <c r="D696">
        <v>23.02913725674982</v>
      </c>
      <c r="E696">
        <v>0</v>
      </c>
      <c r="F696">
        <v>3.5558006183130475</v>
      </c>
      <c r="G696">
        <v>1178.1131629888644</v>
      </c>
      <c r="H696">
        <v>0</v>
      </c>
      <c r="I696">
        <v>0</v>
      </c>
    </row>
    <row r="697" spans="1:9" x14ac:dyDescent="0.25">
      <c r="A697" s="113">
        <f t="shared" si="22"/>
        <v>64619</v>
      </c>
      <c r="B697" s="128">
        <f t="shared" si="21"/>
        <v>2076</v>
      </c>
      <c r="C697">
        <v>4.2675398374310189</v>
      </c>
      <c r="D697">
        <v>22.902423996315218</v>
      </c>
      <c r="E697">
        <v>0</v>
      </c>
      <c r="F697">
        <v>3.489555395961943</v>
      </c>
      <c r="G697">
        <v>1155.9887234340192</v>
      </c>
      <c r="H697">
        <v>0</v>
      </c>
      <c r="I697">
        <v>0</v>
      </c>
    </row>
    <row r="698" spans="1:9" x14ac:dyDescent="0.25">
      <c r="A698" s="113">
        <f t="shared" si="22"/>
        <v>64650</v>
      </c>
      <c r="B698" s="128">
        <f t="shared" si="21"/>
        <v>2076</v>
      </c>
      <c r="C698">
        <v>4.7582762904628186</v>
      </c>
      <c r="D698">
        <v>22.109445050092649</v>
      </c>
      <c r="E698">
        <v>0</v>
      </c>
      <c r="F698">
        <v>3.4232791951615726</v>
      </c>
      <c r="G698">
        <v>1135.2142754792269</v>
      </c>
      <c r="H698">
        <v>0</v>
      </c>
      <c r="I698">
        <v>0</v>
      </c>
    </row>
    <row r="699" spans="1:9" x14ac:dyDescent="0.25">
      <c r="A699" s="113">
        <f t="shared" si="22"/>
        <v>64681</v>
      </c>
      <c r="B699" s="128">
        <f t="shared" si="21"/>
        <v>2077</v>
      </c>
      <c r="C699">
        <v>4.2160353356747544</v>
      </c>
      <c r="D699">
        <v>21.445547984425289</v>
      </c>
      <c r="E699">
        <v>0</v>
      </c>
      <c r="F699">
        <v>3.3592150928226161</v>
      </c>
      <c r="G699">
        <v>1114.625547737654</v>
      </c>
      <c r="H699">
        <v>0</v>
      </c>
      <c r="I699">
        <v>0</v>
      </c>
    </row>
    <row r="700" spans="1:9" x14ac:dyDescent="0.25">
      <c r="A700" s="113">
        <f t="shared" si="22"/>
        <v>64709</v>
      </c>
      <c r="B700" s="128">
        <f t="shared" si="21"/>
        <v>2077</v>
      </c>
      <c r="C700">
        <v>4.0375544479727292</v>
      </c>
      <c r="D700">
        <v>20.804980661252372</v>
      </c>
      <c r="E700">
        <v>0</v>
      </c>
      <c r="F700">
        <v>3.2969917754815961</v>
      </c>
      <c r="G700">
        <v>1094.5611297488938</v>
      </c>
      <c r="H700">
        <v>0</v>
      </c>
      <c r="I700">
        <v>0</v>
      </c>
    </row>
    <row r="701" spans="1:9" x14ac:dyDescent="0.25">
      <c r="A701" s="113">
        <f t="shared" si="22"/>
        <v>64740</v>
      </c>
      <c r="B701" s="128">
        <f t="shared" si="21"/>
        <v>2077</v>
      </c>
      <c r="C701">
        <v>3.9494007315897179</v>
      </c>
      <c r="D701">
        <v>20.226467150302209</v>
      </c>
      <c r="E701">
        <v>0</v>
      </c>
      <c r="F701">
        <v>3.2366265647961168</v>
      </c>
      <c r="G701">
        <v>1075.0474367653846</v>
      </c>
      <c r="H701">
        <v>0</v>
      </c>
      <c r="I701">
        <v>0</v>
      </c>
    </row>
    <row r="702" spans="1:9" x14ac:dyDescent="0.25">
      <c r="A702" s="113">
        <f t="shared" si="22"/>
        <v>64770</v>
      </c>
      <c r="B702" s="128">
        <f t="shared" si="21"/>
        <v>2077</v>
      </c>
      <c r="C702">
        <v>5.521316000632396</v>
      </c>
      <c r="D702">
        <v>20.083522192669374</v>
      </c>
      <c r="E702">
        <v>0</v>
      </c>
      <c r="F702">
        <v>3.1780008582289585</v>
      </c>
      <c r="G702">
        <v>1057.307229715118</v>
      </c>
      <c r="H702">
        <v>0</v>
      </c>
      <c r="I702">
        <v>0</v>
      </c>
    </row>
    <row r="703" spans="1:9" x14ac:dyDescent="0.25">
      <c r="A703" s="113">
        <f t="shared" si="22"/>
        <v>64801</v>
      </c>
      <c r="B703" s="128">
        <f t="shared" si="21"/>
        <v>2077</v>
      </c>
      <c r="C703">
        <v>3.8829774142867457</v>
      </c>
      <c r="D703">
        <v>19.49547163968457</v>
      </c>
      <c r="E703">
        <v>0</v>
      </c>
      <c r="F703">
        <v>3.120165270097444</v>
      </c>
      <c r="G703">
        <v>1038.5745702196234</v>
      </c>
      <c r="H703">
        <v>0</v>
      </c>
      <c r="I703">
        <v>0</v>
      </c>
    </row>
    <row r="704" spans="1:9" x14ac:dyDescent="0.25">
      <c r="A704" s="113">
        <f t="shared" si="22"/>
        <v>64831</v>
      </c>
      <c r="B704" s="128">
        <f t="shared" si="21"/>
        <v>2077</v>
      </c>
      <c r="C704">
        <v>3.9682207043834499</v>
      </c>
      <c r="D704">
        <v>18.928226419942416</v>
      </c>
      <c r="E704">
        <v>0</v>
      </c>
      <c r="F704">
        <v>3.0636316317518166</v>
      </c>
      <c r="G704">
        <v>1020.5509328723127</v>
      </c>
      <c r="H704">
        <v>0</v>
      </c>
      <c r="I704">
        <v>0</v>
      </c>
    </row>
    <row r="705" spans="1:9" x14ac:dyDescent="0.25">
      <c r="A705" s="113">
        <f t="shared" si="22"/>
        <v>64862</v>
      </c>
      <c r="B705" s="128">
        <f t="shared" si="21"/>
        <v>2077</v>
      </c>
      <c r="C705">
        <v>3.7359894307512715</v>
      </c>
      <c r="D705">
        <v>18.412946183934242</v>
      </c>
      <c r="E705">
        <v>0</v>
      </c>
      <c r="F705">
        <v>3.0087695295068975</v>
      </c>
      <c r="G705">
        <v>1002.8652065896225</v>
      </c>
      <c r="H705">
        <v>0</v>
      </c>
      <c r="I705">
        <v>0</v>
      </c>
    </row>
    <row r="706" spans="1:9" x14ac:dyDescent="0.25">
      <c r="A706" s="113">
        <f t="shared" si="22"/>
        <v>64893</v>
      </c>
      <c r="B706" s="128">
        <f t="shared" si="21"/>
        <v>2077</v>
      </c>
      <c r="C706">
        <v>3.5932030868903513</v>
      </c>
      <c r="D706">
        <v>17.993537407934834</v>
      </c>
      <c r="E706">
        <v>0</v>
      </c>
      <c r="F706">
        <v>2.9554334057396887</v>
      </c>
      <c r="G706">
        <v>985.50943886283835</v>
      </c>
      <c r="H706">
        <v>0</v>
      </c>
      <c r="I706">
        <v>0</v>
      </c>
    </row>
    <row r="707" spans="1:9" x14ac:dyDescent="0.25">
      <c r="A707" s="113">
        <f t="shared" si="22"/>
        <v>64923</v>
      </c>
      <c r="B707" s="128">
        <f t="shared" ref="B707:B770" si="23">YEAR(A707)</f>
        <v>2077</v>
      </c>
      <c r="C707">
        <v>3.5453109368125904</v>
      </c>
      <c r="D707">
        <v>17.559556584706936</v>
      </c>
      <c r="E707">
        <v>0</v>
      </c>
      <c r="F707">
        <v>2.9034683442261442</v>
      </c>
      <c r="G707">
        <v>968.59172487071726</v>
      </c>
      <c r="H707">
        <v>0</v>
      </c>
      <c r="I707">
        <v>0</v>
      </c>
    </row>
    <row r="708" spans="1:9" x14ac:dyDescent="0.25">
      <c r="A708" s="113">
        <f t="shared" si="22"/>
        <v>64954</v>
      </c>
      <c r="B708" s="128">
        <f t="shared" si="23"/>
        <v>2077</v>
      </c>
      <c r="C708">
        <v>4.5116604239926676</v>
      </c>
      <c r="D708">
        <v>17.379254137186486</v>
      </c>
      <c r="E708">
        <v>0</v>
      </c>
      <c r="F708">
        <v>2.8528632157366669</v>
      </c>
      <c r="G708">
        <v>952.87126794178766</v>
      </c>
      <c r="H708">
        <v>0</v>
      </c>
      <c r="I708">
        <v>0</v>
      </c>
    </row>
    <row r="709" spans="1:9" x14ac:dyDescent="0.25">
      <c r="A709" s="113">
        <f t="shared" si="22"/>
        <v>64984</v>
      </c>
      <c r="B709" s="128">
        <f t="shared" si="23"/>
        <v>2077</v>
      </c>
      <c r="C709">
        <v>3.3808362159748393</v>
      </c>
      <c r="D709">
        <v>17.219952399126555</v>
      </c>
      <c r="E709">
        <v>0</v>
      </c>
      <c r="F709">
        <v>2.8030452048730621</v>
      </c>
      <c r="G709">
        <v>936.22910655376234</v>
      </c>
      <c r="H709">
        <v>0</v>
      </c>
      <c r="I709">
        <v>0</v>
      </c>
    </row>
    <row r="710" spans="1:9" x14ac:dyDescent="0.25">
      <c r="A710" s="113">
        <f t="shared" si="22"/>
        <v>65015</v>
      </c>
      <c r="B710" s="128">
        <f t="shared" si="23"/>
        <v>2077</v>
      </c>
      <c r="C710">
        <v>3.6753969810214748</v>
      </c>
      <c r="D710">
        <v>16.972900993786077</v>
      </c>
      <c r="E710">
        <v>0</v>
      </c>
      <c r="F710">
        <v>2.7536582200290551</v>
      </c>
      <c r="G710">
        <v>920.17794432096832</v>
      </c>
      <c r="H710">
        <v>0</v>
      </c>
      <c r="I710">
        <v>0</v>
      </c>
    </row>
    <row r="711" spans="1:9" x14ac:dyDescent="0.25">
      <c r="A711" s="113">
        <f t="shared" si="22"/>
        <v>65046</v>
      </c>
      <c r="B711" s="128">
        <f t="shared" si="23"/>
        <v>2078</v>
      </c>
      <c r="C711">
        <v>3.3222906683044444</v>
      </c>
      <c r="D711">
        <v>16.45671170902606</v>
      </c>
      <c r="E711">
        <v>0</v>
      </c>
      <c r="F711">
        <v>2.7053162683327505</v>
      </c>
      <c r="G711">
        <v>904.33820701191394</v>
      </c>
      <c r="H711">
        <v>0</v>
      </c>
      <c r="I711">
        <v>0</v>
      </c>
    </row>
    <row r="712" spans="1:9" x14ac:dyDescent="0.25">
      <c r="A712" s="113">
        <f t="shared" si="22"/>
        <v>65074</v>
      </c>
      <c r="B712" s="128">
        <f t="shared" si="23"/>
        <v>2078</v>
      </c>
      <c r="C712">
        <v>3.204893537134025</v>
      </c>
      <c r="D712">
        <v>15.95948672282919</v>
      </c>
      <c r="E712">
        <v>0</v>
      </c>
      <c r="F712">
        <v>2.6584008830125923</v>
      </c>
      <c r="G712">
        <v>888.92521294320659</v>
      </c>
      <c r="H712">
        <v>0</v>
      </c>
      <c r="I712">
        <v>0</v>
      </c>
    </row>
    <row r="713" spans="1:9" x14ac:dyDescent="0.25">
      <c r="A713" s="113">
        <f t="shared" si="22"/>
        <v>65105</v>
      </c>
      <c r="B713" s="128">
        <f t="shared" si="23"/>
        <v>2078</v>
      </c>
      <c r="C713">
        <v>3.1381137714164886</v>
      </c>
      <c r="D713">
        <v>15.480627995938578</v>
      </c>
      <c r="E713">
        <v>0</v>
      </c>
      <c r="F713">
        <v>2.6129129549308518</v>
      </c>
      <c r="G713">
        <v>873.96978576375341</v>
      </c>
      <c r="H713">
        <v>0</v>
      </c>
      <c r="I713">
        <v>0</v>
      </c>
    </row>
    <row r="714" spans="1:9" x14ac:dyDescent="0.25">
      <c r="A714" s="113">
        <f t="shared" si="22"/>
        <v>65135</v>
      </c>
      <c r="B714" s="128">
        <f t="shared" si="23"/>
        <v>2078</v>
      </c>
      <c r="C714">
        <v>4.1986752694576444</v>
      </c>
      <c r="D714">
        <v>15.057596192024201</v>
      </c>
      <c r="E714">
        <v>0</v>
      </c>
      <c r="F714">
        <v>2.5688760685963685</v>
      </c>
      <c r="G714">
        <v>860.5419887725908</v>
      </c>
      <c r="H714">
        <v>0</v>
      </c>
      <c r="I714">
        <v>0</v>
      </c>
    </row>
    <row r="715" spans="1:9" x14ac:dyDescent="0.25">
      <c r="A715" s="113">
        <f t="shared" si="22"/>
        <v>65166</v>
      </c>
      <c r="B715" s="128">
        <f t="shared" si="23"/>
        <v>2078</v>
      </c>
      <c r="C715">
        <v>3.1044059648601645</v>
      </c>
      <c r="D715">
        <v>14.607611345561152</v>
      </c>
      <c r="E715">
        <v>0</v>
      </c>
      <c r="F715">
        <v>2.525954069505211</v>
      </c>
      <c r="G715">
        <v>846.51282932238462</v>
      </c>
      <c r="H715">
        <v>0</v>
      </c>
      <c r="I715">
        <v>0</v>
      </c>
    </row>
    <row r="716" spans="1:9" x14ac:dyDescent="0.25">
      <c r="A716" s="113">
        <f t="shared" ref="A716:A779" si="24">DATE(YEAR(A715),MONTH(A715)+2,1)-1</f>
        <v>65196</v>
      </c>
      <c r="B716" s="128">
        <f t="shared" si="23"/>
        <v>2078</v>
      </c>
      <c r="C716">
        <v>3.1225131706351181</v>
      </c>
      <c r="D716">
        <v>14.184781066249867</v>
      </c>
      <c r="E716">
        <v>0</v>
      </c>
      <c r="F716">
        <v>2.4841353995953011</v>
      </c>
      <c r="G716">
        <v>832.96642602717475</v>
      </c>
      <c r="H716">
        <v>0</v>
      </c>
      <c r="I716">
        <v>0</v>
      </c>
    </row>
    <row r="717" spans="1:9" x14ac:dyDescent="0.25">
      <c r="A717" s="113">
        <f t="shared" si="24"/>
        <v>65227</v>
      </c>
      <c r="B717" s="128">
        <f t="shared" si="23"/>
        <v>2078</v>
      </c>
      <c r="C717">
        <v>2.9669635991981442</v>
      </c>
      <c r="D717">
        <v>13.769033714014418</v>
      </c>
      <c r="E717">
        <v>0</v>
      </c>
      <c r="F717">
        <v>2.4435531482861346</v>
      </c>
      <c r="G717">
        <v>819.72080276407212</v>
      </c>
      <c r="H717">
        <v>0</v>
      </c>
      <c r="I717">
        <v>0</v>
      </c>
    </row>
    <row r="718" spans="1:9" x14ac:dyDescent="0.25">
      <c r="A718" s="113">
        <f t="shared" si="24"/>
        <v>65258</v>
      </c>
      <c r="B718" s="128">
        <f t="shared" si="23"/>
        <v>2078</v>
      </c>
      <c r="C718">
        <v>2.8752668807494484</v>
      </c>
      <c r="D718">
        <v>13.444064594391932</v>
      </c>
      <c r="E718">
        <v>0</v>
      </c>
      <c r="F718">
        <v>2.4041707378472736</v>
      </c>
      <c r="G718">
        <v>806.7478343125822</v>
      </c>
      <c r="H718">
        <v>0</v>
      </c>
      <c r="I718">
        <v>0</v>
      </c>
    </row>
    <row r="719" spans="1:9" x14ac:dyDescent="0.25">
      <c r="A719" s="113">
        <f t="shared" si="24"/>
        <v>65288</v>
      </c>
      <c r="B719" s="128">
        <f t="shared" si="23"/>
        <v>2078</v>
      </c>
      <c r="C719">
        <v>2.8469679028771377</v>
      </c>
      <c r="D719">
        <v>13.108781994369902</v>
      </c>
      <c r="E719">
        <v>0</v>
      </c>
      <c r="F719">
        <v>2.3658281206227998</v>
      </c>
      <c r="G719">
        <v>794.1201921004664</v>
      </c>
      <c r="H719">
        <v>0</v>
      </c>
      <c r="I719">
        <v>0</v>
      </c>
    </row>
    <row r="720" spans="1:9" x14ac:dyDescent="0.25">
      <c r="A720" s="113">
        <f t="shared" si="24"/>
        <v>65319</v>
      </c>
      <c r="B720" s="128">
        <f t="shared" si="23"/>
        <v>2078</v>
      </c>
      <c r="C720">
        <v>3.5245046894651892</v>
      </c>
      <c r="D720">
        <v>12.786893735317982</v>
      </c>
      <c r="E720">
        <v>0</v>
      </c>
      <c r="F720">
        <v>2.3285159359602363</v>
      </c>
      <c r="G720">
        <v>782.52928711865354</v>
      </c>
      <c r="H720">
        <v>0</v>
      </c>
      <c r="I720">
        <v>0</v>
      </c>
    </row>
    <row r="721" spans="1:9" x14ac:dyDescent="0.25">
      <c r="A721" s="113">
        <f t="shared" si="24"/>
        <v>65349</v>
      </c>
      <c r="B721" s="128">
        <f t="shared" si="23"/>
        <v>2078</v>
      </c>
      <c r="C721">
        <v>2.7244001981969355</v>
      </c>
      <c r="D721">
        <v>12.669911192872284</v>
      </c>
      <c r="E721">
        <v>0</v>
      </c>
      <c r="F721">
        <v>2.2923099848991866</v>
      </c>
      <c r="G721">
        <v>770.29146613907858</v>
      </c>
      <c r="H721">
        <v>0</v>
      </c>
      <c r="I721">
        <v>0</v>
      </c>
    </row>
    <row r="722" spans="1:9" x14ac:dyDescent="0.25">
      <c r="A722" s="113">
        <f t="shared" si="24"/>
        <v>65380</v>
      </c>
      <c r="B722" s="128">
        <f t="shared" si="23"/>
        <v>2078</v>
      </c>
      <c r="C722">
        <v>2.891085633728061</v>
      </c>
      <c r="D722">
        <v>12.46775044126621</v>
      </c>
      <c r="E722">
        <v>0</v>
      </c>
      <c r="F722">
        <v>2.2562881069274496</v>
      </c>
      <c r="G722">
        <v>758.4585132246134</v>
      </c>
      <c r="H722">
        <v>0</v>
      </c>
      <c r="I722">
        <v>0</v>
      </c>
    </row>
    <row r="723" spans="1:9" x14ac:dyDescent="0.25">
      <c r="A723" s="113">
        <f t="shared" si="24"/>
        <v>65411</v>
      </c>
      <c r="B723" s="128">
        <f t="shared" si="23"/>
        <v>2079</v>
      </c>
      <c r="C723">
        <v>2.6701646518402757</v>
      </c>
      <c r="D723">
        <v>12.102575117620272</v>
      </c>
      <c r="E723">
        <v>0</v>
      </c>
      <c r="F723">
        <v>2.2205612654727487</v>
      </c>
      <c r="G723">
        <v>746.80554149336081</v>
      </c>
      <c r="H723">
        <v>0</v>
      </c>
      <c r="I723">
        <v>0</v>
      </c>
    </row>
    <row r="724" spans="1:9" x14ac:dyDescent="0.25">
      <c r="A724" s="113">
        <f t="shared" si="24"/>
        <v>65439</v>
      </c>
      <c r="B724" s="128">
        <f t="shared" si="23"/>
        <v>2079</v>
      </c>
      <c r="C724">
        <v>2.5972736657062696</v>
      </c>
      <c r="D724">
        <v>11.750960375185672</v>
      </c>
      <c r="E724">
        <v>0</v>
      </c>
      <c r="F724">
        <v>2.1858865161304535</v>
      </c>
      <c r="G724">
        <v>735.46596826775021</v>
      </c>
      <c r="H724">
        <v>0</v>
      </c>
      <c r="I724">
        <v>0</v>
      </c>
    </row>
    <row r="725" spans="1:9" x14ac:dyDescent="0.25">
      <c r="A725" s="113">
        <f t="shared" si="24"/>
        <v>65470</v>
      </c>
      <c r="B725" s="128">
        <f t="shared" si="23"/>
        <v>2079</v>
      </c>
      <c r="C725">
        <v>2.5491093563264764</v>
      </c>
      <c r="D725">
        <v>11.412436413553994</v>
      </c>
      <c r="E725">
        <v>0</v>
      </c>
      <c r="F725">
        <v>2.1522578155494694</v>
      </c>
      <c r="G725">
        <v>724.45038339497364</v>
      </c>
      <c r="H725">
        <v>0</v>
      </c>
      <c r="I725">
        <v>0</v>
      </c>
    </row>
    <row r="726" spans="1:9" x14ac:dyDescent="0.25">
      <c r="A726" s="113">
        <f t="shared" si="24"/>
        <v>65500</v>
      </c>
      <c r="B726" s="128">
        <f t="shared" si="23"/>
        <v>2079</v>
      </c>
      <c r="C726">
        <v>3.2485142814821586</v>
      </c>
      <c r="D726">
        <v>11.161410782071263</v>
      </c>
      <c r="E726">
        <v>0</v>
      </c>
      <c r="F726">
        <v>2.1196844178134824</v>
      </c>
      <c r="G726">
        <v>714.41780247657118</v>
      </c>
      <c r="H726">
        <v>0</v>
      </c>
      <c r="I726">
        <v>0</v>
      </c>
    </row>
    <row r="727" spans="1:9" x14ac:dyDescent="0.25">
      <c r="A727" s="113">
        <f t="shared" si="24"/>
        <v>65531</v>
      </c>
      <c r="B727" s="128">
        <f t="shared" si="23"/>
        <v>2079</v>
      </c>
      <c r="C727">
        <v>2.5427306116417188</v>
      </c>
      <c r="D727">
        <v>10.81535936204525</v>
      </c>
      <c r="E727">
        <v>0</v>
      </c>
      <c r="F727">
        <v>2.0879053942717154</v>
      </c>
      <c r="G727">
        <v>704.0572683318959</v>
      </c>
      <c r="H727">
        <v>0</v>
      </c>
      <c r="I727">
        <v>0</v>
      </c>
    </row>
    <row r="728" spans="1:9" x14ac:dyDescent="0.25">
      <c r="A728" s="113">
        <f t="shared" si="24"/>
        <v>65561</v>
      </c>
      <c r="B728" s="128">
        <f t="shared" si="23"/>
        <v>2079</v>
      </c>
      <c r="C728">
        <v>2.5228299641335923</v>
      </c>
      <c r="D728">
        <v>10.510596815784361</v>
      </c>
      <c r="E728">
        <v>0</v>
      </c>
      <c r="F728">
        <v>2.0570140190598858</v>
      </c>
      <c r="G728">
        <v>694.01248746118483</v>
      </c>
      <c r="H728">
        <v>0</v>
      </c>
      <c r="I728">
        <v>0</v>
      </c>
    </row>
    <row r="729" spans="1:9" x14ac:dyDescent="0.25">
      <c r="A729" s="113">
        <f t="shared" si="24"/>
        <v>65592</v>
      </c>
      <c r="B729" s="128">
        <f t="shared" si="23"/>
        <v>2079</v>
      </c>
      <c r="C729">
        <v>2.4176899500530249</v>
      </c>
      <c r="D729">
        <v>10.046863632964634</v>
      </c>
      <c r="E729">
        <v>0</v>
      </c>
      <c r="F729">
        <v>2.0270407958362671</v>
      </c>
      <c r="G729">
        <v>684.35627298243696</v>
      </c>
      <c r="H729">
        <v>0</v>
      </c>
      <c r="I729">
        <v>0</v>
      </c>
    </row>
    <row r="730" spans="1:9" x14ac:dyDescent="0.25">
      <c r="A730" s="113">
        <f t="shared" si="24"/>
        <v>65623</v>
      </c>
      <c r="B730" s="128">
        <f t="shared" si="23"/>
        <v>2079</v>
      </c>
      <c r="C730">
        <v>2.3624148509307528</v>
      </c>
      <c r="D730">
        <v>9.8286093140437067</v>
      </c>
      <c r="E730">
        <v>0</v>
      </c>
      <c r="F730">
        <v>1.9982789025203145</v>
      </c>
      <c r="G730">
        <v>674.89179961680441</v>
      </c>
      <c r="H730">
        <v>0</v>
      </c>
      <c r="I730">
        <v>0</v>
      </c>
    </row>
    <row r="731" spans="1:9" x14ac:dyDescent="0.25">
      <c r="A731" s="113">
        <f t="shared" si="24"/>
        <v>65653</v>
      </c>
      <c r="B731" s="128">
        <f t="shared" si="23"/>
        <v>2079</v>
      </c>
      <c r="C731">
        <v>2.3476676969080641</v>
      </c>
      <c r="D731">
        <v>9.4403805598770223</v>
      </c>
      <c r="E731">
        <v>0</v>
      </c>
      <c r="F731">
        <v>1.9702572548500479</v>
      </c>
      <c r="G731">
        <v>665.82882949898533</v>
      </c>
      <c r="H731">
        <v>0</v>
      </c>
      <c r="I731">
        <v>0</v>
      </c>
    </row>
    <row r="732" spans="1:9" x14ac:dyDescent="0.25">
      <c r="A732" s="113">
        <f t="shared" si="24"/>
        <v>65684</v>
      </c>
      <c r="B732" s="128">
        <f t="shared" si="23"/>
        <v>2079</v>
      </c>
      <c r="C732">
        <v>2.7956815308179408</v>
      </c>
      <c r="D732">
        <v>9.4913345028443548</v>
      </c>
      <c r="E732">
        <v>0</v>
      </c>
      <c r="F732">
        <v>1.9433233401527239</v>
      </c>
      <c r="G732">
        <v>657.18985318680654</v>
      </c>
      <c r="H732">
        <v>0</v>
      </c>
      <c r="I732">
        <v>0</v>
      </c>
    </row>
    <row r="733" spans="1:9" x14ac:dyDescent="0.25">
      <c r="A733" s="113">
        <f t="shared" si="24"/>
        <v>65714</v>
      </c>
      <c r="B733" s="128">
        <f t="shared" si="23"/>
        <v>2079</v>
      </c>
      <c r="C733">
        <v>2.2560432195133355</v>
      </c>
      <c r="D733">
        <v>9.4654175342502587</v>
      </c>
      <c r="E733">
        <v>0</v>
      </c>
      <c r="F733">
        <v>1.9163471296009216</v>
      </c>
      <c r="G733">
        <v>648.06413174246791</v>
      </c>
      <c r="H733">
        <v>0</v>
      </c>
      <c r="I733">
        <v>0</v>
      </c>
    </row>
    <row r="734" spans="1:9" x14ac:dyDescent="0.25">
      <c r="A734" s="113">
        <f t="shared" si="24"/>
        <v>65745</v>
      </c>
      <c r="B734" s="128">
        <f t="shared" si="23"/>
        <v>2079</v>
      </c>
      <c r="C734">
        <v>2.344903811870569</v>
      </c>
      <c r="D734">
        <v>9.126366422052131</v>
      </c>
      <c r="E734">
        <v>0</v>
      </c>
      <c r="F734">
        <v>1.8892863418306016</v>
      </c>
      <c r="G734">
        <v>639.39338279045592</v>
      </c>
      <c r="H734">
        <v>0</v>
      </c>
      <c r="I734">
        <v>0</v>
      </c>
    </row>
    <row r="735" spans="1:9" x14ac:dyDescent="0.25">
      <c r="A735" s="113">
        <f t="shared" si="24"/>
        <v>65776</v>
      </c>
      <c r="B735" s="128">
        <f t="shared" si="23"/>
        <v>2080</v>
      </c>
      <c r="C735">
        <v>2.2085511861224343</v>
      </c>
      <c r="D735">
        <v>8.8789139349553423</v>
      </c>
      <c r="E735">
        <v>0</v>
      </c>
      <c r="F735">
        <v>1.8633807331318901</v>
      </c>
      <c r="G735">
        <v>630.85963930849118</v>
      </c>
      <c r="H735">
        <v>0</v>
      </c>
      <c r="I735">
        <v>0</v>
      </c>
    </row>
    <row r="736" spans="1:9" x14ac:dyDescent="0.25">
      <c r="A736" s="113">
        <f t="shared" si="24"/>
        <v>65805</v>
      </c>
      <c r="B736" s="128">
        <f t="shared" si="23"/>
        <v>2080</v>
      </c>
      <c r="C736">
        <v>2.165629765372981</v>
      </c>
      <c r="D736">
        <v>8.6405814105711265</v>
      </c>
      <c r="E736">
        <v>0</v>
      </c>
      <c r="F736">
        <v>1.8382064941588299</v>
      </c>
      <c r="G736">
        <v>622.54648116913438</v>
      </c>
      <c r="H736">
        <v>0</v>
      </c>
      <c r="I736">
        <v>0</v>
      </c>
    </row>
    <row r="737" spans="1:9" x14ac:dyDescent="0.25">
      <c r="A737" s="113">
        <f t="shared" si="24"/>
        <v>65836</v>
      </c>
      <c r="B737" s="128">
        <f t="shared" si="23"/>
        <v>2080</v>
      </c>
      <c r="C737">
        <v>2.1289260111778083</v>
      </c>
      <c r="D737">
        <v>8.4040908415677045</v>
      </c>
      <c r="E737">
        <v>0</v>
      </c>
      <c r="F737">
        <v>1.8137571037731188</v>
      </c>
      <c r="G737">
        <v>614.45755923497131</v>
      </c>
      <c r="H737">
        <v>0</v>
      </c>
      <c r="I737">
        <v>0</v>
      </c>
    </row>
    <row r="738" spans="1:9" x14ac:dyDescent="0.25">
      <c r="A738" s="113">
        <f t="shared" si="24"/>
        <v>65866</v>
      </c>
      <c r="B738" s="128">
        <f t="shared" si="23"/>
        <v>2080</v>
      </c>
      <c r="C738">
        <v>2.5827726867529881</v>
      </c>
      <c r="D738">
        <v>8.0120546335144045</v>
      </c>
      <c r="E738">
        <v>0</v>
      </c>
      <c r="F738">
        <v>1.7900655299646373</v>
      </c>
      <c r="G738">
        <v>607.23821175824514</v>
      </c>
      <c r="H738">
        <v>0</v>
      </c>
      <c r="I738">
        <v>0</v>
      </c>
    </row>
    <row r="739" spans="1:9" x14ac:dyDescent="0.25">
      <c r="A739" s="113">
        <f t="shared" si="24"/>
        <v>65897</v>
      </c>
      <c r="B739" s="128">
        <f t="shared" si="23"/>
        <v>2080</v>
      </c>
      <c r="C739">
        <v>2.1452826970929704</v>
      </c>
      <c r="D739">
        <v>7.8000014852146409</v>
      </c>
      <c r="E739">
        <v>0</v>
      </c>
      <c r="F739">
        <v>1.7674821469054174</v>
      </c>
      <c r="G739">
        <v>599.81601082321811</v>
      </c>
      <c r="H739">
        <v>0</v>
      </c>
      <c r="I739">
        <v>0</v>
      </c>
    </row>
    <row r="740" spans="1:9" x14ac:dyDescent="0.25">
      <c r="A740" s="113">
        <f t="shared" si="24"/>
        <v>65927</v>
      </c>
      <c r="B740" s="128">
        <f t="shared" si="23"/>
        <v>2080</v>
      </c>
      <c r="C740">
        <v>2.1067553606682048</v>
      </c>
      <c r="D740">
        <v>7.5671525764186489</v>
      </c>
      <c r="E740">
        <v>0</v>
      </c>
      <c r="F740">
        <v>1.7454793807475255</v>
      </c>
      <c r="G740">
        <v>592.61013422672045</v>
      </c>
      <c r="H740">
        <v>0</v>
      </c>
      <c r="I740">
        <v>0</v>
      </c>
    </row>
    <row r="741" spans="1:9" x14ac:dyDescent="0.25">
      <c r="A741" s="113">
        <f t="shared" si="24"/>
        <v>65958</v>
      </c>
      <c r="B741" s="128">
        <f t="shared" si="23"/>
        <v>2080</v>
      </c>
      <c r="C741">
        <v>2.0339327011408921</v>
      </c>
      <c r="D741">
        <v>7.5418005401859718</v>
      </c>
      <c r="E741">
        <v>0</v>
      </c>
      <c r="F741">
        <v>1.7242398635821132</v>
      </c>
      <c r="G741">
        <v>585.37802652409255</v>
      </c>
      <c r="H741">
        <v>0</v>
      </c>
      <c r="I741">
        <v>0</v>
      </c>
    </row>
    <row r="742" spans="1:9" x14ac:dyDescent="0.25">
      <c r="A742" s="113">
        <f t="shared" si="24"/>
        <v>65989</v>
      </c>
      <c r="B742" s="128">
        <f t="shared" si="23"/>
        <v>2080</v>
      </c>
      <c r="C742">
        <v>1.9987603455811227</v>
      </c>
      <c r="D742">
        <v>7.4025710881963382</v>
      </c>
      <c r="E742">
        <v>0</v>
      </c>
      <c r="F742">
        <v>1.7032370376819974</v>
      </c>
      <c r="G742">
        <v>578.27097874379535</v>
      </c>
      <c r="H742">
        <v>0</v>
      </c>
      <c r="I742">
        <v>0</v>
      </c>
    </row>
    <row r="743" spans="1:9" x14ac:dyDescent="0.25">
      <c r="A743" s="113">
        <f t="shared" si="24"/>
        <v>66019</v>
      </c>
      <c r="B743" s="128">
        <f t="shared" si="23"/>
        <v>2080</v>
      </c>
      <c r="C743">
        <v>1.9911856953259646</v>
      </c>
      <c r="D743">
        <v>7.3906166744928461</v>
      </c>
      <c r="E743">
        <v>0</v>
      </c>
      <c r="F743">
        <v>1.682715943313094</v>
      </c>
      <c r="G743">
        <v>571.18883182131606</v>
      </c>
      <c r="H743">
        <v>0</v>
      </c>
      <c r="I743">
        <v>0</v>
      </c>
    </row>
    <row r="744" spans="1:9" x14ac:dyDescent="0.25">
      <c r="A744" s="113">
        <f t="shared" si="24"/>
        <v>66050</v>
      </c>
      <c r="B744" s="128">
        <f t="shared" si="23"/>
        <v>2080</v>
      </c>
      <c r="C744">
        <v>2.2815108170600396</v>
      </c>
      <c r="D744">
        <v>7.3108258312614911</v>
      </c>
      <c r="E744">
        <v>0</v>
      </c>
      <c r="F744">
        <v>1.6623690256803714</v>
      </c>
      <c r="G744">
        <v>564.4971477814338</v>
      </c>
      <c r="H744">
        <v>0</v>
      </c>
      <c r="I744">
        <v>0</v>
      </c>
    </row>
    <row r="745" spans="1:9" x14ac:dyDescent="0.25">
      <c r="A745" s="113">
        <f t="shared" si="24"/>
        <v>66080</v>
      </c>
      <c r="B745" s="128">
        <f t="shared" si="23"/>
        <v>2080</v>
      </c>
      <c r="C745">
        <v>1.9162991651962027</v>
      </c>
      <c r="D745">
        <v>7.2150162328011245</v>
      </c>
      <c r="E745">
        <v>0</v>
      </c>
      <c r="F745">
        <v>1.6424296800453113</v>
      </c>
      <c r="G745">
        <v>557.55600103378367</v>
      </c>
      <c r="H745">
        <v>0</v>
      </c>
      <c r="I745">
        <v>0</v>
      </c>
    </row>
    <row r="746" spans="1:9" x14ac:dyDescent="0.25">
      <c r="A746" s="113">
        <f t="shared" si="24"/>
        <v>66111</v>
      </c>
      <c r="B746" s="128">
        <f t="shared" si="23"/>
        <v>2080</v>
      </c>
      <c r="C746">
        <v>1.9639053739850201</v>
      </c>
      <c r="D746">
        <v>7.0710230848996831</v>
      </c>
      <c r="E746">
        <v>0</v>
      </c>
      <c r="F746">
        <v>1.6227548510384184</v>
      </c>
      <c r="G746">
        <v>550.82612847183111</v>
      </c>
      <c r="H746">
        <v>0</v>
      </c>
      <c r="I746">
        <v>0</v>
      </c>
    </row>
    <row r="747" spans="1:9" x14ac:dyDescent="0.25">
      <c r="A747" s="113">
        <f t="shared" si="24"/>
        <v>66142</v>
      </c>
      <c r="B747" s="128">
        <f t="shared" si="23"/>
        <v>2081</v>
      </c>
      <c r="C747">
        <v>1.8804984082872138</v>
      </c>
      <c r="D747">
        <v>6.8928986105019447</v>
      </c>
      <c r="E747">
        <v>0</v>
      </c>
      <c r="F747">
        <v>1.6034153339812207</v>
      </c>
      <c r="G747">
        <v>544.21031293563544</v>
      </c>
      <c r="H747">
        <v>0</v>
      </c>
      <c r="I747">
        <v>0</v>
      </c>
    </row>
    <row r="748" spans="1:9" x14ac:dyDescent="0.25">
      <c r="A748" s="113">
        <f t="shared" si="24"/>
        <v>66170</v>
      </c>
      <c r="B748" s="128">
        <f t="shared" si="23"/>
        <v>2081</v>
      </c>
      <c r="C748">
        <v>1.8478703315437406</v>
      </c>
      <c r="D748">
        <v>6.7213715366818896</v>
      </c>
      <c r="E748">
        <v>0</v>
      </c>
      <c r="F748">
        <v>1.5845917747756024</v>
      </c>
      <c r="G748">
        <v>537.75221995572076</v>
      </c>
      <c r="H748">
        <v>0</v>
      </c>
      <c r="I748">
        <v>0</v>
      </c>
    </row>
    <row r="749" spans="1:9" x14ac:dyDescent="0.25">
      <c r="A749" s="113">
        <f t="shared" si="24"/>
        <v>66201</v>
      </c>
      <c r="B749" s="128">
        <f t="shared" si="23"/>
        <v>2081</v>
      </c>
      <c r="C749">
        <v>1.8180912175527009</v>
      </c>
      <c r="D749">
        <v>6.5561784348797536</v>
      </c>
      <c r="E749">
        <v>0</v>
      </c>
      <c r="F749">
        <v>1.5662761992898764</v>
      </c>
      <c r="G749">
        <v>531.44785653910367</v>
      </c>
      <c r="H749">
        <v>0</v>
      </c>
      <c r="I749">
        <v>0</v>
      </c>
    </row>
    <row r="750" spans="1:9" x14ac:dyDescent="0.25">
      <c r="A750" s="113">
        <f t="shared" si="24"/>
        <v>66231</v>
      </c>
      <c r="B750" s="128">
        <f t="shared" si="23"/>
        <v>2081</v>
      </c>
      <c r="C750">
        <v>2.1277529023077997</v>
      </c>
      <c r="D750">
        <v>6.6618434696259579</v>
      </c>
      <c r="E750">
        <v>0</v>
      </c>
      <c r="F750">
        <v>1.5484691991629396</v>
      </c>
      <c r="G750">
        <v>525.36529677262263</v>
      </c>
      <c r="H750">
        <v>0</v>
      </c>
      <c r="I750">
        <v>0</v>
      </c>
    </row>
    <row r="751" spans="1:9" x14ac:dyDescent="0.25">
      <c r="A751" s="113">
        <f t="shared" si="24"/>
        <v>66262</v>
      </c>
      <c r="B751" s="128">
        <f t="shared" si="23"/>
        <v>2081</v>
      </c>
      <c r="C751">
        <v>1.8431614346616347</v>
      </c>
      <c r="D751">
        <v>6.4953409537517333</v>
      </c>
      <c r="E751">
        <v>0</v>
      </c>
      <c r="F751">
        <v>1.5305711776921933</v>
      </c>
      <c r="G751">
        <v>519.18254607584061</v>
      </c>
      <c r="H751">
        <v>0</v>
      </c>
      <c r="I751">
        <v>0</v>
      </c>
    </row>
    <row r="752" spans="1:9" x14ac:dyDescent="0.25">
      <c r="A752" s="113">
        <f t="shared" si="24"/>
        <v>66292</v>
      </c>
      <c r="B752" s="128">
        <f t="shared" si="23"/>
        <v>2081</v>
      </c>
      <c r="C752">
        <v>1.8099664943215208</v>
      </c>
      <c r="D752">
        <v>6.3694200380153667</v>
      </c>
      <c r="E752">
        <v>0</v>
      </c>
      <c r="F752">
        <v>1.5131050287600261</v>
      </c>
      <c r="G752">
        <v>513.10998750338672</v>
      </c>
      <c r="H752">
        <v>0</v>
      </c>
      <c r="I752">
        <v>0</v>
      </c>
    </row>
    <row r="753" spans="1:9" x14ac:dyDescent="0.25">
      <c r="A753" s="113">
        <f t="shared" si="24"/>
        <v>66323</v>
      </c>
      <c r="B753" s="128">
        <f t="shared" si="23"/>
        <v>2081</v>
      </c>
      <c r="C753">
        <v>1.741145881304877</v>
      </c>
      <c r="D753">
        <v>6.2132898099679759</v>
      </c>
      <c r="E753">
        <v>0</v>
      </c>
      <c r="F753">
        <v>1.4959470175600327</v>
      </c>
      <c r="G753">
        <v>507.14189655716388</v>
      </c>
      <c r="H753">
        <v>0</v>
      </c>
      <c r="I753">
        <v>0</v>
      </c>
    </row>
    <row r="754" spans="1:9" x14ac:dyDescent="0.25">
      <c r="A754" s="113">
        <f t="shared" si="24"/>
        <v>66354</v>
      </c>
      <c r="B754" s="128">
        <f t="shared" si="23"/>
        <v>2081</v>
      </c>
      <c r="C754">
        <v>1.7142074988128042</v>
      </c>
      <c r="D754">
        <v>6.0972148037063816</v>
      </c>
      <c r="E754">
        <v>0</v>
      </c>
      <c r="F754">
        <v>1.4792362750831596</v>
      </c>
      <c r="G754">
        <v>501.2796529771868</v>
      </c>
      <c r="H754">
        <v>0</v>
      </c>
      <c r="I754">
        <v>0</v>
      </c>
    </row>
    <row r="755" spans="1:9" x14ac:dyDescent="0.25">
      <c r="A755" s="113">
        <f t="shared" si="24"/>
        <v>66384</v>
      </c>
      <c r="B755" s="128">
        <f t="shared" si="23"/>
        <v>2081</v>
      </c>
      <c r="C755">
        <v>1.7112169763040763</v>
      </c>
      <c r="D755">
        <v>5.9693592017131243</v>
      </c>
      <c r="E755">
        <v>0</v>
      </c>
      <c r="F755">
        <v>1.4629034225676223</v>
      </c>
      <c r="G755">
        <v>495.55860732921008</v>
      </c>
      <c r="H755">
        <v>0</v>
      </c>
      <c r="I755">
        <v>0</v>
      </c>
    </row>
    <row r="756" spans="1:9" x14ac:dyDescent="0.25">
      <c r="A756" s="113">
        <f t="shared" si="24"/>
        <v>66415</v>
      </c>
      <c r="B756" s="128">
        <f t="shared" si="23"/>
        <v>2081</v>
      </c>
      <c r="C756">
        <v>1.8929655527424021</v>
      </c>
      <c r="D756">
        <v>5.7083143985796694</v>
      </c>
      <c r="E756">
        <v>0</v>
      </c>
      <c r="F756">
        <v>1.447042782097794</v>
      </c>
      <c r="G756">
        <v>490.29621570127517</v>
      </c>
      <c r="H756">
        <v>0</v>
      </c>
      <c r="I756">
        <v>0</v>
      </c>
    </row>
    <row r="757" spans="1:9" x14ac:dyDescent="0.25">
      <c r="A757" s="113">
        <f t="shared" si="24"/>
        <v>66445</v>
      </c>
      <c r="B757" s="128">
        <f t="shared" si="23"/>
        <v>2081</v>
      </c>
      <c r="C757">
        <v>1.6481721545820576</v>
      </c>
      <c r="D757">
        <v>5.6476848391311085</v>
      </c>
      <c r="E757">
        <v>0</v>
      </c>
      <c r="F757">
        <v>1.4309950149688269</v>
      </c>
      <c r="G757">
        <v>484.8657080017573</v>
      </c>
      <c r="H757">
        <v>0</v>
      </c>
      <c r="I757">
        <v>0</v>
      </c>
    </row>
    <row r="758" spans="1:9" x14ac:dyDescent="0.25">
      <c r="A758" s="113">
        <f t="shared" si="24"/>
        <v>66476</v>
      </c>
      <c r="B758" s="128">
        <f t="shared" si="23"/>
        <v>2081</v>
      </c>
      <c r="C758">
        <v>1.6980242358043391</v>
      </c>
      <c r="D758">
        <v>5.5131260043748931</v>
      </c>
      <c r="E758">
        <v>0</v>
      </c>
      <c r="F758">
        <v>1.4151059014302874</v>
      </c>
      <c r="G758">
        <v>479.63550033175636</v>
      </c>
      <c r="H758">
        <v>0</v>
      </c>
      <c r="I758">
        <v>0</v>
      </c>
    </row>
    <row r="759" spans="1:9" x14ac:dyDescent="0.25">
      <c r="A759" s="113">
        <f t="shared" si="24"/>
        <v>66507</v>
      </c>
      <c r="B759" s="128">
        <f t="shared" si="23"/>
        <v>2082</v>
      </c>
      <c r="C759">
        <v>1.6157740830609515</v>
      </c>
      <c r="D759">
        <v>5.3764011483001761</v>
      </c>
      <c r="E759">
        <v>0</v>
      </c>
      <c r="F759">
        <v>1.3996080848077643</v>
      </c>
      <c r="G759">
        <v>474.47526518170912</v>
      </c>
      <c r="H759">
        <v>0</v>
      </c>
      <c r="I759">
        <v>0</v>
      </c>
    </row>
    <row r="760" spans="1:9" x14ac:dyDescent="0.25">
      <c r="A760" s="113">
        <f t="shared" si="24"/>
        <v>66535</v>
      </c>
      <c r="B760" s="128">
        <f t="shared" si="23"/>
        <v>2082</v>
      </c>
      <c r="C760">
        <v>1.5952711870321867</v>
      </c>
      <c r="D760">
        <v>5.2449452351619898</v>
      </c>
      <c r="E760">
        <v>0</v>
      </c>
      <c r="F760">
        <v>1.3845025256231347</v>
      </c>
      <c r="G760">
        <v>469.44108860795637</v>
      </c>
      <c r="H760">
        <v>0</v>
      </c>
      <c r="I760">
        <v>0</v>
      </c>
    </row>
    <row r="761" spans="1:9" x14ac:dyDescent="0.25">
      <c r="A761" s="113">
        <f t="shared" si="24"/>
        <v>66566</v>
      </c>
      <c r="B761" s="128">
        <f t="shared" si="23"/>
        <v>2082</v>
      </c>
      <c r="C761">
        <v>1.5708301244871408</v>
      </c>
      <c r="D761">
        <v>5.1185191787744175</v>
      </c>
      <c r="E761">
        <v>0</v>
      </c>
      <c r="F761">
        <v>1.36978758802566</v>
      </c>
      <c r="G761">
        <v>464.52361196564334</v>
      </c>
      <c r="H761">
        <v>0</v>
      </c>
      <c r="I761">
        <v>0</v>
      </c>
    </row>
    <row r="762" spans="1:9" x14ac:dyDescent="0.25">
      <c r="A762" s="113">
        <f t="shared" si="24"/>
        <v>66596</v>
      </c>
      <c r="B762" s="128">
        <f t="shared" si="23"/>
        <v>2082</v>
      </c>
      <c r="C762">
        <v>1.7764136235619645</v>
      </c>
      <c r="D762">
        <v>4.9883103204778392</v>
      </c>
      <c r="E762">
        <v>0</v>
      </c>
      <c r="F762">
        <v>1.355459893279326</v>
      </c>
      <c r="G762">
        <v>459.95625537544799</v>
      </c>
      <c r="H762">
        <v>0</v>
      </c>
      <c r="I762">
        <v>0</v>
      </c>
    </row>
    <row r="763" spans="1:9" x14ac:dyDescent="0.25">
      <c r="A763" s="113">
        <f t="shared" si="24"/>
        <v>66627</v>
      </c>
      <c r="B763" s="128">
        <f t="shared" si="23"/>
        <v>2082</v>
      </c>
      <c r="C763">
        <v>1.6037006938084479</v>
      </c>
      <c r="D763">
        <v>4.8715385095318195</v>
      </c>
      <c r="E763">
        <v>0</v>
      </c>
      <c r="F763">
        <v>1.3414790951536479</v>
      </c>
      <c r="G763">
        <v>455.34693846457111</v>
      </c>
      <c r="H763">
        <v>0</v>
      </c>
      <c r="I763">
        <v>0</v>
      </c>
    </row>
    <row r="764" spans="1:9" x14ac:dyDescent="0.25">
      <c r="A764" s="113">
        <f t="shared" si="24"/>
        <v>66657</v>
      </c>
      <c r="B764" s="128">
        <f t="shared" si="23"/>
        <v>2082</v>
      </c>
      <c r="C764">
        <v>1.5614196149330664</v>
      </c>
      <c r="D764">
        <v>4.7591258589235856</v>
      </c>
      <c r="E764">
        <v>0</v>
      </c>
      <c r="F764">
        <v>1.3278170849340889</v>
      </c>
      <c r="G764">
        <v>450.82141513564665</v>
      </c>
      <c r="H764">
        <v>0</v>
      </c>
      <c r="I764">
        <v>0</v>
      </c>
    </row>
    <row r="765" spans="1:9" x14ac:dyDescent="0.25">
      <c r="A765" s="113">
        <f t="shared" si="24"/>
        <v>66688</v>
      </c>
      <c r="B765" s="128">
        <f t="shared" si="23"/>
        <v>2082</v>
      </c>
      <c r="C765">
        <v>1.5074011181183533</v>
      </c>
      <c r="D765">
        <v>4.6508432863280822</v>
      </c>
      <c r="E765">
        <v>0</v>
      </c>
      <c r="F765">
        <v>1.3144857024722847</v>
      </c>
      <c r="G765">
        <v>446.36348726496448</v>
      </c>
      <c r="H765">
        <v>0</v>
      </c>
      <c r="I765">
        <v>0</v>
      </c>
    </row>
    <row r="766" spans="1:9" x14ac:dyDescent="0.25">
      <c r="A766" s="113">
        <f t="shared" si="24"/>
        <v>66719</v>
      </c>
      <c r="B766" s="128">
        <f t="shared" si="23"/>
        <v>2082</v>
      </c>
      <c r="C766">
        <v>1.4926718594490935</v>
      </c>
      <c r="D766">
        <v>4.568887315744484</v>
      </c>
      <c r="E766">
        <v>0</v>
      </c>
      <c r="F766">
        <v>1.3014712199575764</v>
      </c>
      <c r="G766">
        <v>441.9858005887117</v>
      </c>
      <c r="H766">
        <v>0</v>
      </c>
      <c r="I766">
        <v>0</v>
      </c>
    </row>
    <row r="767" spans="1:9" x14ac:dyDescent="0.25">
      <c r="A767" s="113">
        <f t="shared" si="24"/>
        <v>66749</v>
      </c>
      <c r="B767" s="128">
        <f t="shared" si="23"/>
        <v>2082</v>
      </c>
      <c r="C767">
        <v>1.4938617458324581</v>
      </c>
      <c r="D767">
        <v>4.4793934511448708</v>
      </c>
      <c r="E767">
        <v>0</v>
      </c>
      <c r="F767">
        <v>1.2887296906161709</v>
      </c>
      <c r="G767">
        <v>437.71153919278294</v>
      </c>
      <c r="H767">
        <v>0</v>
      </c>
      <c r="I767">
        <v>0</v>
      </c>
    </row>
    <row r="768" spans="1:9" x14ac:dyDescent="0.25">
      <c r="A768" s="113">
        <f t="shared" si="24"/>
        <v>66780</v>
      </c>
      <c r="B768" s="128">
        <f t="shared" si="23"/>
        <v>2082</v>
      </c>
      <c r="C768">
        <v>1.6093239563551807</v>
      </c>
      <c r="D768">
        <v>4.5225550620784709</v>
      </c>
      <c r="E768">
        <v>0</v>
      </c>
      <c r="F768">
        <v>1.2762655551174975</v>
      </c>
      <c r="G768">
        <v>433.5220425319423</v>
      </c>
      <c r="H768">
        <v>0</v>
      </c>
      <c r="I768">
        <v>0</v>
      </c>
    </row>
    <row r="769" spans="1:9" x14ac:dyDescent="0.25">
      <c r="A769" s="113">
        <f t="shared" si="24"/>
        <v>66810</v>
      </c>
      <c r="B769" s="128">
        <f t="shared" si="23"/>
        <v>2082</v>
      </c>
      <c r="C769">
        <v>1.4411920392058355</v>
      </c>
      <c r="D769">
        <v>4.496215368573715</v>
      </c>
      <c r="E769">
        <v>0</v>
      </c>
      <c r="F769">
        <v>1.2637869388830951</v>
      </c>
      <c r="G769">
        <v>429.20323226369095</v>
      </c>
      <c r="H769">
        <v>0</v>
      </c>
      <c r="I769">
        <v>0</v>
      </c>
    </row>
    <row r="770" spans="1:9" x14ac:dyDescent="0.25">
      <c r="A770" s="113">
        <f t="shared" si="24"/>
        <v>66841</v>
      </c>
      <c r="B770" s="128">
        <f t="shared" si="23"/>
        <v>2082</v>
      </c>
      <c r="C770">
        <v>1.4691085016533758</v>
      </c>
      <c r="D770">
        <v>4.4368331029878467</v>
      </c>
      <c r="E770">
        <v>0</v>
      </c>
      <c r="F770">
        <v>1.2513179918130821</v>
      </c>
      <c r="G770">
        <v>424.98418967054374</v>
      </c>
      <c r="H770">
        <v>0</v>
      </c>
      <c r="I770">
        <v>0</v>
      </c>
    </row>
    <row r="771" spans="1:9" x14ac:dyDescent="0.25">
      <c r="A771" s="113">
        <f t="shared" si="24"/>
        <v>66872</v>
      </c>
      <c r="B771" s="128">
        <f t="shared" ref="B771:B834" si="25">YEAR(A771)</f>
        <v>2083</v>
      </c>
      <c r="C771">
        <v>1.4120308107787163</v>
      </c>
      <c r="D771">
        <v>4.3397733003030758</v>
      </c>
      <c r="E771">
        <v>0</v>
      </c>
      <c r="F771">
        <v>1.2390313428551065</v>
      </c>
      <c r="G771">
        <v>420.8174158381641</v>
      </c>
      <c r="H771">
        <v>0</v>
      </c>
      <c r="I771">
        <v>0</v>
      </c>
    </row>
    <row r="772" spans="1:9" x14ac:dyDescent="0.25">
      <c r="A772" s="113">
        <f t="shared" si="24"/>
        <v>66900</v>
      </c>
      <c r="B772" s="128">
        <f t="shared" si="25"/>
        <v>2083</v>
      </c>
      <c r="C772">
        <v>1.4007669629244848</v>
      </c>
      <c r="D772">
        <v>4.246420149573888</v>
      </c>
      <c r="E772">
        <v>0</v>
      </c>
      <c r="F772">
        <v>1.2270251271001489</v>
      </c>
      <c r="G772">
        <v>416.74473752441497</v>
      </c>
      <c r="H772">
        <v>0</v>
      </c>
      <c r="I772">
        <v>0</v>
      </c>
    </row>
    <row r="773" spans="1:9" x14ac:dyDescent="0.25">
      <c r="A773" s="113">
        <f t="shared" si="24"/>
        <v>66931</v>
      </c>
      <c r="B773" s="128">
        <f t="shared" si="25"/>
        <v>2083</v>
      </c>
      <c r="C773">
        <v>1.3803438425673797</v>
      </c>
      <c r="D773">
        <v>4.1565805187954972</v>
      </c>
      <c r="E773">
        <v>0</v>
      </c>
      <c r="F773">
        <v>1.2152984157358924</v>
      </c>
      <c r="G773">
        <v>412.75320243245068</v>
      </c>
      <c r="H773">
        <v>0</v>
      </c>
      <c r="I773">
        <v>0</v>
      </c>
    </row>
    <row r="774" spans="1:9" x14ac:dyDescent="0.25">
      <c r="A774" s="113">
        <f t="shared" si="24"/>
        <v>66961</v>
      </c>
      <c r="B774" s="128">
        <f t="shared" si="25"/>
        <v>2083</v>
      </c>
      <c r="C774">
        <v>1.5143797116660247</v>
      </c>
      <c r="D774">
        <v>4.0998418192583701</v>
      </c>
      <c r="E774">
        <v>0</v>
      </c>
      <c r="F774">
        <v>1.2038465569122017</v>
      </c>
      <c r="G774">
        <v>408.96389376794605</v>
      </c>
      <c r="H774">
        <v>0</v>
      </c>
      <c r="I774">
        <v>0</v>
      </c>
    </row>
    <row r="775" spans="1:9" x14ac:dyDescent="0.25">
      <c r="A775" s="113">
        <f t="shared" si="24"/>
        <v>66992</v>
      </c>
      <c r="B775" s="128">
        <f t="shared" si="25"/>
        <v>2083</v>
      </c>
      <c r="C775">
        <v>1.4177742139084046</v>
      </c>
      <c r="D775">
        <v>4.0149661779487698</v>
      </c>
      <c r="E775">
        <v>0</v>
      </c>
      <c r="F775">
        <v>1.1925013867045204</v>
      </c>
      <c r="G775">
        <v>405.17420041720123</v>
      </c>
      <c r="H775">
        <v>0</v>
      </c>
      <c r="I775">
        <v>0</v>
      </c>
    </row>
    <row r="776" spans="1:9" x14ac:dyDescent="0.25">
      <c r="A776" s="113">
        <f t="shared" si="24"/>
        <v>67022</v>
      </c>
      <c r="B776" s="128">
        <f t="shared" si="25"/>
        <v>2083</v>
      </c>
      <c r="C776">
        <v>1.3714909791245908</v>
      </c>
      <c r="D776">
        <v>3.9331725588159498</v>
      </c>
      <c r="E776">
        <v>0</v>
      </c>
      <c r="F776">
        <v>1.1813960913996104</v>
      </c>
      <c r="G776">
        <v>401.43112274611047</v>
      </c>
      <c r="H776">
        <v>0</v>
      </c>
      <c r="I776">
        <v>0</v>
      </c>
    </row>
    <row r="777" spans="1:9" x14ac:dyDescent="0.25">
      <c r="A777" s="113">
        <f t="shared" si="24"/>
        <v>67053</v>
      </c>
      <c r="B777" s="128">
        <f t="shared" si="25"/>
        <v>2083</v>
      </c>
      <c r="C777">
        <v>1.3265410214141333</v>
      </c>
      <c r="D777">
        <v>3.8255937279857473</v>
      </c>
      <c r="E777">
        <v>0</v>
      </c>
      <c r="F777">
        <v>1.1705298887606721</v>
      </c>
      <c r="G777">
        <v>397.76154015077793</v>
      </c>
      <c r="H777">
        <v>0</v>
      </c>
      <c r="I777">
        <v>0</v>
      </c>
    </row>
    <row r="778" spans="1:9" x14ac:dyDescent="0.25">
      <c r="A778" s="113">
        <f t="shared" si="24"/>
        <v>67084</v>
      </c>
      <c r="B778" s="128">
        <f t="shared" si="25"/>
        <v>2083</v>
      </c>
      <c r="C778">
        <v>1.3189499271006533</v>
      </c>
      <c r="D778">
        <v>3.75222996958985</v>
      </c>
      <c r="E778">
        <v>0</v>
      </c>
      <c r="F778">
        <v>1.1599558501740614</v>
      </c>
      <c r="G778">
        <v>394.1683042581148</v>
      </c>
      <c r="H778">
        <v>0</v>
      </c>
      <c r="I778">
        <v>0</v>
      </c>
    </row>
    <row r="779" spans="1:9" x14ac:dyDescent="0.25">
      <c r="A779" s="113">
        <f t="shared" si="24"/>
        <v>67114</v>
      </c>
      <c r="B779" s="128">
        <f t="shared" si="25"/>
        <v>2083</v>
      </c>
      <c r="C779">
        <v>1.3227238078083663</v>
      </c>
      <c r="D779">
        <v>3.6553751821936675</v>
      </c>
      <c r="E779">
        <v>0</v>
      </c>
      <c r="F779">
        <v>1.1496083299151119</v>
      </c>
      <c r="G779">
        <v>390.68604455381427</v>
      </c>
      <c r="H779">
        <v>0</v>
      </c>
      <c r="I779">
        <v>0</v>
      </c>
    </row>
    <row r="780" spans="1:9" x14ac:dyDescent="0.25">
      <c r="A780" s="113">
        <f t="shared" ref="A780:A843" si="26">DATE(YEAR(A779),MONTH(A779)+2,1)-1</f>
        <v>67145</v>
      </c>
      <c r="B780" s="128">
        <f t="shared" si="25"/>
        <v>2083</v>
      </c>
      <c r="C780">
        <v>1.39366004179809</v>
      </c>
      <c r="D780">
        <v>3.7490868342439581</v>
      </c>
      <c r="E780">
        <v>0</v>
      </c>
      <c r="F780">
        <v>1.1395448496849037</v>
      </c>
      <c r="G780">
        <v>387.19107291168348</v>
      </c>
      <c r="H780">
        <v>0</v>
      </c>
      <c r="I780">
        <v>0</v>
      </c>
    </row>
    <row r="781" spans="1:9" x14ac:dyDescent="0.25">
      <c r="A781" s="113">
        <f t="shared" si="26"/>
        <v>67175</v>
      </c>
      <c r="B781" s="128">
        <f t="shared" si="25"/>
        <v>2083</v>
      </c>
      <c r="C781">
        <v>1.2772110611385881</v>
      </c>
      <c r="D781">
        <v>3.6396465119379369</v>
      </c>
      <c r="E781">
        <v>0</v>
      </c>
      <c r="F781">
        <v>1.1293093966965029</v>
      </c>
      <c r="G781">
        <v>383.69932806418791</v>
      </c>
      <c r="H781">
        <v>0</v>
      </c>
      <c r="I781">
        <v>0</v>
      </c>
    </row>
    <row r="782" spans="1:9" x14ac:dyDescent="0.25">
      <c r="A782" s="113">
        <f t="shared" si="26"/>
        <v>67206</v>
      </c>
      <c r="B782" s="128">
        <f t="shared" si="25"/>
        <v>2083</v>
      </c>
      <c r="C782">
        <v>1.2934514199578586</v>
      </c>
      <c r="D782">
        <v>3.5196737816894319</v>
      </c>
      <c r="E782">
        <v>0</v>
      </c>
      <c r="F782">
        <v>1.1193433783198621</v>
      </c>
      <c r="G782">
        <v>380.35376232413665</v>
      </c>
      <c r="H782">
        <v>0</v>
      </c>
      <c r="I782">
        <v>0</v>
      </c>
    </row>
    <row r="783" spans="1:9" x14ac:dyDescent="0.25">
      <c r="A783" s="113">
        <f t="shared" si="26"/>
        <v>67237</v>
      </c>
      <c r="B783" s="128">
        <f t="shared" si="25"/>
        <v>2084</v>
      </c>
      <c r="C783">
        <v>1.2521326716225281</v>
      </c>
      <c r="D783">
        <v>3.4604745235822802</v>
      </c>
      <c r="E783">
        <v>0</v>
      </c>
      <c r="F783">
        <v>1.1098298739209584</v>
      </c>
      <c r="G783">
        <v>377.03559059825545</v>
      </c>
      <c r="H783">
        <v>0</v>
      </c>
      <c r="I783">
        <v>0</v>
      </c>
    </row>
    <row r="784" spans="1:9" x14ac:dyDescent="0.25">
      <c r="A784" s="113">
        <f t="shared" si="26"/>
        <v>67266</v>
      </c>
      <c r="B784" s="128">
        <f t="shared" si="25"/>
        <v>2084</v>
      </c>
      <c r="C784">
        <v>1.247203208999649</v>
      </c>
      <c r="D784">
        <v>3.4032811076278304</v>
      </c>
      <c r="E784">
        <v>0</v>
      </c>
      <c r="F784">
        <v>1.100485586105862</v>
      </c>
      <c r="G784">
        <v>373.77902711352169</v>
      </c>
      <c r="H784">
        <v>0</v>
      </c>
      <c r="I784">
        <v>0</v>
      </c>
    </row>
    <row r="785" spans="1:9" x14ac:dyDescent="0.25">
      <c r="A785" s="113">
        <f t="shared" si="26"/>
        <v>67297</v>
      </c>
      <c r="B785" s="128">
        <f t="shared" si="25"/>
        <v>2084</v>
      </c>
      <c r="C785">
        <v>1.2303868197290455</v>
      </c>
      <c r="D785">
        <v>3.3479691457548966</v>
      </c>
      <c r="E785">
        <v>0</v>
      </c>
      <c r="F785">
        <v>1.0913123700361562</v>
      </c>
      <c r="G785">
        <v>370.57013241745966</v>
      </c>
      <c r="H785">
        <v>0</v>
      </c>
      <c r="I785">
        <v>0</v>
      </c>
    </row>
    <row r="786" spans="1:9" x14ac:dyDescent="0.25">
      <c r="A786" s="113">
        <f t="shared" si="26"/>
        <v>67327</v>
      </c>
      <c r="B786" s="128">
        <f t="shared" si="25"/>
        <v>2084</v>
      </c>
      <c r="C786">
        <v>1.3123133226718664</v>
      </c>
      <c r="D786">
        <v>3.256506490660422</v>
      </c>
      <c r="E786">
        <v>0</v>
      </c>
      <c r="F786">
        <v>1.0823065363648634</v>
      </c>
      <c r="G786">
        <v>367.54363271310592</v>
      </c>
      <c r="H786">
        <v>0</v>
      </c>
      <c r="I786">
        <v>0</v>
      </c>
    </row>
    <row r="787" spans="1:9" x14ac:dyDescent="0.25">
      <c r="A787" s="113">
        <f t="shared" si="26"/>
        <v>67358</v>
      </c>
      <c r="B787" s="128">
        <f t="shared" si="25"/>
        <v>2084</v>
      </c>
      <c r="C787">
        <v>1.2717439452822539</v>
      </c>
      <c r="D787">
        <v>3.2065051481513089</v>
      </c>
      <c r="E787">
        <v>0</v>
      </c>
      <c r="F787">
        <v>1.0735564645908531</v>
      </c>
      <c r="G787">
        <v>364.53531504564609</v>
      </c>
      <c r="H787">
        <v>0</v>
      </c>
      <c r="I787">
        <v>0</v>
      </c>
    </row>
    <row r="788" spans="1:9" x14ac:dyDescent="0.25">
      <c r="A788" s="113">
        <f t="shared" si="26"/>
        <v>67388</v>
      </c>
      <c r="B788" s="128">
        <f t="shared" si="25"/>
        <v>2084</v>
      </c>
      <c r="C788">
        <v>1.2250667140905742</v>
      </c>
      <c r="D788">
        <v>3.151937966510546</v>
      </c>
      <c r="E788">
        <v>0</v>
      </c>
      <c r="F788">
        <v>1.0649491577232075</v>
      </c>
      <c r="G788">
        <v>361.54349463550278</v>
      </c>
      <c r="H788">
        <v>0</v>
      </c>
      <c r="I788">
        <v>0</v>
      </c>
    </row>
    <row r="789" spans="1:9" x14ac:dyDescent="0.25">
      <c r="A789" s="113">
        <f t="shared" si="26"/>
        <v>67419</v>
      </c>
      <c r="B789" s="128">
        <f t="shared" si="25"/>
        <v>2084</v>
      </c>
      <c r="C789">
        <v>1.1871401163750337</v>
      </c>
      <c r="D789">
        <v>3.1051707032336688</v>
      </c>
      <c r="E789">
        <v>0</v>
      </c>
      <c r="F789">
        <v>1.0565054907804863</v>
      </c>
      <c r="G789">
        <v>358.56895855786388</v>
      </c>
      <c r="H789">
        <v>0</v>
      </c>
      <c r="I789">
        <v>0</v>
      </c>
    </row>
    <row r="790" spans="1:9" x14ac:dyDescent="0.25">
      <c r="A790" s="113">
        <f t="shared" si="26"/>
        <v>67450</v>
      </c>
      <c r="B790" s="128">
        <f t="shared" si="25"/>
        <v>2084</v>
      </c>
      <c r="C790">
        <v>1.1837680247289415</v>
      </c>
      <c r="D790">
        <v>2.9820655993675915</v>
      </c>
      <c r="E790">
        <v>0</v>
      </c>
      <c r="F790">
        <v>1.048194027224322</v>
      </c>
      <c r="G790">
        <v>355.72246695600074</v>
      </c>
      <c r="H790">
        <v>0</v>
      </c>
      <c r="I790">
        <v>0</v>
      </c>
    </row>
    <row r="791" spans="1:9" x14ac:dyDescent="0.25">
      <c r="A791" s="113">
        <f t="shared" si="26"/>
        <v>67480</v>
      </c>
      <c r="B791" s="128">
        <f t="shared" si="25"/>
        <v>2084</v>
      </c>
      <c r="C791">
        <v>1.1897875567944032</v>
      </c>
      <c r="D791">
        <v>2.8975486606702026</v>
      </c>
      <c r="E791">
        <v>0</v>
      </c>
      <c r="F791">
        <v>1.0401677730979717</v>
      </c>
      <c r="G791">
        <v>352.97453807902701</v>
      </c>
      <c r="H791">
        <v>0</v>
      </c>
      <c r="I791">
        <v>0</v>
      </c>
    </row>
    <row r="792" spans="1:9" x14ac:dyDescent="0.25">
      <c r="A792" s="113">
        <f t="shared" si="26"/>
        <v>67511</v>
      </c>
      <c r="B792" s="128">
        <f t="shared" si="25"/>
        <v>2084</v>
      </c>
      <c r="C792">
        <v>1.2306876038420675</v>
      </c>
      <c r="D792">
        <v>2.9890489275734846</v>
      </c>
      <c r="E792">
        <v>0</v>
      </c>
      <c r="F792">
        <v>1.0324124886992196</v>
      </c>
      <c r="G792">
        <v>350.18376426659631</v>
      </c>
      <c r="H792">
        <v>0</v>
      </c>
      <c r="I792">
        <v>0</v>
      </c>
    </row>
    <row r="793" spans="1:9" x14ac:dyDescent="0.25">
      <c r="A793" s="113">
        <f t="shared" si="26"/>
        <v>67541</v>
      </c>
      <c r="B793" s="128">
        <f t="shared" si="25"/>
        <v>2084</v>
      </c>
      <c r="C793">
        <v>1.1507145913353425</v>
      </c>
      <c r="D793">
        <v>2.9293507511477581</v>
      </c>
      <c r="E793">
        <v>0</v>
      </c>
      <c r="F793">
        <v>1.0245412434740162</v>
      </c>
      <c r="G793">
        <v>347.3805868633101</v>
      </c>
      <c r="H793">
        <v>0</v>
      </c>
      <c r="I793">
        <v>0</v>
      </c>
    </row>
    <row r="794" spans="1:9" x14ac:dyDescent="0.25">
      <c r="A794" s="113">
        <f t="shared" si="26"/>
        <v>67572</v>
      </c>
      <c r="B794" s="128">
        <f t="shared" si="25"/>
        <v>2084</v>
      </c>
      <c r="C794">
        <v>1.1609926546526592</v>
      </c>
      <c r="D794">
        <v>2.9066157315236176</v>
      </c>
      <c r="E794">
        <v>0</v>
      </c>
      <c r="F794">
        <v>1.0168879205311094</v>
      </c>
      <c r="G794">
        <v>344.61807586590805</v>
      </c>
      <c r="H794">
        <v>0</v>
      </c>
      <c r="I794">
        <v>0</v>
      </c>
    </row>
    <row r="795" spans="1:9" x14ac:dyDescent="0.25">
      <c r="A795" s="113">
        <f t="shared" si="26"/>
        <v>67603</v>
      </c>
      <c r="B795" s="128">
        <f t="shared" si="25"/>
        <v>2085</v>
      </c>
      <c r="C795">
        <v>1.1300360954749713</v>
      </c>
      <c r="D795">
        <v>2.8720733996344583</v>
      </c>
      <c r="E795">
        <v>0</v>
      </c>
      <c r="F795">
        <v>1.0092539244983469</v>
      </c>
      <c r="G795">
        <v>341.86678463724991</v>
      </c>
      <c r="H795">
        <v>0</v>
      </c>
      <c r="I795">
        <v>0</v>
      </c>
    </row>
    <row r="796" spans="1:9" x14ac:dyDescent="0.25">
      <c r="A796" s="113">
        <f t="shared" si="26"/>
        <v>67631</v>
      </c>
      <c r="B796" s="128">
        <f t="shared" si="25"/>
        <v>2085</v>
      </c>
      <c r="C796">
        <v>1.1274788055792626</v>
      </c>
      <c r="D796">
        <v>2.8384056286805217</v>
      </c>
      <c r="E796">
        <v>0</v>
      </c>
      <c r="F796">
        <v>1.0017138599857596</v>
      </c>
      <c r="G796">
        <v>339.15414395416298</v>
      </c>
      <c r="H796">
        <v>0</v>
      </c>
      <c r="I796">
        <v>0</v>
      </c>
    </row>
    <row r="797" spans="1:9" x14ac:dyDescent="0.25">
      <c r="A797" s="113">
        <f t="shared" si="26"/>
        <v>67662</v>
      </c>
      <c r="B797" s="128">
        <f t="shared" si="25"/>
        <v>2085</v>
      </c>
      <c r="C797">
        <v>1.1129102302186844</v>
      </c>
      <c r="D797">
        <v>2.8055392104529293</v>
      </c>
      <c r="E797">
        <v>0</v>
      </c>
      <c r="F797">
        <v>0.99427122555575187</v>
      </c>
      <c r="G797">
        <v>336.46724374837288</v>
      </c>
      <c r="H797">
        <v>0</v>
      </c>
      <c r="I797">
        <v>0</v>
      </c>
    </row>
    <row r="798" spans="1:9" x14ac:dyDescent="0.25">
      <c r="A798" s="113">
        <f t="shared" si="26"/>
        <v>67692</v>
      </c>
      <c r="B798" s="128">
        <f t="shared" si="25"/>
        <v>2085</v>
      </c>
      <c r="C798">
        <v>1.1668632076459402</v>
      </c>
      <c r="D798">
        <v>2.7695502218176502</v>
      </c>
      <c r="E798">
        <v>0</v>
      </c>
      <c r="F798">
        <v>0.98692384930938526</v>
      </c>
      <c r="G798">
        <v>333.87763288489157</v>
      </c>
      <c r="H798">
        <v>0</v>
      </c>
      <c r="I798">
        <v>0</v>
      </c>
    </row>
    <row r="799" spans="1:9" x14ac:dyDescent="0.25">
      <c r="A799" s="113">
        <f t="shared" si="26"/>
        <v>67723</v>
      </c>
      <c r="B799" s="128">
        <f t="shared" si="25"/>
        <v>2085</v>
      </c>
      <c r="C799">
        <v>1.1555892463676782</v>
      </c>
      <c r="D799">
        <v>2.7385986738893329</v>
      </c>
      <c r="E799">
        <v>0</v>
      </c>
      <c r="F799">
        <v>0.97970553911103297</v>
      </c>
      <c r="G799">
        <v>331.31491791825891</v>
      </c>
      <c r="H799">
        <v>0</v>
      </c>
      <c r="I799">
        <v>0</v>
      </c>
    </row>
    <row r="800" spans="1:9" x14ac:dyDescent="0.25">
      <c r="A800" s="113">
        <f t="shared" si="26"/>
        <v>67753</v>
      </c>
      <c r="B800" s="128">
        <f t="shared" si="25"/>
        <v>2085</v>
      </c>
      <c r="C800">
        <v>1.1119724996833082</v>
      </c>
      <c r="D800">
        <v>2.7082524095707883</v>
      </c>
      <c r="E800">
        <v>0</v>
      </c>
      <c r="F800">
        <v>0.9725729016515563</v>
      </c>
      <c r="G800">
        <v>328.7460651067201</v>
      </c>
      <c r="H800">
        <v>0</v>
      </c>
      <c r="I800">
        <v>0</v>
      </c>
    </row>
    <row r="801" spans="1:9" x14ac:dyDescent="0.25">
      <c r="A801" s="113">
        <f t="shared" si="26"/>
        <v>67784</v>
      </c>
      <c r="B801" s="128">
        <f t="shared" si="25"/>
        <v>2085</v>
      </c>
      <c r="C801">
        <v>1.0767178467445113</v>
      </c>
      <c r="D801">
        <v>2.6785103035033302</v>
      </c>
      <c r="E801">
        <v>0</v>
      </c>
      <c r="F801">
        <v>0.96551577347922457</v>
      </c>
      <c r="G801">
        <v>326.17875687648257</v>
      </c>
      <c r="H801">
        <v>0</v>
      </c>
      <c r="I801">
        <v>0</v>
      </c>
    </row>
    <row r="802" spans="1:9" x14ac:dyDescent="0.25">
      <c r="A802" s="113">
        <f t="shared" si="26"/>
        <v>67815</v>
      </c>
      <c r="B802" s="128">
        <f t="shared" si="25"/>
        <v>2085</v>
      </c>
      <c r="C802">
        <v>1.0746538658061187</v>
      </c>
      <c r="D802">
        <v>2.7243182087393882</v>
      </c>
      <c r="E802">
        <v>0</v>
      </c>
      <c r="F802">
        <v>0.9585350600817748</v>
      </c>
      <c r="G802">
        <v>323.57055747346732</v>
      </c>
      <c r="H802">
        <v>0</v>
      </c>
      <c r="I802">
        <v>0</v>
      </c>
    </row>
    <row r="803" spans="1:9" x14ac:dyDescent="0.25">
      <c r="A803" s="113">
        <f t="shared" si="26"/>
        <v>67845</v>
      </c>
      <c r="B803" s="128">
        <f t="shared" si="25"/>
        <v>2085</v>
      </c>
      <c r="C803">
        <v>1.0809822975556325</v>
      </c>
      <c r="D803">
        <v>2.7350748110316281</v>
      </c>
      <c r="E803">
        <v>0</v>
      </c>
      <c r="F803">
        <v>0.95149151549777733</v>
      </c>
      <c r="G803">
        <v>320.96497344449278</v>
      </c>
      <c r="H803">
        <v>0</v>
      </c>
      <c r="I803">
        <v>0</v>
      </c>
    </row>
    <row r="804" spans="1:9" x14ac:dyDescent="0.25">
      <c r="A804" s="113">
        <f t="shared" si="26"/>
        <v>67876</v>
      </c>
      <c r="B804" s="128">
        <f t="shared" si="25"/>
        <v>2085</v>
      </c>
      <c r="C804">
        <v>1.1035565626537296</v>
      </c>
      <c r="D804">
        <v>2.8943982852573731</v>
      </c>
      <c r="E804">
        <v>0</v>
      </c>
      <c r="F804">
        <v>0.94440017796903764</v>
      </c>
      <c r="G804">
        <v>318.22973154392042</v>
      </c>
      <c r="H804">
        <v>0</v>
      </c>
      <c r="I804">
        <v>0</v>
      </c>
    </row>
    <row r="805" spans="1:9" x14ac:dyDescent="0.25">
      <c r="A805" s="113">
        <f t="shared" si="26"/>
        <v>67906</v>
      </c>
      <c r="B805" s="128">
        <f t="shared" si="25"/>
        <v>2085</v>
      </c>
      <c r="C805">
        <v>1.0434734144962752</v>
      </c>
      <c r="D805">
        <v>2.9368853913090645</v>
      </c>
      <c r="E805">
        <v>0</v>
      </c>
      <c r="F805">
        <v>0.93686152447064075</v>
      </c>
      <c r="G805">
        <v>315.39945804263698</v>
      </c>
      <c r="H805">
        <v>0</v>
      </c>
      <c r="I805">
        <v>0</v>
      </c>
    </row>
    <row r="806" spans="1:9" x14ac:dyDescent="0.25">
      <c r="A806" s="113">
        <f t="shared" si="26"/>
        <v>67937</v>
      </c>
      <c r="B806" s="128">
        <f t="shared" si="25"/>
        <v>2085</v>
      </c>
      <c r="C806">
        <v>1.0528825702592999</v>
      </c>
      <c r="D806">
        <v>2.8887588952028471</v>
      </c>
      <c r="E806">
        <v>0</v>
      </c>
      <c r="F806">
        <v>0.92916454632017365</v>
      </c>
      <c r="G806">
        <v>312.63441717137357</v>
      </c>
      <c r="H806">
        <v>0</v>
      </c>
      <c r="I806">
        <v>0</v>
      </c>
    </row>
    <row r="807" spans="1:9" x14ac:dyDescent="0.25">
      <c r="A807" s="113">
        <f t="shared" si="26"/>
        <v>67968</v>
      </c>
      <c r="B807" s="128">
        <f t="shared" si="25"/>
        <v>2086</v>
      </c>
      <c r="C807">
        <v>1.0227699660776868</v>
      </c>
      <c r="D807">
        <v>2.8507107716953546</v>
      </c>
      <c r="E807">
        <v>0</v>
      </c>
      <c r="F807">
        <v>0.92160673281985128</v>
      </c>
      <c r="G807">
        <v>309.88486963293599</v>
      </c>
      <c r="H807">
        <v>0</v>
      </c>
      <c r="I807">
        <v>0</v>
      </c>
    </row>
    <row r="808" spans="1:9" x14ac:dyDescent="0.25">
      <c r="A808" s="113">
        <f t="shared" si="26"/>
        <v>67996</v>
      </c>
      <c r="B808" s="128">
        <f t="shared" si="25"/>
        <v>2086</v>
      </c>
      <c r="C808">
        <v>1.0200025113386766</v>
      </c>
      <c r="D808">
        <v>2.8136839718115323</v>
      </c>
      <c r="E808">
        <v>0</v>
      </c>
      <c r="F808">
        <v>0.9141485608680272</v>
      </c>
      <c r="G808">
        <v>307.17703961159498</v>
      </c>
      <c r="H808">
        <v>0</v>
      </c>
      <c r="I808">
        <v>0</v>
      </c>
    </row>
    <row r="809" spans="1:9" x14ac:dyDescent="0.25">
      <c r="A809" s="113">
        <f t="shared" si="26"/>
        <v>68027</v>
      </c>
      <c r="B809" s="128">
        <f t="shared" si="25"/>
        <v>2086</v>
      </c>
      <c r="C809">
        <v>1.0057002580148313</v>
      </c>
      <c r="D809">
        <v>2.7776002712585703</v>
      </c>
      <c r="E809">
        <v>0</v>
      </c>
      <c r="F809">
        <v>0.90679308822431115</v>
      </c>
      <c r="G809">
        <v>304.49834651012685</v>
      </c>
      <c r="H809">
        <v>0</v>
      </c>
      <c r="I809">
        <v>0</v>
      </c>
    </row>
    <row r="810" spans="1:9" x14ac:dyDescent="0.25">
      <c r="A810" s="113">
        <f t="shared" si="26"/>
        <v>68057</v>
      </c>
      <c r="B810" s="128">
        <f t="shared" si="25"/>
        <v>2086</v>
      </c>
      <c r="C810">
        <v>1.0445922614580101</v>
      </c>
      <c r="D810">
        <v>2.7082633379311276</v>
      </c>
      <c r="E810">
        <v>0</v>
      </c>
      <c r="F810">
        <v>0.89953715503516474</v>
      </c>
      <c r="G810">
        <v>301.93513827861869</v>
      </c>
      <c r="H810">
        <v>0</v>
      </c>
      <c r="I810">
        <v>0</v>
      </c>
    </row>
    <row r="811" spans="1:9" x14ac:dyDescent="0.25">
      <c r="A811" s="113">
        <f t="shared" si="26"/>
        <v>68088</v>
      </c>
      <c r="B811" s="128">
        <f t="shared" si="25"/>
        <v>2086</v>
      </c>
      <c r="C811">
        <v>1.0462502638972064</v>
      </c>
      <c r="D811">
        <v>2.6758603290606593</v>
      </c>
      <c r="E811">
        <v>0</v>
      </c>
      <c r="F811">
        <v>0.89255197440047485</v>
      </c>
      <c r="G811">
        <v>299.41297623905473</v>
      </c>
      <c r="H811">
        <v>0</v>
      </c>
      <c r="I811">
        <v>0</v>
      </c>
    </row>
    <row r="812" spans="1:9" x14ac:dyDescent="0.25">
      <c r="A812" s="113">
        <f t="shared" si="26"/>
        <v>68118</v>
      </c>
      <c r="B812" s="128">
        <f t="shared" si="25"/>
        <v>2086</v>
      </c>
      <c r="C812">
        <v>1.0040592448524703</v>
      </c>
      <c r="D812">
        <v>2.6441175358818412</v>
      </c>
      <c r="E812">
        <v>0</v>
      </c>
      <c r="F812">
        <v>0.88565314374965098</v>
      </c>
      <c r="G812">
        <v>296.88726480427539</v>
      </c>
      <c r="H812">
        <v>0</v>
      </c>
      <c r="I812">
        <v>0</v>
      </c>
    </row>
    <row r="813" spans="1:9" x14ac:dyDescent="0.25">
      <c r="A813" s="113">
        <f t="shared" si="26"/>
        <v>68149</v>
      </c>
      <c r="B813" s="128">
        <f t="shared" si="25"/>
        <v>2086</v>
      </c>
      <c r="C813">
        <v>0.96993125464034491</v>
      </c>
      <c r="D813">
        <v>2.6130309278252017</v>
      </c>
      <c r="E813">
        <v>0</v>
      </c>
      <c r="F813">
        <v>0.87882823108982699</v>
      </c>
      <c r="G813">
        <v>294.36533690000101</v>
      </c>
      <c r="H813">
        <v>0</v>
      </c>
      <c r="I813">
        <v>0</v>
      </c>
    </row>
    <row r="814" spans="1:9" x14ac:dyDescent="0.25">
      <c r="A814" s="113">
        <f t="shared" si="26"/>
        <v>68180</v>
      </c>
      <c r="B814" s="128">
        <f t="shared" si="25"/>
        <v>2086</v>
      </c>
      <c r="C814">
        <v>0.96775311190646396</v>
      </c>
      <c r="D814">
        <v>2.5826745430896589</v>
      </c>
      <c r="E814">
        <v>0</v>
      </c>
      <c r="F814">
        <v>0.8720781673462048</v>
      </c>
      <c r="G814">
        <v>291.87833730147173</v>
      </c>
      <c r="H814">
        <v>0</v>
      </c>
      <c r="I814">
        <v>0</v>
      </c>
    </row>
    <row r="815" spans="1:9" x14ac:dyDescent="0.25">
      <c r="A815" s="113">
        <f t="shared" si="26"/>
        <v>68210</v>
      </c>
      <c r="B815" s="128">
        <f t="shared" si="25"/>
        <v>2086</v>
      </c>
      <c r="C815">
        <v>0.97395027800284051</v>
      </c>
      <c r="D815">
        <v>2.553047610775129</v>
      </c>
      <c r="E815">
        <v>0</v>
      </c>
      <c r="F815">
        <v>0.86540887220080676</v>
      </c>
      <c r="G815">
        <v>289.43383109649858</v>
      </c>
      <c r="H815">
        <v>0</v>
      </c>
      <c r="I815">
        <v>0</v>
      </c>
    </row>
    <row r="816" spans="1:9" x14ac:dyDescent="0.25">
      <c r="A816" s="113">
        <f t="shared" si="26"/>
        <v>68241</v>
      </c>
      <c r="B816" s="128">
        <f t="shared" si="25"/>
        <v>2086</v>
      </c>
      <c r="C816">
        <v>0.99052782228866865</v>
      </c>
      <c r="D816">
        <v>2.6896235489919698</v>
      </c>
      <c r="E816">
        <v>0</v>
      </c>
      <c r="F816">
        <v>0.8588212136651121</v>
      </c>
      <c r="G816">
        <v>286.87591415613031</v>
      </c>
      <c r="H816">
        <v>0</v>
      </c>
      <c r="I816">
        <v>0</v>
      </c>
    </row>
    <row r="817" spans="1:9" x14ac:dyDescent="0.25">
      <c r="A817" s="113">
        <f t="shared" si="26"/>
        <v>68271</v>
      </c>
      <c r="B817" s="128">
        <f t="shared" si="25"/>
        <v>2086</v>
      </c>
      <c r="C817">
        <v>0.93849166968801012</v>
      </c>
      <c r="D817">
        <v>2.6181292868562092</v>
      </c>
      <c r="E817">
        <v>0</v>
      </c>
      <c r="F817">
        <v>0.85189692239047299</v>
      </c>
      <c r="G817">
        <v>284.34437961657119</v>
      </c>
      <c r="H817">
        <v>0</v>
      </c>
      <c r="I817">
        <v>0</v>
      </c>
    </row>
    <row r="818" spans="1:9" x14ac:dyDescent="0.25">
      <c r="A818" s="113">
        <f t="shared" si="26"/>
        <v>68302</v>
      </c>
      <c r="B818" s="128">
        <f t="shared" si="25"/>
        <v>2086</v>
      </c>
      <c r="C818">
        <v>0.94836357030408802</v>
      </c>
      <c r="D818">
        <v>2.5896576015032404</v>
      </c>
      <c r="E818">
        <v>0</v>
      </c>
      <c r="F818">
        <v>0.84517562082877906</v>
      </c>
      <c r="G818">
        <v>281.85790996454335</v>
      </c>
      <c r="H818">
        <v>0</v>
      </c>
      <c r="I818">
        <v>0</v>
      </c>
    </row>
    <row r="819" spans="1:9" x14ac:dyDescent="0.25">
      <c r="A819" s="113">
        <f t="shared" si="26"/>
        <v>68333</v>
      </c>
      <c r="B819" s="128">
        <f t="shared" si="25"/>
        <v>2087</v>
      </c>
      <c r="C819">
        <v>0.92013876733606093</v>
      </c>
      <c r="D819">
        <v>2.5616477923808936</v>
      </c>
      <c r="E819">
        <v>0</v>
      </c>
      <c r="F819">
        <v>0.83852896609537464</v>
      </c>
      <c r="G819">
        <v>279.37787197340293</v>
      </c>
      <c r="H819">
        <v>0</v>
      </c>
      <c r="I819">
        <v>0</v>
      </c>
    </row>
    <row r="820" spans="1:9" x14ac:dyDescent="0.25">
      <c r="A820" s="113">
        <f t="shared" si="26"/>
        <v>68361</v>
      </c>
      <c r="B820" s="128">
        <f t="shared" si="25"/>
        <v>2087</v>
      </c>
      <c r="C820">
        <v>0.91819195101007856</v>
      </c>
      <c r="D820">
        <v>2.5341665760521335</v>
      </c>
      <c r="E820">
        <v>0</v>
      </c>
      <c r="F820">
        <v>0.83194784677269851</v>
      </c>
      <c r="G820">
        <v>276.92994950158857</v>
      </c>
      <c r="H820">
        <v>0</v>
      </c>
      <c r="I820">
        <v>0</v>
      </c>
    </row>
    <row r="821" spans="1:9" x14ac:dyDescent="0.25">
      <c r="A821" s="113">
        <f t="shared" si="26"/>
        <v>68392</v>
      </c>
      <c r="B821" s="128">
        <f t="shared" si="25"/>
        <v>2087</v>
      </c>
      <c r="C821">
        <v>0.90511828074439793</v>
      </c>
      <c r="D821">
        <v>2.507160932207078</v>
      </c>
      <c r="E821">
        <v>0</v>
      </c>
      <c r="F821">
        <v>0.82543673753530145</v>
      </c>
      <c r="G821">
        <v>274.50247011259046</v>
      </c>
      <c r="H821">
        <v>0</v>
      </c>
      <c r="I821">
        <v>0</v>
      </c>
    </row>
    <row r="822" spans="1:9" x14ac:dyDescent="0.25">
      <c r="A822" s="113">
        <f t="shared" si="26"/>
        <v>68422</v>
      </c>
      <c r="B822" s="128">
        <f t="shared" si="25"/>
        <v>2087</v>
      </c>
      <c r="C822">
        <v>0.94319506250529606</v>
      </c>
      <c r="D822">
        <v>2.5083305079012712</v>
      </c>
      <c r="E822">
        <v>0</v>
      </c>
      <c r="F822">
        <v>0.81899405836024941</v>
      </c>
      <c r="G822">
        <v>272.11834060883444</v>
      </c>
      <c r="H822">
        <v>0</v>
      </c>
      <c r="I822">
        <v>0</v>
      </c>
    </row>
    <row r="823" spans="1:9" x14ac:dyDescent="0.25">
      <c r="A823" s="113">
        <f t="shared" si="26"/>
        <v>68453</v>
      </c>
      <c r="B823" s="128">
        <f t="shared" si="25"/>
        <v>2087</v>
      </c>
      <c r="C823">
        <v>0.94542267929182755</v>
      </c>
      <c r="D823">
        <v>2.4810825212618481</v>
      </c>
      <c r="E823">
        <v>0</v>
      </c>
      <c r="F823">
        <v>0.81249366483957852</v>
      </c>
      <c r="G823">
        <v>269.7701871020252</v>
      </c>
      <c r="H823">
        <v>0</v>
      </c>
      <c r="I823">
        <v>0</v>
      </c>
    </row>
    <row r="824" spans="1:9" x14ac:dyDescent="0.25">
      <c r="A824" s="113">
        <f t="shared" si="26"/>
        <v>68483</v>
      </c>
      <c r="B824" s="128">
        <f t="shared" si="25"/>
        <v>2087</v>
      </c>
      <c r="C824">
        <v>0.90543816111105757</v>
      </c>
      <c r="D824">
        <v>2.4542404179046251</v>
      </c>
      <c r="E824">
        <v>0</v>
      </c>
      <c r="F824">
        <v>0.80606595085478272</v>
      </c>
      <c r="G824">
        <v>267.41531889437653</v>
      </c>
      <c r="H824">
        <v>0</v>
      </c>
      <c r="I824">
        <v>0</v>
      </c>
    </row>
    <row r="825" spans="1:9" x14ac:dyDescent="0.25">
      <c r="A825" s="113">
        <f t="shared" si="26"/>
        <v>68514</v>
      </c>
      <c r="B825" s="128">
        <f t="shared" si="25"/>
        <v>2087</v>
      </c>
      <c r="C825">
        <v>0.87318736745414938</v>
      </c>
      <c r="D825">
        <v>2.4278119054900582</v>
      </c>
      <c r="E825">
        <v>0</v>
      </c>
      <c r="F825">
        <v>0.79969955681643168</v>
      </c>
      <c r="G825">
        <v>265.060994799524</v>
      </c>
      <c r="H825">
        <v>0</v>
      </c>
      <c r="I825">
        <v>0</v>
      </c>
    </row>
    <row r="826" spans="1:9" x14ac:dyDescent="0.25">
      <c r="A826" s="113">
        <f t="shared" si="26"/>
        <v>68545</v>
      </c>
      <c r="B826" s="128">
        <f t="shared" si="25"/>
        <v>2087</v>
      </c>
      <c r="C826">
        <v>0.87165302019909108</v>
      </c>
      <c r="D826">
        <v>2.4018792469238486</v>
      </c>
      <c r="E826">
        <v>0</v>
      </c>
      <c r="F826">
        <v>0.79339595005491526</v>
      </c>
      <c r="G826">
        <v>262.73737262274426</v>
      </c>
      <c r="H826">
        <v>0</v>
      </c>
      <c r="I826">
        <v>0</v>
      </c>
    </row>
    <row r="827" spans="1:9" x14ac:dyDescent="0.25">
      <c r="A827" s="113">
        <f t="shared" si="26"/>
        <v>68575</v>
      </c>
      <c r="B827" s="128">
        <f t="shared" si="25"/>
        <v>2087</v>
      </c>
      <c r="C827">
        <v>0.87815521010905506</v>
      </c>
      <c r="D827">
        <v>2.3764522027327271</v>
      </c>
      <c r="E827">
        <v>0</v>
      </c>
      <c r="F827">
        <v>0.78716136941983417</v>
      </c>
      <c r="G827">
        <v>260.45191426070079</v>
      </c>
      <c r="H827">
        <v>0</v>
      </c>
      <c r="I827">
        <v>0</v>
      </c>
    </row>
    <row r="828" spans="1:9" x14ac:dyDescent="0.25">
      <c r="A828" s="113">
        <f t="shared" si="26"/>
        <v>68606</v>
      </c>
      <c r="B828" s="128">
        <f t="shared" si="25"/>
        <v>2087</v>
      </c>
      <c r="C828">
        <v>0.89140378575215828</v>
      </c>
      <c r="D828">
        <v>2.5170091395210328</v>
      </c>
      <c r="E828">
        <v>0</v>
      </c>
      <c r="F828">
        <v>0.78099696509416794</v>
      </c>
      <c r="G828">
        <v>258.04531194183784</v>
      </c>
      <c r="H828">
        <v>0</v>
      </c>
      <c r="I828">
        <v>0</v>
      </c>
    </row>
    <row r="829" spans="1:9" x14ac:dyDescent="0.25">
      <c r="A829" s="113">
        <f t="shared" si="26"/>
        <v>68636</v>
      </c>
      <c r="B829" s="128">
        <f t="shared" si="25"/>
        <v>2087</v>
      </c>
      <c r="C829">
        <v>0.8450440008692327</v>
      </c>
      <c r="D829">
        <v>2.5179842677242537</v>
      </c>
      <c r="E829">
        <v>0</v>
      </c>
      <c r="F829">
        <v>0.77447937842554426</v>
      </c>
      <c r="G829">
        <v>255.59789229655729</v>
      </c>
      <c r="H829">
        <v>0</v>
      </c>
      <c r="I829">
        <v>0</v>
      </c>
    </row>
    <row r="830" spans="1:9" x14ac:dyDescent="0.25">
      <c r="A830" s="113">
        <f t="shared" si="26"/>
        <v>68667</v>
      </c>
      <c r="B830" s="128">
        <f t="shared" si="25"/>
        <v>2087</v>
      </c>
      <c r="C830">
        <v>0.85471826568436482</v>
      </c>
      <c r="D830">
        <v>2.4849447574181727</v>
      </c>
      <c r="E830">
        <v>0</v>
      </c>
      <c r="F830">
        <v>0.7679212407568039</v>
      </c>
      <c r="G830">
        <v>253.19974456406663</v>
      </c>
      <c r="H830">
        <v>0</v>
      </c>
      <c r="I830">
        <v>0</v>
      </c>
    </row>
    <row r="831" spans="1:9" x14ac:dyDescent="0.25">
      <c r="A831" s="113">
        <f t="shared" si="26"/>
        <v>68698</v>
      </c>
      <c r="B831" s="128">
        <f t="shared" si="25"/>
        <v>2088</v>
      </c>
      <c r="C831">
        <v>0.8277562130477697</v>
      </c>
      <c r="D831">
        <v>2.457158119157814</v>
      </c>
      <c r="E831">
        <v>0</v>
      </c>
      <c r="F831">
        <v>0.76146503132578791</v>
      </c>
      <c r="G831">
        <v>250.80887762663082</v>
      </c>
      <c r="H831">
        <v>0</v>
      </c>
      <c r="I831">
        <v>0</v>
      </c>
    </row>
    <row r="832" spans="1:9" x14ac:dyDescent="0.25">
      <c r="A832" s="113">
        <f t="shared" si="26"/>
        <v>68727</v>
      </c>
      <c r="B832" s="128">
        <f t="shared" si="25"/>
        <v>2088</v>
      </c>
      <c r="C832">
        <v>0.82607357660229364</v>
      </c>
      <c r="D832">
        <v>2.4298738885857611</v>
      </c>
      <c r="E832">
        <v>0</v>
      </c>
      <c r="F832">
        <v>0.75507571233963144</v>
      </c>
      <c r="G832">
        <v>248.45000160230788</v>
      </c>
      <c r="H832">
        <v>0</v>
      </c>
      <c r="I832">
        <v>0</v>
      </c>
    </row>
    <row r="833" spans="1:9" x14ac:dyDescent="0.25">
      <c r="A833" s="113">
        <f t="shared" si="26"/>
        <v>68758</v>
      </c>
      <c r="B833" s="128">
        <f t="shared" si="25"/>
        <v>2088</v>
      </c>
      <c r="C833">
        <v>0.81368338217619596</v>
      </c>
      <c r="D833">
        <v>2.4030422635415616</v>
      </c>
      <c r="E833">
        <v>0</v>
      </c>
      <c r="F833">
        <v>0.74875754001946049</v>
      </c>
      <c r="G833">
        <v>246.11188518092294</v>
      </c>
      <c r="H833">
        <v>0</v>
      </c>
      <c r="I833">
        <v>0</v>
      </c>
    </row>
    <row r="834" spans="1:9" x14ac:dyDescent="0.25">
      <c r="A834" s="113">
        <f t="shared" si="26"/>
        <v>68788</v>
      </c>
      <c r="B834" s="128">
        <f t="shared" si="25"/>
        <v>2088</v>
      </c>
      <c r="C834">
        <v>0.84493292774494066</v>
      </c>
      <c r="D834">
        <v>2.3767883468431767</v>
      </c>
      <c r="E834">
        <v>0</v>
      </c>
      <c r="F834">
        <v>0.74250859673920144</v>
      </c>
      <c r="G834">
        <v>243.8375211650856</v>
      </c>
      <c r="H834">
        <v>0</v>
      </c>
      <c r="I834">
        <v>0</v>
      </c>
    </row>
    <row r="835" spans="1:9" x14ac:dyDescent="0.25">
      <c r="A835" s="113">
        <f t="shared" si="26"/>
        <v>68819</v>
      </c>
      <c r="B835" s="128">
        <f t="shared" ref="B835:B898" si="27">YEAR(A835)</f>
        <v>2088</v>
      </c>
      <c r="C835">
        <v>0.85282980389363605</v>
      </c>
      <c r="D835">
        <v>2.3510226305893416</v>
      </c>
      <c r="E835">
        <v>0</v>
      </c>
      <c r="F835">
        <v>0.73633575914004035</v>
      </c>
      <c r="G835">
        <v>241.60299257924964</v>
      </c>
      <c r="H835">
        <v>0</v>
      </c>
      <c r="I835">
        <v>0</v>
      </c>
    </row>
    <row r="836" spans="1:9" x14ac:dyDescent="0.25">
      <c r="A836" s="113">
        <f t="shared" si="26"/>
        <v>68849</v>
      </c>
      <c r="B836" s="128">
        <f t="shared" si="27"/>
        <v>2088</v>
      </c>
      <c r="C836">
        <v>0.81454265891027311</v>
      </c>
      <c r="D836">
        <v>2.3255835859429186</v>
      </c>
      <c r="E836">
        <v>0</v>
      </c>
      <c r="F836">
        <v>0.73023140199657677</v>
      </c>
      <c r="G836">
        <v>239.36172025022046</v>
      </c>
      <c r="H836">
        <v>0</v>
      </c>
      <c r="I836">
        <v>0</v>
      </c>
    </row>
    <row r="837" spans="1:9" x14ac:dyDescent="0.25">
      <c r="A837" s="113">
        <f t="shared" si="26"/>
        <v>68880</v>
      </c>
      <c r="B837" s="128">
        <f t="shared" si="27"/>
        <v>2088</v>
      </c>
      <c r="C837">
        <v>0.78369448732608582</v>
      </c>
      <c r="D837">
        <v>2.3004825164129667</v>
      </c>
      <c r="E837">
        <v>0</v>
      </c>
      <c r="F837">
        <v>0.72418366151304314</v>
      </c>
      <c r="G837">
        <v>237.12074855962052</v>
      </c>
      <c r="H837">
        <v>0</v>
      </c>
      <c r="I837">
        <v>0</v>
      </c>
    </row>
    <row r="838" spans="1:9" x14ac:dyDescent="0.25">
      <c r="A838" s="113">
        <f t="shared" si="26"/>
        <v>68911</v>
      </c>
      <c r="B838" s="128">
        <f t="shared" si="27"/>
        <v>2088</v>
      </c>
      <c r="C838">
        <v>0.78239713033124225</v>
      </c>
      <c r="D838">
        <v>2.2626118807459941</v>
      </c>
      <c r="E838">
        <v>0</v>
      </c>
      <c r="F838">
        <v>0.71819417851123613</v>
      </c>
      <c r="G838">
        <v>234.92233963069467</v>
      </c>
      <c r="H838">
        <v>0</v>
      </c>
      <c r="I838">
        <v>0</v>
      </c>
    </row>
    <row r="839" spans="1:9" x14ac:dyDescent="0.25">
      <c r="A839" s="113">
        <f t="shared" si="26"/>
        <v>68941</v>
      </c>
      <c r="B839" s="128">
        <f t="shared" si="27"/>
        <v>2088</v>
      </c>
      <c r="C839">
        <v>0.78888252045163409</v>
      </c>
      <c r="D839">
        <v>2.2314727813330193</v>
      </c>
      <c r="E839">
        <v>0</v>
      </c>
      <c r="F839">
        <v>0.71229577984156744</v>
      </c>
      <c r="G839">
        <v>232.76745358997155</v>
      </c>
      <c r="H839">
        <v>0</v>
      </c>
      <c r="I839">
        <v>0</v>
      </c>
    </row>
    <row r="840" spans="1:9" x14ac:dyDescent="0.25">
      <c r="A840" s="113">
        <f t="shared" si="26"/>
        <v>68972</v>
      </c>
      <c r="B840" s="128">
        <f t="shared" si="27"/>
        <v>2088</v>
      </c>
      <c r="C840">
        <v>0.79771423219034399</v>
      </c>
      <c r="D840">
        <v>2.3679928314758674</v>
      </c>
      <c r="E840">
        <v>0</v>
      </c>
      <c r="F840">
        <v>0.70648696970175906</v>
      </c>
      <c r="G840">
        <v>230.49068802098449</v>
      </c>
      <c r="H840">
        <v>0</v>
      </c>
      <c r="I840">
        <v>0</v>
      </c>
    </row>
    <row r="841" spans="1:9" x14ac:dyDescent="0.25">
      <c r="A841" s="113">
        <f t="shared" si="26"/>
        <v>69002</v>
      </c>
      <c r="B841" s="128">
        <f t="shared" si="27"/>
        <v>2088</v>
      </c>
      <c r="C841">
        <v>0.75753898722033575</v>
      </c>
      <c r="D841">
        <v>2.3276719480955363</v>
      </c>
      <c r="E841">
        <v>0</v>
      </c>
      <c r="F841">
        <v>0.70034003467107031</v>
      </c>
      <c r="G841">
        <v>228.22021502543814</v>
      </c>
      <c r="H841">
        <v>0</v>
      </c>
      <c r="I841">
        <v>0</v>
      </c>
    </row>
    <row r="842" spans="1:9" x14ac:dyDescent="0.25">
      <c r="A842" s="113">
        <f t="shared" si="26"/>
        <v>69033</v>
      </c>
      <c r="B842" s="128">
        <f t="shared" si="27"/>
        <v>2088</v>
      </c>
      <c r="C842">
        <v>0.76727707794651812</v>
      </c>
      <c r="D842">
        <v>2.3032800022030067</v>
      </c>
      <c r="E842">
        <v>0</v>
      </c>
      <c r="F842">
        <v>0.69429969547435888</v>
      </c>
      <c r="G842">
        <v>225.98991240570729</v>
      </c>
      <c r="H842">
        <v>0</v>
      </c>
      <c r="I842">
        <v>0</v>
      </c>
    </row>
    <row r="843" spans="1:9" x14ac:dyDescent="0.25">
      <c r="A843" s="113">
        <f t="shared" si="26"/>
        <v>69064</v>
      </c>
      <c r="B843" s="128">
        <f t="shared" si="27"/>
        <v>2089</v>
      </c>
      <c r="C843">
        <v>0.74173609830561626</v>
      </c>
      <c r="D843">
        <v>2.2791345516569907</v>
      </c>
      <c r="E843">
        <v>0</v>
      </c>
      <c r="F843">
        <v>0.68832253437198676</v>
      </c>
      <c r="G843">
        <v>223.76419141798394</v>
      </c>
      <c r="H843">
        <v>0</v>
      </c>
      <c r="I843">
        <v>0</v>
      </c>
    </row>
    <row r="844" spans="1:9" x14ac:dyDescent="0.25">
      <c r="A844" s="113">
        <f t="shared" ref="A844:A907" si="28">DATE(YEAR(A843),MONTH(A843)+2,1)-1</f>
        <v>69092</v>
      </c>
      <c r="B844" s="128">
        <f t="shared" si="27"/>
        <v>2089</v>
      </c>
      <c r="C844">
        <v>0.74050452148000978</v>
      </c>
      <c r="D844">
        <v>2.2553077752962509</v>
      </c>
      <c r="E844">
        <v>0</v>
      </c>
      <c r="F844">
        <v>0.68240064427615255</v>
      </c>
      <c r="G844">
        <v>221.56698751989148</v>
      </c>
      <c r="H844">
        <v>0</v>
      </c>
      <c r="I844">
        <v>0</v>
      </c>
    </row>
    <row r="845" spans="1:9" x14ac:dyDescent="0.25">
      <c r="A845" s="113">
        <f t="shared" si="28"/>
        <v>69123</v>
      </c>
      <c r="B845" s="128">
        <f t="shared" si="27"/>
        <v>2089</v>
      </c>
      <c r="C845">
        <v>0.72895993301552653</v>
      </c>
      <c r="D845">
        <v>2.2317605009338872</v>
      </c>
      <c r="E845">
        <v>0</v>
      </c>
      <c r="F845">
        <v>0.67653866500446147</v>
      </c>
      <c r="G845">
        <v>219.38764828696864</v>
      </c>
      <c r="H845">
        <v>0</v>
      </c>
      <c r="I845">
        <v>0</v>
      </c>
    </row>
    <row r="846" spans="1:9" x14ac:dyDescent="0.25">
      <c r="A846" s="113">
        <f t="shared" si="28"/>
        <v>69153</v>
      </c>
      <c r="B846" s="128">
        <f t="shared" si="27"/>
        <v>2089</v>
      </c>
      <c r="C846">
        <v>0.75626791057331288</v>
      </c>
      <c r="D846">
        <v>2.2086115889606375</v>
      </c>
      <c r="E846">
        <v>0</v>
      </c>
      <c r="F846">
        <v>0.67073507346739969</v>
      </c>
      <c r="G846">
        <v>217.26456953511394</v>
      </c>
      <c r="H846">
        <v>0</v>
      </c>
      <c r="I846">
        <v>0</v>
      </c>
    </row>
    <row r="847" spans="1:9" x14ac:dyDescent="0.25">
      <c r="A847" s="113">
        <f t="shared" si="28"/>
        <v>69184</v>
      </c>
      <c r="B847" s="128">
        <f t="shared" si="27"/>
        <v>2089</v>
      </c>
      <c r="C847">
        <v>0.76734337869075053</v>
      </c>
      <c r="D847">
        <v>2.1858029291513796</v>
      </c>
      <c r="E847">
        <v>0</v>
      </c>
      <c r="F847">
        <v>0.66499674809373566</v>
      </c>
      <c r="G847">
        <v>215.1811132365597</v>
      </c>
      <c r="H847">
        <v>0</v>
      </c>
      <c r="I847">
        <v>0</v>
      </c>
    </row>
    <row r="848" spans="1:9" x14ac:dyDescent="0.25">
      <c r="A848" s="113">
        <f t="shared" si="28"/>
        <v>69214</v>
      </c>
      <c r="B848" s="128">
        <f t="shared" si="27"/>
        <v>2089</v>
      </c>
      <c r="C848">
        <v>0.73085311869155833</v>
      </c>
      <c r="D848">
        <v>2.1631763361842307</v>
      </c>
      <c r="E848">
        <v>0</v>
      </c>
      <c r="F848">
        <v>0.65931790092487896</v>
      </c>
      <c r="G848">
        <v>213.08947211814223</v>
      </c>
      <c r="H848">
        <v>0</v>
      </c>
      <c r="I848">
        <v>0</v>
      </c>
    </row>
    <row r="849" spans="1:9" x14ac:dyDescent="0.25">
      <c r="A849" s="113">
        <f t="shared" si="28"/>
        <v>69245</v>
      </c>
      <c r="B849" s="128">
        <f t="shared" si="27"/>
        <v>2089</v>
      </c>
      <c r="C849">
        <v>0.7015109207762088</v>
      </c>
      <c r="D849">
        <v>2.1407498399192999</v>
      </c>
      <c r="E849">
        <v>0</v>
      </c>
      <c r="F849">
        <v>0.65368690021503795</v>
      </c>
      <c r="G849">
        <v>210.9965462987839</v>
      </c>
      <c r="H849">
        <v>0</v>
      </c>
      <c r="I849">
        <v>0</v>
      </c>
    </row>
    <row r="850" spans="1:9" x14ac:dyDescent="0.25">
      <c r="A850" s="113">
        <f t="shared" si="28"/>
        <v>69276</v>
      </c>
      <c r="B850" s="128">
        <f t="shared" si="27"/>
        <v>2089</v>
      </c>
      <c r="C850">
        <v>0.70059108940453396</v>
      </c>
      <c r="D850">
        <v>2.1186099419052193</v>
      </c>
      <c r="E850">
        <v>0</v>
      </c>
      <c r="F850">
        <v>0.64810574423753664</v>
      </c>
      <c r="G850">
        <v>208.93042170204581</v>
      </c>
      <c r="H850">
        <v>0</v>
      </c>
      <c r="I850">
        <v>0</v>
      </c>
    </row>
    <row r="851" spans="1:9" x14ac:dyDescent="0.25">
      <c r="A851" s="113">
        <f t="shared" si="28"/>
        <v>69306</v>
      </c>
      <c r="B851" s="128">
        <f t="shared" si="27"/>
        <v>2089</v>
      </c>
      <c r="C851">
        <v>0.70710089947422838</v>
      </c>
      <c r="D851">
        <v>2.0967755192151758</v>
      </c>
      <c r="E851">
        <v>0</v>
      </c>
      <c r="F851">
        <v>0.64258081414966783</v>
      </c>
      <c r="G851">
        <v>206.89816626815494</v>
      </c>
      <c r="H851">
        <v>0</v>
      </c>
      <c r="I851">
        <v>0</v>
      </c>
    </row>
    <row r="852" spans="1:9" x14ac:dyDescent="0.25">
      <c r="A852" s="113">
        <f t="shared" si="28"/>
        <v>69337</v>
      </c>
      <c r="B852" s="128">
        <f t="shared" si="27"/>
        <v>2089</v>
      </c>
      <c r="C852">
        <v>0.71349635427769031</v>
      </c>
      <c r="D852">
        <v>2.2369168494314713</v>
      </c>
      <c r="E852">
        <v>0</v>
      </c>
      <c r="F852">
        <v>0.63711335110028722</v>
      </c>
      <c r="G852">
        <v>204.73763242190105</v>
      </c>
      <c r="H852">
        <v>0</v>
      </c>
      <c r="I852">
        <v>0</v>
      </c>
    </row>
    <row r="853" spans="1:9" x14ac:dyDescent="0.25">
      <c r="A853" s="113">
        <f t="shared" si="28"/>
        <v>69367</v>
      </c>
      <c r="B853" s="128">
        <f t="shared" si="27"/>
        <v>2089</v>
      </c>
      <c r="C853">
        <v>0.67738630853796922</v>
      </c>
      <c r="D853">
        <v>2.2121942865979118</v>
      </c>
      <c r="E853">
        <v>0</v>
      </c>
      <c r="F853">
        <v>0.63127942498234146</v>
      </c>
      <c r="G853">
        <v>202.57154501885893</v>
      </c>
      <c r="H853">
        <v>0</v>
      </c>
      <c r="I853">
        <v>0</v>
      </c>
    </row>
    <row r="854" spans="1:9" x14ac:dyDescent="0.25">
      <c r="A854" s="113">
        <f t="shared" si="28"/>
        <v>69398</v>
      </c>
      <c r="B854" s="128">
        <f t="shared" si="27"/>
        <v>2089</v>
      </c>
      <c r="C854">
        <v>0.68690178267362878</v>
      </c>
      <c r="D854">
        <v>2.1878268983252731</v>
      </c>
      <c r="E854">
        <v>0</v>
      </c>
      <c r="F854">
        <v>0.62550018375862049</v>
      </c>
      <c r="G854">
        <v>200.4451197194486</v>
      </c>
      <c r="H854">
        <v>0</v>
      </c>
      <c r="I854">
        <v>0</v>
      </c>
    </row>
    <row r="855" spans="1:9" x14ac:dyDescent="0.25">
      <c r="A855" s="113">
        <f t="shared" si="28"/>
        <v>69429</v>
      </c>
      <c r="B855" s="128">
        <f t="shared" si="27"/>
        <v>2090</v>
      </c>
      <c r="C855">
        <v>0.66247699248904146</v>
      </c>
      <c r="D855">
        <v>2.1637002455254106</v>
      </c>
      <c r="E855">
        <v>0</v>
      </c>
      <c r="F855">
        <v>0.61978370674089978</v>
      </c>
      <c r="G855">
        <v>198.32411275967121</v>
      </c>
      <c r="H855">
        <v>0</v>
      </c>
      <c r="I855">
        <v>0</v>
      </c>
    </row>
    <row r="856" spans="1:9" x14ac:dyDescent="0.25">
      <c r="A856" s="113">
        <f t="shared" si="28"/>
        <v>69457</v>
      </c>
      <c r="B856" s="128">
        <f t="shared" si="27"/>
        <v>2090</v>
      </c>
      <c r="C856">
        <v>0.66144200617379323</v>
      </c>
      <c r="D856">
        <v>2.1398846656120321</v>
      </c>
      <c r="E856">
        <v>0</v>
      </c>
      <c r="F856">
        <v>0.61412241481169272</v>
      </c>
      <c r="G856">
        <v>196.23154768542145</v>
      </c>
      <c r="H856">
        <v>0</v>
      </c>
      <c r="I856">
        <v>0</v>
      </c>
    </row>
    <row r="857" spans="1:9" x14ac:dyDescent="0.25">
      <c r="A857" s="113">
        <f t="shared" si="28"/>
        <v>69488</v>
      </c>
      <c r="B857" s="128">
        <f t="shared" si="27"/>
        <v>2090</v>
      </c>
      <c r="C857">
        <v>0.65048659427833577</v>
      </c>
      <c r="D857">
        <v>2.1163433049606346</v>
      </c>
      <c r="E857">
        <v>0</v>
      </c>
      <c r="F857">
        <v>0.60852079624657185</v>
      </c>
      <c r="G857">
        <v>194.15717017849241</v>
      </c>
      <c r="H857">
        <v>0</v>
      </c>
      <c r="I857">
        <v>0</v>
      </c>
    </row>
    <row r="858" spans="1:9" x14ac:dyDescent="0.25">
      <c r="A858" s="113">
        <f t="shared" si="28"/>
        <v>69518</v>
      </c>
      <c r="B858" s="128">
        <f t="shared" si="27"/>
        <v>2090</v>
      </c>
      <c r="C858">
        <v>0.67516238606766898</v>
      </c>
      <c r="D858">
        <v>2.0883315674326535</v>
      </c>
      <c r="E858">
        <v>0</v>
      </c>
      <c r="F858">
        <v>0.6029772966350937</v>
      </c>
      <c r="G858">
        <v>192.14102370049241</v>
      </c>
      <c r="H858">
        <v>0</v>
      </c>
      <c r="I858">
        <v>0</v>
      </c>
    </row>
    <row r="859" spans="1:9" x14ac:dyDescent="0.25">
      <c r="A859" s="113">
        <f t="shared" si="28"/>
        <v>69549</v>
      </c>
      <c r="B859" s="128">
        <f t="shared" si="27"/>
        <v>2090</v>
      </c>
      <c r="C859">
        <v>0.68772371925170206</v>
      </c>
      <c r="D859">
        <v>2.0657537713350647</v>
      </c>
      <c r="E859">
        <v>0</v>
      </c>
      <c r="F859">
        <v>0.59752292561069864</v>
      </c>
      <c r="G859">
        <v>190.16547072279818</v>
      </c>
      <c r="H859">
        <v>0</v>
      </c>
      <c r="I859">
        <v>0</v>
      </c>
    </row>
    <row r="860" spans="1:9" x14ac:dyDescent="0.25">
      <c r="A860" s="113">
        <f t="shared" si="28"/>
        <v>69579</v>
      </c>
      <c r="B860" s="128">
        <f t="shared" si="27"/>
        <v>2090</v>
      </c>
      <c r="C860">
        <v>0.65277319462747851</v>
      </c>
      <c r="D860">
        <v>2.0433472013926286</v>
      </c>
      <c r="E860">
        <v>0</v>
      </c>
      <c r="F860">
        <v>0.59212703975693404</v>
      </c>
      <c r="G860">
        <v>188.18276967627622</v>
      </c>
      <c r="H860">
        <v>0</v>
      </c>
      <c r="I860">
        <v>0</v>
      </c>
    </row>
    <row r="861" spans="1:9" x14ac:dyDescent="0.25">
      <c r="A861" s="113">
        <f t="shared" si="28"/>
        <v>69610</v>
      </c>
      <c r="B861" s="128">
        <f t="shared" si="27"/>
        <v>2090</v>
      </c>
      <c r="C861">
        <v>0.62470150235315391</v>
      </c>
      <c r="D861">
        <v>2.0211303669139005</v>
      </c>
      <c r="E861">
        <v>0</v>
      </c>
      <c r="F861">
        <v>0.58677814409328477</v>
      </c>
      <c r="G861">
        <v>186.19956266762233</v>
      </c>
      <c r="H861">
        <v>0</v>
      </c>
      <c r="I861">
        <v>0</v>
      </c>
    </row>
    <row r="862" spans="1:9" x14ac:dyDescent="0.25">
      <c r="A862" s="113">
        <f t="shared" si="28"/>
        <v>69641</v>
      </c>
      <c r="B862" s="128">
        <f t="shared" si="27"/>
        <v>2090</v>
      </c>
      <c r="C862">
        <v>0.62397663546801052</v>
      </c>
      <c r="D862">
        <v>1.9991875821450669</v>
      </c>
      <c r="E862">
        <v>0</v>
      </c>
      <c r="F862">
        <v>0.58147822151710415</v>
      </c>
      <c r="G862">
        <v>184.24287349942816</v>
      </c>
      <c r="H862">
        <v>0</v>
      </c>
      <c r="I862">
        <v>0</v>
      </c>
    </row>
    <row r="863" spans="1:9" x14ac:dyDescent="0.25">
      <c r="A863" s="113">
        <f t="shared" si="28"/>
        <v>69671</v>
      </c>
      <c r="B863" s="128">
        <f t="shared" si="27"/>
        <v>2090</v>
      </c>
      <c r="C863">
        <v>0.63040147614531561</v>
      </c>
      <c r="D863">
        <v>1.9775380317768068</v>
      </c>
      <c r="E863">
        <v>0</v>
      </c>
      <c r="F863">
        <v>0.57623346646361251</v>
      </c>
      <c r="G863">
        <v>182.31950347733297</v>
      </c>
      <c r="H863">
        <v>0</v>
      </c>
      <c r="I863">
        <v>0</v>
      </c>
    </row>
    <row r="864" spans="1:9" x14ac:dyDescent="0.25">
      <c r="A864" s="113">
        <f t="shared" si="28"/>
        <v>69702</v>
      </c>
      <c r="B864" s="128">
        <f t="shared" si="27"/>
        <v>2090</v>
      </c>
      <c r="C864">
        <v>0.63597461118325072</v>
      </c>
      <c r="D864">
        <v>2.1136283689582758</v>
      </c>
      <c r="E864">
        <v>0</v>
      </c>
      <c r="F864">
        <v>0.5710450766759817</v>
      </c>
      <c r="G864">
        <v>180.27080464288179</v>
      </c>
      <c r="H864">
        <v>0</v>
      </c>
      <c r="I864">
        <v>0</v>
      </c>
    </row>
    <row r="865" spans="1:9" x14ac:dyDescent="0.25">
      <c r="A865" s="113">
        <f t="shared" si="28"/>
        <v>69732</v>
      </c>
      <c r="B865" s="128">
        <f t="shared" si="27"/>
        <v>2090</v>
      </c>
      <c r="C865">
        <v>0.60213641215169844</v>
      </c>
      <c r="D865">
        <v>2.0820642457288985</v>
      </c>
      <c r="E865">
        <v>0</v>
      </c>
      <c r="F865">
        <v>0.56549503048900707</v>
      </c>
      <c r="G865">
        <v>178.225381778816</v>
      </c>
      <c r="H865">
        <v>0</v>
      </c>
      <c r="I865">
        <v>0</v>
      </c>
    </row>
    <row r="866" spans="1:9" x14ac:dyDescent="0.25">
      <c r="A866" s="113">
        <f t="shared" si="28"/>
        <v>69763</v>
      </c>
      <c r="B866" s="128">
        <f t="shared" si="27"/>
        <v>2090</v>
      </c>
      <c r="C866">
        <v>0.61148283273383719</v>
      </c>
      <c r="D866">
        <v>2.0580276254305332</v>
      </c>
      <c r="E866">
        <v>0</v>
      </c>
      <c r="F866">
        <v>0.56002342424681806</v>
      </c>
      <c r="G866">
        <v>176.21881356187228</v>
      </c>
      <c r="H866">
        <v>0</v>
      </c>
      <c r="I866">
        <v>0</v>
      </c>
    </row>
    <row r="867" spans="1:9" x14ac:dyDescent="0.25">
      <c r="A867" s="113">
        <f t="shared" si="28"/>
        <v>69794</v>
      </c>
      <c r="B867" s="128">
        <f t="shared" si="27"/>
        <v>2091</v>
      </c>
      <c r="C867">
        <v>0.58817617961859281</v>
      </c>
      <c r="D867">
        <v>2.0342184446907265</v>
      </c>
      <c r="E867">
        <v>0</v>
      </c>
      <c r="F867">
        <v>0.55461316101679936</v>
      </c>
      <c r="G867">
        <v>174.2181581357832</v>
      </c>
      <c r="H867">
        <v>0</v>
      </c>
      <c r="I867">
        <v>0</v>
      </c>
    </row>
    <row r="868" spans="1:9" x14ac:dyDescent="0.25">
      <c r="A868" s="113">
        <f t="shared" si="28"/>
        <v>69822</v>
      </c>
      <c r="B868" s="128">
        <f t="shared" si="27"/>
        <v>2091</v>
      </c>
      <c r="C868">
        <v>0.58737373314680241</v>
      </c>
      <c r="D868">
        <v>2.0107056641745435</v>
      </c>
      <c r="E868">
        <v>0</v>
      </c>
      <c r="F868">
        <v>0.54925701131896132</v>
      </c>
      <c r="G868">
        <v>172.24556919343661</v>
      </c>
      <c r="H868">
        <v>0</v>
      </c>
      <c r="I868">
        <v>0</v>
      </c>
    </row>
    <row r="869" spans="1:9" x14ac:dyDescent="0.25">
      <c r="A869" s="113">
        <f t="shared" si="28"/>
        <v>69853</v>
      </c>
      <c r="B869" s="128">
        <f t="shared" si="27"/>
        <v>2091</v>
      </c>
      <c r="C869">
        <v>0.57702773949327135</v>
      </c>
      <c r="D869">
        <v>1.987455034617744</v>
      </c>
      <c r="E869">
        <v>0</v>
      </c>
      <c r="F869">
        <v>0.54395934999294049</v>
      </c>
      <c r="G869">
        <v>170.2911825483192</v>
      </c>
      <c r="H869">
        <v>0</v>
      </c>
      <c r="I869">
        <v>0</v>
      </c>
    </row>
    <row r="870" spans="1:9" x14ac:dyDescent="0.25">
      <c r="A870" s="113">
        <f t="shared" si="28"/>
        <v>69883</v>
      </c>
      <c r="B870" s="128">
        <f t="shared" si="27"/>
        <v>2091</v>
      </c>
      <c r="C870">
        <v>0.60096343553034193</v>
      </c>
      <c r="D870">
        <v>1.9645733267030456</v>
      </c>
      <c r="E870">
        <v>0</v>
      </c>
      <c r="F870">
        <v>0.53871873280317895</v>
      </c>
      <c r="G870">
        <v>168.38885392434338</v>
      </c>
      <c r="H870">
        <v>0</v>
      </c>
      <c r="I870">
        <v>0</v>
      </c>
    </row>
    <row r="871" spans="1:9" x14ac:dyDescent="0.25">
      <c r="A871" s="113">
        <f t="shared" si="28"/>
        <v>69914</v>
      </c>
      <c r="B871" s="128">
        <f t="shared" si="27"/>
        <v>2091</v>
      </c>
      <c r="C871">
        <v>0.61324473057713724</v>
      </c>
      <c r="D871">
        <v>1.9420193339810312</v>
      </c>
      <c r="E871">
        <v>0</v>
      </c>
      <c r="F871">
        <v>0.53354149410475271</v>
      </c>
      <c r="G871">
        <v>166.52653782683453</v>
      </c>
      <c r="H871">
        <v>0</v>
      </c>
      <c r="I871">
        <v>0</v>
      </c>
    </row>
    <row r="872" spans="1:9" x14ac:dyDescent="0.25">
      <c r="A872" s="113">
        <f t="shared" si="28"/>
        <v>69944</v>
      </c>
      <c r="B872" s="128">
        <f t="shared" si="27"/>
        <v>2091</v>
      </c>
      <c r="C872">
        <v>0.57981579473305711</v>
      </c>
      <c r="D872">
        <v>1.9196425380324369</v>
      </c>
      <c r="E872">
        <v>0</v>
      </c>
      <c r="F872">
        <v>0.52842288483778233</v>
      </c>
      <c r="G872">
        <v>164.65828819869765</v>
      </c>
      <c r="H872">
        <v>0</v>
      </c>
      <c r="I872">
        <v>0</v>
      </c>
    </row>
    <row r="873" spans="1:9" x14ac:dyDescent="0.25">
      <c r="A873" s="113">
        <f t="shared" si="28"/>
        <v>69975</v>
      </c>
      <c r="B873" s="128">
        <f t="shared" si="27"/>
        <v>2091</v>
      </c>
      <c r="C873">
        <v>0.553005915937268</v>
      </c>
      <c r="D873">
        <v>1.8974611498623535</v>
      </c>
      <c r="E873">
        <v>0</v>
      </c>
      <c r="F873">
        <v>0.52335182928660684</v>
      </c>
      <c r="G873">
        <v>162.79048113548583</v>
      </c>
      <c r="H873">
        <v>0</v>
      </c>
      <c r="I873">
        <v>0</v>
      </c>
    </row>
    <row r="874" spans="1:9" x14ac:dyDescent="0.25">
      <c r="A874" s="113">
        <f t="shared" si="28"/>
        <v>70006</v>
      </c>
      <c r="B874" s="128">
        <f t="shared" si="27"/>
        <v>2091</v>
      </c>
      <c r="C874">
        <v>0.55250735248725624</v>
      </c>
      <c r="D874">
        <v>1.8755566533857346</v>
      </c>
      <c r="E874">
        <v>0</v>
      </c>
      <c r="F874">
        <v>0.51833021696115822</v>
      </c>
      <c r="G874">
        <v>160.94910161762593</v>
      </c>
      <c r="H874">
        <v>0</v>
      </c>
      <c r="I874">
        <v>0</v>
      </c>
    </row>
    <row r="875" spans="1:9" x14ac:dyDescent="0.25">
      <c r="A875" s="113">
        <f t="shared" si="28"/>
        <v>70036</v>
      </c>
      <c r="B875" s="128">
        <f t="shared" si="27"/>
        <v>2091</v>
      </c>
      <c r="C875">
        <v>0.55888845695375722</v>
      </c>
      <c r="D875">
        <v>1.8539478354450123</v>
      </c>
      <c r="E875">
        <v>0</v>
      </c>
      <c r="F875">
        <v>0.51336398758067925</v>
      </c>
      <c r="G875">
        <v>159.14067825155414</v>
      </c>
      <c r="H875">
        <v>0</v>
      </c>
      <c r="I875">
        <v>0</v>
      </c>
    </row>
    <row r="876" spans="1:9" x14ac:dyDescent="0.25">
      <c r="A876" s="113">
        <f t="shared" si="28"/>
        <v>70067</v>
      </c>
      <c r="B876" s="128">
        <f t="shared" si="27"/>
        <v>2091</v>
      </c>
      <c r="C876">
        <v>0.56445106693625102</v>
      </c>
      <c r="D876">
        <v>1.9841452290766015</v>
      </c>
      <c r="E876">
        <v>0</v>
      </c>
      <c r="F876">
        <v>0.50845427195852766</v>
      </c>
      <c r="G876">
        <v>157.21252981745511</v>
      </c>
      <c r="H876">
        <v>0</v>
      </c>
      <c r="I876">
        <v>0</v>
      </c>
    </row>
    <row r="877" spans="1:9" x14ac:dyDescent="0.25">
      <c r="A877" s="113">
        <f t="shared" si="28"/>
        <v>70097</v>
      </c>
      <c r="B877" s="128">
        <f t="shared" si="27"/>
        <v>2091</v>
      </c>
      <c r="C877">
        <v>0.53209687060330368</v>
      </c>
      <c r="D877">
        <v>1.9593235586856239</v>
      </c>
      <c r="E877">
        <v>0</v>
      </c>
      <c r="F877">
        <v>0.50319370711503886</v>
      </c>
      <c r="G877">
        <v>155.28210942225775</v>
      </c>
      <c r="H877">
        <v>0</v>
      </c>
      <c r="I877">
        <v>0</v>
      </c>
    </row>
    <row r="878" spans="1:9" x14ac:dyDescent="0.25">
      <c r="A878" s="113">
        <f t="shared" si="28"/>
        <v>70128</v>
      </c>
      <c r="B878" s="128">
        <f t="shared" si="27"/>
        <v>2091</v>
      </c>
      <c r="C878">
        <v>0.54126410072183384</v>
      </c>
      <c r="D878">
        <v>1.9348655592761757</v>
      </c>
      <c r="E878">
        <v>0</v>
      </c>
      <c r="F878">
        <v>0.49798899549122055</v>
      </c>
      <c r="G878">
        <v>153.39051896821223</v>
      </c>
      <c r="H878">
        <v>0</v>
      </c>
      <c r="I878">
        <v>0</v>
      </c>
    </row>
    <row r="879" spans="1:9" x14ac:dyDescent="0.25">
      <c r="A879" s="113">
        <f t="shared" si="28"/>
        <v>70159</v>
      </c>
      <c r="B879" s="128">
        <f t="shared" si="27"/>
        <v>2092</v>
      </c>
      <c r="C879">
        <v>0.51901883347060518</v>
      </c>
      <c r="D879">
        <v>1.9106658420421867</v>
      </c>
      <c r="E879">
        <v>0</v>
      </c>
      <c r="F879">
        <v>0.49284742559369071</v>
      </c>
      <c r="G879">
        <v>151.50602453404701</v>
      </c>
      <c r="H879">
        <v>0</v>
      </c>
      <c r="I879">
        <v>0</v>
      </c>
    </row>
    <row r="880" spans="1:9" x14ac:dyDescent="0.25">
      <c r="A880" s="113">
        <f t="shared" si="28"/>
        <v>70188</v>
      </c>
      <c r="B880" s="128">
        <f t="shared" si="27"/>
        <v>2092</v>
      </c>
      <c r="C880">
        <v>0.51842778491312369</v>
      </c>
      <c r="D880">
        <v>1.8867899846434271</v>
      </c>
      <c r="E880">
        <v>0</v>
      </c>
      <c r="F880">
        <v>0.48776193908531218</v>
      </c>
      <c r="G880">
        <v>149.64990039523153</v>
      </c>
      <c r="H880">
        <v>0</v>
      </c>
      <c r="I880">
        <v>0</v>
      </c>
    </row>
    <row r="881" spans="1:9" x14ac:dyDescent="0.25">
      <c r="A881" s="113">
        <f t="shared" si="28"/>
        <v>70219</v>
      </c>
      <c r="B881" s="128">
        <f t="shared" si="27"/>
        <v>2092</v>
      </c>
      <c r="C881">
        <v>0.50865770985891567</v>
      </c>
      <c r="D881">
        <v>1.8632042794251831</v>
      </c>
      <c r="E881">
        <v>0</v>
      </c>
      <c r="F881">
        <v>0.48273664396418531</v>
      </c>
      <c r="G881">
        <v>147.812617181701</v>
      </c>
      <c r="H881">
        <v>0</v>
      </c>
      <c r="I881">
        <v>0</v>
      </c>
    </row>
    <row r="882" spans="1:9" x14ac:dyDescent="0.25">
      <c r="A882" s="113">
        <f t="shared" si="28"/>
        <v>70249</v>
      </c>
      <c r="B882" s="128">
        <f t="shared" si="27"/>
        <v>2092</v>
      </c>
      <c r="C882">
        <v>0.5318727695478922</v>
      </c>
      <c r="D882">
        <v>1.8400107067798044</v>
      </c>
      <c r="E882">
        <v>0</v>
      </c>
      <c r="F882">
        <v>0.47777005148727042</v>
      </c>
      <c r="G882">
        <v>146.02670919298183</v>
      </c>
      <c r="H882">
        <v>0</v>
      </c>
      <c r="I882">
        <v>0</v>
      </c>
    </row>
    <row r="883" spans="1:9" x14ac:dyDescent="0.25">
      <c r="A883" s="113">
        <f t="shared" si="28"/>
        <v>70280</v>
      </c>
      <c r="B883" s="128">
        <f t="shared" si="27"/>
        <v>2092</v>
      </c>
      <c r="C883">
        <v>0.54387775402502492</v>
      </c>
      <c r="D883">
        <v>1.8171688908575243</v>
      </c>
      <c r="E883">
        <v>0</v>
      </c>
      <c r="F883">
        <v>0.47286815845688013</v>
      </c>
      <c r="G883">
        <v>144.28054989769245</v>
      </c>
      <c r="H883">
        <v>0</v>
      </c>
      <c r="I883">
        <v>0</v>
      </c>
    </row>
    <row r="884" spans="1:9" x14ac:dyDescent="0.25">
      <c r="A884" s="113">
        <f t="shared" si="28"/>
        <v>70310</v>
      </c>
      <c r="B884" s="128">
        <f t="shared" si="27"/>
        <v>2092</v>
      </c>
      <c r="C884">
        <v>0.51190745424030049</v>
      </c>
      <c r="D884">
        <v>1.7945332991226846</v>
      </c>
      <c r="E884">
        <v>0</v>
      </c>
      <c r="F884">
        <v>0.46802630005769735</v>
      </c>
      <c r="G884">
        <v>142.5298977527523</v>
      </c>
      <c r="H884">
        <v>0</v>
      </c>
      <c r="I884">
        <v>0</v>
      </c>
    </row>
    <row r="885" spans="1:9" x14ac:dyDescent="0.25">
      <c r="A885" s="113">
        <f t="shared" si="28"/>
        <v>70341</v>
      </c>
      <c r="B885" s="128">
        <f t="shared" si="27"/>
        <v>2092</v>
      </c>
      <c r="C885">
        <v>0.48630778499054206</v>
      </c>
      <c r="D885">
        <v>1.7721207457856378</v>
      </c>
      <c r="E885">
        <v>0</v>
      </c>
      <c r="F885">
        <v>0.46323372630776788</v>
      </c>
      <c r="G885">
        <v>140.78085106564953</v>
      </c>
      <c r="H885">
        <v>0</v>
      </c>
      <c r="I885">
        <v>0</v>
      </c>
    </row>
    <row r="886" spans="1:9" x14ac:dyDescent="0.25">
      <c r="A886" s="113">
        <f t="shared" si="28"/>
        <v>70372</v>
      </c>
      <c r="B886" s="128">
        <f t="shared" si="27"/>
        <v>2092</v>
      </c>
      <c r="C886">
        <v>0.48602457679294897</v>
      </c>
      <c r="D886">
        <v>1.7500089318995404</v>
      </c>
      <c r="E886">
        <v>0</v>
      </c>
      <c r="F886">
        <v>0.45849216275095855</v>
      </c>
      <c r="G886">
        <v>139.05837454779183</v>
      </c>
      <c r="H886">
        <v>0</v>
      </c>
      <c r="I886">
        <v>0</v>
      </c>
    </row>
    <row r="887" spans="1:9" x14ac:dyDescent="0.25">
      <c r="A887" s="113">
        <f t="shared" si="28"/>
        <v>70402</v>
      </c>
      <c r="B887" s="128">
        <f t="shared" si="27"/>
        <v>2092</v>
      </c>
      <c r="C887">
        <v>0.49236255236965609</v>
      </c>
      <c r="D887">
        <v>1.7282152494525771</v>
      </c>
      <c r="E887">
        <v>0</v>
      </c>
      <c r="F887">
        <v>0.4538072332935556</v>
      </c>
      <c r="G887">
        <v>137.36871461741543</v>
      </c>
      <c r="H887">
        <v>0</v>
      </c>
      <c r="I887">
        <v>0</v>
      </c>
    </row>
    <row r="888" spans="1:9" x14ac:dyDescent="0.25">
      <c r="A888" s="113">
        <f t="shared" si="28"/>
        <v>70433</v>
      </c>
      <c r="B888" s="128">
        <f t="shared" si="27"/>
        <v>2092</v>
      </c>
      <c r="C888">
        <v>0.49791522226014706</v>
      </c>
      <c r="D888">
        <v>1.8505880655801281</v>
      </c>
      <c r="E888">
        <v>0</v>
      </c>
      <c r="F888">
        <v>0.44917993682369317</v>
      </c>
      <c r="G888">
        <v>135.56686183727177</v>
      </c>
      <c r="H888">
        <v>0</v>
      </c>
      <c r="I888">
        <v>0</v>
      </c>
    </row>
    <row r="889" spans="1:9" x14ac:dyDescent="0.25">
      <c r="A889" s="113">
        <f t="shared" si="28"/>
        <v>70463</v>
      </c>
      <c r="B889" s="128">
        <f t="shared" si="27"/>
        <v>2092</v>
      </c>
      <c r="C889">
        <v>0.46699527273848523</v>
      </c>
      <c r="D889">
        <v>1.8255206541701867</v>
      </c>
      <c r="E889">
        <v>0</v>
      </c>
      <c r="F889">
        <v>0.44421850777118743</v>
      </c>
      <c r="G889">
        <v>133.76411794806884</v>
      </c>
      <c r="H889">
        <v>0</v>
      </c>
      <c r="I889">
        <v>0</v>
      </c>
    </row>
    <row r="890" spans="1:9" x14ac:dyDescent="0.25">
      <c r="A890" s="113">
        <f t="shared" si="28"/>
        <v>70494</v>
      </c>
      <c r="B890" s="128">
        <f t="shared" si="27"/>
        <v>2092</v>
      </c>
      <c r="C890">
        <v>0.47602572286746303</v>
      </c>
      <c r="D890">
        <v>1.8008451743330718</v>
      </c>
      <c r="E890">
        <v>0</v>
      </c>
      <c r="F890">
        <v>0.43931468145689129</v>
      </c>
      <c r="G890">
        <v>131.99998381514635</v>
      </c>
      <c r="H890">
        <v>0</v>
      </c>
      <c r="I890">
        <v>0</v>
      </c>
    </row>
    <row r="891" spans="1:9" x14ac:dyDescent="0.25">
      <c r="A891" s="113">
        <f t="shared" si="28"/>
        <v>70525</v>
      </c>
      <c r="B891" s="128">
        <f t="shared" si="27"/>
        <v>2093</v>
      </c>
      <c r="C891">
        <v>0.454836735029299</v>
      </c>
      <c r="D891">
        <v>1.7764593213963058</v>
      </c>
      <c r="E891">
        <v>0</v>
      </c>
      <c r="F891">
        <v>0.43447535765062995</v>
      </c>
      <c r="G891">
        <v>130.24388587112887</v>
      </c>
      <c r="H891">
        <v>0</v>
      </c>
      <c r="I891">
        <v>0</v>
      </c>
    </row>
    <row r="892" spans="1:9" x14ac:dyDescent="0.25">
      <c r="A892" s="113">
        <f t="shared" si="28"/>
        <v>70553</v>
      </c>
      <c r="B892" s="128">
        <f t="shared" si="27"/>
        <v>2093</v>
      </c>
      <c r="C892">
        <v>0.45448368972336489</v>
      </c>
      <c r="D892">
        <v>1.7524252943183682</v>
      </c>
      <c r="E892">
        <v>0</v>
      </c>
      <c r="F892">
        <v>0.42969363523259407</v>
      </c>
      <c r="G892">
        <v>128.51625063130103</v>
      </c>
      <c r="H892">
        <v>0</v>
      </c>
      <c r="I892">
        <v>0</v>
      </c>
    </row>
    <row r="893" spans="1:9" x14ac:dyDescent="0.25">
      <c r="A893" s="113">
        <f t="shared" si="28"/>
        <v>70584</v>
      </c>
      <c r="B893" s="128">
        <f t="shared" si="27"/>
        <v>2093</v>
      </c>
      <c r="C893">
        <v>0.44530181716338257</v>
      </c>
      <c r="D893">
        <v>1.7287097861647869</v>
      </c>
      <c r="E893">
        <v>0</v>
      </c>
      <c r="F893">
        <v>0.42497335838521566</v>
      </c>
      <c r="G893">
        <v>126.80786930391446</v>
      </c>
      <c r="H893">
        <v>0</v>
      </c>
      <c r="I893">
        <v>0</v>
      </c>
    </row>
    <row r="894" spans="1:9" x14ac:dyDescent="0.25">
      <c r="A894" s="113">
        <f t="shared" si="28"/>
        <v>70614</v>
      </c>
      <c r="B894" s="128">
        <f t="shared" si="27"/>
        <v>2093</v>
      </c>
      <c r="C894">
        <v>0.46785715468014633</v>
      </c>
      <c r="D894">
        <v>1.7054100516978321</v>
      </c>
      <c r="E894">
        <v>0</v>
      </c>
      <c r="F894">
        <v>0.42031298880035611</v>
      </c>
      <c r="G894">
        <v>125.1500034180964</v>
      </c>
      <c r="H894">
        <v>0</v>
      </c>
      <c r="I894">
        <v>0</v>
      </c>
    </row>
    <row r="895" spans="1:9" x14ac:dyDescent="0.25">
      <c r="A895" s="113">
        <f t="shared" si="28"/>
        <v>70645</v>
      </c>
      <c r="B895" s="128">
        <f t="shared" si="27"/>
        <v>2093</v>
      </c>
      <c r="C895">
        <v>0.47962939092259499</v>
      </c>
      <c r="D895">
        <v>1.6824864006890596</v>
      </c>
      <c r="E895">
        <v>0</v>
      </c>
      <c r="F895">
        <v>0.41571819211069277</v>
      </c>
      <c r="G895">
        <v>123.53142821621931</v>
      </c>
      <c r="H895">
        <v>0</v>
      </c>
      <c r="I895">
        <v>0</v>
      </c>
    </row>
    <row r="896" spans="1:9" x14ac:dyDescent="0.25">
      <c r="A896" s="113">
        <f t="shared" si="28"/>
        <v>70675</v>
      </c>
      <c r="B896" s="128">
        <f t="shared" si="27"/>
        <v>2093</v>
      </c>
      <c r="C896">
        <v>0.44909502071038088</v>
      </c>
      <c r="D896">
        <v>1.6597979873399662</v>
      </c>
      <c r="E896">
        <v>0</v>
      </c>
      <c r="F896">
        <v>0.41118437846834538</v>
      </c>
      <c r="G896">
        <v>121.90954087112138</v>
      </c>
      <c r="H896">
        <v>0</v>
      </c>
      <c r="I896">
        <v>0</v>
      </c>
    </row>
    <row r="897" spans="1:9" x14ac:dyDescent="0.25">
      <c r="A897" s="113">
        <f t="shared" si="28"/>
        <v>70706</v>
      </c>
      <c r="B897" s="128">
        <f t="shared" si="27"/>
        <v>2093</v>
      </c>
      <c r="C897">
        <v>0.4246917533721743</v>
      </c>
      <c r="D897">
        <v>1.6373601750659035</v>
      </c>
      <c r="E897">
        <v>0</v>
      </c>
      <c r="F897">
        <v>0.40670110551307398</v>
      </c>
      <c r="G897">
        <v>120.29017134391447</v>
      </c>
      <c r="H897">
        <v>0</v>
      </c>
      <c r="I897">
        <v>0</v>
      </c>
    </row>
    <row r="898" spans="1:9" x14ac:dyDescent="0.25">
      <c r="A898" s="113">
        <f t="shared" si="28"/>
        <v>70737</v>
      </c>
      <c r="B898" s="128">
        <f t="shared" si="27"/>
        <v>2093</v>
      </c>
      <c r="C898">
        <v>0.42464727936395485</v>
      </c>
      <c r="D898">
        <v>1.6152469216596308</v>
      </c>
      <c r="E898">
        <v>0</v>
      </c>
      <c r="F898">
        <v>0.40226993557975455</v>
      </c>
      <c r="G898">
        <v>118.6973017660391</v>
      </c>
      <c r="H898">
        <v>0</v>
      </c>
      <c r="I898">
        <v>0</v>
      </c>
    </row>
    <row r="899" spans="1:9" x14ac:dyDescent="0.25">
      <c r="A899" s="113">
        <f t="shared" si="28"/>
        <v>70767</v>
      </c>
      <c r="B899" s="128">
        <f t="shared" ref="B899:B962" si="29">YEAR(A899)</f>
        <v>2093</v>
      </c>
      <c r="C899">
        <v>0.43097478150231433</v>
      </c>
      <c r="D899">
        <v>1.5934741764491536</v>
      </c>
      <c r="E899">
        <v>0</v>
      </c>
      <c r="F899">
        <v>0.39789618357528</v>
      </c>
      <c r="G899">
        <v>117.1369061875171</v>
      </c>
      <c r="H899">
        <v>0</v>
      </c>
      <c r="I899">
        <v>0</v>
      </c>
    </row>
    <row r="900" spans="1:9" x14ac:dyDescent="0.25">
      <c r="A900" s="113">
        <f t="shared" si="28"/>
        <v>70798</v>
      </c>
      <c r="B900" s="128">
        <f t="shared" si="29"/>
        <v>2093</v>
      </c>
      <c r="C900">
        <v>0.43654838749141678</v>
      </c>
      <c r="D900">
        <v>1.7065913047666881</v>
      </c>
      <c r="E900">
        <v>0</v>
      </c>
      <c r="F900">
        <v>0.39358071660046584</v>
      </c>
      <c r="G900">
        <v>115.47328255364128</v>
      </c>
      <c r="H900">
        <v>0</v>
      </c>
      <c r="I900">
        <v>0</v>
      </c>
    </row>
    <row r="901" spans="1:9" x14ac:dyDescent="0.25">
      <c r="A901" s="113">
        <f t="shared" si="28"/>
        <v>70828</v>
      </c>
      <c r="B901" s="128">
        <f t="shared" si="29"/>
        <v>2093</v>
      </c>
      <c r="C901">
        <v>0.40704338952267938</v>
      </c>
      <c r="D901">
        <v>1.6815313326597185</v>
      </c>
      <c r="E901">
        <v>0</v>
      </c>
      <c r="F901">
        <v>0.38895230952935916</v>
      </c>
      <c r="G901">
        <v>113.80984230097491</v>
      </c>
      <c r="H901">
        <v>0</v>
      </c>
      <c r="I901">
        <v>0</v>
      </c>
    </row>
    <row r="902" spans="1:9" x14ac:dyDescent="0.25">
      <c r="A902" s="113">
        <f t="shared" si="28"/>
        <v>70859</v>
      </c>
      <c r="B902" s="128">
        <f t="shared" si="29"/>
        <v>2093</v>
      </c>
      <c r="C902">
        <v>0.41597666410858886</v>
      </c>
      <c r="D902">
        <v>1.6568912080437661</v>
      </c>
      <c r="E902">
        <v>0</v>
      </c>
      <c r="F902">
        <v>0.38438265581480968</v>
      </c>
      <c r="G902">
        <v>112.18454510122487</v>
      </c>
      <c r="H902">
        <v>0</v>
      </c>
      <c r="I902">
        <v>0</v>
      </c>
    </row>
    <row r="903" spans="1:9" x14ac:dyDescent="0.25">
      <c r="A903" s="113">
        <f t="shared" si="28"/>
        <v>70890</v>
      </c>
      <c r="B903" s="128">
        <f t="shared" si="29"/>
        <v>2094</v>
      </c>
      <c r="C903">
        <v>0.39583769985338546</v>
      </c>
      <c r="D903">
        <v>1.6325714634178972</v>
      </c>
      <c r="E903">
        <v>0</v>
      </c>
      <c r="F903">
        <v>0.37987827573673749</v>
      </c>
      <c r="G903">
        <v>110.5679330619237</v>
      </c>
      <c r="H903">
        <v>0</v>
      </c>
      <c r="I903">
        <v>0</v>
      </c>
    </row>
    <row r="904" spans="1:9" x14ac:dyDescent="0.25">
      <c r="A904" s="113">
        <f t="shared" si="28"/>
        <v>70918</v>
      </c>
      <c r="B904" s="128">
        <f t="shared" si="29"/>
        <v>2094</v>
      </c>
      <c r="C904">
        <v>0.39574677052807161</v>
      </c>
      <c r="D904">
        <v>1.6086309213718735</v>
      </c>
      <c r="E904">
        <v>0</v>
      </c>
      <c r="F904">
        <v>0.37543241433525543</v>
      </c>
      <c r="G904">
        <v>108.9796164967445</v>
      </c>
      <c r="H904">
        <v>0</v>
      </c>
      <c r="I904">
        <v>0</v>
      </c>
    </row>
    <row r="905" spans="1:9" x14ac:dyDescent="0.25">
      <c r="A905" s="113">
        <f t="shared" si="28"/>
        <v>70949</v>
      </c>
      <c r="B905" s="128">
        <f t="shared" si="29"/>
        <v>2094</v>
      </c>
      <c r="C905">
        <v>0.38716329607123701</v>
      </c>
      <c r="D905">
        <v>1.5850365390288952</v>
      </c>
      <c r="E905">
        <v>0</v>
      </c>
      <c r="F905">
        <v>0.37104865725304681</v>
      </c>
      <c r="G905">
        <v>107.41069459653382</v>
      </c>
      <c r="H905">
        <v>0</v>
      </c>
      <c r="I905">
        <v>0</v>
      </c>
    </row>
    <row r="906" spans="1:9" x14ac:dyDescent="0.25">
      <c r="A906" s="113">
        <f t="shared" si="28"/>
        <v>70979</v>
      </c>
      <c r="B906" s="128">
        <f t="shared" si="29"/>
        <v>2094</v>
      </c>
      <c r="C906">
        <v>0.40911575864849242</v>
      </c>
      <c r="D906">
        <v>1.5618809072863453</v>
      </c>
      <c r="E906">
        <v>0</v>
      </c>
      <c r="F906">
        <v>0.3667254141379267</v>
      </c>
      <c r="G906">
        <v>105.89120403375806</v>
      </c>
      <c r="H906">
        <v>0</v>
      </c>
      <c r="I906">
        <v>0</v>
      </c>
    </row>
    <row r="907" spans="1:9" x14ac:dyDescent="0.25">
      <c r="A907" s="113">
        <f t="shared" si="28"/>
        <v>71010</v>
      </c>
      <c r="B907" s="128">
        <f t="shared" si="29"/>
        <v>2094</v>
      </c>
      <c r="C907">
        <v>0.4206952670017059</v>
      </c>
      <c r="D907">
        <v>1.539124882251339</v>
      </c>
      <c r="E907">
        <v>0</v>
      </c>
      <c r="F907">
        <v>0.36246802800133338</v>
      </c>
      <c r="G907">
        <v>104.41030639050709</v>
      </c>
      <c r="H907">
        <v>0</v>
      </c>
      <c r="I907">
        <v>0</v>
      </c>
    </row>
    <row r="908" spans="1:9" x14ac:dyDescent="0.25">
      <c r="A908" s="113">
        <f t="shared" ref="A908:A971" si="30">DATE(YEAR(A907),MONTH(A907)+2,1)-1</f>
        <v>71040</v>
      </c>
      <c r="B908" s="128">
        <f t="shared" si="29"/>
        <v>2094</v>
      </c>
      <c r="C908">
        <v>0.3915729596771157</v>
      </c>
      <c r="D908">
        <v>1.5166320178686505</v>
      </c>
      <c r="E908">
        <v>0</v>
      </c>
      <c r="F908">
        <v>0.35827197746270056</v>
      </c>
      <c r="G908">
        <v>102.9269753548529</v>
      </c>
      <c r="H908">
        <v>0</v>
      </c>
      <c r="I908">
        <v>0</v>
      </c>
    </row>
    <row r="909" spans="1:9" x14ac:dyDescent="0.25">
      <c r="A909" s="113">
        <f t="shared" si="30"/>
        <v>71071</v>
      </c>
      <c r="B909" s="128">
        <f t="shared" si="29"/>
        <v>2094</v>
      </c>
      <c r="C909">
        <v>0.36835066223313795</v>
      </c>
      <c r="D909">
        <v>1.4944161762122539</v>
      </c>
      <c r="E909">
        <v>0</v>
      </c>
      <c r="F909">
        <v>0.35412711279965103</v>
      </c>
      <c r="G909">
        <v>101.44678272807414</v>
      </c>
      <c r="H909">
        <v>0</v>
      </c>
      <c r="I909">
        <v>0</v>
      </c>
    </row>
    <row r="910" spans="1:9" x14ac:dyDescent="0.25">
      <c r="A910" s="113">
        <f t="shared" si="30"/>
        <v>71102</v>
      </c>
      <c r="B910" s="128">
        <f t="shared" si="29"/>
        <v>2094</v>
      </c>
      <c r="C910">
        <v>0.368565143550389</v>
      </c>
      <c r="D910">
        <v>1.4725476118906313</v>
      </c>
      <c r="E910">
        <v>0</v>
      </c>
      <c r="F910">
        <v>0.3500348363225787</v>
      </c>
      <c r="G910">
        <v>99.992765423411299</v>
      </c>
      <c r="H910">
        <v>0</v>
      </c>
      <c r="I910">
        <v>0</v>
      </c>
    </row>
    <row r="911" spans="1:9" x14ac:dyDescent="0.25">
      <c r="A911" s="113">
        <f t="shared" si="30"/>
        <v>71132</v>
      </c>
      <c r="B911" s="128">
        <f t="shared" si="29"/>
        <v>2094</v>
      </c>
      <c r="C911">
        <v>0.37491119713683191</v>
      </c>
      <c r="D911">
        <v>1.4510407880981944</v>
      </c>
      <c r="E911">
        <v>0</v>
      </c>
      <c r="F911">
        <v>0.34600016296307912</v>
      </c>
      <c r="G911">
        <v>98.570635669486862</v>
      </c>
      <c r="H911">
        <v>0</v>
      </c>
      <c r="I911">
        <v>0</v>
      </c>
    </row>
    <row r="912" spans="1:9" x14ac:dyDescent="0.25">
      <c r="A912" s="113">
        <f t="shared" si="30"/>
        <v>71163</v>
      </c>
      <c r="B912" s="128">
        <f t="shared" si="29"/>
        <v>2094</v>
      </c>
      <c r="C912">
        <v>0.38053293395256049</v>
      </c>
      <c r="D912">
        <v>1.5536960220285581</v>
      </c>
      <c r="E912">
        <v>0</v>
      </c>
      <c r="F912">
        <v>0.34202383064700453</v>
      </c>
      <c r="G912">
        <v>97.055448750763887</v>
      </c>
      <c r="H912">
        <v>0</v>
      </c>
      <c r="I912">
        <v>0</v>
      </c>
    </row>
    <row r="913" spans="1:9" x14ac:dyDescent="0.25">
      <c r="A913" s="113">
        <f t="shared" si="30"/>
        <v>71193</v>
      </c>
      <c r="B913" s="128">
        <f t="shared" si="29"/>
        <v>2094</v>
      </c>
      <c r="C913">
        <v>0.35242136787748768</v>
      </c>
      <c r="D913">
        <v>1.5289428836954952</v>
      </c>
      <c r="E913">
        <v>0</v>
      </c>
      <c r="F913">
        <v>0.33775976113429529</v>
      </c>
      <c r="G913">
        <v>95.541167473811655</v>
      </c>
      <c r="H913">
        <v>0</v>
      </c>
      <c r="I913">
        <v>0</v>
      </c>
    </row>
    <row r="914" spans="1:9" x14ac:dyDescent="0.25">
      <c r="A914" s="113">
        <f t="shared" si="30"/>
        <v>71224</v>
      </c>
      <c r="B914" s="128">
        <f t="shared" si="29"/>
        <v>2094</v>
      </c>
      <c r="C914">
        <v>0.36129247383177304</v>
      </c>
      <c r="D914">
        <v>1.5046357399588861</v>
      </c>
      <c r="E914">
        <v>0</v>
      </c>
      <c r="F914">
        <v>0.33355484328041768</v>
      </c>
      <c r="G914">
        <v>94.064269364404012</v>
      </c>
      <c r="H914">
        <v>0</v>
      </c>
      <c r="I914">
        <v>0</v>
      </c>
    </row>
    <row r="915" spans="1:9" x14ac:dyDescent="0.25">
      <c r="A915" s="113">
        <f t="shared" si="30"/>
        <v>71255</v>
      </c>
      <c r="B915" s="128">
        <f t="shared" si="29"/>
        <v>2095</v>
      </c>
      <c r="C915">
        <v>0.34219428087925335</v>
      </c>
      <c r="D915">
        <v>1.480677729698451</v>
      </c>
      <c r="E915">
        <v>0</v>
      </c>
      <c r="F915">
        <v>0.32941523020293834</v>
      </c>
      <c r="G915">
        <v>92.596370685381842</v>
      </c>
      <c r="H915">
        <v>0</v>
      </c>
      <c r="I915">
        <v>0</v>
      </c>
    </row>
    <row r="916" spans="1:9" x14ac:dyDescent="0.25">
      <c r="A916" s="113">
        <f t="shared" si="30"/>
        <v>71283</v>
      </c>
      <c r="B916" s="128">
        <f t="shared" si="29"/>
        <v>2095</v>
      </c>
      <c r="C916">
        <v>0.34238529961906911</v>
      </c>
      <c r="D916">
        <v>1.4571243088804959</v>
      </c>
      <c r="E916">
        <v>0</v>
      </c>
      <c r="F916">
        <v>0.32533430589995099</v>
      </c>
      <c r="G916">
        <v>91.156297370220486</v>
      </c>
      <c r="H916">
        <v>0</v>
      </c>
      <c r="I916">
        <v>0</v>
      </c>
    </row>
    <row r="917" spans="1:9" x14ac:dyDescent="0.25">
      <c r="A917" s="113">
        <f t="shared" si="30"/>
        <v>71314</v>
      </c>
      <c r="B917" s="128">
        <f t="shared" si="29"/>
        <v>2095</v>
      </c>
      <c r="C917">
        <v>0.33440653623237843</v>
      </c>
      <c r="D917">
        <v>1.4339425753601112</v>
      </c>
      <c r="E917">
        <v>0</v>
      </c>
      <c r="F917">
        <v>0.32131540598971059</v>
      </c>
      <c r="G917">
        <v>89.735445925103051</v>
      </c>
      <c r="H917">
        <v>0</v>
      </c>
      <c r="I917">
        <v>0</v>
      </c>
    </row>
    <row r="918" spans="1:9" x14ac:dyDescent="0.25">
      <c r="A918" s="113">
        <f t="shared" si="30"/>
        <v>71344</v>
      </c>
      <c r="B918" s="128">
        <f t="shared" si="29"/>
        <v>2095</v>
      </c>
      <c r="C918">
        <v>0.3558071946524729</v>
      </c>
      <c r="D918">
        <v>1.4112205243749507</v>
      </c>
      <c r="E918">
        <v>0</v>
      </c>
      <c r="F918">
        <v>0.31735688913110438</v>
      </c>
      <c r="G918">
        <v>88.362675706249377</v>
      </c>
      <c r="H918">
        <v>0</v>
      </c>
      <c r="I918">
        <v>0</v>
      </c>
    </row>
    <row r="919" spans="1:9" x14ac:dyDescent="0.25">
      <c r="A919" s="113">
        <f t="shared" si="30"/>
        <v>71375</v>
      </c>
      <c r="B919" s="128">
        <f t="shared" si="29"/>
        <v>2095</v>
      </c>
      <c r="C919">
        <v>0.36722873475597467</v>
      </c>
      <c r="D919">
        <v>1.3889194337338</v>
      </c>
      <c r="E919">
        <v>0</v>
      </c>
      <c r="F919">
        <v>0.31346378737750136</v>
      </c>
      <c r="G919">
        <v>87.027521219894226</v>
      </c>
      <c r="H919">
        <v>0</v>
      </c>
      <c r="I919">
        <v>0</v>
      </c>
    </row>
    <row r="920" spans="1:9" x14ac:dyDescent="0.25">
      <c r="A920" s="113">
        <f t="shared" si="30"/>
        <v>71405</v>
      </c>
      <c r="B920" s="128">
        <f t="shared" si="29"/>
        <v>2095</v>
      </c>
      <c r="C920">
        <v>0.33949166594086583</v>
      </c>
      <c r="D920">
        <v>1.366906990942343</v>
      </c>
      <c r="E920">
        <v>0</v>
      </c>
      <c r="F920">
        <v>0.30963164499725543</v>
      </c>
      <c r="G920">
        <v>85.690474249895416</v>
      </c>
      <c r="H920">
        <v>0</v>
      </c>
      <c r="I920">
        <v>0</v>
      </c>
    </row>
    <row r="921" spans="1:9" x14ac:dyDescent="0.25">
      <c r="A921" s="113">
        <f t="shared" si="30"/>
        <v>71436</v>
      </c>
      <c r="B921" s="128">
        <f t="shared" si="29"/>
        <v>2095</v>
      </c>
      <c r="C921">
        <v>0.31743151435978606</v>
      </c>
      <c r="D921">
        <v>1.3451955185689222</v>
      </c>
      <c r="E921">
        <v>0</v>
      </c>
      <c r="F921">
        <v>0.30585059391991332</v>
      </c>
      <c r="G921">
        <v>84.356859651766328</v>
      </c>
      <c r="H921">
        <v>0</v>
      </c>
      <c r="I921">
        <v>0</v>
      </c>
    </row>
    <row r="922" spans="1:9" x14ac:dyDescent="0.25">
      <c r="A922" s="113">
        <f t="shared" si="30"/>
        <v>71467</v>
      </c>
      <c r="B922" s="128">
        <f t="shared" si="29"/>
        <v>2095</v>
      </c>
      <c r="C922">
        <v>0.31792031785096808</v>
      </c>
      <c r="D922">
        <v>1.323851617564769</v>
      </c>
      <c r="E922">
        <v>0</v>
      </c>
      <c r="F922">
        <v>0.30212188291802988</v>
      </c>
      <c r="G922">
        <v>83.048806469134533</v>
      </c>
      <c r="H922">
        <v>0</v>
      </c>
      <c r="I922">
        <v>0</v>
      </c>
    </row>
    <row r="923" spans="1:9" x14ac:dyDescent="0.25">
      <c r="A923" s="113">
        <f t="shared" si="30"/>
        <v>71497</v>
      </c>
      <c r="B923" s="128">
        <f t="shared" si="29"/>
        <v>2095</v>
      </c>
      <c r="C923">
        <v>0.32430865239834572</v>
      </c>
      <c r="D923">
        <v>1.3028882346104427</v>
      </c>
      <c r="E923">
        <v>0</v>
      </c>
      <c r="F923">
        <v>0.29845023904381046</v>
      </c>
      <c r="G923">
        <v>81.77177664787861</v>
      </c>
      <c r="H923">
        <v>0</v>
      </c>
      <c r="I923">
        <v>0</v>
      </c>
    </row>
    <row r="924" spans="1:9" x14ac:dyDescent="0.25">
      <c r="A924" s="113">
        <f t="shared" si="30"/>
        <v>71528</v>
      </c>
      <c r="B924" s="128">
        <f t="shared" si="29"/>
        <v>2095</v>
      </c>
      <c r="C924">
        <v>0.3300003848960405</v>
      </c>
      <c r="D924">
        <v>1.3941896148305775</v>
      </c>
      <c r="E924">
        <v>0</v>
      </c>
      <c r="F924">
        <v>0.29483627696461168</v>
      </c>
      <c r="G924">
        <v>80.412751140979495</v>
      </c>
      <c r="H924">
        <v>0</v>
      </c>
      <c r="I924">
        <v>0</v>
      </c>
    </row>
    <row r="925" spans="1:9" x14ac:dyDescent="0.25">
      <c r="A925" s="113">
        <f t="shared" si="30"/>
        <v>71558</v>
      </c>
      <c r="B925" s="128">
        <f t="shared" si="29"/>
        <v>2095</v>
      </c>
      <c r="C925">
        <v>0.30325654554439013</v>
      </c>
      <c r="D925">
        <v>1.3700795205967924</v>
      </c>
      <c r="E925">
        <v>0</v>
      </c>
      <c r="F925">
        <v>0.29096304362063685</v>
      </c>
      <c r="G925">
        <v>79.054965122306442</v>
      </c>
      <c r="H925">
        <v>0</v>
      </c>
      <c r="I925">
        <v>0</v>
      </c>
    </row>
    <row r="926" spans="1:9" x14ac:dyDescent="0.25">
      <c r="A926" s="113">
        <f t="shared" si="30"/>
        <v>71589</v>
      </c>
      <c r="B926" s="128">
        <f t="shared" si="29"/>
        <v>2095</v>
      </c>
      <c r="C926">
        <v>0.31209404217359665</v>
      </c>
      <c r="D926">
        <v>1.3464380946677725</v>
      </c>
      <c r="E926">
        <v>0</v>
      </c>
      <c r="F926">
        <v>0.28714847028885254</v>
      </c>
      <c r="G926">
        <v>77.733472599523452</v>
      </c>
      <c r="H926">
        <v>0</v>
      </c>
      <c r="I926">
        <v>0</v>
      </c>
    </row>
    <row r="927" spans="1:9" x14ac:dyDescent="0.25">
      <c r="A927" s="113">
        <f t="shared" si="30"/>
        <v>71620</v>
      </c>
      <c r="B927" s="128">
        <f t="shared" si="29"/>
        <v>2096</v>
      </c>
      <c r="C927">
        <v>0.29402248297750838</v>
      </c>
      <c r="D927">
        <v>1.3231708796368153</v>
      </c>
      <c r="E927">
        <v>0</v>
      </c>
      <c r="F927">
        <v>0.2833983593496705</v>
      </c>
      <c r="G927">
        <v>76.420925843514411</v>
      </c>
      <c r="H927">
        <v>0</v>
      </c>
      <c r="I927">
        <v>0</v>
      </c>
    </row>
    <row r="928" spans="1:9" x14ac:dyDescent="0.25">
      <c r="A928" s="113">
        <f t="shared" si="30"/>
        <v>71649</v>
      </c>
      <c r="B928" s="128">
        <f t="shared" si="29"/>
        <v>2096</v>
      </c>
      <c r="C928">
        <v>0.29450918381640884</v>
      </c>
      <c r="D928">
        <v>1.3003299941464885</v>
      </c>
      <c r="E928">
        <v>0</v>
      </c>
      <c r="F928">
        <v>0.27970623136858674</v>
      </c>
      <c r="G928">
        <v>75.135398801815754</v>
      </c>
      <c r="H928">
        <v>0</v>
      </c>
      <c r="I928">
        <v>0</v>
      </c>
    </row>
    <row r="929" spans="1:9" x14ac:dyDescent="0.25">
      <c r="A929" s="113">
        <f t="shared" si="30"/>
        <v>71680</v>
      </c>
      <c r="B929" s="128">
        <f t="shared" si="29"/>
        <v>2096</v>
      </c>
      <c r="C929">
        <v>0.2871357528445313</v>
      </c>
      <c r="D929">
        <v>1.2778825785641179</v>
      </c>
      <c r="E929">
        <v>0</v>
      </c>
      <c r="F929">
        <v>0.27607518464182823</v>
      </c>
      <c r="G929">
        <v>73.868576791454331</v>
      </c>
      <c r="H929">
        <v>0</v>
      </c>
      <c r="I929">
        <v>0</v>
      </c>
    </row>
    <row r="930" spans="1:9" x14ac:dyDescent="0.25">
      <c r="A930" s="113">
        <f t="shared" si="30"/>
        <v>71710</v>
      </c>
      <c r="B930" s="128">
        <f t="shared" si="29"/>
        <v>2096</v>
      </c>
      <c r="C930">
        <v>0.30802818848307933</v>
      </c>
      <c r="D930">
        <v>1.2559121189908331</v>
      </c>
      <c r="E930">
        <v>0</v>
      </c>
      <c r="F930">
        <v>0.27250353233368158</v>
      </c>
      <c r="G930">
        <v>72.648189328612943</v>
      </c>
      <c r="H930">
        <v>0</v>
      </c>
      <c r="I930">
        <v>0</v>
      </c>
    </row>
    <row r="931" spans="1:9" x14ac:dyDescent="0.25">
      <c r="A931" s="113">
        <f t="shared" si="30"/>
        <v>71741</v>
      </c>
      <c r="B931" s="128">
        <f t="shared" si="29"/>
        <v>2096</v>
      </c>
      <c r="C931">
        <v>0.31931955172309451</v>
      </c>
      <c r="D931">
        <v>1.2343802163649402</v>
      </c>
      <c r="E931">
        <v>0</v>
      </c>
      <c r="F931">
        <v>0.26899601120724076</v>
      </c>
      <c r="G931">
        <v>71.464132652763809</v>
      </c>
      <c r="H931">
        <v>0</v>
      </c>
      <c r="I931">
        <v>0</v>
      </c>
    </row>
    <row r="932" spans="1:9" x14ac:dyDescent="0.25">
      <c r="A932" s="113">
        <f t="shared" si="30"/>
        <v>71771</v>
      </c>
      <c r="B932" s="128">
        <f t="shared" si="29"/>
        <v>2096</v>
      </c>
      <c r="C932">
        <v>0.2929361701458863</v>
      </c>
      <c r="D932">
        <v>1.2131584573976477</v>
      </c>
      <c r="E932">
        <v>0</v>
      </c>
      <c r="F932">
        <v>0.26554823288050161</v>
      </c>
      <c r="G932">
        <v>70.2783621326315</v>
      </c>
      <c r="H932">
        <v>0</v>
      </c>
      <c r="I932">
        <v>0</v>
      </c>
    </row>
    <row r="933" spans="1:9" x14ac:dyDescent="0.25">
      <c r="A933" s="113">
        <f t="shared" si="30"/>
        <v>71802</v>
      </c>
      <c r="B933" s="128">
        <f t="shared" si="29"/>
        <v>2096</v>
      </c>
      <c r="C933">
        <v>0.27201422191907404</v>
      </c>
      <c r="D933">
        <v>1.1922576105398144</v>
      </c>
      <c r="E933">
        <v>0</v>
      </c>
      <c r="F933">
        <v>0.26215060474159546</v>
      </c>
      <c r="G933">
        <v>69.095968139269317</v>
      </c>
      <c r="H933">
        <v>0</v>
      </c>
      <c r="I933">
        <v>0</v>
      </c>
    </row>
    <row r="934" spans="1:9" x14ac:dyDescent="0.25">
      <c r="A934" s="113">
        <f t="shared" si="30"/>
        <v>71833</v>
      </c>
      <c r="B934" s="128">
        <f t="shared" si="29"/>
        <v>2096</v>
      </c>
      <c r="C934">
        <v>0.27278621599234432</v>
      </c>
      <c r="D934">
        <v>1.1717406931767318</v>
      </c>
      <c r="E934">
        <v>0</v>
      </c>
      <c r="F934">
        <v>0.25880423260457608</v>
      </c>
      <c r="G934">
        <v>67.938209429480267</v>
      </c>
      <c r="H934">
        <v>0</v>
      </c>
      <c r="I934">
        <v>0</v>
      </c>
    </row>
    <row r="935" spans="1:9" x14ac:dyDescent="0.25">
      <c r="A935" s="113">
        <f t="shared" si="30"/>
        <v>71863</v>
      </c>
      <c r="B935" s="128">
        <f t="shared" si="29"/>
        <v>2096</v>
      </c>
      <c r="C935">
        <v>0.27923366567921709</v>
      </c>
      <c r="D935">
        <v>1.1516191289922215</v>
      </c>
      <c r="E935">
        <v>0</v>
      </c>
      <c r="F935">
        <v>0.25551357157905641</v>
      </c>
      <c r="G935">
        <v>66.810310394588242</v>
      </c>
      <c r="H935">
        <v>0</v>
      </c>
      <c r="I935">
        <v>0</v>
      </c>
    </row>
    <row r="936" spans="1:9" x14ac:dyDescent="0.25">
      <c r="A936" s="113">
        <f t="shared" si="30"/>
        <v>71894</v>
      </c>
      <c r="B936" s="128">
        <f t="shared" si="29"/>
        <v>2096</v>
      </c>
      <c r="C936">
        <v>0.28501035821799697</v>
      </c>
      <c r="D936">
        <v>1.2310544592156234</v>
      </c>
      <c r="E936">
        <v>0</v>
      </c>
      <c r="F936">
        <v>0.25227912302480027</v>
      </c>
      <c r="G936">
        <v>65.611987170565783</v>
      </c>
      <c r="H936">
        <v>0</v>
      </c>
      <c r="I936">
        <v>0</v>
      </c>
    </row>
    <row r="937" spans="1:9" x14ac:dyDescent="0.25">
      <c r="A937" s="113">
        <f t="shared" si="30"/>
        <v>71924</v>
      </c>
      <c r="B937" s="128">
        <f t="shared" si="29"/>
        <v>2096</v>
      </c>
      <c r="C937">
        <v>0.2596025369731238</v>
      </c>
      <c r="D937">
        <v>1.2079452022104522</v>
      </c>
      <c r="E937">
        <v>0</v>
      </c>
      <c r="F937">
        <v>0.24881615344633423</v>
      </c>
      <c r="G937">
        <v>64.414828351882136</v>
      </c>
      <c r="H937">
        <v>0</v>
      </c>
      <c r="I937">
        <v>0</v>
      </c>
    </row>
    <row r="938" spans="1:9" x14ac:dyDescent="0.25">
      <c r="A938" s="113">
        <f t="shared" si="30"/>
        <v>71955</v>
      </c>
      <c r="B938" s="128">
        <f t="shared" si="29"/>
        <v>2096</v>
      </c>
      <c r="C938">
        <v>0.26842684074819484</v>
      </c>
      <c r="D938">
        <v>1.1853219259533712</v>
      </c>
      <c r="E938">
        <v>0</v>
      </c>
      <c r="F938">
        <v>0.24541035807657915</v>
      </c>
      <c r="G938">
        <v>63.252522908600412</v>
      </c>
      <c r="H938">
        <v>0</v>
      </c>
      <c r="I938">
        <v>0</v>
      </c>
    </row>
    <row r="939" spans="1:9" x14ac:dyDescent="0.25">
      <c r="A939" s="113">
        <f t="shared" si="30"/>
        <v>71986</v>
      </c>
      <c r="B939" s="128">
        <f t="shared" si="29"/>
        <v>2097</v>
      </c>
      <c r="C939">
        <v>0.25136117562603139</v>
      </c>
      <c r="D939">
        <v>1.1630924164883916</v>
      </c>
      <c r="E939">
        <v>0</v>
      </c>
      <c r="F939">
        <v>0.24206720992301403</v>
      </c>
      <c r="G939">
        <v>62.098724457814996</v>
      </c>
      <c r="H939">
        <v>0</v>
      </c>
      <c r="I939">
        <v>0</v>
      </c>
    </row>
    <row r="940" spans="1:9" x14ac:dyDescent="0.25">
      <c r="A940" s="113">
        <f t="shared" si="30"/>
        <v>72014</v>
      </c>
      <c r="B940" s="128">
        <f t="shared" si="29"/>
        <v>2097</v>
      </c>
      <c r="C940">
        <v>0.25214956177651282</v>
      </c>
      <c r="D940">
        <v>1.1413055183013479</v>
      </c>
      <c r="E940">
        <v>0</v>
      </c>
      <c r="F940">
        <v>0.238780369311513</v>
      </c>
      <c r="G940">
        <v>60.970788131978608</v>
      </c>
      <c r="H940">
        <v>0</v>
      </c>
      <c r="I940">
        <v>0</v>
      </c>
    </row>
    <row r="941" spans="1:9" x14ac:dyDescent="0.25">
      <c r="A941" s="113">
        <f t="shared" si="30"/>
        <v>72045</v>
      </c>
      <c r="B941" s="128">
        <f t="shared" si="29"/>
        <v>2097</v>
      </c>
      <c r="C941">
        <v>0.24537478342469535</v>
      </c>
      <c r="D941">
        <v>1.1199283549658552</v>
      </c>
      <c r="E941">
        <v>0</v>
      </c>
      <c r="F941">
        <v>0.23555271486004831</v>
      </c>
      <c r="G941">
        <v>59.860681845577467</v>
      </c>
      <c r="H941">
        <v>0</v>
      </c>
      <c r="I941">
        <v>0</v>
      </c>
    </row>
    <row r="942" spans="1:9" x14ac:dyDescent="0.25">
      <c r="A942" s="113">
        <f t="shared" si="30"/>
        <v>72075</v>
      </c>
      <c r="B942" s="128">
        <f t="shared" si="29"/>
        <v>2097</v>
      </c>
      <c r="C942">
        <v>0.26579358601122849</v>
      </c>
      <c r="D942">
        <v>1.0990400220559484</v>
      </c>
      <c r="E942">
        <v>0</v>
      </c>
      <c r="F942">
        <v>0.23238252487557368</v>
      </c>
      <c r="G942">
        <v>58.795052884657167</v>
      </c>
      <c r="H942">
        <v>0</v>
      </c>
      <c r="I942">
        <v>0</v>
      </c>
    </row>
    <row r="943" spans="1:9" x14ac:dyDescent="0.25">
      <c r="A943" s="113">
        <f t="shared" si="30"/>
        <v>72106</v>
      </c>
      <c r="B943" s="128">
        <f t="shared" si="29"/>
        <v>2097</v>
      </c>
      <c r="C943">
        <v>0.27697411311803743</v>
      </c>
      <c r="D943">
        <v>1.0786023843053281</v>
      </c>
      <c r="E943">
        <v>0</v>
      </c>
      <c r="F943">
        <v>0.22927426118311697</v>
      </c>
      <c r="G943">
        <v>57.764150352286777</v>
      </c>
      <c r="H943">
        <v>0</v>
      </c>
      <c r="I943">
        <v>0</v>
      </c>
    </row>
    <row r="944" spans="1:9" x14ac:dyDescent="0.25">
      <c r="A944" s="113">
        <f t="shared" si="30"/>
        <v>72136</v>
      </c>
      <c r="B944" s="128">
        <f t="shared" si="29"/>
        <v>2097</v>
      </c>
      <c r="C944">
        <v>0.25190661326193908</v>
      </c>
      <c r="D944">
        <v>1.0584907377605419</v>
      </c>
      <c r="E944">
        <v>0</v>
      </c>
      <c r="F944">
        <v>0.22622360959063759</v>
      </c>
      <c r="G944">
        <v>56.731342618197516</v>
      </c>
      <c r="H944">
        <v>0</v>
      </c>
      <c r="I944">
        <v>0</v>
      </c>
    </row>
    <row r="945" spans="1:9" x14ac:dyDescent="0.25">
      <c r="A945" s="113">
        <f t="shared" si="30"/>
        <v>72167</v>
      </c>
      <c r="B945" s="128">
        <f t="shared" si="29"/>
        <v>2097</v>
      </c>
      <c r="C945">
        <v>0.23209233526519799</v>
      </c>
      <c r="D945">
        <v>1.0387143183669367</v>
      </c>
      <c r="E945">
        <v>0</v>
      </c>
      <c r="F945">
        <v>0.22322125211502905</v>
      </c>
      <c r="G945">
        <v>55.701499382980721</v>
      </c>
      <c r="H945">
        <v>0</v>
      </c>
      <c r="I945">
        <v>0</v>
      </c>
    </row>
    <row r="946" spans="1:9" x14ac:dyDescent="0.25">
      <c r="A946" s="113">
        <f t="shared" si="30"/>
        <v>72198</v>
      </c>
      <c r="B946" s="128">
        <f t="shared" si="29"/>
        <v>2097</v>
      </c>
      <c r="C946">
        <v>0.23314851076217472</v>
      </c>
      <c r="D946">
        <v>1.0193326630831439</v>
      </c>
      <c r="E946">
        <v>0</v>
      </c>
      <c r="F946">
        <v>0.22026816684274003</v>
      </c>
      <c r="G946">
        <v>54.695047063817064</v>
      </c>
      <c r="H946">
        <v>0</v>
      </c>
      <c r="I946">
        <v>0</v>
      </c>
    </row>
    <row r="947" spans="1:9" x14ac:dyDescent="0.25">
      <c r="A947" s="113">
        <f t="shared" si="30"/>
        <v>72228</v>
      </c>
      <c r="B947" s="128">
        <f t="shared" si="29"/>
        <v>2097</v>
      </c>
      <c r="C947">
        <v>0.23966369136494939</v>
      </c>
      <c r="D947">
        <v>1.0003557020670202</v>
      </c>
      <c r="E947">
        <v>0</v>
      </c>
      <c r="F947">
        <v>0.2173685572489378</v>
      </c>
      <c r="G947">
        <v>53.716986495866024</v>
      </c>
      <c r="H947">
        <v>0</v>
      </c>
      <c r="I947">
        <v>0</v>
      </c>
    </row>
    <row r="948" spans="1:9" x14ac:dyDescent="0.25">
      <c r="A948" s="113">
        <f t="shared" si="30"/>
        <v>72259</v>
      </c>
      <c r="B948" s="128">
        <f t="shared" si="29"/>
        <v>2097</v>
      </c>
      <c r="C948">
        <v>0.24553212622275164</v>
      </c>
      <c r="D948">
        <v>1.067828087870303</v>
      </c>
      <c r="E948">
        <v>0</v>
      </c>
      <c r="F948">
        <v>0.21452282585695245</v>
      </c>
      <c r="G948">
        <v>52.68016770836153</v>
      </c>
      <c r="H948">
        <v>0</v>
      </c>
      <c r="I948">
        <v>0</v>
      </c>
    </row>
    <row r="949" spans="1:9" x14ac:dyDescent="0.25">
      <c r="A949" s="113">
        <f t="shared" si="30"/>
        <v>72289</v>
      </c>
      <c r="B949" s="128">
        <f t="shared" si="29"/>
        <v>2097</v>
      </c>
      <c r="C949">
        <v>0.22142116351950408</v>
      </c>
      <c r="D949">
        <v>1.0460784833727741</v>
      </c>
      <c r="E949">
        <v>0</v>
      </c>
      <c r="F949">
        <v>0.21148047112525054</v>
      </c>
      <c r="G949">
        <v>51.644029917383001</v>
      </c>
      <c r="H949">
        <v>0</v>
      </c>
      <c r="I949">
        <v>0</v>
      </c>
    </row>
    <row r="950" spans="1:9" x14ac:dyDescent="0.25">
      <c r="A950" s="113">
        <f t="shared" si="30"/>
        <v>72320</v>
      </c>
      <c r="B950" s="128">
        <f t="shared" si="29"/>
        <v>2097</v>
      </c>
      <c r="C950">
        <v>0.23024323361634372</v>
      </c>
      <c r="D950">
        <v>1.0248248959433728</v>
      </c>
      <c r="E950">
        <v>0</v>
      </c>
      <c r="F950">
        <v>0.20849275771937931</v>
      </c>
      <c r="G950">
        <v>50.640955497336606</v>
      </c>
      <c r="H950">
        <v>0</v>
      </c>
      <c r="I950">
        <v>0</v>
      </c>
    </row>
    <row r="951" spans="1:9" x14ac:dyDescent="0.25">
      <c r="A951" s="113">
        <f t="shared" si="30"/>
        <v>72351</v>
      </c>
      <c r="B951" s="128">
        <f t="shared" si="29"/>
        <v>2098</v>
      </c>
      <c r="C951">
        <v>0.21415480006335813</v>
      </c>
      <c r="D951">
        <v>1.0039772525284683</v>
      </c>
      <c r="E951">
        <v>0</v>
      </c>
      <c r="F951">
        <v>0.20556485605804223</v>
      </c>
      <c r="G951">
        <v>49.645568188813442</v>
      </c>
      <c r="H951">
        <v>0</v>
      </c>
      <c r="I951">
        <v>0</v>
      </c>
    </row>
    <row r="952" spans="1:9" x14ac:dyDescent="0.25">
      <c r="A952" s="113">
        <f t="shared" si="30"/>
        <v>72379</v>
      </c>
      <c r="B952" s="128">
        <f t="shared" si="29"/>
        <v>2098</v>
      </c>
      <c r="C952">
        <v>0.21524191833612094</v>
      </c>
      <c r="D952">
        <v>0.98358123565168654</v>
      </c>
      <c r="E952">
        <v>0</v>
      </c>
      <c r="F952">
        <v>0.2026905754101116</v>
      </c>
      <c r="G952">
        <v>48.674538296087761</v>
      </c>
      <c r="H952">
        <v>0</v>
      </c>
      <c r="I952">
        <v>0</v>
      </c>
    </row>
    <row r="953" spans="1:9" x14ac:dyDescent="0.25">
      <c r="A953" s="113">
        <f t="shared" si="30"/>
        <v>72410</v>
      </c>
      <c r="B953" s="128">
        <f t="shared" si="29"/>
        <v>2098</v>
      </c>
      <c r="C953">
        <v>0.20905062225357013</v>
      </c>
      <c r="D953">
        <v>0.96360394619880785</v>
      </c>
      <c r="E953">
        <v>0</v>
      </c>
      <c r="F953">
        <v>0.19987259768155086</v>
      </c>
      <c r="G953">
        <v>47.720112374460982</v>
      </c>
      <c r="H953">
        <v>0</v>
      </c>
      <c r="I953">
        <v>0</v>
      </c>
    </row>
    <row r="954" spans="1:9" x14ac:dyDescent="0.25">
      <c r="A954" s="113">
        <f t="shared" si="30"/>
        <v>72440</v>
      </c>
      <c r="B954" s="128">
        <f t="shared" si="29"/>
        <v>2098</v>
      </c>
      <c r="C954">
        <v>0.22902031705287296</v>
      </c>
      <c r="D954">
        <v>0.94412025420128476</v>
      </c>
      <c r="E954">
        <v>0</v>
      </c>
      <c r="F954">
        <v>0.19710918242742256</v>
      </c>
      <c r="G954">
        <v>46.807903254885147</v>
      </c>
      <c r="H954">
        <v>0</v>
      </c>
      <c r="I954">
        <v>0</v>
      </c>
    </row>
    <row r="955" spans="1:9" x14ac:dyDescent="0.25">
      <c r="A955" s="113">
        <f t="shared" si="30"/>
        <v>72471</v>
      </c>
      <c r="B955" s="128">
        <f t="shared" si="29"/>
        <v>2098</v>
      </c>
      <c r="C955">
        <v>0.24009985734564054</v>
      </c>
      <c r="D955">
        <v>0.92509228164554824</v>
      </c>
      <c r="E955">
        <v>0</v>
      </c>
      <c r="F955">
        <v>0.19440454186678849</v>
      </c>
      <c r="G955">
        <v>45.928506288718467</v>
      </c>
      <c r="H955">
        <v>0</v>
      </c>
      <c r="I955">
        <v>0</v>
      </c>
    </row>
    <row r="956" spans="1:9" x14ac:dyDescent="0.25">
      <c r="A956" s="113">
        <f t="shared" si="30"/>
        <v>72501</v>
      </c>
      <c r="B956" s="128">
        <f t="shared" si="29"/>
        <v>2098</v>
      </c>
      <c r="C956">
        <v>0.21630310801718605</v>
      </c>
      <c r="D956">
        <v>0.90639890142232138</v>
      </c>
      <c r="E956">
        <v>0</v>
      </c>
      <c r="F956">
        <v>0.19175444820968005</v>
      </c>
      <c r="G956">
        <v>45.04665604710366</v>
      </c>
      <c r="H956">
        <v>0</v>
      </c>
      <c r="I956">
        <v>0</v>
      </c>
    </row>
    <row r="957" spans="1:9" x14ac:dyDescent="0.25">
      <c r="A957" s="113">
        <f t="shared" si="30"/>
        <v>72532</v>
      </c>
      <c r="B957" s="128">
        <f t="shared" si="29"/>
        <v>2098</v>
      </c>
      <c r="C957">
        <v>0.19755837035868271</v>
      </c>
      <c r="D957">
        <v>0.88804788755754416</v>
      </c>
      <c r="E957">
        <v>0</v>
      </c>
      <c r="F957">
        <v>0.18914986281419308</v>
      </c>
      <c r="G957">
        <v>44.167016667090557</v>
      </c>
      <c r="H957">
        <v>0</v>
      </c>
      <c r="I957">
        <v>0</v>
      </c>
    </row>
    <row r="958" spans="1:9" x14ac:dyDescent="0.25">
      <c r="A958" s="113">
        <f t="shared" si="30"/>
        <v>72563</v>
      </c>
      <c r="B958" s="128">
        <f t="shared" si="29"/>
        <v>2098</v>
      </c>
      <c r="C958">
        <v>0.19889093563590246</v>
      </c>
      <c r="D958">
        <v>0.87009544518893367</v>
      </c>
      <c r="E958">
        <v>0</v>
      </c>
      <c r="F958">
        <v>0.18659165608351375</v>
      </c>
      <c r="G958">
        <v>43.309220501454092</v>
      </c>
      <c r="H958">
        <v>0</v>
      </c>
      <c r="I958">
        <v>0</v>
      </c>
    </row>
    <row r="959" spans="1:9" x14ac:dyDescent="0.25">
      <c r="A959" s="113">
        <f t="shared" si="30"/>
        <v>72593</v>
      </c>
      <c r="B959" s="128">
        <f t="shared" si="29"/>
        <v>2098</v>
      </c>
      <c r="C959">
        <v>0.20547340487822047</v>
      </c>
      <c r="D959">
        <v>0.85255008823362688</v>
      </c>
      <c r="E959">
        <v>0</v>
      </c>
      <c r="F959">
        <v>0.18408380466760321</v>
      </c>
      <c r="G959">
        <v>42.478060013431026</v>
      </c>
      <c r="H959">
        <v>0</v>
      </c>
      <c r="I959">
        <v>0</v>
      </c>
    </row>
    <row r="960" spans="1:9" x14ac:dyDescent="0.25">
      <c r="A960" s="113">
        <f t="shared" si="30"/>
        <v>72624</v>
      </c>
      <c r="B960" s="128">
        <f t="shared" si="29"/>
        <v>2098</v>
      </c>
      <c r="C960">
        <v>0.21143139343329767</v>
      </c>
      <c r="D960">
        <v>0.90838348707301986</v>
      </c>
      <c r="E960">
        <v>0</v>
      </c>
      <c r="F960">
        <v>0.18162663132720425</v>
      </c>
      <c r="G960">
        <v>41.599481288464105</v>
      </c>
      <c r="H960">
        <v>0</v>
      </c>
      <c r="I960">
        <v>0</v>
      </c>
    </row>
    <row r="961" spans="1:9" x14ac:dyDescent="0.25">
      <c r="A961" s="113">
        <f t="shared" si="30"/>
        <v>72654</v>
      </c>
      <c r="B961" s="128">
        <f t="shared" si="29"/>
        <v>2098</v>
      </c>
      <c r="C961">
        <v>0.18856980529741921</v>
      </c>
      <c r="D961">
        <v>0.88832874249011273</v>
      </c>
      <c r="E961">
        <v>0</v>
      </c>
      <c r="F961">
        <v>0.17900466450949565</v>
      </c>
      <c r="G961">
        <v>40.720717686761915</v>
      </c>
      <c r="H961">
        <v>0</v>
      </c>
      <c r="I961">
        <v>0</v>
      </c>
    </row>
    <row r="962" spans="1:9" x14ac:dyDescent="0.25">
      <c r="A962" s="113">
        <f t="shared" si="30"/>
        <v>72685</v>
      </c>
      <c r="B962" s="128">
        <f t="shared" si="29"/>
        <v>2098</v>
      </c>
      <c r="C962">
        <v>0.19739041028164053</v>
      </c>
      <c r="D962">
        <v>0.8687710491012669</v>
      </c>
      <c r="E962">
        <v>0</v>
      </c>
      <c r="F962">
        <v>0.17643377329300486</v>
      </c>
      <c r="G962">
        <v>39.872903274649289</v>
      </c>
      <c r="H962">
        <v>0</v>
      </c>
      <c r="I962">
        <v>0</v>
      </c>
    </row>
    <row r="963" spans="1:9" x14ac:dyDescent="0.25">
      <c r="A963" s="113">
        <f t="shared" si="30"/>
        <v>72716</v>
      </c>
      <c r="B963" s="128">
        <f t="shared" ref="B963:B1026" si="31">YEAR(A963)</f>
        <v>2099</v>
      </c>
      <c r="C963">
        <v>0.18224189524791223</v>
      </c>
      <c r="D963">
        <v>0.84962244394465691</v>
      </c>
      <c r="E963">
        <v>0</v>
      </c>
      <c r="F963">
        <v>0.17391885762492032</v>
      </c>
      <c r="G963">
        <v>39.031603868327579</v>
      </c>
      <c r="H963">
        <v>0</v>
      </c>
      <c r="I963">
        <v>0</v>
      </c>
    </row>
    <row r="964" spans="1:9" x14ac:dyDescent="0.25">
      <c r="A964" s="113">
        <f t="shared" si="30"/>
        <v>72744</v>
      </c>
      <c r="B964" s="128">
        <f t="shared" si="31"/>
        <v>2099</v>
      </c>
      <c r="C964">
        <v>0.18361521085318819</v>
      </c>
      <c r="D964">
        <v>0.83092562249706159</v>
      </c>
      <c r="E964">
        <v>0</v>
      </c>
      <c r="F964">
        <v>0.17145389072764097</v>
      </c>
      <c r="G964">
        <v>38.21283956595606</v>
      </c>
      <c r="H964">
        <v>0</v>
      </c>
      <c r="I964">
        <v>0</v>
      </c>
    </row>
    <row r="965" spans="1:9" x14ac:dyDescent="0.25">
      <c r="A965" s="113">
        <f t="shared" si="30"/>
        <v>72775</v>
      </c>
      <c r="B965" s="128">
        <f t="shared" si="31"/>
        <v>2099</v>
      </c>
      <c r="C965">
        <v>0.17798315619366864</v>
      </c>
      <c r="D965">
        <v>0.8126477233523588</v>
      </c>
      <c r="E965">
        <v>0</v>
      </c>
      <c r="F965">
        <v>0.16904138589578938</v>
      </c>
      <c r="G965">
        <v>37.409133612901599</v>
      </c>
      <c r="H965">
        <v>0</v>
      </c>
      <c r="I965">
        <v>0</v>
      </c>
    </row>
    <row r="966" spans="1:9" x14ac:dyDescent="0.25">
      <c r="A966" s="113">
        <f t="shared" si="30"/>
        <v>72805</v>
      </c>
      <c r="B966" s="128">
        <f t="shared" si="31"/>
        <v>2099</v>
      </c>
      <c r="C966">
        <v>0.1975177461577641</v>
      </c>
      <c r="D966">
        <v>0.79485961486583712</v>
      </c>
      <c r="E966">
        <v>0</v>
      </c>
      <c r="F966">
        <v>0.16667960526264247</v>
      </c>
      <c r="G966">
        <v>36.645112138930877</v>
      </c>
      <c r="H966">
        <v>0</v>
      </c>
      <c r="I966">
        <v>0</v>
      </c>
    </row>
    <row r="967" spans="1:9" x14ac:dyDescent="0.25">
      <c r="A967" s="113">
        <f t="shared" si="30"/>
        <v>72836</v>
      </c>
      <c r="B967" s="128">
        <f t="shared" si="31"/>
        <v>2099</v>
      </c>
      <c r="C967">
        <v>0.20849623990731986</v>
      </c>
      <c r="D967">
        <v>0.7775237341617075</v>
      </c>
      <c r="E967">
        <v>0</v>
      </c>
      <c r="F967">
        <v>0.16437254148001415</v>
      </c>
      <c r="G967">
        <v>35.9117121031965</v>
      </c>
      <c r="H967">
        <v>0</v>
      </c>
      <c r="I967">
        <v>0</v>
      </c>
    </row>
    <row r="968" spans="1:9" x14ac:dyDescent="0.25">
      <c r="A968" s="113">
        <f t="shared" si="30"/>
        <v>72866</v>
      </c>
      <c r="B968" s="128">
        <f t="shared" si="31"/>
        <v>2099</v>
      </c>
      <c r="C968">
        <v>0.18591734590214903</v>
      </c>
      <c r="D968">
        <v>0.76052246670899493</v>
      </c>
      <c r="E968">
        <v>0</v>
      </c>
      <c r="F968">
        <v>0.16211607040914128</v>
      </c>
      <c r="G968">
        <v>35.174990911980494</v>
      </c>
      <c r="H968">
        <v>0</v>
      </c>
      <c r="I968">
        <v>0</v>
      </c>
    </row>
    <row r="969" spans="1:9" x14ac:dyDescent="0.25">
      <c r="A969" s="113">
        <f t="shared" si="30"/>
        <v>72897</v>
      </c>
      <c r="B969" s="128">
        <f t="shared" si="31"/>
        <v>2099</v>
      </c>
      <c r="C969">
        <v>0.16819605466883122</v>
      </c>
      <c r="D969">
        <v>0.74386225473444745</v>
      </c>
      <c r="E969">
        <v>0</v>
      </c>
      <c r="F969">
        <v>0.15990144261780356</v>
      </c>
      <c r="G969">
        <v>34.439423269297052</v>
      </c>
      <c r="H969">
        <v>0</v>
      </c>
      <c r="I969">
        <v>0</v>
      </c>
    </row>
    <row r="970" spans="1:9" x14ac:dyDescent="0.25">
      <c r="A970" s="113">
        <f t="shared" si="30"/>
        <v>72928</v>
      </c>
      <c r="B970" s="128">
        <f t="shared" si="31"/>
        <v>2099</v>
      </c>
      <c r="C970">
        <v>0.1697881734798313</v>
      </c>
      <c r="D970">
        <v>0.72759617572665658</v>
      </c>
      <c r="E970">
        <v>0</v>
      </c>
      <c r="F970">
        <v>0.15772944528170604</v>
      </c>
      <c r="G970">
        <v>33.723885821768569</v>
      </c>
      <c r="H970">
        <v>0</v>
      </c>
      <c r="I970">
        <v>0</v>
      </c>
    </row>
    <row r="971" spans="1:9" x14ac:dyDescent="0.25">
      <c r="A971" s="113">
        <f t="shared" si="30"/>
        <v>72958</v>
      </c>
      <c r="B971" s="128">
        <f t="shared" si="31"/>
        <v>2099</v>
      </c>
      <c r="C971">
        <v>0.17642823891662165</v>
      </c>
      <c r="D971">
        <v>0.71173146189066783</v>
      </c>
      <c r="E971">
        <v>0</v>
      </c>
      <c r="F971">
        <v>0.15560385710395647</v>
      </c>
      <c r="G971">
        <v>33.032978741690542</v>
      </c>
      <c r="H971">
        <v>0</v>
      </c>
      <c r="I971">
        <v>0</v>
      </c>
    </row>
    <row r="972" spans="1:9" x14ac:dyDescent="0.25">
      <c r="A972" s="113">
        <f t="shared" ref="A972:A1035" si="32">DATE(YEAR(A971),MONTH(A971)+2,1)-1</f>
        <v>72989</v>
      </c>
      <c r="B972" s="128">
        <f t="shared" si="31"/>
        <v>2099</v>
      </c>
      <c r="C972">
        <v>0.1824644851192434</v>
      </c>
      <c r="D972">
        <v>0.75663728278912878</v>
      </c>
      <c r="E972">
        <v>0</v>
      </c>
      <c r="F972">
        <v>0.15352494428315605</v>
      </c>
      <c r="G972">
        <v>32.305280999737505</v>
      </c>
      <c r="H972">
        <v>0</v>
      </c>
      <c r="I972">
        <v>0</v>
      </c>
    </row>
    <row r="973" spans="1:9" x14ac:dyDescent="0.25">
      <c r="A973" s="113">
        <f t="shared" si="32"/>
        <v>73019</v>
      </c>
      <c r="B973" s="128">
        <f t="shared" si="31"/>
        <v>2099</v>
      </c>
      <c r="C973">
        <v>0.16079634685810315</v>
      </c>
      <c r="D973">
        <v>0.73856286077930855</v>
      </c>
      <c r="E973">
        <v>0</v>
      </c>
      <c r="F973">
        <v>0.15131181933683144</v>
      </c>
      <c r="G973">
        <v>31.576202666479475</v>
      </c>
      <c r="H973">
        <v>0</v>
      </c>
      <c r="I973">
        <v>0</v>
      </c>
    </row>
    <row r="974" spans="1:9" x14ac:dyDescent="0.25">
      <c r="A974" s="113">
        <f t="shared" si="32"/>
        <v>73050</v>
      </c>
      <c r="B974" s="128">
        <f t="shared" si="31"/>
        <v>2099</v>
      </c>
      <c r="C974">
        <v>0.16960608901006022</v>
      </c>
      <c r="D974">
        <v>0.7209762308437343</v>
      </c>
      <c r="E974">
        <v>0</v>
      </c>
      <c r="F974">
        <v>0.14914526265015349</v>
      </c>
      <c r="G974">
        <v>30.87568726199564</v>
      </c>
      <c r="H974">
        <v>0</v>
      </c>
      <c r="I974">
        <v>0</v>
      </c>
    </row>
    <row r="975" spans="1:9" x14ac:dyDescent="0.25">
      <c r="A975" s="113">
        <f t="shared" si="32"/>
        <v>73081</v>
      </c>
      <c r="B975" s="128">
        <f t="shared" si="31"/>
        <v>2100</v>
      </c>
      <c r="C975">
        <v>0.15535156374962167</v>
      </c>
      <c r="D975">
        <v>0.70379159092438359</v>
      </c>
      <c r="E975">
        <v>0</v>
      </c>
      <c r="F975">
        <v>0.14702994034564681</v>
      </c>
      <c r="G975">
        <v>30.180217294475245</v>
      </c>
      <c r="H975">
        <v>0</v>
      </c>
      <c r="I975">
        <v>0</v>
      </c>
    </row>
    <row r="976" spans="1:9" x14ac:dyDescent="0.25">
      <c r="A976" s="113">
        <f t="shared" si="32"/>
        <v>73109</v>
      </c>
      <c r="B976" s="128">
        <f t="shared" si="31"/>
        <v>2100</v>
      </c>
      <c r="C976">
        <v>0.15698909828175658</v>
      </c>
      <c r="D976">
        <v>0.68704889649991385</v>
      </c>
      <c r="E976">
        <v>0</v>
      </c>
      <c r="F976">
        <v>0.14496000956713564</v>
      </c>
      <c r="G976">
        <v>29.505197486689937</v>
      </c>
      <c r="H976">
        <v>0</v>
      </c>
      <c r="I976">
        <v>0</v>
      </c>
    </row>
    <row r="977" spans="1:9" x14ac:dyDescent="0.25">
      <c r="A977" s="113">
        <f t="shared" si="32"/>
        <v>73140</v>
      </c>
      <c r="B977" s="128">
        <f t="shared" si="31"/>
        <v>2100</v>
      </c>
      <c r="C977">
        <v>0.15188315909239078</v>
      </c>
      <c r="D977">
        <v>0.67071545904236762</v>
      </c>
      <c r="E977">
        <v>0</v>
      </c>
      <c r="F977">
        <v>0.14293784734273451</v>
      </c>
      <c r="G977">
        <v>28.843427339397238</v>
      </c>
      <c r="H977">
        <v>0</v>
      </c>
      <c r="I977">
        <v>0</v>
      </c>
    </row>
    <row r="978" spans="1:9" x14ac:dyDescent="0.25">
      <c r="A978" s="113">
        <f t="shared" si="32"/>
        <v>73170</v>
      </c>
      <c r="B978" s="128">
        <f t="shared" si="31"/>
        <v>2100</v>
      </c>
      <c r="C978">
        <v>0.17098643094776453</v>
      </c>
      <c r="D978">
        <v>0.65485843597154059</v>
      </c>
      <c r="E978">
        <v>0</v>
      </c>
      <c r="F978">
        <v>0.14096174400128142</v>
      </c>
      <c r="G978">
        <v>28.218593590372173</v>
      </c>
      <c r="H978">
        <v>0</v>
      </c>
      <c r="I978">
        <v>0</v>
      </c>
    </row>
    <row r="979" spans="1:9" x14ac:dyDescent="0.25">
      <c r="A979" s="113">
        <f t="shared" si="32"/>
        <v>73201</v>
      </c>
      <c r="B979" s="128">
        <f t="shared" si="31"/>
        <v>2100</v>
      </c>
      <c r="C979">
        <v>0.18185425676994166</v>
      </c>
      <c r="D979">
        <v>0.63944070889267668</v>
      </c>
      <c r="E979">
        <v>0</v>
      </c>
      <c r="F979">
        <v>0.13903550641332463</v>
      </c>
      <c r="G979">
        <v>27.6219716318361</v>
      </c>
      <c r="H979">
        <v>0</v>
      </c>
      <c r="I979">
        <v>0</v>
      </c>
    </row>
    <row r="980" spans="1:9" x14ac:dyDescent="0.25">
      <c r="A980" s="113">
        <f t="shared" si="32"/>
        <v>73231</v>
      </c>
      <c r="B980" s="128">
        <f t="shared" si="31"/>
        <v>2100</v>
      </c>
      <c r="C980">
        <v>0.16043288836913558</v>
      </c>
      <c r="D980">
        <v>0.62434818596801389</v>
      </c>
      <c r="E980">
        <v>0</v>
      </c>
      <c r="F980">
        <v>0.13715513536618676</v>
      </c>
      <c r="G980">
        <v>27.020901198871059</v>
      </c>
      <c r="H980">
        <v>0</v>
      </c>
      <c r="I980">
        <v>0</v>
      </c>
    </row>
    <row r="981" spans="1:9" x14ac:dyDescent="0.25">
      <c r="A981" s="113">
        <f t="shared" si="32"/>
        <v>73262</v>
      </c>
      <c r="B981" s="128">
        <f t="shared" si="31"/>
        <v>2100</v>
      </c>
      <c r="C981">
        <v>0.14368138493315002</v>
      </c>
      <c r="D981">
        <v>0.60958617305390439</v>
      </c>
      <c r="E981">
        <v>0</v>
      </c>
      <c r="F981">
        <v>0.13531218460876132</v>
      </c>
      <c r="G981">
        <v>26.419684226141534</v>
      </c>
      <c r="H981">
        <v>0</v>
      </c>
      <c r="I981">
        <v>0</v>
      </c>
    </row>
    <row r="982" spans="1:9" x14ac:dyDescent="0.25">
      <c r="A982" s="113">
        <f t="shared" si="32"/>
        <v>73293</v>
      </c>
      <c r="B982" s="128">
        <f t="shared" si="31"/>
        <v>2100</v>
      </c>
      <c r="C982">
        <v>0.14550767772895906</v>
      </c>
      <c r="D982">
        <v>0.59520488496257518</v>
      </c>
      <c r="E982">
        <v>0</v>
      </c>
      <c r="F982">
        <v>0.13350738589637853</v>
      </c>
      <c r="G982">
        <v>25.836479633011525</v>
      </c>
      <c r="H982">
        <v>0</v>
      </c>
      <c r="I982">
        <v>0</v>
      </c>
    </row>
    <row r="983" spans="1:9" x14ac:dyDescent="0.25">
      <c r="A983" s="113">
        <f t="shared" si="32"/>
        <v>73323</v>
      </c>
      <c r="B983" s="128">
        <f t="shared" si="31"/>
        <v>2100</v>
      </c>
      <c r="C983">
        <v>0.15218696567056506</v>
      </c>
      <c r="D983">
        <v>0.58121046846077495</v>
      </c>
      <c r="E983">
        <v>0</v>
      </c>
      <c r="F983">
        <v>0.13174435185238373</v>
      </c>
      <c r="G983">
        <v>25.27571177836894</v>
      </c>
      <c r="H983">
        <v>0</v>
      </c>
      <c r="I983">
        <v>0</v>
      </c>
    </row>
    <row r="984" spans="1:9" x14ac:dyDescent="0.25">
      <c r="A984" s="113">
        <f t="shared" si="32"/>
        <v>73354</v>
      </c>
      <c r="B984" s="128">
        <f t="shared" si="31"/>
        <v>2100</v>
      </c>
      <c r="C984">
        <v>0.15828168816673166</v>
      </c>
      <c r="D984">
        <v>0.61622390916695413</v>
      </c>
      <c r="E984">
        <v>0</v>
      </c>
      <c r="F984">
        <v>0.1300233183264683</v>
      </c>
      <c r="G984">
        <v>24.687746239042244</v>
      </c>
      <c r="H984">
        <v>0</v>
      </c>
      <c r="I984">
        <v>0</v>
      </c>
    </row>
    <row r="985" spans="1:9" x14ac:dyDescent="0.25">
      <c r="A985" s="113">
        <f t="shared" si="32"/>
        <v>73384</v>
      </c>
      <c r="B985" s="128">
        <f t="shared" si="31"/>
        <v>2100</v>
      </c>
      <c r="C985">
        <v>0.13774335866130311</v>
      </c>
      <c r="D985">
        <v>0.60034097756275451</v>
      </c>
      <c r="E985">
        <v>0</v>
      </c>
      <c r="F985">
        <v>0.12819635544666308</v>
      </c>
      <c r="G985">
        <v>24.096952264694139</v>
      </c>
      <c r="H985">
        <v>0</v>
      </c>
      <c r="I985">
        <v>0</v>
      </c>
    </row>
    <row r="986" spans="1:9" x14ac:dyDescent="0.25">
      <c r="A986" s="113">
        <f t="shared" si="32"/>
        <v>73415</v>
      </c>
      <c r="B986" s="128">
        <f t="shared" si="31"/>
        <v>2100</v>
      </c>
      <c r="C986">
        <v>0.14652353147606814</v>
      </c>
      <c r="D986">
        <v>0.5849256779043277</v>
      </c>
      <c r="E986">
        <v>0</v>
      </c>
      <c r="F986">
        <v>0.1264106815686018</v>
      </c>
      <c r="G986">
        <v>23.532139436697278</v>
      </c>
      <c r="H986">
        <v>0</v>
      </c>
      <c r="I986">
        <v>0</v>
      </c>
    </row>
    <row r="987" spans="1:9" x14ac:dyDescent="0.25">
      <c r="A987" s="113">
        <f t="shared" si="32"/>
        <v>73446</v>
      </c>
      <c r="B987" s="128">
        <f t="shared" si="31"/>
        <v>2101</v>
      </c>
      <c r="C987">
        <v>0.13310931639516468</v>
      </c>
      <c r="D987">
        <v>0.56989450383173113</v>
      </c>
      <c r="E987">
        <v>0</v>
      </c>
      <c r="F987">
        <v>0.12467076856512084</v>
      </c>
      <c r="G987">
        <v>22.970683480695591</v>
      </c>
      <c r="H987">
        <v>0</v>
      </c>
      <c r="I987">
        <v>0</v>
      </c>
    </row>
    <row r="988" spans="1:9" x14ac:dyDescent="0.25">
      <c r="A988" s="113">
        <f t="shared" si="32"/>
        <v>73474</v>
      </c>
      <c r="B988" s="128">
        <f t="shared" si="31"/>
        <v>2101</v>
      </c>
      <c r="C988">
        <v>0.13498060846890447</v>
      </c>
      <c r="D988">
        <v>0.55528499184797853</v>
      </c>
      <c r="E988">
        <v>0</v>
      </c>
      <c r="F988">
        <v>0.12297098077658376</v>
      </c>
      <c r="G988">
        <v>22.427408116539922</v>
      </c>
      <c r="H988">
        <v>0</v>
      </c>
      <c r="I988">
        <v>0</v>
      </c>
    </row>
    <row r="989" spans="1:9" x14ac:dyDescent="0.25">
      <c r="A989" s="113">
        <f t="shared" si="32"/>
        <v>73505</v>
      </c>
      <c r="B989" s="128">
        <f t="shared" si="31"/>
        <v>2101</v>
      </c>
      <c r="C989">
        <v>0.13035977585300187</v>
      </c>
      <c r="D989">
        <v>0.54106483714135867</v>
      </c>
      <c r="E989">
        <v>0</v>
      </c>
      <c r="F989">
        <v>0.12131359390069904</v>
      </c>
      <c r="G989">
        <v>21.89538946135086</v>
      </c>
      <c r="H989">
        <v>0</v>
      </c>
      <c r="I989">
        <v>0</v>
      </c>
    </row>
    <row r="990" spans="1:9" x14ac:dyDescent="0.25">
      <c r="A990" s="113">
        <f t="shared" si="32"/>
        <v>73535</v>
      </c>
      <c r="B990" s="128">
        <f t="shared" si="31"/>
        <v>2101</v>
      </c>
      <c r="C990">
        <v>0.14902641368318287</v>
      </c>
      <c r="D990">
        <v>0.52729784419011838</v>
      </c>
      <c r="E990">
        <v>0</v>
      </c>
      <c r="F990">
        <v>0.11969695468475859</v>
      </c>
      <c r="G990">
        <v>21.397421076159176</v>
      </c>
      <c r="H990">
        <v>0</v>
      </c>
      <c r="I990">
        <v>0</v>
      </c>
    </row>
    <row r="991" spans="1:9" x14ac:dyDescent="0.25">
      <c r="A991" s="113">
        <f t="shared" si="32"/>
        <v>73566</v>
      </c>
      <c r="B991" s="128">
        <f t="shared" si="31"/>
        <v>2101</v>
      </c>
      <c r="C991">
        <v>0.15976553655404249</v>
      </c>
      <c r="D991">
        <v>0.51394753930459658</v>
      </c>
      <c r="E991">
        <v>0</v>
      </c>
      <c r="F991">
        <v>0.11812472006544499</v>
      </c>
      <c r="G991">
        <v>20.925114353343162</v>
      </c>
      <c r="H991">
        <v>0</v>
      </c>
      <c r="I991">
        <v>0</v>
      </c>
    </row>
    <row r="992" spans="1:9" x14ac:dyDescent="0.25">
      <c r="A992" s="113">
        <f t="shared" si="32"/>
        <v>73596</v>
      </c>
      <c r="B992" s="128">
        <f t="shared" si="31"/>
        <v>2101</v>
      </c>
      <c r="C992">
        <v>0.13943505442836363</v>
      </c>
      <c r="D992">
        <v>0.50090343639627821</v>
      </c>
      <c r="E992">
        <v>0</v>
      </c>
      <c r="F992">
        <v>0.11659303933822465</v>
      </c>
      <c r="G992">
        <v>20.447052932037035</v>
      </c>
      <c r="H992">
        <v>0</v>
      </c>
      <c r="I992">
        <v>0</v>
      </c>
    </row>
    <row r="993" spans="1:9" x14ac:dyDescent="0.25">
      <c r="A993" s="113">
        <f t="shared" si="32"/>
        <v>73627</v>
      </c>
      <c r="B993" s="128">
        <f t="shared" si="31"/>
        <v>2101</v>
      </c>
      <c r="C993">
        <v>0.12359330105848533</v>
      </c>
      <c r="D993">
        <v>0.48816996387170108</v>
      </c>
      <c r="E993">
        <v>0</v>
      </c>
      <c r="F993">
        <v>0.11509378576620129</v>
      </c>
      <c r="G993">
        <v>19.967382483457627</v>
      </c>
      <c r="H993">
        <v>0</v>
      </c>
      <c r="I993">
        <v>0</v>
      </c>
    </row>
    <row r="994" spans="1:9" x14ac:dyDescent="0.25">
      <c r="A994" s="113">
        <f t="shared" si="32"/>
        <v>73658</v>
      </c>
      <c r="B994" s="128">
        <f t="shared" si="31"/>
        <v>2101</v>
      </c>
      <c r="C994">
        <v>0.12562112172512699</v>
      </c>
      <c r="D994">
        <v>0.47579479730360685</v>
      </c>
      <c r="E994">
        <v>0</v>
      </c>
      <c r="F994">
        <v>0.11362766511248035</v>
      </c>
      <c r="G994">
        <v>19.50358114276667</v>
      </c>
      <c r="H994">
        <v>0</v>
      </c>
      <c r="I994">
        <v>0</v>
      </c>
    </row>
    <row r="995" spans="1:9" x14ac:dyDescent="0.25">
      <c r="A995" s="113">
        <f t="shared" si="32"/>
        <v>73688</v>
      </c>
      <c r="B995" s="128">
        <f t="shared" si="31"/>
        <v>2101</v>
      </c>
      <c r="C995">
        <v>0.13231391150724103</v>
      </c>
      <c r="D995">
        <v>0.4637832530053641</v>
      </c>
      <c r="E995">
        <v>0</v>
      </c>
      <c r="F995">
        <v>0.11219815704467381</v>
      </c>
      <c r="G995">
        <v>19.05991364422384</v>
      </c>
      <c r="H995">
        <v>0</v>
      </c>
      <c r="I995">
        <v>0</v>
      </c>
    </row>
    <row r="996" spans="1:9" x14ac:dyDescent="0.25">
      <c r="A996" s="113">
        <f t="shared" si="32"/>
        <v>73719</v>
      </c>
      <c r="B996" s="128">
        <f t="shared" si="31"/>
        <v>2101</v>
      </c>
      <c r="C996">
        <v>0.13844022105725431</v>
      </c>
      <c r="D996">
        <v>0.49017452962482616</v>
      </c>
      <c r="E996">
        <v>0</v>
      </c>
      <c r="F996">
        <v>0.11080549454375155</v>
      </c>
      <c r="G996">
        <v>18.59737384111255</v>
      </c>
      <c r="H996">
        <v>0</v>
      </c>
      <c r="I996">
        <v>0</v>
      </c>
    </row>
    <row r="997" spans="1:9" x14ac:dyDescent="0.25">
      <c r="A997" s="113">
        <f t="shared" si="32"/>
        <v>73749</v>
      </c>
      <c r="B997" s="128">
        <f t="shared" si="31"/>
        <v>2101</v>
      </c>
      <c r="C997">
        <v>0.11896189079606903</v>
      </c>
      <c r="D997">
        <v>0.47660052972638633</v>
      </c>
      <c r="E997">
        <v>0</v>
      </c>
      <c r="F997">
        <v>0.10933205516151344</v>
      </c>
      <c r="G997">
        <v>18.130403147020697</v>
      </c>
      <c r="H997">
        <v>0</v>
      </c>
      <c r="I997">
        <v>0</v>
      </c>
    </row>
    <row r="998" spans="1:9" x14ac:dyDescent="0.25">
      <c r="A998" s="113">
        <f t="shared" si="32"/>
        <v>73780</v>
      </c>
      <c r="B998" s="128">
        <f t="shared" si="31"/>
        <v>2101</v>
      </c>
      <c r="C998">
        <v>0.12768614379694848</v>
      </c>
      <c r="D998">
        <v>0.46346337775355567</v>
      </c>
      <c r="E998">
        <v>0</v>
      </c>
      <c r="F998">
        <v>0.10789409269058434</v>
      </c>
      <c r="G998">
        <v>17.686731820373502</v>
      </c>
      <c r="H998">
        <v>0</v>
      </c>
      <c r="I998">
        <v>0</v>
      </c>
    </row>
    <row r="999" spans="1:9" x14ac:dyDescent="0.25">
      <c r="A999" s="113">
        <f t="shared" si="32"/>
        <v>73811</v>
      </c>
      <c r="B999" s="128">
        <f t="shared" si="31"/>
        <v>2102</v>
      </c>
      <c r="C999">
        <v>0.11505246837942758</v>
      </c>
      <c r="D999">
        <v>0.45068207360059842</v>
      </c>
      <c r="E999">
        <v>0</v>
      </c>
      <c r="F999">
        <v>0.10649592491337237</v>
      </c>
      <c r="G999">
        <v>17.244606290238956</v>
      </c>
      <c r="H999">
        <v>0</v>
      </c>
      <c r="I999">
        <v>0</v>
      </c>
    </row>
    <row r="1000" spans="1:9" x14ac:dyDescent="0.25">
      <c r="A1000" s="113">
        <f t="shared" si="32"/>
        <v>73839</v>
      </c>
      <c r="B1000" s="128">
        <f t="shared" si="31"/>
        <v>2102</v>
      </c>
      <c r="C1000">
        <v>0.11712031320458681</v>
      </c>
      <c r="D1000">
        <v>0.43829212115708061</v>
      </c>
      <c r="E1000">
        <v>0</v>
      </c>
      <c r="F1000">
        <v>0.10513214758581572</v>
      </c>
      <c r="G1000">
        <v>16.81830233470065</v>
      </c>
      <c r="H1000">
        <v>0</v>
      </c>
      <c r="I1000">
        <v>0</v>
      </c>
    </row>
    <row r="1001" spans="1:9" x14ac:dyDescent="0.25">
      <c r="A1001" s="113">
        <f t="shared" si="32"/>
        <v>73870</v>
      </c>
      <c r="B1001" s="128">
        <f t="shared" si="31"/>
        <v>2102</v>
      </c>
      <c r="C1001">
        <v>0.11293746181748046</v>
      </c>
      <c r="D1001">
        <v>0.42626187638594215</v>
      </c>
      <c r="E1001">
        <v>0</v>
      </c>
      <c r="F1001">
        <v>0.10380497026406632</v>
      </c>
      <c r="G1001">
        <v>16.401172949868126</v>
      </c>
      <c r="H1001">
        <v>0</v>
      </c>
      <c r="I1001">
        <v>0</v>
      </c>
    </row>
    <row r="1002" spans="1:9" x14ac:dyDescent="0.25">
      <c r="A1002" s="113">
        <f t="shared" si="32"/>
        <v>73900</v>
      </c>
      <c r="B1002" s="128">
        <f t="shared" si="31"/>
        <v>2102</v>
      </c>
      <c r="C1002">
        <v>0.13115490722821199</v>
      </c>
      <c r="D1002">
        <v>0.41465220623518184</v>
      </c>
      <c r="E1002">
        <v>0</v>
      </c>
      <c r="F1002">
        <v>0.10251282460349785</v>
      </c>
      <c r="G1002">
        <v>16.015162826257679</v>
      </c>
      <c r="H1002">
        <v>0</v>
      </c>
      <c r="I1002">
        <v>0</v>
      </c>
    </row>
    <row r="1003" spans="1:9" x14ac:dyDescent="0.25">
      <c r="A1003" s="113">
        <f t="shared" si="32"/>
        <v>73931</v>
      </c>
      <c r="B1003" s="128">
        <f t="shared" si="31"/>
        <v>2102</v>
      </c>
      <c r="C1003">
        <v>0.14174075777992604</v>
      </c>
      <c r="D1003">
        <v>0.4034275421857676</v>
      </c>
      <c r="E1003">
        <v>0</v>
      </c>
      <c r="F1003">
        <v>0.10125925320029726</v>
      </c>
      <c r="G1003">
        <v>15.652216788651531</v>
      </c>
      <c r="H1003">
        <v>0</v>
      </c>
      <c r="I1003">
        <v>0</v>
      </c>
    </row>
    <row r="1004" spans="1:9" x14ac:dyDescent="0.25">
      <c r="A1004" s="113">
        <f t="shared" si="32"/>
        <v>73961</v>
      </c>
      <c r="B1004" s="128">
        <f t="shared" si="31"/>
        <v>2102</v>
      </c>
      <c r="C1004">
        <v>0.12243005561078149</v>
      </c>
      <c r="D1004">
        <v>0.39248114855223154</v>
      </c>
      <c r="E1004">
        <v>0</v>
      </c>
      <c r="F1004">
        <v>0.10004057742766727</v>
      </c>
      <c r="G1004">
        <v>15.282125118282416</v>
      </c>
      <c r="H1004">
        <v>0</v>
      </c>
      <c r="I1004">
        <v>0</v>
      </c>
    </row>
    <row r="1005" spans="1:9" x14ac:dyDescent="0.25">
      <c r="A1005" s="113">
        <f t="shared" si="32"/>
        <v>73992</v>
      </c>
      <c r="B1005" s="128">
        <f t="shared" si="31"/>
        <v>2102</v>
      </c>
      <c r="C1005">
        <v>0.10743352164308288</v>
      </c>
      <c r="D1005">
        <v>0.38181688713144751</v>
      </c>
      <c r="E1005">
        <v>0</v>
      </c>
      <c r="F1005">
        <v>9.884900644336142E-2</v>
      </c>
      <c r="G1005">
        <v>14.908892746350691</v>
      </c>
      <c r="H1005">
        <v>0</v>
      </c>
      <c r="I1005">
        <v>0</v>
      </c>
    </row>
    <row r="1006" spans="1:9" x14ac:dyDescent="0.25">
      <c r="A1006" s="113">
        <f t="shared" si="32"/>
        <v>74023</v>
      </c>
      <c r="B1006" s="128">
        <f t="shared" si="31"/>
        <v>2102</v>
      </c>
      <c r="C1006">
        <v>0.10962491609683143</v>
      </c>
      <c r="D1006">
        <v>0.37148026422674346</v>
      </c>
      <c r="E1006">
        <v>0</v>
      </c>
      <c r="F1006">
        <v>9.7685248790742141E-2</v>
      </c>
      <c r="G1006">
        <v>14.549352149430032</v>
      </c>
      <c r="H1006">
        <v>0</v>
      </c>
      <c r="I1006">
        <v>0</v>
      </c>
    </row>
    <row r="1007" spans="1:9" x14ac:dyDescent="0.25">
      <c r="A1007" s="113">
        <f t="shared" si="32"/>
        <v>74053</v>
      </c>
      <c r="B1007" s="128">
        <f t="shared" si="31"/>
        <v>2102</v>
      </c>
      <c r="C1007">
        <v>0.11630013841407237</v>
      </c>
      <c r="D1007">
        <v>0.36147606694122686</v>
      </c>
      <c r="E1007">
        <v>0</v>
      </c>
      <c r="F1007">
        <v>9.65526833113316E-2</v>
      </c>
      <c r="G1007">
        <v>14.207623537591548</v>
      </c>
      <c r="H1007">
        <v>0</v>
      </c>
      <c r="I1007">
        <v>0</v>
      </c>
    </row>
    <row r="1008" spans="1:9" x14ac:dyDescent="0.25">
      <c r="A1008" s="113">
        <f t="shared" si="32"/>
        <v>74084</v>
      </c>
      <c r="B1008" s="128">
        <f t="shared" si="31"/>
        <v>2102</v>
      </c>
      <c r="C1008">
        <v>0.12242606178486644</v>
      </c>
      <c r="D1008">
        <v>0.38064435919790879</v>
      </c>
      <c r="E1008">
        <v>0</v>
      </c>
      <c r="F1008">
        <v>9.5451566626352957E-2</v>
      </c>
      <c r="G1008">
        <v>13.853953673552144</v>
      </c>
      <c r="H1008">
        <v>0</v>
      </c>
      <c r="I1008">
        <v>0</v>
      </c>
    </row>
    <row r="1009" spans="1:9" x14ac:dyDescent="0.25">
      <c r="A1009" s="113">
        <f t="shared" si="32"/>
        <v>74114</v>
      </c>
      <c r="B1009" s="128">
        <f t="shared" si="31"/>
        <v>2102</v>
      </c>
      <c r="C1009">
        <v>0.10393399532542767</v>
      </c>
      <c r="D1009">
        <v>0.36939213250735342</v>
      </c>
      <c r="E1009">
        <v>0</v>
      </c>
      <c r="F1009">
        <v>9.4291151842923152E-2</v>
      </c>
      <c r="G1009">
        <v>13.494204384527297</v>
      </c>
      <c r="H1009">
        <v>0</v>
      </c>
      <c r="I1009">
        <v>0</v>
      </c>
    </row>
    <row r="1010" spans="1:9" x14ac:dyDescent="0.25">
      <c r="A1010" s="113">
        <f t="shared" si="32"/>
        <v>74145</v>
      </c>
      <c r="B1010" s="128">
        <f t="shared" si="31"/>
        <v>2102</v>
      </c>
      <c r="C1010">
        <v>0.11257066815880812</v>
      </c>
      <c r="D1010">
        <v>0.35853660388951414</v>
      </c>
      <c r="E1010">
        <v>0</v>
      </c>
      <c r="F1010">
        <v>9.3160156978728093E-2</v>
      </c>
      <c r="G1010">
        <v>13.155078291817869</v>
      </c>
      <c r="H1010">
        <v>0</v>
      </c>
      <c r="I1010">
        <v>0</v>
      </c>
    </row>
    <row r="1011" spans="1:9" x14ac:dyDescent="0.25">
      <c r="A1011" s="113">
        <f t="shared" si="32"/>
        <v>74176</v>
      </c>
      <c r="B1011" s="128">
        <f t="shared" si="31"/>
        <v>2103</v>
      </c>
      <c r="C1011">
        <v>0.10065397931960059</v>
      </c>
      <c r="D1011">
        <v>0.34799954549997797</v>
      </c>
      <c r="E1011">
        <v>0</v>
      </c>
      <c r="F1011">
        <v>9.2062783624408062E-2</v>
      </c>
      <c r="G1011">
        <v>12.815669942013091</v>
      </c>
      <c r="H1011">
        <v>0</v>
      </c>
      <c r="I1011">
        <v>0</v>
      </c>
    </row>
    <row r="1012" spans="1:9" x14ac:dyDescent="0.25">
      <c r="A1012" s="113">
        <f t="shared" si="32"/>
        <v>74204</v>
      </c>
      <c r="B1012" s="128">
        <f t="shared" si="31"/>
        <v>2103</v>
      </c>
      <c r="C1012">
        <v>0.10287679236060389</v>
      </c>
      <c r="D1012">
        <v>0.33781485988341714</v>
      </c>
      <c r="E1012">
        <v>0</v>
      </c>
      <c r="F1012">
        <v>9.0993881287043429E-2</v>
      </c>
      <c r="G1012">
        <v>12.48973799320323</v>
      </c>
      <c r="H1012">
        <v>0</v>
      </c>
      <c r="I1012">
        <v>0</v>
      </c>
    </row>
    <row r="1013" spans="1:9" x14ac:dyDescent="0.25">
      <c r="A1013" s="113">
        <f t="shared" si="32"/>
        <v>74235</v>
      </c>
      <c r="B1013" s="128">
        <f t="shared" si="31"/>
        <v>2103</v>
      </c>
      <c r="C1013">
        <v>9.908104839108503E-2</v>
      </c>
      <c r="D1013">
        <v>0.32795188612197063</v>
      </c>
      <c r="E1013">
        <v>0</v>
      </c>
      <c r="F1013">
        <v>8.9955626054969443E-2</v>
      </c>
      <c r="G1013">
        <v>12.170911529417374</v>
      </c>
      <c r="H1013">
        <v>0</v>
      </c>
      <c r="I1013">
        <v>0</v>
      </c>
    </row>
    <row r="1014" spans="1:9" x14ac:dyDescent="0.25">
      <c r="A1014" s="113">
        <f t="shared" si="32"/>
        <v>74265</v>
      </c>
      <c r="B1014" s="128">
        <f t="shared" si="31"/>
        <v>2103</v>
      </c>
      <c r="C1014">
        <v>0.11683193680842162</v>
      </c>
      <c r="D1014">
        <v>0.31846900544219092</v>
      </c>
      <c r="E1014">
        <v>0</v>
      </c>
      <c r="F1014">
        <v>8.8946560515010709E-2</v>
      </c>
      <c r="G1014">
        <v>11.880327900268602</v>
      </c>
      <c r="H1014">
        <v>0</v>
      </c>
      <c r="I1014">
        <v>0</v>
      </c>
    </row>
    <row r="1015" spans="1:9" x14ac:dyDescent="0.25">
      <c r="A1015" s="113">
        <f t="shared" si="32"/>
        <v>74296</v>
      </c>
      <c r="B1015" s="128">
        <f t="shared" si="31"/>
        <v>2103</v>
      </c>
      <c r="C1015">
        <v>0.1272358440368018</v>
      </c>
      <c r="D1015">
        <v>0.30933185370273186</v>
      </c>
      <c r="E1015">
        <v>0</v>
      </c>
      <c r="F1015">
        <v>8.797014558624322E-2</v>
      </c>
      <c r="G1015">
        <v>11.61026174501642</v>
      </c>
      <c r="H1015">
        <v>0</v>
      </c>
      <c r="I1015">
        <v>0</v>
      </c>
    </row>
    <row r="1016" spans="1:9" x14ac:dyDescent="0.25">
      <c r="A1016" s="113">
        <f t="shared" si="32"/>
        <v>74326</v>
      </c>
      <c r="B1016" s="128">
        <f t="shared" si="31"/>
        <v>2103</v>
      </c>
      <c r="C1016">
        <v>0.10887172377823708</v>
      </c>
      <c r="D1016">
        <v>0.30043762999264806</v>
      </c>
      <c r="E1016">
        <v>0</v>
      </c>
      <c r="F1016">
        <v>8.7022895630701411E-2</v>
      </c>
      <c r="G1016">
        <v>11.331672943171302</v>
      </c>
      <c r="H1016">
        <v>0</v>
      </c>
      <c r="I1016">
        <v>0</v>
      </c>
    </row>
    <row r="1017" spans="1:9" x14ac:dyDescent="0.25">
      <c r="A1017" s="113">
        <f t="shared" si="32"/>
        <v>74357</v>
      </c>
      <c r="B1017" s="128">
        <f t="shared" si="31"/>
        <v>2103</v>
      </c>
      <c r="C1017">
        <v>9.465378048073754E-2</v>
      </c>
      <c r="D1017">
        <v>0.29178997045935434</v>
      </c>
      <c r="E1017">
        <v>0</v>
      </c>
      <c r="F1017">
        <v>8.6097369520984915E-2</v>
      </c>
      <c r="G1017">
        <v>11.048439383671703</v>
      </c>
      <c r="H1017">
        <v>0</v>
      </c>
      <c r="I1017">
        <v>0</v>
      </c>
    </row>
    <row r="1018" spans="1:9" x14ac:dyDescent="0.25">
      <c r="A1018" s="113">
        <f t="shared" si="32"/>
        <v>74388</v>
      </c>
      <c r="B1018" s="128">
        <f t="shared" si="31"/>
        <v>2103</v>
      </c>
      <c r="C1018">
        <v>9.6967928807669787E-2</v>
      </c>
      <c r="D1018">
        <v>0.28343260679911164</v>
      </c>
      <c r="E1018">
        <v>0</v>
      </c>
      <c r="F1018">
        <v>8.5194304158797404E-2</v>
      </c>
      <c r="G1018">
        <v>10.776780401521462</v>
      </c>
      <c r="H1018">
        <v>0</v>
      </c>
      <c r="I1018">
        <v>0</v>
      </c>
    </row>
    <row r="1019" spans="1:9" x14ac:dyDescent="0.25">
      <c r="A1019" s="113">
        <f t="shared" si="32"/>
        <v>74418</v>
      </c>
      <c r="B1019" s="128">
        <f t="shared" si="31"/>
        <v>2103</v>
      </c>
      <c r="C1019">
        <v>0.10359162359913623</v>
      </c>
      <c r="D1019">
        <v>0.27537012236895203</v>
      </c>
      <c r="E1019">
        <v>0</v>
      </c>
      <c r="F1019">
        <v>8.4317006212531187E-2</v>
      </c>
      <c r="G1019">
        <v>10.52068489653912</v>
      </c>
      <c r="H1019">
        <v>0</v>
      </c>
      <c r="I1019">
        <v>0</v>
      </c>
    </row>
    <row r="1020" spans="1:9" x14ac:dyDescent="0.25">
      <c r="A1020" s="113">
        <f t="shared" si="32"/>
        <v>74449</v>
      </c>
      <c r="B1020" s="128">
        <f t="shared" si="31"/>
        <v>2103</v>
      </c>
      <c r="C1020">
        <v>0.10968256349824772</v>
      </c>
      <c r="D1020">
        <v>0.28873655354336569</v>
      </c>
      <c r="E1020">
        <v>0</v>
      </c>
      <c r="F1020">
        <v>8.346577904309678E-2</v>
      </c>
      <c r="G1020">
        <v>10.258165127450907</v>
      </c>
      <c r="H1020">
        <v>0</v>
      </c>
      <c r="I1020">
        <v>0</v>
      </c>
    </row>
    <row r="1021" spans="1:9" x14ac:dyDescent="0.25">
      <c r="A1021" s="113">
        <f t="shared" si="32"/>
        <v>74479</v>
      </c>
      <c r="B1021" s="128">
        <f t="shared" si="31"/>
        <v>2103</v>
      </c>
      <c r="C1021">
        <v>9.2101783021811268E-2</v>
      </c>
      <c r="D1021">
        <v>0.2797142500026264</v>
      </c>
      <c r="E1021">
        <v>0</v>
      </c>
      <c r="F1021">
        <v>8.2572827574920085E-2</v>
      </c>
      <c r="G1021">
        <v>9.9879798328951637</v>
      </c>
      <c r="H1021">
        <v>0</v>
      </c>
      <c r="I1021">
        <v>0</v>
      </c>
    </row>
    <row r="1022" spans="1:9" x14ac:dyDescent="0.25">
      <c r="A1022" s="113">
        <f t="shared" si="32"/>
        <v>74510</v>
      </c>
      <c r="B1022" s="128">
        <f t="shared" si="31"/>
        <v>2103</v>
      </c>
      <c r="C1022">
        <v>0.10061665000652369</v>
      </c>
      <c r="D1022">
        <v>0.27104132394974617</v>
      </c>
      <c r="E1022">
        <v>0</v>
      </c>
      <c r="F1022">
        <v>8.1703301466006725E-2</v>
      </c>
      <c r="G1022">
        <v>9.7358518574859421</v>
      </c>
      <c r="H1022">
        <v>0</v>
      </c>
      <c r="I1022">
        <v>0</v>
      </c>
    </row>
    <row r="1023" spans="1:9" x14ac:dyDescent="0.25">
      <c r="A1023" s="113">
        <f t="shared" si="32"/>
        <v>74541</v>
      </c>
      <c r="B1023" s="128">
        <f t="shared" si="31"/>
        <v>2104</v>
      </c>
      <c r="C1023">
        <v>8.9352304747876088E-2</v>
      </c>
      <c r="D1023">
        <v>0.26264260932618821</v>
      </c>
      <c r="E1023">
        <v>0</v>
      </c>
      <c r="F1023">
        <v>8.0861318785930905E-2</v>
      </c>
      <c r="G1023">
        <v>9.4817002341216892</v>
      </c>
      <c r="H1023">
        <v>0</v>
      </c>
      <c r="I1023">
        <v>0</v>
      </c>
    </row>
    <row r="1024" spans="1:9" x14ac:dyDescent="0.25">
      <c r="A1024" s="113">
        <f t="shared" si="32"/>
        <v>74570</v>
      </c>
      <c r="B1024" s="128">
        <f t="shared" si="31"/>
        <v>2104</v>
      </c>
      <c r="C1024">
        <v>9.168684053317179E-2</v>
      </c>
      <c r="D1024">
        <v>0.25455085193741667</v>
      </c>
      <c r="E1024">
        <v>0</v>
      </c>
      <c r="F1024">
        <v>8.0042000334749119E-2</v>
      </c>
      <c r="G1024">
        <v>9.2387942223827029</v>
      </c>
      <c r="H1024">
        <v>0</v>
      </c>
      <c r="I1024">
        <v>0</v>
      </c>
    </row>
    <row r="1025" spans="1:9" x14ac:dyDescent="0.25">
      <c r="A1025" s="113">
        <f t="shared" si="32"/>
        <v>74601</v>
      </c>
      <c r="B1025" s="128">
        <f t="shared" si="31"/>
        <v>2104</v>
      </c>
      <c r="C1025">
        <v>8.822627771553361E-2</v>
      </c>
      <c r="D1025">
        <v>0.2467367100445971</v>
      </c>
      <c r="E1025">
        <v>0</v>
      </c>
      <c r="F1025">
        <v>7.924751607767791E-2</v>
      </c>
      <c r="G1025">
        <v>9.0010362739759628</v>
      </c>
      <c r="H1025">
        <v>0</v>
      </c>
      <c r="I1025">
        <v>0</v>
      </c>
    </row>
    <row r="1026" spans="1:9" x14ac:dyDescent="0.25">
      <c r="A1026" s="113">
        <f t="shared" si="32"/>
        <v>74631</v>
      </c>
      <c r="B1026" s="128">
        <f t="shared" si="31"/>
        <v>2104</v>
      </c>
      <c r="C1026">
        <v>0.10549117330065204</v>
      </c>
      <c r="D1026">
        <v>0.23925653618327511</v>
      </c>
      <c r="E1026">
        <v>0</v>
      </c>
      <c r="F1026">
        <v>7.8476540347567125E-2</v>
      </c>
      <c r="G1026">
        <v>8.7887943707457676</v>
      </c>
      <c r="H1026">
        <v>0</v>
      </c>
      <c r="I1026">
        <v>0</v>
      </c>
    </row>
    <row r="1027" spans="1:9" x14ac:dyDescent="0.25">
      <c r="A1027" s="113">
        <f t="shared" si="32"/>
        <v>74662</v>
      </c>
      <c r="B1027" s="128">
        <f t="shared" ref="B1027:B1090" si="33">YEAR(A1027)</f>
        <v>2104</v>
      </c>
      <c r="C1027">
        <v>0.11568306935975292</v>
      </c>
      <c r="D1027">
        <v>0.23207747737446147</v>
      </c>
      <c r="E1027">
        <v>0</v>
      </c>
      <c r="F1027">
        <v>7.7732479468770821E-2</v>
      </c>
      <c r="G1027">
        <v>8.5946674832622882</v>
      </c>
      <c r="H1027">
        <v>0</v>
      </c>
      <c r="I1027">
        <v>0</v>
      </c>
    </row>
    <row r="1028" spans="1:9" x14ac:dyDescent="0.25">
      <c r="A1028" s="113">
        <f t="shared" si="32"/>
        <v>74692</v>
      </c>
      <c r="B1028" s="128">
        <f t="shared" si="33"/>
        <v>2104</v>
      </c>
      <c r="C1028">
        <v>9.8192864284888701E-2</v>
      </c>
      <c r="D1028">
        <v>0.2251008605109823</v>
      </c>
      <c r="E1028">
        <v>0</v>
      </c>
      <c r="F1028">
        <v>7.7012056457949896E-2</v>
      </c>
      <c r="G1028">
        <v>8.3907474305782515</v>
      </c>
      <c r="H1028">
        <v>0</v>
      </c>
      <c r="I1028">
        <v>0</v>
      </c>
    </row>
    <row r="1029" spans="1:9" x14ac:dyDescent="0.25">
      <c r="A1029" s="113">
        <f t="shared" si="32"/>
        <v>74723</v>
      </c>
      <c r="B1029" s="128">
        <f t="shared" si="33"/>
        <v>2104</v>
      </c>
      <c r="C1029">
        <v>8.4687400495506479E-2</v>
      </c>
      <c r="D1029">
        <v>0.21833043665355498</v>
      </c>
      <c r="E1029">
        <v>0</v>
      </c>
      <c r="F1029">
        <v>7.6308188646888611E-2</v>
      </c>
      <c r="G1029">
        <v>8.1807962057733175</v>
      </c>
      <c r="H1029">
        <v>0</v>
      </c>
      <c r="I1029">
        <v>0</v>
      </c>
    </row>
    <row r="1030" spans="1:9" x14ac:dyDescent="0.25">
      <c r="A1030" s="113">
        <f t="shared" si="32"/>
        <v>74754</v>
      </c>
      <c r="B1030" s="128">
        <f t="shared" si="33"/>
        <v>2104</v>
      </c>
      <c r="C1030">
        <v>8.7083252040523362E-2</v>
      </c>
      <c r="D1030">
        <v>0.21180855214817379</v>
      </c>
      <c r="E1030">
        <v>0</v>
      </c>
      <c r="F1030">
        <v>7.562166126293797E-2</v>
      </c>
      <c r="G1030">
        <v>7.9804492444027151</v>
      </c>
      <c r="H1030">
        <v>0</v>
      </c>
      <c r="I1030">
        <v>0</v>
      </c>
    </row>
    <row r="1031" spans="1:9" x14ac:dyDescent="0.25">
      <c r="A1031" s="113">
        <f t="shared" si="32"/>
        <v>74784</v>
      </c>
      <c r="B1031" s="128">
        <f t="shared" si="33"/>
        <v>2104</v>
      </c>
      <c r="C1031">
        <v>9.3621192955288743E-2</v>
      </c>
      <c r="D1031">
        <v>0.20553990645803533</v>
      </c>
      <c r="E1031">
        <v>0</v>
      </c>
      <c r="F1031">
        <v>7.4955731647306692E-2</v>
      </c>
      <c r="G1031">
        <v>7.7935747992526689</v>
      </c>
      <c r="H1031">
        <v>0</v>
      </c>
      <c r="I1031">
        <v>0</v>
      </c>
    </row>
    <row r="1032" spans="1:9" x14ac:dyDescent="0.25">
      <c r="A1032" s="113">
        <f t="shared" si="32"/>
        <v>74815</v>
      </c>
      <c r="B1032" s="128">
        <f t="shared" si="33"/>
        <v>2104</v>
      </c>
      <c r="C1032">
        <v>9.9642528975804653E-2</v>
      </c>
      <c r="D1032">
        <v>0.21445044019373258</v>
      </c>
      <c r="E1032">
        <v>0</v>
      </c>
      <c r="F1032">
        <v>7.4310767333003222E-2</v>
      </c>
      <c r="G1032">
        <v>7.6044561207017383</v>
      </c>
      <c r="H1032">
        <v>0</v>
      </c>
      <c r="I1032">
        <v>0</v>
      </c>
    </row>
    <row r="1033" spans="1:9" x14ac:dyDescent="0.25">
      <c r="A1033" s="113">
        <f t="shared" si="32"/>
        <v>74845</v>
      </c>
      <c r="B1033" s="128">
        <f t="shared" si="33"/>
        <v>2104</v>
      </c>
      <c r="C1033">
        <v>8.289961532460885E-2</v>
      </c>
      <c r="D1033">
        <v>0.20747291623732847</v>
      </c>
      <c r="E1033">
        <v>0</v>
      </c>
      <c r="F1033">
        <v>7.3637818466297911E-2</v>
      </c>
      <c r="G1033">
        <v>7.4062450013227199</v>
      </c>
      <c r="H1033">
        <v>0</v>
      </c>
      <c r="I1033">
        <v>0</v>
      </c>
    </row>
    <row r="1034" spans="1:9" x14ac:dyDescent="0.25">
      <c r="A1034" s="113">
        <f t="shared" si="32"/>
        <v>74876</v>
      </c>
      <c r="B1034" s="128">
        <f t="shared" si="33"/>
        <v>2104</v>
      </c>
      <c r="C1034">
        <v>9.1258715302814611E-2</v>
      </c>
      <c r="D1034">
        <v>0.20079320369152559</v>
      </c>
      <c r="E1034">
        <v>0</v>
      </c>
      <c r="F1034">
        <v>7.2982655054578141E-2</v>
      </c>
      <c r="G1034">
        <v>7.2237278578794317</v>
      </c>
      <c r="H1034">
        <v>0</v>
      </c>
      <c r="I1034">
        <v>0</v>
      </c>
    </row>
    <row r="1035" spans="1:9" x14ac:dyDescent="0.25">
      <c r="A1035" s="113">
        <f t="shared" si="32"/>
        <v>74907</v>
      </c>
      <c r="B1035" s="128">
        <f t="shared" si="33"/>
        <v>2105</v>
      </c>
      <c r="C1035">
        <v>8.0583731236344811E-2</v>
      </c>
      <c r="D1035">
        <v>0.19433947123743014</v>
      </c>
      <c r="E1035">
        <v>0</v>
      </c>
      <c r="F1035">
        <v>7.234933649556588E-2</v>
      </c>
      <c r="G1035">
        <v>7.0376227813827805</v>
      </c>
      <c r="H1035">
        <v>0</v>
      </c>
      <c r="I1035">
        <v>0</v>
      </c>
    </row>
    <row r="1036" spans="1:9" x14ac:dyDescent="0.25">
      <c r="A1036" s="113">
        <f t="shared" ref="A1036:A1099" si="34">DATE(YEAR(A1035),MONTH(A1035)+2,1)-1</f>
        <v>74935</v>
      </c>
      <c r="B1036" s="128">
        <f t="shared" si="33"/>
        <v>2105</v>
      </c>
      <c r="C1036">
        <v>8.298783013060905E-2</v>
      </c>
      <c r="D1036">
        <v>0.18814372678238755</v>
      </c>
      <c r="E1036">
        <v>0</v>
      </c>
      <c r="F1036">
        <v>7.1733265127263593E-2</v>
      </c>
      <c r="G1036">
        <v>6.8607336196037361</v>
      </c>
      <c r="H1036">
        <v>0</v>
      </c>
      <c r="I1036">
        <v>0</v>
      </c>
    </row>
    <row r="1037" spans="1:9" x14ac:dyDescent="0.25">
      <c r="A1037" s="113">
        <f t="shared" si="34"/>
        <v>74966</v>
      </c>
      <c r="B1037" s="128">
        <f t="shared" si="33"/>
        <v>2105</v>
      </c>
      <c r="C1037">
        <v>7.9812166184454844E-2</v>
      </c>
      <c r="D1037">
        <v>0.18217825906034488</v>
      </c>
      <c r="E1037">
        <v>0</v>
      </c>
      <c r="F1037">
        <v>7.1136624430651649E-2</v>
      </c>
      <c r="G1037">
        <v>6.6872309022971939</v>
      </c>
      <c r="H1037">
        <v>0</v>
      </c>
      <c r="I1037">
        <v>0</v>
      </c>
    </row>
    <row r="1038" spans="1:9" x14ac:dyDescent="0.25">
      <c r="A1038" s="113">
        <f t="shared" si="34"/>
        <v>74996</v>
      </c>
      <c r="B1038" s="128">
        <f t="shared" si="33"/>
        <v>2105</v>
      </c>
      <c r="C1038">
        <v>9.6572267836085537E-2</v>
      </c>
      <c r="D1038">
        <v>0.17649781667400499</v>
      </c>
      <c r="E1038">
        <v>0</v>
      </c>
      <c r="F1038">
        <v>7.0558233814190546E-2</v>
      </c>
      <c r="G1038">
        <v>6.536747119645085</v>
      </c>
      <c r="H1038">
        <v>0</v>
      </c>
      <c r="I1038">
        <v>0</v>
      </c>
    </row>
    <row r="1039" spans="1:9" x14ac:dyDescent="0.25">
      <c r="A1039" s="113">
        <f t="shared" si="34"/>
        <v>75027</v>
      </c>
      <c r="B1039" s="128">
        <f t="shared" si="33"/>
        <v>2105</v>
      </c>
      <c r="C1039">
        <v>0.10652333774851146</v>
      </c>
      <c r="D1039">
        <v>0.17107133527915491</v>
      </c>
      <c r="E1039">
        <v>0</v>
      </c>
      <c r="F1039">
        <v>7.0001464350895146E-2</v>
      </c>
      <c r="G1039">
        <v>6.4021976577635504</v>
      </c>
      <c r="H1039">
        <v>0</v>
      </c>
      <c r="I1039">
        <v>0</v>
      </c>
    </row>
    <row r="1040" spans="1:9" x14ac:dyDescent="0.25">
      <c r="A1040" s="113">
        <f t="shared" si="34"/>
        <v>75057</v>
      </c>
      <c r="B1040" s="128">
        <f t="shared" si="33"/>
        <v>2105</v>
      </c>
      <c r="C1040">
        <v>8.9837456766122661E-2</v>
      </c>
      <c r="D1040">
        <v>0.16580443504678871</v>
      </c>
      <c r="E1040">
        <v>0</v>
      </c>
      <c r="F1040">
        <v>6.9463256064724616E-2</v>
      </c>
      <c r="G1040">
        <v>6.2567674234181538</v>
      </c>
      <c r="H1040">
        <v>0</v>
      </c>
      <c r="I1040">
        <v>0</v>
      </c>
    </row>
    <row r="1041" spans="1:9" x14ac:dyDescent="0.25">
      <c r="A1041" s="113">
        <f t="shared" si="34"/>
        <v>75088</v>
      </c>
      <c r="B1041" s="128">
        <f t="shared" si="33"/>
        <v>2105</v>
      </c>
      <c r="C1041">
        <v>7.6981389923260035E-2</v>
      </c>
      <c r="D1041">
        <v>0.16070128698708247</v>
      </c>
      <c r="E1041">
        <v>0</v>
      </c>
      <c r="F1041">
        <v>6.8936886442510642E-2</v>
      </c>
      <c r="G1041">
        <v>6.1041106399118217</v>
      </c>
      <c r="H1041">
        <v>0</v>
      </c>
      <c r="I1041">
        <v>0</v>
      </c>
    </row>
    <row r="1042" spans="1:9" x14ac:dyDescent="0.25">
      <c r="A1042" s="113">
        <f t="shared" si="34"/>
        <v>75119</v>
      </c>
      <c r="B1042" s="128">
        <f t="shared" si="33"/>
        <v>2105</v>
      </c>
      <c r="C1042">
        <v>7.9420167476204784E-2</v>
      </c>
      <c r="D1042">
        <v>0.15580320176737505</v>
      </c>
      <c r="E1042">
        <v>0</v>
      </c>
      <c r="F1042">
        <v>6.8423201541675471E-2</v>
      </c>
      <c r="G1042">
        <v>5.9593044040789795</v>
      </c>
      <c r="H1042">
        <v>0</v>
      </c>
      <c r="I1042">
        <v>0</v>
      </c>
    </row>
    <row r="1043" spans="1:9" x14ac:dyDescent="0.25">
      <c r="A1043" s="113">
        <f t="shared" si="34"/>
        <v>75149</v>
      </c>
      <c r="B1043" s="128">
        <f t="shared" si="33"/>
        <v>2105</v>
      </c>
      <c r="C1043">
        <v>8.584033089313034E-2</v>
      </c>
      <c r="D1043">
        <v>0.15111527580211592</v>
      </c>
      <c r="E1043">
        <v>0</v>
      </c>
      <c r="F1043">
        <v>6.7925424669284959E-2</v>
      </c>
      <c r="G1043">
        <v>5.8261040345007036</v>
      </c>
      <c r="H1043">
        <v>0</v>
      </c>
      <c r="I1043">
        <v>0</v>
      </c>
    </row>
    <row r="1044" spans="1:9" x14ac:dyDescent="0.25">
      <c r="A1044" s="113">
        <f t="shared" si="34"/>
        <v>75180</v>
      </c>
      <c r="B1044" s="128">
        <f t="shared" si="33"/>
        <v>2105</v>
      </c>
      <c r="C1044">
        <v>9.1759841583510374E-2</v>
      </c>
      <c r="D1044">
        <v>0.1567647328026045</v>
      </c>
      <c r="E1044">
        <v>0</v>
      </c>
      <c r="F1044">
        <v>6.7443997641848427E-2</v>
      </c>
      <c r="G1044">
        <v>5.6936551456397604</v>
      </c>
      <c r="H1044">
        <v>0</v>
      </c>
      <c r="I1044">
        <v>0</v>
      </c>
    </row>
    <row r="1045" spans="1:9" x14ac:dyDescent="0.25">
      <c r="A1045" s="113">
        <f t="shared" si="34"/>
        <v>75210</v>
      </c>
      <c r="B1045" s="128">
        <f t="shared" si="33"/>
        <v>2105</v>
      </c>
      <c r="C1045">
        <v>7.5785503392661213E-2</v>
      </c>
      <c r="D1045">
        <v>0.15157511540499358</v>
      </c>
      <c r="E1045">
        <v>0</v>
      </c>
      <c r="F1045">
        <v>6.6944817216040703E-2</v>
      </c>
      <c r="G1045">
        <v>5.5509207164113903</v>
      </c>
      <c r="H1045">
        <v>0</v>
      </c>
      <c r="I1045">
        <v>0</v>
      </c>
    </row>
    <row r="1046" spans="1:9" x14ac:dyDescent="0.25">
      <c r="A1046" s="113">
        <f t="shared" si="34"/>
        <v>75241</v>
      </c>
      <c r="B1046" s="128">
        <f t="shared" si="33"/>
        <v>2105</v>
      </c>
      <c r="C1046">
        <v>8.3957709231013394E-2</v>
      </c>
      <c r="D1046">
        <v>0.14663080141932419</v>
      </c>
      <c r="E1046">
        <v>0</v>
      </c>
      <c r="F1046">
        <v>6.6458380503873635E-2</v>
      </c>
      <c r="G1046">
        <v>5.4217892437192123</v>
      </c>
      <c r="H1046">
        <v>0</v>
      </c>
      <c r="I1046">
        <v>0</v>
      </c>
    </row>
    <row r="1047" spans="1:9" x14ac:dyDescent="0.25">
      <c r="A1047" s="113">
        <f t="shared" si="34"/>
        <v>75272</v>
      </c>
      <c r="B1047" s="128">
        <f t="shared" si="33"/>
        <v>2106</v>
      </c>
      <c r="C1047">
        <v>7.3813231265044132E-2</v>
      </c>
      <c r="D1047">
        <v>0.14186350862597757</v>
      </c>
      <c r="E1047">
        <v>0</v>
      </c>
      <c r="F1047">
        <v>6.5988703538112703E-2</v>
      </c>
      <c r="G1047">
        <v>5.2877502628201603</v>
      </c>
      <c r="H1047">
        <v>0</v>
      </c>
      <c r="I1047">
        <v>0</v>
      </c>
    </row>
    <row r="1048" spans="1:9" x14ac:dyDescent="0.25">
      <c r="A1048" s="113">
        <f t="shared" si="34"/>
        <v>75300</v>
      </c>
      <c r="B1048" s="128">
        <f t="shared" si="33"/>
        <v>2106</v>
      </c>
      <c r="C1048">
        <v>7.6248256926209484E-2</v>
      </c>
      <c r="D1048">
        <v>0.13730485970988812</v>
      </c>
      <c r="E1048">
        <v>0</v>
      </c>
      <c r="F1048">
        <v>6.553147152993051E-2</v>
      </c>
      <c r="G1048">
        <v>5.1611621885065535</v>
      </c>
      <c r="H1048">
        <v>0</v>
      </c>
      <c r="I1048">
        <v>0</v>
      </c>
    </row>
    <row r="1049" spans="1:9" x14ac:dyDescent="0.25">
      <c r="A1049" s="113">
        <f t="shared" si="34"/>
        <v>75331</v>
      </c>
      <c r="B1049" s="128">
        <f t="shared" si="33"/>
        <v>2106</v>
      </c>
      <c r="C1049">
        <v>7.3311217841564913E-2</v>
      </c>
      <c r="D1049">
        <v>0.13292902124787354</v>
      </c>
      <c r="E1049">
        <v>0</v>
      </c>
      <c r="F1049">
        <v>6.5088891936651114E-2</v>
      </c>
      <c r="G1049">
        <v>5.0364554931635945</v>
      </c>
      <c r="H1049">
        <v>0</v>
      </c>
      <c r="I1049">
        <v>0</v>
      </c>
    </row>
    <row r="1050" spans="1:9" x14ac:dyDescent="0.25">
      <c r="A1050" s="113">
        <f t="shared" si="34"/>
        <v>75361</v>
      </c>
      <c r="B1050" s="128">
        <f t="shared" si="33"/>
        <v>2106</v>
      </c>
      <c r="C1050">
        <v>8.9550708814415875E-2</v>
      </c>
      <c r="D1050">
        <v>0.12878949280746779</v>
      </c>
      <c r="E1050">
        <v>0</v>
      </c>
      <c r="F1050">
        <v>6.4659933727984301E-2</v>
      </c>
      <c r="G1050">
        <v>4.9325567754425572</v>
      </c>
      <c r="H1050">
        <v>0</v>
      </c>
      <c r="I1050">
        <v>0</v>
      </c>
    </row>
    <row r="1051" spans="1:9" x14ac:dyDescent="0.25">
      <c r="A1051" s="113">
        <f t="shared" si="34"/>
        <v>75392</v>
      </c>
      <c r="B1051" s="128">
        <f t="shared" si="33"/>
        <v>2106</v>
      </c>
      <c r="C1051">
        <v>9.9235662947607856E-2</v>
      </c>
      <c r="D1051">
        <v>0.12485721042484937</v>
      </c>
      <c r="E1051">
        <v>0</v>
      </c>
      <c r="F1051">
        <v>6.4247943099494581E-2</v>
      </c>
      <c r="G1051">
        <v>4.8426872848658187</v>
      </c>
      <c r="H1051">
        <v>0</v>
      </c>
      <c r="I1051">
        <v>0</v>
      </c>
    </row>
    <row r="1052" spans="1:9" x14ac:dyDescent="0.25">
      <c r="A1052" s="113">
        <f t="shared" si="34"/>
        <v>75422</v>
      </c>
      <c r="B1052" s="128">
        <f t="shared" si="33"/>
        <v>2106</v>
      </c>
      <c r="C1052">
        <v>8.3289739580651459E-2</v>
      </c>
      <c r="D1052">
        <v>0.12104219027169426</v>
      </c>
      <c r="E1052">
        <v>0</v>
      </c>
      <c r="F1052">
        <v>6.3850076991089119E-2</v>
      </c>
      <c r="G1052">
        <v>4.7410847571836898</v>
      </c>
      <c r="H1052">
        <v>0</v>
      </c>
      <c r="I1052">
        <v>0</v>
      </c>
    </row>
    <row r="1053" spans="1:9" x14ac:dyDescent="0.25">
      <c r="A1053" s="113">
        <f t="shared" si="34"/>
        <v>75453</v>
      </c>
      <c r="B1053" s="128">
        <f t="shared" si="33"/>
        <v>2106</v>
      </c>
      <c r="C1053">
        <v>7.1025111464018992E-2</v>
      </c>
      <c r="D1053">
        <v>0.11734925920218922</v>
      </c>
      <c r="E1053">
        <v>0</v>
      </c>
      <c r="F1053">
        <v>6.3459966663689443E-2</v>
      </c>
      <c r="G1053">
        <v>4.6313006427818264</v>
      </c>
      <c r="H1053">
        <v>0</v>
      </c>
      <c r="I1053">
        <v>0</v>
      </c>
    </row>
    <row r="1054" spans="1:9" x14ac:dyDescent="0.25">
      <c r="A1054" s="113">
        <f t="shared" si="34"/>
        <v>75484</v>
      </c>
      <c r="B1054" s="128">
        <f t="shared" si="33"/>
        <v>2106</v>
      </c>
      <c r="C1054">
        <v>7.3472380086155697E-2</v>
      </c>
      <c r="D1054">
        <v>0.11381897010358434</v>
      </c>
      <c r="E1054">
        <v>0</v>
      </c>
      <c r="F1054">
        <v>6.307852314310182E-2</v>
      </c>
      <c r="G1054">
        <v>4.5278755296212969</v>
      </c>
      <c r="H1054">
        <v>0</v>
      </c>
      <c r="I1054">
        <v>0</v>
      </c>
    </row>
    <row r="1055" spans="1:9" x14ac:dyDescent="0.25">
      <c r="A1055" s="113">
        <f t="shared" si="34"/>
        <v>75514</v>
      </c>
      <c r="B1055" s="128">
        <f t="shared" si="33"/>
        <v>2106</v>
      </c>
      <c r="C1055">
        <v>7.974696065898991E-2</v>
      </c>
      <c r="D1055">
        <v>0.11045702723436793</v>
      </c>
      <c r="E1055">
        <v>0</v>
      </c>
      <c r="F1055">
        <v>6.2708942648767585E-2</v>
      </c>
      <c r="G1055">
        <v>4.434456520397152</v>
      </c>
      <c r="H1055">
        <v>0</v>
      </c>
      <c r="I1055">
        <v>0</v>
      </c>
    </row>
    <row r="1056" spans="1:9" x14ac:dyDescent="0.25">
      <c r="A1056" s="113">
        <f t="shared" si="34"/>
        <v>75545</v>
      </c>
      <c r="B1056" s="128">
        <f t="shared" si="33"/>
        <v>2106</v>
      </c>
      <c r="C1056">
        <v>8.5536775327289025E-2</v>
      </c>
      <c r="D1056">
        <v>0.11384133752363976</v>
      </c>
      <c r="E1056">
        <v>0</v>
      </c>
      <c r="F1056">
        <v>6.2351743371676864E-2</v>
      </c>
      <c r="G1056">
        <v>4.3438002148291242</v>
      </c>
      <c r="H1056">
        <v>0</v>
      </c>
      <c r="I1056">
        <v>0</v>
      </c>
    </row>
    <row r="1057" spans="1:9" x14ac:dyDescent="0.25">
      <c r="A1057" s="113">
        <f t="shared" si="34"/>
        <v>75575</v>
      </c>
      <c r="B1057" s="128">
        <f t="shared" si="33"/>
        <v>2106</v>
      </c>
      <c r="C1057">
        <v>7.0267876046869945E-2</v>
      </c>
      <c r="D1057">
        <v>0.11013948557557596</v>
      </c>
      <c r="E1057">
        <v>0</v>
      </c>
      <c r="F1057">
        <v>6.1984017612332708E-2</v>
      </c>
      <c r="G1057">
        <v>4.2419445876880832</v>
      </c>
      <c r="H1057">
        <v>0</v>
      </c>
      <c r="I1057">
        <v>0</v>
      </c>
    </row>
    <row r="1058" spans="1:9" x14ac:dyDescent="0.25">
      <c r="A1058" s="113">
        <f t="shared" si="34"/>
        <v>75606</v>
      </c>
      <c r="B1058" s="128">
        <f t="shared" si="33"/>
        <v>2106</v>
      </c>
      <c r="C1058">
        <v>7.8226902339693066E-2</v>
      </c>
      <c r="D1058">
        <v>0.10663273060370554</v>
      </c>
      <c r="E1058">
        <v>0</v>
      </c>
      <c r="F1058">
        <v>6.1624760518855209E-2</v>
      </c>
      <c r="G1058">
        <v>4.1519139989052176</v>
      </c>
      <c r="H1058">
        <v>0</v>
      </c>
      <c r="I1058">
        <v>0</v>
      </c>
    </row>
    <row r="1059" spans="1:9" x14ac:dyDescent="0.25">
      <c r="A1059" s="113">
        <f t="shared" si="34"/>
        <v>75637</v>
      </c>
      <c r="B1059" s="128">
        <f t="shared" si="33"/>
        <v>2107</v>
      </c>
      <c r="C1059">
        <v>6.8560092905541409E-2</v>
      </c>
      <c r="D1059">
        <v>0.10325645916014621</v>
      </c>
      <c r="E1059">
        <v>0</v>
      </c>
      <c r="F1059">
        <v>6.1277950046602338E-2</v>
      </c>
      <c r="G1059">
        <v>4.0559396826040093</v>
      </c>
      <c r="H1059">
        <v>0</v>
      </c>
      <c r="I1059">
        <v>0</v>
      </c>
    </row>
    <row r="1060" spans="1:9" x14ac:dyDescent="0.25">
      <c r="A1060" s="113">
        <f t="shared" si="34"/>
        <v>75665</v>
      </c>
      <c r="B1060" s="128">
        <f t="shared" si="33"/>
        <v>2107</v>
      </c>
      <c r="C1060">
        <v>7.0992776931227922E-2</v>
      </c>
      <c r="D1060">
        <v>0.10004216123224599</v>
      </c>
      <c r="E1060">
        <v>0</v>
      </c>
      <c r="F1060">
        <v>6.0939546330752853E-2</v>
      </c>
      <c r="G1060">
        <v>3.9659507519722408</v>
      </c>
      <c r="H1060">
        <v>0</v>
      </c>
      <c r="I1060">
        <v>0</v>
      </c>
    </row>
    <row r="1061" spans="1:9" x14ac:dyDescent="0.25">
      <c r="A1061" s="113">
        <f t="shared" si="34"/>
        <v>75696</v>
      </c>
      <c r="B1061" s="128">
        <f t="shared" si="33"/>
        <v>2107</v>
      </c>
      <c r="C1061">
        <v>6.8253854847611303E-2</v>
      </c>
      <c r="D1061">
        <v>9.6966032405786551E-2</v>
      </c>
      <c r="E1061">
        <v>0</v>
      </c>
      <c r="F1061">
        <v>6.0611781844231563E-2</v>
      </c>
      <c r="G1061">
        <v>3.8766267925698323</v>
      </c>
      <c r="H1061">
        <v>0</v>
      </c>
      <c r="I1061">
        <v>0</v>
      </c>
    </row>
    <row r="1062" spans="1:9" x14ac:dyDescent="0.25">
      <c r="A1062" s="113">
        <f t="shared" si="34"/>
        <v>75726</v>
      </c>
      <c r="B1062" s="128">
        <f t="shared" si="33"/>
        <v>2107</v>
      </c>
      <c r="C1062">
        <v>8.3961631225782291E-2</v>
      </c>
      <c r="D1062">
        <v>9.4080577952562416E-2</v>
      </c>
      <c r="E1062">
        <v>0</v>
      </c>
      <c r="F1062">
        <v>6.0293770620550337E-2</v>
      </c>
      <c r="G1062">
        <v>3.8062140752225018</v>
      </c>
      <c r="H1062">
        <v>0</v>
      </c>
      <c r="I1062">
        <v>0</v>
      </c>
    </row>
    <row r="1063" spans="1:9" x14ac:dyDescent="0.25">
      <c r="A1063" s="113">
        <f t="shared" si="34"/>
        <v>75757</v>
      </c>
      <c r="B1063" s="128">
        <f t="shared" si="33"/>
        <v>2107</v>
      </c>
      <c r="C1063">
        <v>9.3360345309853418E-2</v>
      </c>
      <c r="D1063">
        <v>9.1358851576670883E-2</v>
      </c>
      <c r="E1063">
        <v>0</v>
      </c>
      <c r="F1063">
        <v>5.9988835359551386E-2</v>
      </c>
      <c r="G1063">
        <v>3.7482267335961335</v>
      </c>
      <c r="H1063">
        <v>0</v>
      </c>
      <c r="I1063">
        <v>0</v>
      </c>
    </row>
    <row r="1064" spans="1:9" x14ac:dyDescent="0.25">
      <c r="A1064" s="113">
        <f t="shared" si="34"/>
        <v>75787</v>
      </c>
      <c r="B1064" s="128">
        <f t="shared" si="33"/>
        <v>2107</v>
      </c>
      <c r="C1064">
        <v>7.8096745699458486E-2</v>
      </c>
      <c r="D1064">
        <v>8.8715278264097447E-2</v>
      </c>
      <c r="E1064">
        <v>0</v>
      </c>
      <c r="F1064">
        <v>5.9694341446063406E-2</v>
      </c>
      <c r="G1064">
        <v>3.677913859585431</v>
      </c>
      <c r="H1064">
        <v>0</v>
      </c>
      <c r="I1064">
        <v>0</v>
      </c>
    </row>
    <row r="1065" spans="1:9" x14ac:dyDescent="0.25">
      <c r="A1065" s="113">
        <f t="shared" si="34"/>
        <v>75818</v>
      </c>
      <c r="B1065" s="128">
        <f t="shared" si="33"/>
        <v>2107</v>
      </c>
      <c r="C1065">
        <v>6.6372167039627644E-2</v>
      </c>
      <c r="D1065">
        <v>8.6155482200632363E-2</v>
      </c>
      <c r="E1065">
        <v>0</v>
      </c>
      <c r="F1065">
        <v>5.940425960995134E-2</v>
      </c>
      <c r="G1065">
        <v>3.5987262848144739</v>
      </c>
      <c r="H1065">
        <v>0</v>
      </c>
      <c r="I1065">
        <v>0</v>
      </c>
    </row>
    <row r="1066" spans="1:9" x14ac:dyDescent="0.25">
      <c r="A1066" s="113">
        <f t="shared" si="34"/>
        <v>75849</v>
      </c>
      <c r="B1066" s="128">
        <f t="shared" si="33"/>
        <v>2107</v>
      </c>
      <c r="C1066">
        <v>6.8799241607468531E-2</v>
      </c>
      <c r="D1066">
        <v>8.371944106400625E-2</v>
      </c>
      <c r="E1066">
        <v>0</v>
      </c>
      <c r="F1066">
        <v>5.911956187874437E-2</v>
      </c>
      <c r="G1066">
        <v>3.5246865234791915</v>
      </c>
      <c r="H1066">
        <v>0</v>
      </c>
      <c r="I1066">
        <v>0</v>
      </c>
    </row>
    <row r="1067" spans="1:9" x14ac:dyDescent="0.25">
      <c r="A1067" s="113">
        <f t="shared" si="34"/>
        <v>75879</v>
      </c>
      <c r="B1067" s="128">
        <f t="shared" si="33"/>
        <v>2107</v>
      </c>
      <c r="C1067">
        <v>7.4905998358173062E-2</v>
      </c>
      <c r="D1067">
        <v>8.1413585844056016E-2</v>
      </c>
      <c r="E1067">
        <v>0</v>
      </c>
      <c r="F1067">
        <v>5.8843416337610852E-2</v>
      </c>
      <c r="G1067">
        <v>3.4593355196556983</v>
      </c>
      <c r="H1067">
        <v>0</v>
      </c>
      <c r="I1067">
        <v>0</v>
      </c>
    </row>
    <row r="1068" spans="1:9" x14ac:dyDescent="0.25">
      <c r="A1068" s="113">
        <f t="shared" si="34"/>
        <v>75910</v>
      </c>
      <c r="B1068" s="128">
        <f t="shared" si="33"/>
        <v>2107</v>
      </c>
      <c r="C1068">
        <v>8.0543872613890524E-2</v>
      </c>
      <c r="D1068">
        <v>7.9569558509683988E-2</v>
      </c>
      <c r="E1068">
        <v>0</v>
      </c>
      <c r="F1068">
        <v>5.8576412052026752E-2</v>
      </c>
      <c r="G1068">
        <v>3.4017334217078803</v>
      </c>
      <c r="H1068">
        <v>0</v>
      </c>
      <c r="I1068">
        <v>0</v>
      </c>
    </row>
    <row r="1069" spans="1:9" x14ac:dyDescent="0.25">
      <c r="A1069" s="113">
        <f t="shared" si="34"/>
        <v>75940</v>
      </c>
      <c r="B1069" s="128">
        <f t="shared" si="33"/>
        <v>2107</v>
      </c>
      <c r="C1069">
        <v>6.5934582739063746E-2</v>
      </c>
      <c r="D1069">
        <v>7.7409034094769125E-2</v>
      </c>
      <c r="E1069">
        <v>0</v>
      </c>
      <c r="F1069">
        <v>5.8315905685105161E-2</v>
      </c>
      <c r="G1069">
        <v>3.3319430646670649</v>
      </c>
      <c r="H1069">
        <v>0</v>
      </c>
      <c r="I1069">
        <v>0</v>
      </c>
    </row>
    <row r="1070" spans="1:9" x14ac:dyDescent="0.25">
      <c r="A1070" s="113">
        <f t="shared" si="34"/>
        <v>75971</v>
      </c>
      <c r="B1070" s="128">
        <f t="shared" si="33"/>
        <v>2107</v>
      </c>
      <c r="C1070">
        <v>7.3669141531744253E-2</v>
      </c>
      <c r="D1070">
        <v>7.5371521628887425E-2</v>
      </c>
      <c r="E1070">
        <v>0</v>
      </c>
      <c r="F1070">
        <v>5.8059265242678709E-2</v>
      </c>
      <c r="G1070">
        <v>3.2721814193272474</v>
      </c>
      <c r="H1070">
        <v>0</v>
      </c>
      <c r="I1070">
        <v>0</v>
      </c>
    </row>
    <row r="1071" spans="1:9" x14ac:dyDescent="0.25">
      <c r="A1071" s="113">
        <f t="shared" si="34"/>
        <v>76002</v>
      </c>
      <c r="B1071" s="128">
        <f t="shared" si="33"/>
        <v>2108</v>
      </c>
      <c r="C1071">
        <v>6.4442317932928886E-2</v>
      </c>
      <c r="D1071">
        <v>7.3397840277749746E-2</v>
      </c>
      <c r="E1071">
        <v>0</v>
      </c>
      <c r="F1071">
        <v>5.781051152759719E-2</v>
      </c>
      <c r="G1071">
        <v>3.2054153854548293</v>
      </c>
      <c r="H1071">
        <v>0</v>
      </c>
      <c r="I1071">
        <v>0</v>
      </c>
    </row>
    <row r="1072" spans="1:9" x14ac:dyDescent="0.25">
      <c r="A1072" s="113">
        <f t="shared" si="34"/>
        <v>76031</v>
      </c>
      <c r="B1072" s="128">
        <f t="shared" si="33"/>
        <v>2108</v>
      </c>
      <c r="C1072">
        <v>6.6853015866244342E-2</v>
      </c>
      <c r="D1072">
        <v>7.15211327408877E-2</v>
      </c>
      <c r="E1072">
        <v>0</v>
      </c>
      <c r="F1072">
        <v>5.7565942652113671E-2</v>
      </c>
      <c r="G1072">
        <v>3.1431813259280732</v>
      </c>
      <c r="H1072">
        <v>0</v>
      </c>
      <c r="I1072">
        <v>0</v>
      </c>
    </row>
    <row r="1073" spans="1:9" x14ac:dyDescent="0.25">
      <c r="A1073" s="113">
        <f t="shared" si="34"/>
        <v>76062</v>
      </c>
      <c r="B1073" s="128">
        <f t="shared" si="33"/>
        <v>2108</v>
      </c>
      <c r="C1073">
        <v>6.4284867542480528E-2</v>
      </c>
      <c r="D1073">
        <v>6.9721211735191441E-2</v>
      </c>
      <c r="E1073">
        <v>0</v>
      </c>
      <c r="F1073">
        <v>5.7327882993756796E-2</v>
      </c>
      <c r="G1073">
        <v>3.0804170987416057</v>
      </c>
      <c r="H1073">
        <v>0</v>
      </c>
      <c r="I1073">
        <v>0</v>
      </c>
    </row>
    <row r="1074" spans="1:9" x14ac:dyDescent="0.25">
      <c r="A1074" s="113">
        <f t="shared" si="34"/>
        <v>76092</v>
      </c>
      <c r="B1074" s="128">
        <f t="shared" si="33"/>
        <v>2108</v>
      </c>
      <c r="C1074">
        <v>7.9461193640224123E-2</v>
      </c>
      <c r="D1074">
        <v>6.805118233758943E-2</v>
      </c>
      <c r="E1074">
        <v>0</v>
      </c>
      <c r="F1074">
        <v>5.7095648705730681E-2</v>
      </c>
      <c r="G1074">
        <v>3.0347314613385086</v>
      </c>
      <c r="H1074">
        <v>0</v>
      </c>
      <c r="I1074">
        <v>0</v>
      </c>
    </row>
    <row r="1075" spans="1:9" x14ac:dyDescent="0.25">
      <c r="A1075" s="113">
        <f t="shared" si="34"/>
        <v>76123</v>
      </c>
      <c r="B1075" s="128">
        <f t="shared" si="33"/>
        <v>2108</v>
      </c>
      <c r="C1075">
        <v>8.8564619666455E-2</v>
      </c>
      <c r="D1075">
        <v>6.6487589854039519E-2</v>
      </c>
      <c r="E1075">
        <v>0</v>
      </c>
      <c r="F1075">
        <v>5.6872597485430443E-2</v>
      </c>
      <c r="G1075">
        <v>2.999935893665493</v>
      </c>
      <c r="H1075">
        <v>0</v>
      </c>
      <c r="I1075">
        <v>0</v>
      </c>
    </row>
    <row r="1076" spans="1:9" x14ac:dyDescent="0.25">
      <c r="A1076" s="113">
        <f t="shared" si="34"/>
        <v>76153</v>
      </c>
      <c r="B1076" s="128">
        <f t="shared" si="33"/>
        <v>2108</v>
      </c>
      <c r="C1076">
        <v>7.3937618778115957E-2</v>
      </c>
      <c r="D1076">
        <v>6.4950458988316806E-2</v>
      </c>
      <c r="E1076">
        <v>0</v>
      </c>
      <c r="F1076">
        <v>5.6656348227616088E-2</v>
      </c>
      <c r="G1076">
        <v>2.9522667052276761</v>
      </c>
      <c r="H1076">
        <v>0</v>
      </c>
      <c r="I1076">
        <v>0</v>
      </c>
    </row>
    <row r="1077" spans="1:9" x14ac:dyDescent="0.25">
      <c r="A1077" s="113">
        <f t="shared" si="34"/>
        <v>76184</v>
      </c>
      <c r="B1077" s="128">
        <f t="shared" si="33"/>
        <v>2108</v>
      </c>
      <c r="C1077">
        <v>6.2712825070227032E-2</v>
      </c>
      <c r="D1077">
        <v>6.344744853331237E-2</v>
      </c>
      <c r="E1077">
        <v>0</v>
      </c>
      <c r="F1077">
        <v>5.6441246887949728E-2</v>
      </c>
      <c r="G1077">
        <v>2.8950908348766413</v>
      </c>
      <c r="H1077">
        <v>0</v>
      </c>
      <c r="I1077">
        <v>0</v>
      </c>
    </row>
    <row r="1078" spans="1:9" x14ac:dyDescent="0.25">
      <c r="A1078" s="113">
        <f t="shared" si="34"/>
        <v>76215</v>
      </c>
      <c r="B1078" s="128">
        <f t="shared" si="33"/>
        <v>2108</v>
      </c>
      <c r="C1078">
        <v>6.510077608414748E-2</v>
      </c>
      <c r="D1078">
        <v>6.2019165124931115E-2</v>
      </c>
      <c r="E1078">
        <v>0</v>
      </c>
      <c r="F1078">
        <v>5.6228368742499681E-2</v>
      </c>
      <c r="G1078">
        <v>2.8419440770933582</v>
      </c>
      <c r="H1078">
        <v>0</v>
      </c>
      <c r="I1078">
        <v>0</v>
      </c>
    </row>
    <row r="1079" spans="1:9" x14ac:dyDescent="0.25">
      <c r="A1079" s="113">
        <f t="shared" si="34"/>
        <v>76245</v>
      </c>
      <c r="B1079" s="128">
        <f t="shared" si="33"/>
        <v>2108</v>
      </c>
      <c r="C1079">
        <v>7.1026506777036091E-2</v>
      </c>
      <c r="D1079">
        <v>6.0673841257620494E-2</v>
      </c>
      <c r="E1079">
        <v>0</v>
      </c>
      <c r="F1079">
        <v>5.602089556564168E-2</v>
      </c>
      <c r="G1079">
        <v>2.7962758470471303</v>
      </c>
      <c r="H1079">
        <v>0</v>
      </c>
      <c r="I1079">
        <v>0</v>
      </c>
    </row>
    <row r="1080" spans="1:9" x14ac:dyDescent="0.25">
      <c r="A1080" s="113">
        <f t="shared" si="34"/>
        <v>76276</v>
      </c>
      <c r="B1080" s="128">
        <f t="shared" si="33"/>
        <v>2108</v>
      </c>
      <c r="C1080">
        <v>7.6498795908010495E-2</v>
      </c>
      <c r="D1080">
        <v>3.6374868575170229E-2</v>
      </c>
      <c r="E1080">
        <v>0</v>
      </c>
      <c r="F1080">
        <v>5.5819521813972768E-2</v>
      </c>
      <c r="G1080">
        <v>2.7805802525660006</v>
      </c>
      <c r="H1080">
        <v>0</v>
      </c>
      <c r="I1080">
        <v>0</v>
      </c>
    </row>
    <row r="1081" spans="1:9" x14ac:dyDescent="0.25">
      <c r="A1081" s="113">
        <f t="shared" si="34"/>
        <v>76306</v>
      </c>
      <c r="B1081" s="128">
        <f t="shared" si="33"/>
        <v>2108</v>
      </c>
      <c r="C1081">
        <v>6.2550718807573971E-2</v>
      </c>
      <c r="D1081">
        <v>3.6273118458792677E-2</v>
      </c>
      <c r="E1081">
        <v>0</v>
      </c>
      <c r="F1081">
        <v>5.5698949237926405E-2</v>
      </c>
      <c r="G1081">
        <v>2.7511589036768562</v>
      </c>
      <c r="H1081">
        <v>0</v>
      </c>
      <c r="I1081">
        <v>0</v>
      </c>
    </row>
    <row r="1082" spans="1:9" x14ac:dyDescent="0.25">
      <c r="A1082" s="113">
        <f t="shared" si="34"/>
        <v>76337</v>
      </c>
      <c r="B1082" s="128">
        <f t="shared" si="33"/>
        <v>2108</v>
      </c>
      <c r="C1082">
        <v>7.0094400774964941E-2</v>
      </c>
      <c r="D1082">
        <v>3.6196542629611292E-2</v>
      </c>
      <c r="E1082">
        <v>0</v>
      </c>
      <c r="F1082">
        <v>5.5575869064766831E-2</v>
      </c>
      <c r="G1082">
        <v>2.7294808927574414</v>
      </c>
      <c r="H1082">
        <v>0</v>
      </c>
      <c r="I1082">
        <v>0</v>
      </c>
    </row>
    <row r="1083" spans="1:9" x14ac:dyDescent="0.25">
      <c r="A1083" s="113">
        <f t="shared" si="34"/>
        <v>76368</v>
      </c>
      <c r="B1083" s="128">
        <f t="shared" si="33"/>
        <v>2109</v>
      </c>
      <c r="C1083">
        <v>6.1314527182296547E-2</v>
      </c>
      <c r="D1083">
        <v>3.6092585152882453E-2</v>
      </c>
      <c r="E1083">
        <v>0</v>
      </c>
      <c r="F1083">
        <v>5.5454437244050761E-2</v>
      </c>
      <c r="G1083">
        <v>2.6992483975428039</v>
      </c>
      <c r="H1083">
        <v>0</v>
      </c>
      <c r="I1083">
        <v>0</v>
      </c>
    </row>
    <row r="1084" spans="1:9" x14ac:dyDescent="0.25">
      <c r="A1084" s="113">
        <f t="shared" si="34"/>
        <v>76396</v>
      </c>
      <c r="B1084" s="128">
        <f t="shared" si="33"/>
        <v>2109</v>
      </c>
      <c r="C1084">
        <v>6.3726339981872063E-2</v>
      </c>
      <c r="D1084">
        <v>3.5997308509222205E-2</v>
      </c>
      <c r="E1084">
        <v>0</v>
      </c>
      <c r="F1084">
        <v>5.5331366470386605E-2</v>
      </c>
      <c r="G1084">
        <v>2.6716460625450682</v>
      </c>
      <c r="H1084">
        <v>0</v>
      </c>
      <c r="I1084">
        <v>0</v>
      </c>
    </row>
    <row r="1085" spans="1:9" x14ac:dyDescent="0.25">
      <c r="A1085" s="113">
        <f t="shared" si="34"/>
        <v>76427</v>
      </c>
      <c r="B1085" s="128">
        <f t="shared" si="33"/>
        <v>2109</v>
      </c>
      <c r="C1085">
        <v>6.1343457074713628E-2</v>
      </c>
      <c r="D1085">
        <v>3.5895270035962087E-2</v>
      </c>
      <c r="E1085">
        <v>0</v>
      </c>
      <c r="F1085">
        <v>5.5209154664784682E-2</v>
      </c>
      <c r="G1085">
        <v>2.6418850949190338</v>
      </c>
      <c r="H1085">
        <v>0</v>
      </c>
      <c r="I1085">
        <v>0</v>
      </c>
    </row>
    <row r="1086" spans="1:9" x14ac:dyDescent="0.25">
      <c r="A1086" s="113">
        <f t="shared" si="34"/>
        <v>76457</v>
      </c>
      <c r="B1086" s="128">
        <f t="shared" si="33"/>
        <v>2109</v>
      </c>
      <c r="C1086">
        <v>7.6028200024680609E-2</v>
      </c>
      <c r="D1086">
        <v>3.5841354516947567E-2</v>
      </c>
      <c r="E1086">
        <v>0</v>
      </c>
      <c r="F1086">
        <v>5.508739347496297E-2</v>
      </c>
      <c r="G1086">
        <v>2.6269845469518045</v>
      </c>
      <c r="H1086">
        <v>0</v>
      </c>
      <c r="I1086">
        <v>0</v>
      </c>
    </row>
    <row r="1087" spans="1:9" x14ac:dyDescent="0.25">
      <c r="A1087" s="113">
        <f t="shared" si="34"/>
        <v>76488</v>
      </c>
      <c r="B1087" s="128">
        <f t="shared" si="33"/>
        <v>2109</v>
      </c>
      <c r="C1087">
        <v>8.4866077458643996E-2</v>
      </c>
      <c r="D1087">
        <v>3.5816610246989178E-2</v>
      </c>
      <c r="E1087">
        <v>0</v>
      </c>
      <c r="F1087">
        <v>5.49695514135266E-2</v>
      </c>
      <c r="G1087">
        <v>2.6210644627499331</v>
      </c>
      <c r="H1087">
        <v>0</v>
      </c>
      <c r="I1087">
        <v>0</v>
      </c>
    </row>
    <row r="1088" spans="1:9" x14ac:dyDescent="0.25">
      <c r="A1088" s="113">
        <f t="shared" si="34"/>
        <v>76518</v>
      </c>
      <c r="B1088" s="128">
        <f t="shared" si="33"/>
        <v>2109</v>
      </c>
      <c r="C1088">
        <v>7.0868977791238061E-2</v>
      </c>
      <c r="D1088">
        <v>3.5747537102054E-2</v>
      </c>
      <c r="E1088">
        <v>0</v>
      </c>
      <c r="F1088">
        <v>5.485356471655687E-2</v>
      </c>
      <c r="G1088">
        <v>2.6013323387225604</v>
      </c>
      <c r="H1088">
        <v>0</v>
      </c>
      <c r="I1088">
        <v>0</v>
      </c>
    </row>
    <row r="1089" spans="1:9" x14ac:dyDescent="0.25">
      <c r="A1089" s="113">
        <f t="shared" si="34"/>
        <v>76549</v>
      </c>
      <c r="B1089" s="128">
        <f t="shared" si="33"/>
        <v>2109</v>
      </c>
      <c r="C1089">
        <v>6.014139409305852E-2</v>
      </c>
      <c r="D1089">
        <v>3.564478575932923E-2</v>
      </c>
      <c r="E1089">
        <v>0</v>
      </c>
      <c r="F1089">
        <v>5.4734210256751438E-2</v>
      </c>
      <c r="G1089">
        <v>2.5710947367995378</v>
      </c>
      <c r="H1089">
        <v>0</v>
      </c>
      <c r="I1089">
        <v>0</v>
      </c>
    </row>
    <row r="1090" spans="1:9" x14ac:dyDescent="0.25">
      <c r="A1090" s="113">
        <f t="shared" si="34"/>
        <v>76580</v>
      </c>
      <c r="B1090" s="128">
        <f t="shared" si="33"/>
        <v>2109</v>
      </c>
      <c r="C1090">
        <v>6.2507061590203167E-2</v>
      </c>
      <c r="D1090">
        <v>3.5550551675619817E-2</v>
      </c>
      <c r="E1090">
        <v>0</v>
      </c>
      <c r="F1090">
        <v>5.4612729199809855E-2</v>
      </c>
      <c r="G1090">
        <v>2.5434385175143115</v>
      </c>
      <c r="H1090">
        <v>0</v>
      </c>
      <c r="I1090">
        <v>0</v>
      </c>
    </row>
    <row r="1091" spans="1:9" x14ac:dyDescent="0.25">
      <c r="A1091" s="113">
        <f t="shared" si="34"/>
        <v>76610</v>
      </c>
      <c r="B1091" s="128">
        <f t="shared" ref="B1091:B1154" si="35">YEAR(A1091)</f>
        <v>2109</v>
      </c>
      <c r="C1091">
        <v>6.8273025134275342E-2</v>
      </c>
      <c r="D1091">
        <v>3.5475736063739605E-2</v>
      </c>
      <c r="E1091">
        <v>0</v>
      </c>
      <c r="F1091">
        <v>5.4492379847570764E-2</v>
      </c>
      <c r="G1091">
        <v>2.5217434267372756</v>
      </c>
      <c r="H1091">
        <v>0</v>
      </c>
      <c r="I1091">
        <v>0</v>
      </c>
    </row>
    <row r="1092" spans="1:9" x14ac:dyDescent="0.25">
      <c r="A1092" s="113">
        <f t="shared" si="34"/>
        <v>76641</v>
      </c>
      <c r="B1092" s="128">
        <f t="shared" si="35"/>
        <v>2109</v>
      </c>
      <c r="C1092">
        <v>7.3599491543096807E-2</v>
      </c>
      <c r="D1092">
        <v>5.757767550224669E-2</v>
      </c>
      <c r="E1092">
        <v>0</v>
      </c>
      <c r="F1092">
        <v>5.4374018366619765E-2</v>
      </c>
      <c r="G1092">
        <v>2.4833912244115073</v>
      </c>
      <c r="H1092">
        <v>0</v>
      </c>
      <c r="I1092">
        <v>0</v>
      </c>
    </row>
    <row r="1093" spans="1:9" x14ac:dyDescent="0.25">
      <c r="A1093" s="113">
        <f t="shared" si="34"/>
        <v>76671</v>
      </c>
      <c r="B1093" s="128">
        <f t="shared" si="35"/>
        <v>2109</v>
      </c>
      <c r="C1093">
        <v>6.0121557335255094E-2</v>
      </c>
      <c r="D1093">
        <v>5.6369191619494344E-2</v>
      </c>
      <c r="E1093">
        <v>0</v>
      </c>
      <c r="F1093">
        <v>5.4182426086594633E-2</v>
      </c>
      <c r="G1093">
        <v>2.4329611640406732</v>
      </c>
      <c r="H1093">
        <v>0</v>
      </c>
      <c r="I1093">
        <v>0</v>
      </c>
    </row>
    <row r="1094" spans="1:9" x14ac:dyDescent="0.25">
      <c r="A1094" s="113">
        <f t="shared" si="34"/>
        <v>76702</v>
      </c>
      <c r="B1094" s="128">
        <f t="shared" si="35"/>
        <v>2109</v>
      </c>
      <c r="C1094">
        <v>6.7323786345885803E-2</v>
      </c>
      <c r="D1094">
        <v>5.5237244508879645E-2</v>
      </c>
      <c r="E1094">
        <v>0</v>
      </c>
      <c r="F1094">
        <v>5.3992002100673363E-2</v>
      </c>
      <c r="G1094">
        <v>2.3910557037770079</v>
      </c>
      <c r="H1094">
        <v>0</v>
      </c>
      <c r="I1094">
        <v>0</v>
      </c>
    </row>
    <row r="1095" spans="1:9" x14ac:dyDescent="0.25">
      <c r="A1095" s="113">
        <f t="shared" si="34"/>
        <v>76733</v>
      </c>
      <c r="B1095" s="128">
        <f t="shared" si="35"/>
        <v>2110</v>
      </c>
      <c r="C1095">
        <v>5.8823925259758721E-2</v>
      </c>
      <c r="D1095">
        <v>5.4128809883829995E-2</v>
      </c>
      <c r="E1095">
        <v>0</v>
      </c>
      <c r="F1095">
        <v>5.3806579583621651E-2</v>
      </c>
      <c r="G1095">
        <v>2.3419442395693126</v>
      </c>
      <c r="H1095">
        <v>0</v>
      </c>
      <c r="I1095">
        <v>0</v>
      </c>
    </row>
    <row r="1096" spans="1:9" x14ac:dyDescent="0.25">
      <c r="A1096" s="113">
        <f t="shared" si="34"/>
        <v>76761</v>
      </c>
      <c r="B1096" s="128">
        <f t="shared" si="35"/>
        <v>2110</v>
      </c>
      <c r="C1096">
        <v>6.1094255799075146E-2</v>
      </c>
      <c r="D1096">
        <v>5.3076238923970211E-2</v>
      </c>
      <c r="E1096">
        <v>0</v>
      </c>
      <c r="F1096">
        <v>5.3622838172790385E-2</v>
      </c>
      <c r="G1096">
        <v>2.2963394182716264</v>
      </c>
      <c r="H1096">
        <v>0</v>
      </c>
      <c r="I1096">
        <v>0</v>
      </c>
    </row>
    <row r="1097" spans="1:9" x14ac:dyDescent="0.25">
      <c r="A1097" s="113">
        <f t="shared" si="34"/>
        <v>76792</v>
      </c>
      <c r="B1097" s="128">
        <f t="shared" si="35"/>
        <v>2110</v>
      </c>
      <c r="C1097">
        <v>5.8754153429458007E-2</v>
      </c>
      <c r="D1097">
        <v>5.2062439959227595E-2</v>
      </c>
      <c r="E1097">
        <v>0</v>
      </c>
      <c r="F1097">
        <v>5.3443030738878759E-2</v>
      </c>
      <c r="G1097">
        <v>2.2495881010029795</v>
      </c>
      <c r="H1097">
        <v>0</v>
      </c>
      <c r="I1097">
        <v>0</v>
      </c>
    </row>
    <row r="1098" spans="1:9" x14ac:dyDescent="0.25">
      <c r="A1098" s="113">
        <f t="shared" si="34"/>
        <v>76822</v>
      </c>
      <c r="B1098" s="128">
        <f t="shared" si="35"/>
        <v>2110</v>
      </c>
      <c r="C1098">
        <v>7.2837237359757209E-2</v>
      </c>
      <c r="D1098">
        <v>5.1138088420169356E-2</v>
      </c>
      <c r="E1098">
        <v>0</v>
      </c>
      <c r="F1098">
        <v>5.3266620959118369E-2</v>
      </c>
      <c r="G1098">
        <v>2.2180206289834499</v>
      </c>
      <c r="H1098">
        <v>0</v>
      </c>
      <c r="I1098">
        <v>0</v>
      </c>
    </row>
    <row r="1099" spans="1:9" x14ac:dyDescent="0.25">
      <c r="A1099" s="113">
        <f t="shared" si="34"/>
        <v>76853</v>
      </c>
      <c r="B1099" s="128">
        <f t="shared" si="35"/>
        <v>2110</v>
      </c>
      <c r="C1099">
        <v>8.1297360741248992E-2</v>
      </c>
      <c r="D1099">
        <v>5.0282921775088266E-2</v>
      </c>
      <c r="E1099">
        <v>0</v>
      </c>
      <c r="F1099">
        <v>5.3096809054995413E-2</v>
      </c>
      <c r="G1099">
        <v>2.1959382588946137</v>
      </c>
      <c r="H1099">
        <v>0</v>
      </c>
      <c r="I1099">
        <v>0</v>
      </c>
    </row>
    <row r="1100" spans="1:9" x14ac:dyDescent="0.25">
      <c r="A1100" s="113">
        <f t="shared" ref="A1100:A1163" si="36">DATE(YEAR(A1099),MONTH(A1099)+2,1)-1</f>
        <v>76883</v>
      </c>
      <c r="B1100" s="128">
        <f t="shared" si="35"/>
        <v>2110</v>
      </c>
      <c r="C1100">
        <v>6.7790152121199959E-2</v>
      </c>
      <c r="D1100">
        <v>4.9424291874133192E-2</v>
      </c>
      <c r="E1100">
        <v>0</v>
      </c>
      <c r="F1100">
        <v>5.2931478952505148E-2</v>
      </c>
      <c r="G1100">
        <v>2.161372640189176</v>
      </c>
      <c r="H1100">
        <v>0</v>
      </c>
      <c r="I1100">
        <v>0</v>
      </c>
    </row>
    <row r="1101" spans="1:9" x14ac:dyDescent="0.25">
      <c r="A1101" s="113">
        <f t="shared" si="36"/>
        <v>76914</v>
      </c>
      <c r="B1101" s="128">
        <f t="shared" si="35"/>
        <v>2110</v>
      </c>
      <c r="C1101">
        <v>5.7430640134206935E-2</v>
      </c>
      <c r="D1101">
        <v>4.8570602982128772E-2</v>
      </c>
      <c r="E1101">
        <v>0</v>
      </c>
      <c r="F1101">
        <v>5.2765480971138784E-2</v>
      </c>
      <c r="G1101">
        <v>2.1174671963701153</v>
      </c>
      <c r="H1101">
        <v>0</v>
      </c>
      <c r="I1101">
        <v>0</v>
      </c>
    </row>
    <row r="1102" spans="1:9" x14ac:dyDescent="0.25">
      <c r="A1102" s="113">
        <f t="shared" si="36"/>
        <v>76945</v>
      </c>
      <c r="B1102" s="128">
        <f t="shared" si="35"/>
        <v>2110</v>
      </c>
      <c r="C1102">
        <v>5.9670141198128371E-2</v>
      </c>
      <c r="D1102">
        <v>4.7760695249374423E-2</v>
      </c>
      <c r="E1102">
        <v>0</v>
      </c>
      <c r="F1102">
        <v>5.2599890466347839E-2</v>
      </c>
      <c r="G1102">
        <v>2.0767767518525213</v>
      </c>
      <c r="H1102">
        <v>0</v>
      </c>
      <c r="I1102">
        <v>0</v>
      </c>
    </row>
    <row r="1103" spans="1:9" x14ac:dyDescent="0.25">
      <c r="A1103" s="113">
        <f t="shared" si="36"/>
        <v>76975</v>
      </c>
      <c r="B1103" s="128">
        <f t="shared" si="35"/>
        <v>2110</v>
      </c>
      <c r="C1103">
        <v>6.5182968596008417E-2</v>
      </c>
      <c r="D1103">
        <v>4.7003383212277969E-2</v>
      </c>
      <c r="E1103">
        <v>0</v>
      </c>
      <c r="F1103">
        <v>5.2437728955365123E-2</v>
      </c>
      <c r="G1103">
        <v>2.0425186082808864</v>
      </c>
      <c r="H1103">
        <v>0</v>
      </c>
      <c r="I1103">
        <v>0</v>
      </c>
    </row>
    <row r="1104" spans="1:9" x14ac:dyDescent="0.25">
      <c r="A1104" s="113">
        <f t="shared" si="36"/>
        <v>77006</v>
      </c>
      <c r="B1104" s="128">
        <f t="shared" si="35"/>
        <v>2110</v>
      </c>
      <c r="C1104">
        <v>7.0274767192986157E-2</v>
      </c>
      <c r="D1104">
        <v>4.62956509478476E-2</v>
      </c>
      <c r="E1104">
        <v>0</v>
      </c>
      <c r="F1104">
        <v>5.2279712083831358E-2</v>
      </c>
      <c r="G1104">
        <v>2.0142180124421936</v>
      </c>
      <c r="H1104">
        <v>0</v>
      </c>
      <c r="I1104">
        <v>0</v>
      </c>
    </row>
    <row r="1105" spans="1:9" x14ac:dyDescent="0.25">
      <c r="A1105" s="113">
        <f t="shared" si="36"/>
        <v>77036</v>
      </c>
      <c r="B1105" s="128">
        <f t="shared" si="35"/>
        <v>2110</v>
      </c>
      <c r="C1105">
        <v>5.7332849967687234E-2</v>
      </c>
      <c r="D1105">
        <v>4.5577945294518189E-2</v>
      </c>
      <c r="E1105">
        <v>0</v>
      </c>
      <c r="F1105">
        <v>5.2124650927625721E-2</v>
      </c>
      <c r="G1105">
        <v>1.9738482661877363</v>
      </c>
      <c r="H1105">
        <v>0</v>
      </c>
      <c r="I1105">
        <v>0</v>
      </c>
    </row>
    <row r="1106" spans="1:9" x14ac:dyDescent="0.25">
      <c r="A1106" s="113">
        <f t="shared" si="36"/>
        <v>77067</v>
      </c>
      <c r="B1106" s="128">
        <f t="shared" si="35"/>
        <v>2110</v>
      </c>
      <c r="C1106">
        <v>6.4286131149010869E-2</v>
      </c>
      <c r="D1106">
        <v>4.4912896244509892E-2</v>
      </c>
      <c r="E1106">
        <v>0</v>
      </c>
      <c r="F1106">
        <v>5.1969302591386331E-2</v>
      </c>
      <c r="G1106">
        <v>1.9412521985008522</v>
      </c>
      <c r="H1106">
        <v>0</v>
      </c>
      <c r="I1106">
        <v>0</v>
      </c>
    </row>
    <row r="1107" spans="1:9" x14ac:dyDescent="0.25">
      <c r="A1107" s="113">
        <f t="shared" si="36"/>
        <v>77098</v>
      </c>
      <c r="B1107" s="128">
        <f t="shared" si="35"/>
        <v>2111</v>
      </c>
      <c r="C1107">
        <v>5.6131300691339238E-2</v>
      </c>
      <c r="D1107">
        <v>4.425047584217337E-2</v>
      </c>
      <c r="E1107">
        <v>0</v>
      </c>
      <c r="F1107">
        <v>5.1817420161286883E-2</v>
      </c>
      <c r="G1107">
        <v>1.9013156031887297</v>
      </c>
      <c r="H1107">
        <v>0</v>
      </c>
      <c r="I1107">
        <v>0</v>
      </c>
    </row>
    <row r="1108" spans="1:9" x14ac:dyDescent="0.25">
      <c r="A1108" s="113">
        <f t="shared" si="36"/>
        <v>77126</v>
      </c>
      <c r="B1108" s="128">
        <f t="shared" si="35"/>
        <v>2111</v>
      </c>
      <c r="C1108">
        <v>5.8337394078133285E-2</v>
      </c>
      <c r="D1108">
        <v>4.3622749468431213E-2</v>
      </c>
      <c r="E1108">
        <v>0</v>
      </c>
      <c r="F1108">
        <v>5.1665871300077715E-2</v>
      </c>
      <c r="G1108">
        <v>1.8643643764983557</v>
      </c>
      <c r="H1108">
        <v>0</v>
      </c>
      <c r="I1108">
        <v>0</v>
      </c>
    </row>
    <row r="1109" spans="1:9" x14ac:dyDescent="0.25">
      <c r="A1109" s="113">
        <f t="shared" si="36"/>
        <v>77157</v>
      </c>
      <c r="B1109" s="128">
        <f t="shared" si="35"/>
        <v>2111</v>
      </c>
      <c r="C1109">
        <v>5.6106763176812388E-2</v>
      </c>
      <c r="D1109">
        <v>4.3014169320933472E-2</v>
      </c>
      <c r="E1109">
        <v>0</v>
      </c>
      <c r="F1109">
        <v>5.1516882811746094E-2</v>
      </c>
      <c r="G1109">
        <v>1.8259400875424876</v>
      </c>
      <c r="H1109">
        <v>0</v>
      </c>
      <c r="I1109">
        <v>0</v>
      </c>
    </row>
    <row r="1110" spans="1:9" x14ac:dyDescent="0.25">
      <c r="A1110" s="113">
        <f t="shared" si="36"/>
        <v>77187</v>
      </c>
      <c r="B1110" s="128">
        <f t="shared" si="35"/>
        <v>2111</v>
      </c>
      <c r="C1110">
        <v>6.9675901371582541E-2</v>
      </c>
      <c r="D1110">
        <v>4.2474344186555019E-2</v>
      </c>
      <c r="E1110">
        <v>0</v>
      </c>
      <c r="F1110">
        <v>5.1369995282802131E-2</v>
      </c>
      <c r="G1110">
        <v>1.801771649444712</v>
      </c>
      <c r="H1110">
        <v>0</v>
      </c>
      <c r="I1110">
        <v>0</v>
      </c>
    </row>
    <row r="1111" spans="1:9" x14ac:dyDescent="0.25">
      <c r="A1111" s="113">
        <f t="shared" si="36"/>
        <v>77218</v>
      </c>
      <c r="B1111" s="128">
        <f t="shared" si="35"/>
        <v>2111</v>
      </c>
      <c r="C1111">
        <v>7.7834256846545657E-2</v>
      </c>
      <c r="D1111">
        <v>4.1984593281868703E-2</v>
      </c>
      <c r="E1111">
        <v>0</v>
      </c>
      <c r="F1111">
        <v>5.1228341620577135E-2</v>
      </c>
      <c r="G1111">
        <v>1.7863929713888125</v>
      </c>
      <c r="H1111">
        <v>0</v>
      </c>
      <c r="I1111">
        <v>0</v>
      </c>
    </row>
    <row r="1112" spans="1:9" x14ac:dyDescent="0.25">
      <c r="A1112" s="113">
        <f t="shared" si="36"/>
        <v>77248</v>
      </c>
      <c r="B1112" s="128">
        <f t="shared" si="35"/>
        <v>2111</v>
      </c>
      <c r="C1112">
        <v>6.4856953725337715E-2</v>
      </c>
      <c r="D1112">
        <v>4.1475797351757993E-2</v>
      </c>
      <c r="E1112">
        <v>0</v>
      </c>
      <c r="F1112">
        <v>5.1089937436330904E-2</v>
      </c>
      <c r="G1112">
        <v>1.7586841903260613</v>
      </c>
      <c r="H1112">
        <v>0</v>
      </c>
      <c r="I1112">
        <v>0</v>
      </c>
    </row>
    <row r="1113" spans="1:9" x14ac:dyDescent="0.25">
      <c r="A1113" s="113">
        <f t="shared" si="36"/>
        <v>77279</v>
      </c>
      <c r="B1113" s="128">
        <f t="shared" si="35"/>
        <v>2111</v>
      </c>
      <c r="C1113">
        <v>5.4907202888785596E-2</v>
      </c>
      <c r="D1113">
        <v>4.0956781200322409E-2</v>
      </c>
      <c r="E1113">
        <v>0</v>
      </c>
      <c r="F1113">
        <v>5.0949877335011648E-2</v>
      </c>
      <c r="G1113">
        <v>1.7216847346795126</v>
      </c>
      <c r="H1113">
        <v>0</v>
      </c>
      <c r="I1113">
        <v>0</v>
      </c>
    </row>
    <row r="1114" spans="1:9" x14ac:dyDescent="0.25">
      <c r="A1114" s="113">
        <f t="shared" si="36"/>
        <v>77310</v>
      </c>
      <c r="B1114" s="128">
        <f t="shared" si="35"/>
        <v>2111</v>
      </c>
      <c r="C1114">
        <v>5.7078155724473709E-2</v>
      </c>
      <c r="D1114">
        <v>4.046561724304152E-2</v>
      </c>
      <c r="E1114">
        <v>0</v>
      </c>
      <c r="F1114">
        <v>5.0809242764570682E-2</v>
      </c>
      <c r="G1114">
        <v>1.6874880303963753</v>
      </c>
      <c r="H1114">
        <v>0</v>
      </c>
      <c r="I1114">
        <v>0</v>
      </c>
    </row>
    <row r="1115" spans="1:9" x14ac:dyDescent="0.25">
      <c r="A1115" s="113">
        <f t="shared" si="36"/>
        <v>77340</v>
      </c>
      <c r="B1115" s="128">
        <f t="shared" si="35"/>
        <v>2111</v>
      </c>
      <c r="C1115">
        <v>6.2397607027192707E-2</v>
      </c>
      <c r="D1115">
        <v>4.0011457132502252E-2</v>
      </c>
      <c r="E1115">
        <v>0</v>
      </c>
      <c r="F1115">
        <v>5.0670985415471749E-2</v>
      </c>
      <c r="G1115">
        <v>1.6592031948755934</v>
      </c>
      <c r="H1115">
        <v>0</v>
      </c>
      <c r="I1115">
        <v>0</v>
      </c>
    </row>
    <row r="1116" spans="1:9" x14ac:dyDescent="0.25">
      <c r="A1116" s="113">
        <f t="shared" si="36"/>
        <v>77371</v>
      </c>
      <c r="B1116" s="128">
        <f t="shared" si="35"/>
        <v>2111</v>
      </c>
      <c r="C1116">
        <v>6.7311253918440603E-2</v>
      </c>
      <c r="D1116">
        <v>3.9592038873953066E-2</v>
      </c>
      <c r="E1116">
        <v>0</v>
      </c>
      <c r="F1116">
        <v>5.0535836438930531E-2</v>
      </c>
      <c r="G1116">
        <v>1.6363865734811511</v>
      </c>
      <c r="H1116">
        <v>0</v>
      </c>
      <c r="I1116">
        <v>0</v>
      </c>
    </row>
    <row r="1117" spans="1:9" x14ac:dyDescent="0.25">
      <c r="A1117" s="113">
        <f t="shared" si="36"/>
        <v>77401</v>
      </c>
      <c r="B1117" s="128">
        <f t="shared" si="35"/>
        <v>2111</v>
      </c>
      <c r="C1117">
        <v>5.4873964707478205E-2</v>
      </c>
      <c r="D1117">
        <v>3.9150675917244138E-2</v>
      </c>
      <c r="E1117">
        <v>0</v>
      </c>
      <c r="F1117">
        <v>5.0402692634364761E-2</v>
      </c>
      <c r="G1117">
        <v>1.6017071696370198</v>
      </c>
      <c r="H1117">
        <v>0</v>
      </c>
      <c r="I1117">
        <v>0</v>
      </c>
    </row>
    <row r="1118" spans="1:9" x14ac:dyDescent="0.25">
      <c r="A1118" s="113">
        <f t="shared" si="36"/>
        <v>77432</v>
      </c>
      <c r="B1118" s="128">
        <f t="shared" si="35"/>
        <v>2111</v>
      </c>
      <c r="C1118">
        <v>6.1577180642470294E-2</v>
      </c>
      <c r="D1118">
        <v>3.8748205460705676E-2</v>
      </c>
      <c r="E1118">
        <v>0</v>
      </c>
      <c r="F1118">
        <v>5.026847280081375E-2</v>
      </c>
      <c r="G1118">
        <v>1.5742676720179687</v>
      </c>
      <c r="H1118">
        <v>0</v>
      </c>
      <c r="I1118">
        <v>0</v>
      </c>
    </row>
    <row r="1119" spans="1:9" x14ac:dyDescent="0.25">
      <c r="A1119" s="113">
        <f t="shared" si="36"/>
        <v>77463</v>
      </c>
      <c r="B1119" s="128">
        <f t="shared" si="35"/>
        <v>2112</v>
      </c>
      <c r="C1119">
        <v>5.3744248449545465E-2</v>
      </c>
      <c r="D1119">
        <v>3.8337049175127043E-2</v>
      </c>
      <c r="E1119">
        <v>0</v>
      </c>
      <c r="F1119">
        <v>5.0136824782911892E-2</v>
      </c>
      <c r="G1119">
        <v>1.5395380465094768</v>
      </c>
      <c r="H1119">
        <v>0</v>
      </c>
      <c r="I1119">
        <v>0</v>
      </c>
    </row>
    <row r="1120" spans="1:9" x14ac:dyDescent="0.25">
      <c r="A1120" s="113">
        <f t="shared" si="36"/>
        <v>77492</v>
      </c>
      <c r="B1120" s="128">
        <f t="shared" si="35"/>
        <v>2112</v>
      </c>
      <c r="C1120">
        <v>5.5878957013696148E-2</v>
      </c>
      <c r="D1120">
        <v>3.794858469901604E-2</v>
      </c>
      <c r="E1120">
        <v>0</v>
      </c>
      <c r="F1120">
        <v>5.0004770253603045E-2</v>
      </c>
      <c r="G1120">
        <v>1.5074636485705544</v>
      </c>
      <c r="H1120">
        <v>0</v>
      </c>
      <c r="I1120">
        <v>0</v>
      </c>
    </row>
    <row r="1121" spans="1:9" x14ac:dyDescent="0.25">
      <c r="A1121" s="113">
        <f t="shared" si="36"/>
        <v>77523</v>
      </c>
      <c r="B1121" s="128">
        <f t="shared" si="35"/>
        <v>2112</v>
      </c>
      <c r="C1121">
        <v>5.3744517507689021E-2</v>
      </c>
      <c r="D1121">
        <v>3.7568356219953448E-2</v>
      </c>
      <c r="E1121">
        <v>0</v>
      </c>
      <c r="F1121">
        <v>4.987448528842639E-2</v>
      </c>
      <c r="G1121">
        <v>1.473765324569863</v>
      </c>
      <c r="H1121">
        <v>0</v>
      </c>
      <c r="I1121">
        <v>0</v>
      </c>
    </row>
    <row r="1122" spans="1:9" x14ac:dyDescent="0.25">
      <c r="A1122" s="113">
        <f t="shared" si="36"/>
        <v>77553</v>
      </c>
      <c r="B1122" s="128">
        <f t="shared" si="35"/>
        <v>2112</v>
      </c>
      <c r="C1122">
        <v>6.6810487318520351E-2</v>
      </c>
      <c r="D1122">
        <v>3.7244571439247545E-2</v>
      </c>
      <c r="E1122">
        <v>0</v>
      </c>
      <c r="F1122">
        <v>4.9745560000899317E-2</v>
      </c>
      <c r="G1122">
        <v>1.4535856804482377</v>
      </c>
      <c r="H1122">
        <v>0</v>
      </c>
      <c r="I1122">
        <v>0</v>
      </c>
    </row>
    <row r="1123" spans="1:9" x14ac:dyDescent="0.25">
      <c r="A1123" s="113">
        <f t="shared" si="36"/>
        <v>77584</v>
      </c>
      <c r="B1123" s="128">
        <f t="shared" si="35"/>
        <v>2112</v>
      </c>
      <c r="C1123">
        <v>7.4670220370141871E-2</v>
      </c>
      <c r="D1123">
        <v>3.6959714133533363E-2</v>
      </c>
      <c r="E1123">
        <v>0</v>
      </c>
      <c r="F1123">
        <v>4.9621039195759407E-2</v>
      </c>
      <c r="G1123">
        <v>1.4416751474890852</v>
      </c>
      <c r="H1123">
        <v>0</v>
      </c>
      <c r="I1123">
        <v>0</v>
      </c>
    </row>
    <row r="1124" spans="1:9" x14ac:dyDescent="0.25">
      <c r="A1124" s="113">
        <f t="shared" si="36"/>
        <v>77614</v>
      </c>
      <c r="B1124" s="128">
        <f t="shared" si="35"/>
        <v>2112</v>
      </c>
      <c r="C1124">
        <v>6.2194838191984583E-2</v>
      </c>
      <c r="D1124">
        <v>3.6647719756153281E-2</v>
      </c>
      <c r="E1124">
        <v>0</v>
      </c>
      <c r="F1124">
        <v>4.9499042914799882E-2</v>
      </c>
      <c r="G1124">
        <v>1.4177232230101178</v>
      </c>
      <c r="H1124">
        <v>0</v>
      </c>
      <c r="I1124">
        <v>0</v>
      </c>
    </row>
    <row r="1125" spans="1:9" x14ac:dyDescent="0.25">
      <c r="A1125" s="113">
        <f t="shared" si="36"/>
        <v>77645</v>
      </c>
      <c r="B1125" s="128">
        <f t="shared" si="35"/>
        <v>2112</v>
      </c>
      <c r="C1125">
        <v>5.2631789423875953E-2</v>
      </c>
      <c r="D1125">
        <v>3.6317493279728219E-2</v>
      </c>
      <c r="E1125">
        <v>0</v>
      </c>
      <c r="F1125">
        <v>4.9374879552349218E-2</v>
      </c>
      <c r="G1125">
        <v>1.3846626396019164</v>
      </c>
      <c r="H1125">
        <v>0</v>
      </c>
      <c r="I1125">
        <v>0</v>
      </c>
    </row>
    <row r="1126" spans="1:9" x14ac:dyDescent="0.25">
      <c r="A1126" s="113">
        <f t="shared" si="36"/>
        <v>77676</v>
      </c>
      <c r="B1126" s="128">
        <f t="shared" si="35"/>
        <v>2112</v>
      </c>
      <c r="C1126">
        <v>5.472961736305209E-2</v>
      </c>
      <c r="D1126">
        <v>3.6006059305808198E-2</v>
      </c>
      <c r="E1126">
        <v>0</v>
      </c>
      <c r="F1126">
        <v>4.9249616159198407E-2</v>
      </c>
      <c r="G1126">
        <v>1.3541365814999611</v>
      </c>
      <c r="H1126">
        <v>0</v>
      </c>
      <c r="I1126">
        <v>0</v>
      </c>
    </row>
    <row r="1127" spans="1:9" x14ac:dyDescent="0.25">
      <c r="A1127" s="113">
        <f t="shared" si="36"/>
        <v>77706</v>
      </c>
      <c r="B1127" s="128">
        <f t="shared" si="35"/>
        <v>2112</v>
      </c>
      <c r="C1127">
        <v>5.985618467666453E-2</v>
      </c>
      <c r="D1127">
        <v>3.572259918885503E-2</v>
      </c>
      <c r="E1127">
        <v>0</v>
      </c>
      <c r="F1127">
        <v>4.9126117920507799E-2</v>
      </c>
      <c r="G1127">
        <v>1.3291440490672632</v>
      </c>
      <c r="H1127">
        <v>0</v>
      </c>
      <c r="I1127">
        <v>0</v>
      </c>
    </row>
    <row r="1128" spans="1:9" x14ac:dyDescent="0.25">
      <c r="A1128" s="113">
        <f t="shared" si="36"/>
        <v>77737</v>
      </c>
      <c r="B1128" s="128">
        <f t="shared" si="35"/>
        <v>2112</v>
      </c>
      <c r="C1128">
        <v>6.4591916857770618E-2</v>
      </c>
      <c r="D1128">
        <v>3.1561210228142157E-2</v>
      </c>
      <c r="E1128">
        <v>0</v>
      </c>
      <c r="F1128">
        <v>4.9005112471183922E-2</v>
      </c>
      <c r="G1128">
        <v>1.3131696432257065</v>
      </c>
      <c r="H1128">
        <v>0</v>
      </c>
      <c r="I1128">
        <v>0</v>
      </c>
    </row>
    <row r="1129" spans="1:9" x14ac:dyDescent="0.25">
      <c r="A1129" s="113">
        <f t="shared" si="36"/>
        <v>77767</v>
      </c>
      <c r="B1129" s="128">
        <f t="shared" si="35"/>
        <v>2112</v>
      </c>
      <c r="C1129">
        <v>5.2644227603818178E-2</v>
      </c>
      <c r="D1129">
        <v>3.147170968976442E-2</v>
      </c>
      <c r="E1129">
        <v>0</v>
      </c>
      <c r="F1129">
        <v>4.8899108955024369E-2</v>
      </c>
      <c r="G1129">
        <v>1.2854430521847369</v>
      </c>
      <c r="H1129">
        <v>0</v>
      </c>
      <c r="I1129">
        <v>0</v>
      </c>
    </row>
    <row r="1130" spans="1:9" x14ac:dyDescent="0.25">
      <c r="A1130" s="113">
        <f t="shared" si="36"/>
        <v>77798</v>
      </c>
      <c r="B1130" s="128">
        <f t="shared" si="35"/>
        <v>2112</v>
      </c>
      <c r="C1130">
        <v>5.9110727069845159E-2</v>
      </c>
      <c r="D1130">
        <v>3.1403789387704245E-2</v>
      </c>
      <c r="E1130">
        <v>0</v>
      </c>
      <c r="F1130">
        <v>4.8790963299120492E-2</v>
      </c>
      <c r="G1130">
        <v>1.2643590265677573</v>
      </c>
      <c r="H1130">
        <v>0</v>
      </c>
      <c r="I1130">
        <v>0</v>
      </c>
    </row>
    <row r="1131" spans="1:9" x14ac:dyDescent="0.25">
      <c r="A1131" s="113">
        <f t="shared" si="36"/>
        <v>77829</v>
      </c>
      <c r="B1131" s="128">
        <f t="shared" si="35"/>
        <v>2113</v>
      </c>
      <c r="C1131">
        <v>5.1591149211025693E-2</v>
      </c>
      <c r="D1131">
        <v>3.1312419206139842E-2</v>
      </c>
      <c r="E1131">
        <v>0</v>
      </c>
      <c r="F1131">
        <v>4.8684236316744456E-2</v>
      </c>
      <c r="G1131">
        <v>1.2359535202558984</v>
      </c>
      <c r="H1131">
        <v>0</v>
      </c>
      <c r="I1131">
        <v>0</v>
      </c>
    </row>
    <row r="1132" spans="1:9" x14ac:dyDescent="0.25">
      <c r="A1132" s="113">
        <f t="shared" si="36"/>
        <v>77857</v>
      </c>
      <c r="B1132" s="128">
        <f t="shared" si="35"/>
        <v>2113</v>
      </c>
      <c r="C1132">
        <v>5.3660629402487593E-2</v>
      </c>
      <c r="D1132">
        <v>3.1228497532609999E-2</v>
      </c>
      <c r="E1132">
        <v>0</v>
      </c>
      <c r="F1132">
        <v>4.8576111419800776E-2</v>
      </c>
      <c r="G1132">
        <v>1.2098095407059748</v>
      </c>
      <c r="H1132">
        <v>0</v>
      </c>
      <c r="I1132">
        <v>0</v>
      </c>
    </row>
    <row r="1133" spans="1:9" x14ac:dyDescent="0.25">
      <c r="A1133" s="113">
        <f t="shared" si="36"/>
        <v>77888</v>
      </c>
      <c r="B1133" s="128">
        <f t="shared" si="35"/>
        <v>2113</v>
      </c>
      <c r="C1133">
        <v>5.1621991314612398E-2</v>
      </c>
      <c r="D1133">
        <v>3.1138793005732947E-2</v>
      </c>
      <c r="E1133">
        <v>0</v>
      </c>
      <c r="F1133">
        <v>4.8468728818204014E-2</v>
      </c>
      <c r="G1133">
        <v>1.1818240101966511</v>
      </c>
      <c r="H1133">
        <v>0</v>
      </c>
      <c r="I1133">
        <v>0</v>
      </c>
    </row>
    <row r="1134" spans="1:9" x14ac:dyDescent="0.25">
      <c r="A1134" s="113">
        <f t="shared" si="36"/>
        <v>77918</v>
      </c>
      <c r="B1134" s="128">
        <f t="shared" si="35"/>
        <v>2113</v>
      </c>
      <c r="C1134">
        <v>6.4206932511561093E-2</v>
      </c>
      <c r="D1134">
        <v>3.1090331014831742E-2</v>
      </c>
      <c r="E1134">
        <v>0</v>
      </c>
      <c r="F1134">
        <v>4.8361738618921353E-2</v>
      </c>
      <c r="G1134">
        <v>1.1665788730744577</v>
      </c>
      <c r="H1134">
        <v>0</v>
      </c>
      <c r="I1134">
        <v>0</v>
      </c>
    </row>
    <row r="1135" spans="1:9" x14ac:dyDescent="0.25">
      <c r="A1135" s="113">
        <f t="shared" si="36"/>
        <v>77949</v>
      </c>
      <c r="B1135" s="128">
        <f t="shared" si="35"/>
        <v>2113</v>
      </c>
      <c r="C1135">
        <v>7.1782253491468231E-2</v>
      </c>
      <c r="D1135">
        <v>3.1066873641555411E-2</v>
      </c>
      <c r="E1135">
        <v>0</v>
      </c>
      <c r="F1135">
        <v>4.8258112637510404E-2</v>
      </c>
      <c r="G1135">
        <v>1.1590361402868612</v>
      </c>
      <c r="H1135">
        <v>0</v>
      </c>
      <c r="I1135">
        <v>0</v>
      </c>
    </row>
    <row r="1136" spans="1:9" x14ac:dyDescent="0.25">
      <c r="A1136" s="113">
        <f t="shared" si="36"/>
        <v>77979</v>
      </c>
      <c r="B1136" s="128">
        <f t="shared" si="35"/>
        <v>2113</v>
      </c>
      <c r="C1136">
        <v>5.9792493332178703E-2</v>
      </c>
      <c r="D1136">
        <v>3.1005445731721561E-2</v>
      </c>
      <c r="E1136">
        <v>0</v>
      </c>
      <c r="F1136">
        <v>4.815608261975559E-2</v>
      </c>
      <c r="G1136">
        <v>1.1396671052675627</v>
      </c>
      <c r="H1136">
        <v>0</v>
      </c>
      <c r="I1136">
        <v>0</v>
      </c>
    </row>
    <row r="1137" spans="1:9" x14ac:dyDescent="0.25">
      <c r="A1137" s="113">
        <f t="shared" si="36"/>
        <v>78010</v>
      </c>
      <c r="B1137" s="128">
        <f t="shared" si="35"/>
        <v>2113</v>
      </c>
      <c r="C1137">
        <v>5.0604053867840081E-2</v>
      </c>
      <c r="D1137">
        <v>3.0915172770363656E-2</v>
      </c>
      <c r="E1137">
        <v>0</v>
      </c>
      <c r="F1137">
        <v>4.8051173360203897E-2</v>
      </c>
      <c r="G1137">
        <v>1.1113048130048355</v>
      </c>
      <c r="H1137">
        <v>0</v>
      </c>
      <c r="I1137">
        <v>0</v>
      </c>
    </row>
    <row r="1138" spans="1:9" x14ac:dyDescent="0.25">
      <c r="A1138" s="113">
        <f t="shared" si="36"/>
        <v>78041</v>
      </c>
      <c r="B1138" s="128">
        <f t="shared" si="35"/>
        <v>2113</v>
      </c>
      <c r="C1138">
        <v>5.2633938619172357E-2</v>
      </c>
      <c r="D1138">
        <v>3.0832207897043808E-2</v>
      </c>
      <c r="E1138">
        <v>0</v>
      </c>
      <c r="F1138">
        <v>4.7944448277551663E-2</v>
      </c>
      <c r="G1138">
        <v>1.0851620954494126</v>
      </c>
      <c r="H1138">
        <v>0</v>
      </c>
      <c r="I1138">
        <v>0</v>
      </c>
    </row>
    <row r="1139" spans="1:9" x14ac:dyDescent="0.25">
      <c r="A1139" s="113">
        <f t="shared" si="36"/>
        <v>78071</v>
      </c>
      <c r="B1139" s="128">
        <f t="shared" si="35"/>
        <v>2113</v>
      </c>
      <c r="C1139">
        <v>5.7577196859209943E-2</v>
      </c>
      <c r="D1139">
        <v>3.0765891256767458E-2</v>
      </c>
      <c r="E1139">
        <v>0</v>
      </c>
      <c r="F1139">
        <v>4.7838699078353981E-2</v>
      </c>
      <c r="G1139">
        <v>1.0641347019735006</v>
      </c>
      <c r="H1139">
        <v>0</v>
      </c>
      <c r="I1139">
        <v>0</v>
      </c>
    </row>
    <row r="1140" spans="1:9" x14ac:dyDescent="0.25">
      <c r="A1140" s="113">
        <f t="shared" si="36"/>
        <v>78102</v>
      </c>
      <c r="B1140" s="128">
        <f t="shared" si="35"/>
        <v>2113</v>
      </c>
      <c r="C1140">
        <v>6.2143883208861071E-2</v>
      </c>
      <c r="D1140">
        <v>3.0714957240122014E-2</v>
      </c>
      <c r="E1140">
        <v>0</v>
      </c>
      <c r="F1140">
        <v>4.7734659313083468E-2</v>
      </c>
      <c r="G1140">
        <v>1.0478289686291566</v>
      </c>
      <c r="H1140">
        <v>0</v>
      </c>
      <c r="I1140">
        <v>0</v>
      </c>
    </row>
    <row r="1141" spans="1:9" x14ac:dyDescent="0.25">
      <c r="A1141" s="113">
        <f t="shared" si="36"/>
        <v>78132</v>
      </c>
      <c r="B1141" s="128">
        <f t="shared" si="35"/>
        <v>2113</v>
      </c>
      <c r="C1141">
        <v>5.0649011377633446E-2</v>
      </c>
      <c r="D1141">
        <v>3.0627723942470854E-2</v>
      </c>
      <c r="E1141">
        <v>0</v>
      </c>
      <c r="F1141">
        <v>4.7631361971785156E-2</v>
      </c>
      <c r="G1141">
        <v>1.0202188940925339</v>
      </c>
      <c r="H1141">
        <v>0</v>
      </c>
      <c r="I1141">
        <v>0</v>
      </c>
    </row>
    <row r="1142" spans="1:9" x14ac:dyDescent="0.25">
      <c r="A1142" s="113">
        <f t="shared" si="36"/>
        <v>78163</v>
      </c>
      <c r="B1142" s="128">
        <f t="shared" si="35"/>
        <v>2113</v>
      </c>
      <c r="C1142">
        <v>5.6870430513898007E-2</v>
      </c>
      <c r="D1142">
        <v>3.05612566060161E-2</v>
      </c>
      <c r="E1142">
        <v>0</v>
      </c>
      <c r="F1142">
        <v>4.7526006638379609E-2</v>
      </c>
      <c r="G1142">
        <v>0.99900206136203573</v>
      </c>
      <c r="H1142">
        <v>0</v>
      </c>
      <c r="I1142">
        <v>0</v>
      </c>
    </row>
    <row r="1143" spans="1:9" x14ac:dyDescent="0.25">
      <c r="A1143" s="113">
        <f t="shared" si="36"/>
        <v>78194</v>
      </c>
      <c r="B1143" s="128">
        <f t="shared" si="35"/>
        <v>2114</v>
      </c>
      <c r="C1143">
        <v>4.9635844655927797E-2</v>
      </c>
      <c r="D1143">
        <v>3.0472231744702285E-2</v>
      </c>
      <c r="E1143">
        <v>0</v>
      </c>
      <c r="F1143">
        <v>4.7422019164537442E-2</v>
      </c>
      <c r="G1143">
        <v>0.9707436551087244</v>
      </c>
      <c r="H1143">
        <v>0</v>
      </c>
      <c r="I1143">
        <v>0</v>
      </c>
    </row>
    <row r="1144" spans="1:9" x14ac:dyDescent="0.25">
      <c r="A1144" s="113">
        <f t="shared" si="36"/>
        <v>78222</v>
      </c>
      <c r="B1144" s="128">
        <f t="shared" si="35"/>
        <v>2114</v>
      </c>
      <c r="C1144">
        <v>5.1626891548133283E-2</v>
      </c>
      <c r="D1144">
        <v>3.0390376685594522E-2</v>
      </c>
      <c r="E1144">
        <v>0</v>
      </c>
      <c r="F1144">
        <v>4.7316689704089358E-2</v>
      </c>
      <c r="G1144">
        <v>0.94466348026717362</v>
      </c>
      <c r="H1144">
        <v>0</v>
      </c>
      <c r="I1144">
        <v>0</v>
      </c>
    </row>
    <row r="1145" spans="1:9" x14ac:dyDescent="0.25">
      <c r="A1145" s="113">
        <f t="shared" si="36"/>
        <v>78253</v>
      </c>
      <c r="B1145" s="128">
        <f t="shared" si="35"/>
        <v>2114</v>
      </c>
      <c r="C1145">
        <v>4.9665517843788545E-2</v>
      </c>
      <c r="D1145">
        <v>3.0302961524358695E-2</v>
      </c>
      <c r="E1145">
        <v>0</v>
      </c>
      <c r="F1145">
        <v>4.7212077346247244E-2</v>
      </c>
      <c r="G1145">
        <v>0.91681395924035658</v>
      </c>
      <c r="H1145">
        <v>0</v>
      </c>
      <c r="I1145">
        <v>0</v>
      </c>
    </row>
    <row r="1146" spans="1:9" x14ac:dyDescent="0.25">
      <c r="A1146" s="113">
        <f t="shared" si="36"/>
        <v>78283</v>
      </c>
      <c r="B1146" s="128">
        <f t="shared" si="35"/>
        <v>2114</v>
      </c>
      <c r="C1146">
        <v>6.1773489769372976E-2</v>
      </c>
      <c r="D1146">
        <v>3.0255229376550896E-2</v>
      </c>
      <c r="E1146">
        <v>0</v>
      </c>
      <c r="F1146">
        <v>4.7107845452193181E-2</v>
      </c>
      <c r="G1146">
        <v>0.90122437418098511</v>
      </c>
      <c r="H1146">
        <v>0</v>
      </c>
      <c r="I1146">
        <v>0</v>
      </c>
    </row>
    <row r="1147" spans="1:9" x14ac:dyDescent="0.25">
      <c r="A1147" s="113">
        <f t="shared" si="36"/>
        <v>78314</v>
      </c>
      <c r="B1147" s="128">
        <f t="shared" si="35"/>
        <v>2114</v>
      </c>
      <c r="C1147">
        <v>6.9061706084141555E-2</v>
      </c>
      <c r="D1147">
        <v>3.0231557729451148E-2</v>
      </c>
      <c r="E1147">
        <v>0</v>
      </c>
      <c r="F1147">
        <v>4.7006853198959656E-2</v>
      </c>
      <c r="G1147">
        <v>0.89304766933671575</v>
      </c>
      <c r="H1147">
        <v>0</v>
      </c>
      <c r="I1147">
        <v>0</v>
      </c>
    </row>
    <row r="1148" spans="1:9" x14ac:dyDescent="0.25">
      <c r="A1148" s="113">
        <f t="shared" si="36"/>
        <v>78344</v>
      </c>
      <c r="B1148" s="128">
        <f t="shared" si="35"/>
        <v>2114</v>
      </c>
      <c r="C1148">
        <v>5.7526357834889096E-2</v>
      </c>
      <c r="D1148">
        <v>3.0171358175782741E-2</v>
      </c>
      <c r="E1148">
        <v>0</v>
      </c>
      <c r="F1148">
        <v>4.6907399342466023E-2</v>
      </c>
      <c r="G1148">
        <v>0.87349526965335578</v>
      </c>
      <c r="H1148">
        <v>0</v>
      </c>
      <c r="I1148">
        <v>0</v>
      </c>
    </row>
    <row r="1149" spans="1:9" x14ac:dyDescent="0.25">
      <c r="A1149" s="113">
        <f t="shared" si="36"/>
        <v>78375</v>
      </c>
      <c r="B1149" s="128">
        <f t="shared" si="35"/>
        <v>2114</v>
      </c>
      <c r="C1149">
        <v>4.8686160226248928E-2</v>
      </c>
      <c r="D1149">
        <v>3.0083410333295504E-2</v>
      </c>
      <c r="E1149">
        <v>0</v>
      </c>
      <c r="F1149">
        <v>4.6805178280862003E-2</v>
      </c>
      <c r="G1149">
        <v>0.84529284126544735</v>
      </c>
      <c r="H1149">
        <v>0</v>
      </c>
      <c r="I1149">
        <v>0</v>
      </c>
    </row>
    <row r="1150" spans="1:9" x14ac:dyDescent="0.25">
      <c r="A1150" s="113">
        <f t="shared" si="36"/>
        <v>78406</v>
      </c>
      <c r="B1150" s="128">
        <f t="shared" si="35"/>
        <v>2114</v>
      </c>
      <c r="C1150">
        <v>5.0639112345505694E-2</v>
      </c>
      <c r="D1150">
        <v>3.0002497126197864E-2</v>
      </c>
      <c r="E1150">
        <v>0</v>
      </c>
      <c r="F1150">
        <v>4.6701213122606645E-2</v>
      </c>
      <c r="G1150">
        <v>0.81922824336214883</v>
      </c>
      <c r="H1150">
        <v>0</v>
      </c>
      <c r="I1150">
        <v>0</v>
      </c>
    </row>
    <row r="1151" spans="1:9" x14ac:dyDescent="0.25">
      <c r="A1151" s="113">
        <f t="shared" si="36"/>
        <v>78436</v>
      </c>
      <c r="B1151" s="128">
        <f t="shared" si="35"/>
        <v>2114</v>
      </c>
      <c r="C1151">
        <v>5.5395021098245852E-2</v>
      </c>
      <c r="D1151">
        <v>2.993760469667173E-2</v>
      </c>
      <c r="E1151">
        <v>0</v>
      </c>
      <c r="F1151">
        <v>4.659818976192355E-2</v>
      </c>
      <c r="G1151">
        <v>0.79808747000179892</v>
      </c>
      <c r="H1151">
        <v>0</v>
      </c>
      <c r="I1151">
        <v>0</v>
      </c>
    </row>
    <row r="1152" spans="1:9" x14ac:dyDescent="0.25">
      <c r="A1152" s="113">
        <f t="shared" si="36"/>
        <v>78467</v>
      </c>
      <c r="B1152" s="128">
        <f t="shared" si="35"/>
        <v>2114</v>
      </c>
      <c r="C1152">
        <v>5.9788630035245247E-2</v>
      </c>
      <c r="D1152">
        <v>2.9887515390610003E-2</v>
      </c>
      <c r="E1152">
        <v>0</v>
      </c>
      <c r="F1152">
        <v>4.6496813941085034E-2</v>
      </c>
      <c r="G1152">
        <v>0.78149177070534925</v>
      </c>
      <c r="H1152">
        <v>0</v>
      </c>
      <c r="I1152">
        <v>0</v>
      </c>
    </row>
    <row r="1153" spans="1:9" x14ac:dyDescent="0.25">
      <c r="A1153" s="113">
        <f t="shared" si="36"/>
        <v>78497</v>
      </c>
      <c r="B1153" s="128">
        <f t="shared" si="35"/>
        <v>2114</v>
      </c>
      <c r="C1153">
        <v>4.8729413846421071E-2</v>
      </c>
      <c r="D1153">
        <v>2.9802506036306655E-2</v>
      </c>
      <c r="E1153">
        <v>0</v>
      </c>
      <c r="F1153">
        <v>4.6396155293191473E-2</v>
      </c>
      <c r="G1153">
        <v>0.75402252322227203</v>
      </c>
      <c r="H1153">
        <v>0</v>
      </c>
      <c r="I1153">
        <v>0</v>
      </c>
    </row>
    <row r="1154" spans="1:9" x14ac:dyDescent="0.25">
      <c r="A1154" s="113">
        <f t="shared" si="36"/>
        <v>78528</v>
      </c>
      <c r="B1154" s="128">
        <f t="shared" si="35"/>
        <v>2114</v>
      </c>
      <c r="C1154">
        <v>5.4715041197421203E-2</v>
      </c>
      <c r="D1154">
        <v>2.9737479092065509E-2</v>
      </c>
      <c r="E1154">
        <v>0</v>
      </c>
      <c r="F1154">
        <v>4.6293519531326072E-2</v>
      </c>
      <c r="G1154">
        <v>0.73270656579630156</v>
      </c>
      <c r="H1154">
        <v>0</v>
      </c>
      <c r="I1154">
        <v>0</v>
      </c>
    </row>
    <row r="1155" spans="1:9" x14ac:dyDescent="0.25">
      <c r="A1155" s="113">
        <f t="shared" si="36"/>
        <v>78559</v>
      </c>
      <c r="B1155" s="128">
        <f t="shared" ref="B1155:B1202" si="37">YEAR(A1155)</f>
        <v>2115</v>
      </c>
      <c r="C1155">
        <v>4.7754646143468103E-2</v>
      </c>
      <c r="D1155">
        <v>2.9650753020769791E-2</v>
      </c>
      <c r="E1155">
        <v>0</v>
      </c>
      <c r="F1155">
        <v>4.619220266079014E-2</v>
      </c>
      <c r="G1155">
        <v>0.70461825625820973</v>
      </c>
      <c r="H1155">
        <v>0</v>
      </c>
      <c r="I1155">
        <v>0</v>
      </c>
    </row>
    <row r="1156" spans="1:9" x14ac:dyDescent="0.25">
      <c r="A1156" s="113">
        <f t="shared" si="36"/>
        <v>78587</v>
      </c>
      <c r="B1156" s="128">
        <f t="shared" si="37"/>
        <v>2115</v>
      </c>
      <c r="C1156">
        <v>4.9670232358459021E-2</v>
      </c>
      <c r="D1156">
        <v>2.9570928472641995E-2</v>
      </c>
      <c r="E1156">
        <v>0</v>
      </c>
      <c r="F1156">
        <v>4.6089597532008315E-2</v>
      </c>
      <c r="G1156">
        <v>0.67862796261201841</v>
      </c>
      <c r="H1156">
        <v>0</v>
      </c>
      <c r="I1156">
        <v>0</v>
      </c>
    </row>
    <row r="1157" spans="1:9" x14ac:dyDescent="0.25">
      <c r="A1157" s="113">
        <f t="shared" si="36"/>
        <v>78618</v>
      </c>
      <c r="B1157" s="128">
        <f t="shared" si="37"/>
        <v>2115</v>
      </c>
      <c r="C1157">
        <v>4.7783194717508914E-2</v>
      </c>
      <c r="D1157">
        <v>2.9485757995611268E-2</v>
      </c>
      <c r="E1157">
        <v>0</v>
      </c>
      <c r="F1157">
        <v>4.5987685188150954E-2</v>
      </c>
      <c r="G1157">
        <v>0.65093771414576562</v>
      </c>
      <c r="H1157">
        <v>0</v>
      </c>
      <c r="I1157">
        <v>0</v>
      </c>
    </row>
    <row r="1158" spans="1:9" x14ac:dyDescent="0.25">
      <c r="A1158" s="113">
        <f t="shared" si="36"/>
        <v>78648</v>
      </c>
      <c r="B1158" s="128">
        <f t="shared" si="37"/>
        <v>2115</v>
      </c>
      <c r="C1158">
        <v>5.9432274507113705E-2</v>
      </c>
      <c r="D1158">
        <v>2.9438769980078775E-2</v>
      </c>
      <c r="E1158">
        <v>0</v>
      </c>
      <c r="F1158">
        <v>4.5886141742466094E-2</v>
      </c>
      <c r="G1158">
        <v>0.63504507693033418</v>
      </c>
      <c r="H1158">
        <v>0</v>
      </c>
      <c r="I1158">
        <v>0</v>
      </c>
    </row>
    <row r="1159" spans="1:9" x14ac:dyDescent="0.25">
      <c r="A1159" s="113">
        <f t="shared" si="36"/>
        <v>78679</v>
      </c>
      <c r="B1159" s="128">
        <f t="shared" si="37"/>
        <v>2115</v>
      </c>
      <c r="C1159">
        <v>6.6444267423552555E-2</v>
      </c>
      <c r="D1159">
        <v>2.941493399551692E-2</v>
      </c>
      <c r="E1159">
        <v>0</v>
      </c>
      <c r="F1159">
        <v>4.5787718002646756E-2</v>
      </c>
      <c r="G1159">
        <v>0.62628669235572343</v>
      </c>
      <c r="H1159">
        <v>0</v>
      </c>
      <c r="I1159">
        <v>0</v>
      </c>
    </row>
    <row r="1160" spans="1:9" x14ac:dyDescent="0.25">
      <c r="A1160" s="113">
        <f t="shared" si="36"/>
        <v>78709</v>
      </c>
      <c r="B1160" s="128">
        <f t="shared" si="37"/>
        <v>2115</v>
      </c>
      <c r="C1160">
        <v>5.5346108872946762E-2</v>
      </c>
      <c r="D1160">
        <v>2.9355957924280619E-2</v>
      </c>
      <c r="E1160">
        <v>0</v>
      </c>
      <c r="F1160">
        <v>4.5690777195248403E-2</v>
      </c>
      <c r="G1160">
        <v>0.60658606610914112</v>
      </c>
      <c r="H1160">
        <v>0</v>
      </c>
      <c r="I1160">
        <v>0</v>
      </c>
    </row>
    <row r="1161" spans="1:9" x14ac:dyDescent="0.25">
      <c r="A1161" s="113">
        <f t="shared" si="36"/>
        <v>78740</v>
      </c>
      <c r="B1161" s="128">
        <f t="shared" si="37"/>
        <v>2115</v>
      </c>
      <c r="C1161">
        <v>4.6840954753674065E-2</v>
      </c>
      <c r="D1161">
        <v>2.9270288625638057E-2</v>
      </c>
      <c r="E1161">
        <v>0</v>
      </c>
      <c r="F1161">
        <v>4.5591176894231152E-2</v>
      </c>
      <c r="G1161">
        <v>0.57856555534294585</v>
      </c>
      <c r="H1161">
        <v>0</v>
      </c>
      <c r="I1161">
        <v>0</v>
      </c>
    </row>
    <row r="1162" spans="1:9" x14ac:dyDescent="0.25">
      <c r="A1162" s="113">
        <f t="shared" si="36"/>
        <v>78771</v>
      </c>
      <c r="B1162" s="128">
        <f t="shared" si="37"/>
        <v>2115</v>
      </c>
      <c r="C1162">
        <v>4.8719889987611002E-2</v>
      </c>
      <c r="D1162">
        <v>2.9191390740036644E-2</v>
      </c>
      <c r="E1162">
        <v>0</v>
      </c>
      <c r="F1162">
        <v>4.5489901425759149E-2</v>
      </c>
      <c r="G1162">
        <v>0.55260415316476097</v>
      </c>
      <c r="H1162">
        <v>0</v>
      </c>
      <c r="I1162">
        <v>0</v>
      </c>
    </row>
    <row r="1163" spans="1:9" x14ac:dyDescent="0.25">
      <c r="A1163" s="113">
        <f t="shared" si="36"/>
        <v>78801</v>
      </c>
      <c r="B1163" s="128">
        <f t="shared" si="37"/>
        <v>2115</v>
      </c>
      <c r="C1163">
        <v>5.3295549798622305E-2</v>
      </c>
      <c r="D1163">
        <v>2.9127909823971163E-2</v>
      </c>
      <c r="E1163">
        <v>0</v>
      </c>
      <c r="F1163">
        <v>4.5389534882195798E-2</v>
      </c>
      <c r="G1163">
        <v>0.53138225825721652</v>
      </c>
      <c r="H1163">
        <v>0</v>
      </c>
      <c r="I1163">
        <v>0</v>
      </c>
    </row>
    <row r="1164" spans="1:9" x14ac:dyDescent="0.25">
      <c r="A1164" s="113">
        <f t="shared" ref="A1164:A1202" si="38">DATE(YEAR(A1163),MONTH(A1163)+2,1)-1</f>
        <v>78832</v>
      </c>
      <c r="B1164" s="128">
        <f t="shared" si="37"/>
        <v>2115</v>
      </c>
      <c r="C1164">
        <v>5.7522640956909399E-2</v>
      </c>
      <c r="D1164">
        <v>2.9078674361561717E-2</v>
      </c>
      <c r="E1164">
        <v>0</v>
      </c>
      <c r="F1164">
        <v>4.5290756251727002E-2</v>
      </c>
      <c r="G1164">
        <v>0.51453546860083699</v>
      </c>
      <c r="H1164">
        <v>0</v>
      </c>
      <c r="I1164">
        <v>0</v>
      </c>
    </row>
    <row r="1165" spans="1:9" x14ac:dyDescent="0.25">
      <c r="A1165" s="113">
        <f t="shared" si="38"/>
        <v>78862</v>
      </c>
      <c r="B1165" s="128">
        <f t="shared" si="37"/>
        <v>2115</v>
      </c>
      <c r="C1165">
        <v>4.6882569061641712E-2</v>
      </c>
      <c r="D1165">
        <v>2.8995845678481503E-2</v>
      </c>
      <c r="E1165">
        <v>0</v>
      </c>
      <c r="F1165">
        <v>4.5192670421919511E-2</v>
      </c>
      <c r="G1165">
        <v>0.48722952156207772</v>
      </c>
      <c r="H1165">
        <v>0</v>
      </c>
      <c r="I1165">
        <v>0</v>
      </c>
    </row>
    <row r="1166" spans="1:9" x14ac:dyDescent="0.25">
      <c r="A1166" s="113">
        <f t="shared" si="38"/>
        <v>78893</v>
      </c>
      <c r="B1166" s="128">
        <f t="shared" si="37"/>
        <v>2115</v>
      </c>
      <c r="C1166">
        <v>5.2641341136038924E-2</v>
      </c>
      <c r="D1166">
        <v>2.8932245419070905E-2</v>
      </c>
      <c r="E1166">
        <v>0</v>
      </c>
      <c r="F1166">
        <v>4.5092685212906575E-2</v>
      </c>
      <c r="G1166">
        <v>0.46584593206613922</v>
      </c>
      <c r="H1166">
        <v>0</v>
      </c>
      <c r="I1166">
        <v>0</v>
      </c>
    </row>
    <row r="1167" spans="1:9" x14ac:dyDescent="0.25">
      <c r="A1167" s="113">
        <f t="shared" si="38"/>
        <v>78924</v>
      </c>
      <c r="B1167" s="128">
        <f t="shared" si="37"/>
        <v>2116</v>
      </c>
      <c r="C1167">
        <v>4.5944745054630629E-2</v>
      </c>
      <c r="D1167">
        <v>2.8847771765710947E-2</v>
      </c>
      <c r="E1167">
        <v>0</v>
      </c>
      <c r="F1167">
        <v>4.4993971704979423E-2</v>
      </c>
      <c r="G1167">
        <v>0.4379489336500797</v>
      </c>
      <c r="H1167">
        <v>0</v>
      </c>
      <c r="I1167">
        <v>0</v>
      </c>
    </row>
    <row r="1168" spans="1:9" x14ac:dyDescent="0.25">
      <c r="A1168" s="113">
        <f t="shared" si="38"/>
        <v>78953</v>
      </c>
      <c r="B1168" s="128">
        <f t="shared" si="37"/>
        <v>2116</v>
      </c>
      <c r="C1168">
        <v>4.7787730552073401E-2</v>
      </c>
      <c r="D1168">
        <v>2.8769941393256331E-2</v>
      </c>
      <c r="E1168">
        <v>0</v>
      </c>
      <c r="F1168">
        <v>4.4894021553137285E-2</v>
      </c>
      <c r="G1168">
        <v>0.41207270125575929</v>
      </c>
      <c r="H1168">
        <v>0</v>
      </c>
      <c r="I1168">
        <v>0</v>
      </c>
    </row>
    <row r="1169" spans="1:9" x14ac:dyDescent="0.25">
      <c r="A1169" s="113">
        <f t="shared" si="38"/>
        <v>78984</v>
      </c>
      <c r="B1169" s="128">
        <f t="shared" si="37"/>
        <v>2116</v>
      </c>
      <c r="C1169">
        <v>4.5972211637715303E-2</v>
      </c>
      <c r="D1169">
        <v>2.8686971017379662E-2</v>
      </c>
      <c r="E1169">
        <v>0</v>
      </c>
      <c r="F1169">
        <v>4.4794740712635082E-2</v>
      </c>
      <c r="G1169">
        <v>0.38456320116345971</v>
      </c>
      <c r="H1169">
        <v>0</v>
      </c>
      <c r="I1169">
        <v>0</v>
      </c>
    </row>
    <row r="1170" spans="1:9" x14ac:dyDescent="0.25">
      <c r="A1170" s="113">
        <f t="shared" si="38"/>
        <v>79014</v>
      </c>
      <c r="B1170" s="128">
        <f t="shared" si="37"/>
        <v>2116</v>
      </c>
      <c r="C1170">
        <v>4.2790067916347027E-2</v>
      </c>
      <c r="D1170">
        <v>2.4542151712608044E-2</v>
      </c>
      <c r="E1170">
        <v>0</v>
      </c>
      <c r="F1170">
        <v>4.4695112510992327E-2</v>
      </c>
      <c r="G1170">
        <v>0.35811600485620654</v>
      </c>
      <c r="H1170">
        <v>0</v>
      </c>
      <c r="I1170">
        <v>0</v>
      </c>
    </row>
    <row r="1171" spans="1:9" x14ac:dyDescent="0.25">
      <c r="A1171" s="113">
        <f t="shared" si="38"/>
        <v>79045</v>
      </c>
      <c r="B1171" s="128">
        <f t="shared" si="37"/>
        <v>2116</v>
      </c>
      <c r="C1171">
        <v>3.9993379093992754E-2</v>
      </c>
      <c r="D1171">
        <v>2.280538708685385E-2</v>
      </c>
      <c r="E1171">
        <v>0</v>
      </c>
      <c r="F1171">
        <v>3.9861007415357939E-2</v>
      </c>
      <c r="G1171">
        <v>0.33544298944798756</v>
      </c>
      <c r="H1171">
        <v>0</v>
      </c>
      <c r="I1171">
        <v>0</v>
      </c>
    </row>
    <row r="1172" spans="1:9" x14ac:dyDescent="0.25">
      <c r="A1172" s="113">
        <f t="shared" si="38"/>
        <v>79075</v>
      </c>
      <c r="B1172" s="128">
        <f t="shared" si="37"/>
        <v>2116</v>
      </c>
      <c r="C1172">
        <v>4.1641532775767418E-2</v>
      </c>
      <c r="D1172">
        <v>2.2288731846501639E-2</v>
      </c>
      <c r="E1172">
        <v>0</v>
      </c>
      <c r="F1172">
        <v>3.7985219959502589E-2</v>
      </c>
      <c r="G1172">
        <v>0.31681057041775079</v>
      </c>
      <c r="H1172">
        <v>0</v>
      </c>
      <c r="I1172">
        <v>0</v>
      </c>
    </row>
    <row r="1173" spans="1:9" x14ac:dyDescent="0.25">
      <c r="A1173" s="113">
        <f t="shared" si="38"/>
        <v>79106</v>
      </c>
      <c r="B1173" s="128">
        <f t="shared" si="37"/>
        <v>2116</v>
      </c>
      <c r="C1173">
        <v>3.7253186540207574E-2</v>
      </c>
      <c r="D1173">
        <v>2.1640569281363473E-2</v>
      </c>
      <c r="E1173">
        <v>0</v>
      </c>
      <c r="F1173">
        <v>3.7042870280293447E-2</v>
      </c>
      <c r="G1173">
        <v>0.29538031739630138</v>
      </c>
      <c r="H1173">
        <v>0</v>
      </c>
      <c r="I1173">
        <v>0</v>
      </c>
    </row>
    <row r="1174" spans="1:9" x14ac:dyDescent="0.25">
      <c r="A1174" s="113">
        <f t="shared" si="38"/>
        <v>79137</v>
      </c>
      <c r="B1174" s="128">
        <f t="shared" si="37"/>
        <v>2116</v>
      </c>
      <c r="C1174">
        <v>3.7973193630356838E-2</v>
      </c>
      <c r="D1174">
        <v>2.1005693835750718E-2</v>
      </c>
      <c r="E1174">
        <v>0</v>
      </c>
      <c r="F1174">
        <v>3.6378309461629232E-2</v>
      </c>
      <c r="G1174">
        <v>0.2759695077292782</v>
      </c>
      <c r="H1174">
        <v>0</v>
      </c>
      <c r="I1174">
        <v>0</v>
      </c>
    </row>
    <row r="1175" spans="1:9" x14ac:dyDescent="0.25">
      <c r="A1175" s="113">
        <f t="shared" si="38"/>
        <v>79167</v>
      </c>
      <c r="B1175" s="128">
        <f t="shared" si="37"/>
        <v>2116</v>
      </c>
      <c r="C1175">
        <v>4.3388221967193538E-2</v>
      </c>
      <c r="D1175">
        <v>2.0409945541407393E-2</v>
      </c>
      <c r="E1175">
        <v>0</v>
      </c>
      <c r="F1175">
        <v>3.5720110597767939E-2</v>
      </c>
      <c r="G1175">
        <v>0.26322767355729659</v>
      </c>
      <c r="H1175">
        <v>0</v>
      </c>
      <c r="I1175">
        <v>0</v>
      </c>
    </row>
    <row r="1176" spans="1:9" x14ac:dyDescent="0.25">
      <c r="A1176" s="113">
        <f t="shared" si="38"/>
        <v>79198</v>
      </c>
      <c r="B1176" s="128">
        <f t="shared" si="37"/>
        <v>2116</v>
      </c>
      <c r="C1176">
        <v>3.9244558805790065E-2</v>
      </c>
      <c r="D1176">
        <v>2.0122454288805096E-2</v>
      </c>
      <c r="E1176">
        <v>0</v>
      </c>
      <c r="F1176">
        <v>3.5072267322798729E-2</v>
      </c>
      <c r="G1176">
        <v>0.24727751075148272</v>
      </c>
      <c r="H1176">
        <v>0</v>
      </c>
      <c r="I1176">
        <v>0</v>
      </c>
    </row>
    <row r="1177" spans="1:9" x14ac:dyDescent="0.25">
      <c r="A1177" s="113">
        <f t="shared" si="38"/>
        <v>79228</v>
      </c>
      <c r="B1177" s="128">
        <f t="shared" si="37"/>
        <v>2116</v>
      </c>
      <c r="C1177">
        <v>3.7068284502509985E-2</v>
      </c>
      <c r="D1177">
        <v>2.0074324844850781E-2</v>
      </c>
      <c r="E1177">
        <v>0</v>
      </c>
      <c r="F1177">
        <v>3.4718790559379917E-2</v>
      </c>
      <c r="G1177">
        <v>0.22955267984976202</v>
      </c>
      <c r="H1177">
        <v>0</v>
      </c>
      <c r="I1177">
        <v>0</v>
      </c>
    </row>
    <row r="1178" spans="1:9" x14ac:dyDescent="0.25">
      <c r="A1178" s="113">
        <f t="shared" si="38"/>
        <v>79259</v>
      </c>
      <c r="B1178" s="128">
        <f t="shared" si="37"/>
        <v>2116</v>
      </c>
      <c r="C1178">
        <v>4.0296309357408383E-2</v>
      </c>
      <c r="D1178">
        <v>1.9782894501023652E-2</v>
      </c>
      <c r="E1178">
        <v>0</v>
      </c>
      <c r="F1178">
        <v>3.4642853478229631E-2</v>
      </c>
      <c r="G1178">
        <v>0.21542324122791712</v>
      </c>
      <c r="H1178">
        <v>0</v>
      </c>
      <c r="I1178">
        <v>0</v>
      </c>
    </row>
    <row r="1179" spans="1:9" x14ac:dyDescent="0.25">
      <c r="A1179" s="113">
        <f t="shared" si="38"/>
        <v>79290</v>
      </c>
      <c r="B1179" s="128">
        <f t="shared" si="37"/>
        <v>2117</v>
      </c>
      <c r="C1179">
        <v>3.4077034625288542E-2</v>
      </c>
      <c r="D1179">
        <v>1.9481666865003501E-2</v>
      </c>
      <c r="E1179">
        <v>0</v>
      </c>
      <c r="F1179">
        <v>3.4277804039532588E-2</v>
      </c>
      <c r="G1179">
        <v>0.19574080494866955</v>
      </c>
      <c r="H1179">
        <v>0</v>
      </c>
      <c r="I1179">
        <v>0</v>
      </c>
    </row>
    <row r="1180" spans="1:9" x14ac:dyDescent="0.25">
      <c r="A1180" s="113">
        <f t="shared" si="38"/>
        <v>79318</v>
      </c>
      <c r="B1180" s="128">
        <f t="shared" si="37"/>
        <v>2117</v>
      </c>
      <c r="C1180">
        <v>3.5186210405810853E-2</v>
      </c>
      <c r="D1180">
        <v>1.943371504738535E-2</v>
      </c>
      <c r="E1180">
        <v>0</v>
      </c>
      <c r="F1180">
        <v>3.3920599679167031E-2</v>
      </c>
      <c r="G1180">
        <v>0.1775727006279281</v>
      </c>
      <c r="H1180">
        <v>0</v>
      </c>
      <c r="I1180">
        <v>0</v>
      </c>
    </row>
    <row r="1181" spans="1:9" x14ac:dyDescent="0.25">
      <c r="A1181" s="113">
        <f t="shared" si="38"/>
        <v>79349</v>
      </c>
      <c r="B1181" s="128">
        <f t="shared" si="37"/>
        <v>2117</v>
      </c>
      <c r="C1181">
        <v>3.3251328741671159E-2</v>
      </c>
      <c r="D1181">
        <v>1.8759980837739453E-2</v>
      </c>
      <c r="E1181">
        <v>0</v>
      </c>
      <c r="F1181">
        <v>3.3846072174509398E-2</v>
      </c>
      <c r="G1181">
        <v>0.1582179763573503</v>
      </c>
      <c r="H1181">
        <v>0</v>
      </c>
      <c r="I1181">
        <v>0</v>
      </c>
    </row>
    <row r="1182" spans="1:9" x14ac:dyDescent="0.25">
      <c r="A1182" s="113">
        <f t="shared" si="38"/>
        <v>79379</v>
      </c>
      <c r="B1182" s="128">
        <f t="shared" si="37"/>
        <v>2117</v>
      </c>
      <c r="C1182">
        <v>3.1312787914764363E-2</v>
      </c>
      <c r="D1182">
        <v>1.7799156977885373E-2</v>
      </c>
      <c r="E1182">
        <v>0</v>
      </c>
      <c r="F1182">
        <v>3.2933419288773136E-2</v>
      </c>
      <c r="G1182">
        <v>0.13879818800545621</v>
      </c>
      <c r="H1182">
        <v>0</v>
      </c>
      <c r="I1182">
        <v>0</v>
      </c>
    </row>
    <row r="1183" spans="1:9" x14ac:dyDescent="0.25">
      <c r="A1183" s="113">
        <f t="shared" si="38"/>
        <v>79410</v>
      </c>
      <c r="B1183" s="128">
        <f t="shared" si="37"/>
        <v>2117</v>
      </c>
      <c r="C1183">
        <v>3.1592414419112765E-2</v>
      </c>
      <c r="D1183">
        <v>1.756726004100843E-2</v>
      </c>
      <c r="E1183">
        <v>0</v>
      </c>
      <c r="F1183">
        <v>3.1481946205497796E-2</v>
      </c>
      <c r="G1183">
        <v>0.12134139617806272</v>
      </c>
      <c r="H1183">
        <v>0</v>
      </c>
      <c r="I1183">
        <v>0</v>
      </c>
    </row>
    <row r="1184" spans="1:9" x14ac:dyDescent="0.25">
      <c r="A1184" s="113">
        <f t="shared" si="38"/>
        <v>79440</v>
      </c>
      <c r="B1184" s="128">
        <f t="shared" si="37"/>
        <v>2117</v>
      </c>
      <c r="C1184">
        <v>3.1337757960851496E-2</v>
      </c>
      <c r="D1184">
        <v>1.7328595413587739E-2</v>
      </c>
      <c r="E1184">
        <v>0</v>
      </c>
      <c r="F1184">
        <v>3.1133752229925701E-2</v>
      </c>
      <c r="G1184">
        <v>0.1042168064954009</v>
      </c>
      <c r="H1184">
        <v>0</v>
      </c>
      <c r="I1184">
        <v>0</v>
      </c>
    </row>
    <row r="1185" spans="1:9" x14ac:dyDescent="0.25">
      <c r="A1185" s="113">
        <f t="shared" si="38"/>
        <v>79471</v>
      </c>
      <c r="B1185" s="128">
        <f t="shared" si="37"/>
        <v>2117</v>
      </c>
      <c r="C1185">
        <v>2.939141102592498E-2</v>
      </c>
      <c r="D1185">
        <v>1.7282394331498009E-2</v>
      </c>
      <c r="E1185">
        <v>0</v>
      </c>
      <c r="F1185">
        <v>3.0788293965520564E-2</v>
      </c>
      <c r="G1185">
        <v>8.5537529224307282E-2</v>
      </c>
      <c r="H1185">
        <v>0</v>
      </c>
      <c r="I1185">
        <v>0</v>
      </c>
    </row>
    <row r="1186" spans="1:9" x14ac:dyDescent="0.25">
      <c r="A1186" s="113">
        <f t="shared" si="38"/>
        <v>79502</v>
      </c>
      <c r="B1186" s="128">
        <f t="shared" si="37"/>
        <v>2117</v>
      </c>
      <c r="C1186">
        <v>2.9959710363768901E-2</v>
      </c>
      <c r="D1186">
        <v>1.6926411928612491E-2</v>
      </c>
      <c r="E1186">
        <v>0</v>
      </c>
      <c r="F1186">
        <v>3.0720408924017516E-2</v>
      </c>
      <c r="G1186">
        <v>6.7850418735446116E-2</v>
      </c>
      <c r="H1186">
        <v>0</v>
      </c>
      <c r="I1186">
        <v>0</v>
      </c>
    </row>
    <row r="1187" spans="1:9" x14ac:dyDescent="0.25">
      <c r="A1187" s="113">
        <f t="shared" si="38"/>
        <v>79532</v>
      </c>
      <c r="B1187" s="128">
        <f t="shared" si="37"/>
        <v>2117</v>
      </c>
      <c r="C1187">
        <v>2.6776409722441774E-2</v>
      </c>
      <c r="D1187">
        <v>1.5754927267571585E-2</v>
      </c>
      <c r="E1187">
        <v>0</v>
      </c>
      <c r="F1187">
        <v>3.0371553965723698E-2</v>
      </c>
      <c r="G1187">
        <v>4.8500347224592628E-2</v>
      </c>
      <c r="H1187">
        <v>0</v>
      </c>
      <c r="I1187">
        <v>0</v>
      </c>
    </row>
    <row r="1188" spans="1:9" x14ac:dyDescent="0.25">
      <c r="A1188" s="113">
        <f t="shared" si="38"/>
        <v>79563</v>
      </c>
      <c r="B1188" s="128">
        <f t="shared" si="37"/>
        <v>2117</v>
      </c>
      <c r="C1188">
        <v>1.966179289294729E-2</v>
      </c>
      <c r="D1188">
        <v>1.1269773565171856E-2</v>
      </c>
      <c r="E1188">
        <v>0</v>
      </c>
      <c r="F1188">
        <v>2.8413829779977258E-2</v>
      </c>
      <c r="G1188">
        <v>2.8478536772390775E-2</v>
      </c>
      <c r="H1188">
        <v>0</v>
      </c>
      <c r="I1188">
        <v>0</v>
      </c>
    </row>
    <row r="1189" spans="1:9" x14ac:dyDescent="0.25">
      <c r="A1189" s="113">
        <f t="shared" si="38"/>
        <v>79593</v>
      </c>
      <c r="B1189" s="128">
        <f t="shared" si="37"/>
        <v>2117</v>
      </c>
      <c r="C1189">
        <v>9.5387063972048117E-3</v>
      </c>
      <c r="D1189">
        <v>5.5050741801806686E-3</v>
      </c>
      <c r="E1189">
        <v>0</v>
      </c>
      <c r="F1189">
        <v>2.1097045954934418E-2</v>
      </c>
      <c r="G1189">
        <v>1.1415123034480504E-2</v>
      </c>
      <c r="H1189">
        <v>0</v>
      </c>
      <c r="I1189">
        <v>0</v>
      </c>
    </row>
    <row r="1190" spans="1:9" x14ac:dyDescent="0.25">
      <c r="A1190" s="113">
        <f t="shared" si="38"/>
        <v>79624</v>
      </c>
      <c r="B1190" s="128">
        <f t="shared" si="37"/>
        <v>2117</v>
      </c>
      <c r="C1190">
        <v>0</v>
      </c>
      <c r="D1190">
        <v>0</v>
      </c>
      <c r="E1190">
        <v>0</v>
      </c>
      <c r="F1190">
        <v>1.1415123034480504E-2</v>
      </c>
      <c r="G1190">
        <v>0</v>
      </c>
      <c r="H1190">
        <v>0</v>
      </c>
      <c r="I1190">
        <v>0</v>
      </c>
    </row>
    <row r="1191" spans="1:9" x14ac:dyDescent="0.25">
      <c r="A1191" s="113">
        <f t="shared" si="38"/>
        <v>79655</v>
      </c>
      <c r="B1191" s="128">
        <f t="shared" si="37"/>
        <v>2118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</row>
    <row r="1192" spans="1:9" x14ac:dyDescent="0.25">
      <c r="A1192" s="113">
        <f t="shared" si="38"/>
        <v>79683</v>
      </c>
      <c r="B1192" s="128">
        <f t="shared" si="37"/>
        <v>2118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</row>
    <row r="1193" spans="1:9" x14ac:dyDescent="0.25">
      <c r="A1193" s="113">
        <f t="shared" si="38"/>
        <v>79714</v>
      </c>
      <c r="B1193" s="128">
        <f t="shared" si="37"/>
        <v>2118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</row>
    <row r="1194" spans="1:9" x14ac:dyDescent="0.25">
      <c r="A1194" s="113">
        <f t="shared" si="38"/>
        <v>79744</v>
      </c>
      <c r="B1194" s="128">
        <f t="shared" si="37"/>
        <v>2118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</row>
    <row r="1195" spans="1:9" x14ac:dyDescent="0.25">
      <c r="A1195" s="113">
        <f t="shared" si="38"/>
        <v>79775</v>
      </c>
      <c r="B1195" s="128">
        <f t="shared" si="37"/>
        <v>2118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</row>
    <row r="1196" spans="1:9" x14ac:dyDescent="0.25">
      <c r="A1196" s="113">
        <f t="shared" si="38"/>
        <v>79805</v>
      </c>
      <c r="B1196" s="128">
        <f t="shared" si="37"/>
        <v>2118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</row>
    <row r="1197" spans="1:9" x14ac:dyDescent="0.25">
      <c r="A1197" s="113">
        <f t="shared" si="38"/>
        <v>79836</v>
      </c>
      <c r="B1197" s="128">
        <f t="shared" si="37"/>
        <v>2118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</row>
    <row r="1198" spans="1:9" x14ac:dyDescent="0.25">
      <c r="A1198" s="113">
        <f t="shared" si="38"/>
        <v>79867</v>
      </c>
      <c r="B1198" s="128">
        <f t="shared" si="37"/>
        <v>2118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</row>
    <row r="1199" spans="1:9" x14ac:dyDescent="0.25">
      <c r="A1199" s="113">
        <f t="shared" si="38"/>
        <v>79897</v>
      </c>
      <c r="B1199" s="128">
        <f t="shared" si="37"/>
        <v>2118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</row>
    <row r="1200" spans="1:9" x14ac:dyDescent="0.25">
      <c r="A1200" s="113">
        <f t="shared" si="38"/>
        <v>79928</v>
      </c>
      <c r="B1200" s="128">
        <f t="shared" si="37"/>
        <v>2118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</row>
    <row r="1201" spans="1:9" x14ac:dyDescent="0.25">
      <c r="A1201" s="113">
        <f t="shared" si="38"/>
        <v>79958</v>
      </c>
      <c r="B1201" s="128">
        <f t="shared" si="37"/>
        <v>2118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</row>
    <row r="1202" spans="1:9" x14ac:dyDescent="0.25">
      <c r="A1202" s="114">
        <f t="shared" si="38"/>
        <v>79989</v>
      </c>
      <c r="B1202" s="129">
        <f t="shared" si="37"/>
        <v>2118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</row>
    <row r="1203" spans="1:9" x14ac:dyDescent="0.25">
      <c r="A1203" s="6"/>
      <c r="B1203" s="6"/>
    </row>
    <row r="1204" spans="1:9" x14ac:dyDescent="0.25">
      <c r="A1204" s="6"/>
      <c r="B1204" s="6"/>
    </row>
    <row r="1205" spans="1:9" x14ac:dyDescent="0.25">
      <c r="A1205" s="6"/>
      <c r="B1205" s="6"/>
    </row>
    <row r="1206" spans="1:9" x14ac:dyDescent="0.25">
      <c r="A1206" s="6"/>
      <c r="B1206" s="6"/>
    </row>
    <row r="1207" spans="1:9" x14ac:dyDescent="0.25">
      <c r="A1207" s="6"/>
      <c r="B1207" s="6"/>
    </row>
    <row r="1208" spans="1:9" x14ac:dyDescent="0.25">
      <c r="A1208" s="6"/>
      <c r="B1208" s="6"/>
    </row>
    <row r="1209" spans="1:9" x14ac:dyDescent="0.25">
      <c r="A1209" s="6"/>
      <c r="B1209" s="6"/>
    </row>
    <row r="1210" spans="1:9" x14ac:dyDescent="0.25">
      <c r="A1210" s="6"/>
      <c r="B1210" s="6"/>
    </row>
    <row r="1211" spans="1:9" x14ac:dyDescent="0.25">
      <c r="A1211" s="6"/>
      <c r="B1211" s="6"/>
    </row>
    <row r="1212" spans="1:9" x14ac:dyDescent="0.25">
      <c r="A1212" s="6"/>
      <c r="B1212" s="6"/>
    </row>
    <row r="1213" spans="1:9" x14ac:dyDescent="0.25">
      <c r="A1213" s="6"/>
      <c r="B1213" s="6"/>
    </row>
    <row r="1214" spans="1:9" x14ac:dyDescent="0.25">
      <c r="A1214" s="6"/>
      <c r="B1214" s="6"/>
    </row>
    <row r="1215" spans="1:9" x14ac:dyDescent="0.25">
      <c r="A1215" s="6"/>
      <c r="B1215" s="6"/>
    </row>
    <row r="1216" spans="1:9" x14ac:dyDescent="0.25">
      <c r="A1216" s="6"/>
      <c r="B1216" s="6"/>
    </row>
    <row r="1217" spans="1:2" x14ac:dyDescent="0.25">
      <c r="A1217" s="6"/>
      <c r="B1217" s="6"/>
    </row>
    <row r="1218" spans="1:2" x14ac:dyDescent="0.25">
      <c r="A1218" s="6"/>
      <c r="B1218" s="6"/>
    </row>
    <row r="1219" spans="1:2" x14ac:dyDescent="0.25">
      <c r="A1219" s="6"/>
      <c r="B1219" s="6"/>
    </row>
    <row r="1220" spans="1:2" x14ac:dyDescent="0.25">
      <c r="A1220" s="6"/>
      <c r="B1220" s="6"/>
    </row>
    <row r="1221" spans="1:2" x14ac:dyDescent="0.25">
      <c r="A1221" s="6"/>
      <c r="B1221" s="6"/>
    </row>
    <row r="1222" spans="1:2" x14ac:dyDescent="0.25">
      <c r="A1222" s="6"/>
      <c r="B1222" s="6"/>
    </row>
    <row r="1223" spans="1:2" x14ac:dyDescent="0.25">
      <c r="A1223" s="6"/>
      <c r="B1223" s="6"/>
    </row>
    <row r="1224" spans="1:2" x14ac:dyDescent="0.25">
      <c r="A1224" s="6"/>
      <c r="B1224" s="6"/>
    </row>
    <row r="1225" spans="1:2" x14ac:dyDescent="0.25">
      <c r="A1225" s="6"/>
      <c r="B1225" s="6"/>
    </row>
    <row r="1226" spans="1:2" x14ac:dyDescent="0.25">
      <c r="A1226" s="6"/>
      <c r="B1226" s="6"/>
    </row>
    <row r="1227" spans="1:2" x14ac:dyDescent="0.25">
      <c r="A1227" s="6"/>
      <c r="B1227" s="6"/>
    </row>
    <row r="1228" spans="1:2" x14ac:dyDescent="0.25">
      <c r="A1228" s="6"/>
      <c r="B1228" s="6"/>
    </row>
    <row r="1229" spans="1:2" x14ac:dyDescent="0.25">
      <c r="A1229" s="6"/>
      <c r="B1229" s="6"/>
    </row>
    <row r="1230" spans="1:2" x14ac:dyDescent="0.25">
      <c r="A1230" s="6"/>
      <c r="B1230" s="6"/>
    </row>
    <row r="1231" spans="1:2" x14ac:dyDescent="0.25">
      <c r="A1231" s="6"/>
      <c r="B1231" s="6"/>
    </row>
    <row r="1232" spans="1:2" x14ac:dyDescent="0.25">
      <c r="A1232" s="6"/>
      <c r="B1232" s="6"/>
    </row>
    <row r="1233" spans="1:2" x14ac:dyDescent="0.25">
      <c r="A1233" s="6"/>
      <c r="B1233" s="6"/>
    </row>
    <row r="1234" spans="1:2" x14ac:dyDescent="0.25">
      <c r="A1234" s="6"/>
      <c r="B1234" s="6"/>
    </row>
    <row r="1235" spans="1:2" x14ac:dyDescent="0.25">
      <c r="A1235" s="6"/>
      <c r="B1235" s="6"/>
    </row>
    <row r="1236" spans="1:2" x14ac:dyDescent="0.25">
      <c r="A1236" s="6"/>
      <c r="B1236" s="6"/>
    </row>
    <row r="1237" spans="1:2" x14ac:dyDescent="0.25">
      <c r="A1237" s="6"/>
      <c r="B1237" s="6"/>
    </row>
    <row r="1238" spans="1:2" x14ac:dyDescent="0.25">
      <c r="A1238" s="6"/>
      <c r="B1238" s="6"/>
    </row>
    <row r="1239" spans="1:2" x14ac:dyDescent="0.25">
      <c r="A1239" s="6"/>
      <c r="B1239" s="6"/>
    </row>
    <row r="1240" spans="1:2" x14ac:dyDescent="0.25">
      <c r="A1240" s="6"/>
      <c r="B1240" s="6"/>
    </row>
    <row r="1241" spans="1:2" x14ac:dyDescent="0.25">
      <c r="A1241" s="6"/>
      <c r="B1241" s="6"/>
    </row>
    <row r="1242" spans="1:2" x14ac:dyDescent="0.25">
      <c r="A1242" s="6"/>
      <c r="B1242" s="6"/>
    </row>
    <row r="1243" spans="1:2" x14ac:dyDescent="0.25">
      <c r="A1243" s="6"/>
      <c r="B1243" s="6"/>
    </row>
    <row r="1245" spans="1:2" x14ac:dyDescent="0.25">
      <c r="A1245" s="6"/>
      <c r="B1245" s="6"/>
    </row>
    <row r="1246" spans="1:2" x14ac:dyDescent="0.25">
      <c r="A1246" s="6"/>
      <c r="B1246" s="6"/>
    </row>
    <row r="1247" spans="1:2" x14ac:dyDescent="0.25">
      <c r="A1247" s="6"/>
      <c r="B1247" s="6"/>
    </row>
    <row r="1248" spans="1:2" x14ac:dyDescent="0.25">
      <c r="A1248" s="6"/>
      <c r="B1248" s="6"/>
    </row>
    <row r="1249" spans="1:2" x14ac:dyDescent="0.25">
      <c r="A1249" s="6"/>
      <c r="B1249" s="6"/>
    </row>
    <row r="1250" spans="1:2" x14ac:dyDescent="0.25">
      <c r="A1250" s="6"/>
      <c r="B1250" s="6"/>
    </row>
    <row r="1251" spans="1:2" x14ac:dyDescent="0.25">
      <c r="A1251" s="6"/>
      <c r="B1251" s="6"/>
    </row>
    <row r="1252" spans="1:2" x14ac:dyDescent="0.25">
      <c r="A1252" s="6"/>
      <c r="B1252" s="6"/>
    </row>
    <row r="1253" spans="1:2" x14ac:dyDescent="0.25">
      <c r="A1253" s="6"/>
      <c r="B1253" s="6"/>
    </row>
    <row r="1254" spans="1:2" x14ac:dyDescent="0.25">
      <c r="A1254" s="6"/>
      <c r="B1254" s="6"/>
    </row>
    <row r="1255" spans="1:2" x14ac:dyDescent="0.25">
      <c r="A1255" s="6"/>
      <c r="B1255" s="6"/>
    </row>
    <row r="1256" spans="1:2" x14ac:dyDescent="0.25">
      <c r="A1256" s="6"/>
      <c r="B1256" s="6"/>
    </row>
    <row r="1257" spans="1:2" x14ac:dyDescent="0.25">
      <c r="A1257" s="6"/>
      <c r="B1257" s="6"/>
    </row>
    <row r="1258" spans="1:2" x14ac:dyDescent="0.25">
      <c r="A1258" s="6"/>
      <c r="B1258" s="6"/>
    </row>
    <row r="1259" spans="1:2" x14ac:dyDescent="0.25">
      <c r="A1259" s="6"/>
      <c r="B1259" s="6"/>
    </row>
    <row r="1260" spans="1:2" x14ac:dyDescent="0.25">
      <c r="A1260" s="6"/>
      <c r="B1260" s="6"/>
    </row>
    <row r="1261" spans="1:2" x14ac:dyDescent="0.25">
      <c r="A1261" s="6"/>
      <c r="B1261" s="6"/>
    </row>
    <row r="1262" spans="1:2" x14ac:dyDescent="0.25">
      <c r="A1262" s="6"/>
      <c r="B1262" s="6"/>
    </row>
    <row r="1263" spans="1:2" x14ac:dyDescent="0.25">
      <c r="A1263" s="6"/>
      <c r="B1263" s="6"/>
    </row>
    <row r="1264" spans="1:2" x14ac:dyDescent="0.25">
      <c r="A1264" s="6"/>
      <c r="B1264" s="6"/>
    </row>
    <row r="1265" spans="1:2" x14ac:dyDescent="0.25">
      <c r="A1265" s="6"/>
      <c r="B1265" s="6"/>
    </row>
    <row r="1266" spans="1:2" x14ac:dyDescent="0.25">
      <c r="A1266" s="6"/>
      <c r="B1266" s="6"/>
    </row>
    <row r="1267" spans="1:2" x14ac:dyDescent="0.25">
      <c r="A1267" s="6"/>
      <c r="B1267" s="6"/>
    </row>
    <row r="1268" spans="1:2" x14ac:dyDescent="0.25">
      <c r="A1268" s="6"/>
      <c r="B1268" s="6"/>
    </row>
    <row r="1269" spans="1:2" x14ac:dyDescent="0.25">
      <c r="A1269" s="6"/>
      <c r="B1269" s="6"/>
    </row>
    <row r="1270" spans="1:2" x14ac:dyDescent="0.25">
      <c r="A1270" s="6"/>
      <c r="B1270" s="6"/>
    </row>
    <row r="1271" spans="1:2" x14ac:dyDescent="0.25">
      <c r="A1271" s="6"/>
      <c r="B1271" s="6"/>
    </row>
    <row r="1272" spans="1:2" x14ac:dyDescent="0.25">
      <c r="A1272" s="6"/>
      <c r="B1272" s="6"/>
    </row>
    <row r="1273" spans="1:2" x14ac:dyDescent="0.25">
      <c r="A1273" s="6"/>
      <c r="B1273" s="6"/>
    </row>
    <row r="1274" spans="1:2" x14ac:dyDescent="0.25">
      <c r="A1274" s="6"/>
      <c r="B1274" s="6"/>
    </row>
    <row r="1275" spans="1:2" x14ac:dyDescent="0.25">
      <c r="A1275" s="6"/>
      <c r="B1275" s="6"/>
    </row>
    <row r="1276" spans="1:2" x14ac:dyDescent="0.25">
      <c r="A1276" s="6"/>
      <c r="B1276" s="6"/>
    </row>
    <row r="1277" spans="1:2" x14ac:dyDescent="0.25">
      <c r="A1277" s="6"/>
      <c r="B1277" s="6"/>
    </row>
    <row r="1278" spans="1:2" x14ac:dyDescent="0.25">
      <c r="A1278" s="6"/>
      <c r="B1278" s="6"/>
    </row>
    <row r="1279" spans="1:2" x14ac:dyDescent="0.25">
      <c r="A1279" s="6"/>
      <c r="B1279" s="6"/>
    </row>
    <row r="1280" spans="1:2" x14ac:dyDescent="0.25">
      <c r="A1280" s="6"/>
      <c r="B1280" s="6"/>
    </row>
    <row r="1281" spans="1:2" x14ac:dyDescent="0.25">
      <c r="A1281" s="6"/>
      <c r="B1281" s="6"/>
    </row>
    <row r="1282" spans="1:2" x14ac:dyDescent="0.25">
      <c r="A1282" s="6"/>
      <c r="B1282" s="6"/>
    </row>
    <row r="1283" spans="1:2" x14ac:dyDescent="0.25">
      <c r="A1283" s="6"/>
      <c r="B1283" s="6"/>
    </row>
    <row r="1284" spans="1:2" x14ac:dyDescent="0.25">
      <c r="A1284" s="6"/>
      <c r="B1284" s="6"/>
    </row>
    <row r="1285" spans="1:2" x14ac:dyDescent="0.25">
      <c r="A1285" s="6"/>
      <c r="B1285" s="6"/>
    </row>
    <row r="1286" spans="1:2" x14ac:dyDescent="0.25">
      <c r="A1286" s="6"/>
      <c r="B1286" s="6"/>
    </row>
    <row r="1287" spans="1:2" x14ac:dyDescent="0.25">
      <c r="A1287" s="6"/>
      <c r="B1287" s="6"/>
    </row>
    <row r="1288" spans="1:2" x14ac:dyDescent="0.25">
      <c r="A1288" s="6"/>
      <c r="B1288" s="6"/>
    </row>
    <row r="1289" spans="1:2" x14ac:dyDescent="0.25">
      <c r="A1289" s="6"/>
      <c r="B1289" s="6"/>
    </row>
    <row r="1290" spans="1:2" x14ac:dyDescent="0.25">
      <c r="A1290" s="6"/>
      <c r="B1290" s="6"/>
    </row>
    <row r="1291" spans="1:2" x14ac:dyDescent="0.25">
      <c r="A1291" s="6"/>
      <c r="B1291" s="6"/>
    </row>
    <row r="1292" spans="1:2" x14ac:dyDescent="0.25">
      <c r="A1292" s="6"/>
      <c r="B1292" s="6"/>
    </row>
    <row r="1293" spans="1:2" x14ac:dyDescent="0.25">
      <c r="A1293" s="6"/>
      <c r="B1293" s="6"/>
    </row>
    <row r="1294" spans="1:2" x14ac:dyDescent="0.25">
      <c r="A1294" s="6"/>
      <c r="B1294" s="6"/>
    </row>
    <row r="1295" spans="1:2" x14ac:dyDescent="0.25">
      <c r="A1295" s="6"/>
      <c r="B1295" s="6"/>
    </row>
    <row r="1296" spans="1:2" x14ac:dyDescent="0.25">
      <c r="A1296" s="6"/>
      <c r="B1296" s="6"/>
    </row>
    <row r="1297" spans="1:2" x14ac:dyDescent="0.25">
      <c r="A1297" s="6"/>
      <c r="B1297" s="6"/>
    </row>
    <row r="1298" spans="1:2" x14ac:dyDescent="0.25">
      <c r="A1298" s="6"/>
      <c r="B1298" s="6"/>
    </row>
    <row r="1299" spans="1:2" x14ac:dyDescent="0.25">
      <c r="A1299" s="6"/>
      <c r="B1299" s="6"/>
    </row>
    <row r="1300" spans="1:2" x14ac:dyDescent="0.25">
      <c r="A1300" s="6"/>
      <c r="B1300" s="6"/>
    </row>
    <row r="1301" spans="1:2" x14ac:dyDescent="0.25">
      <c r="A1301" s="6"/>
      <c r="B1301" s="6"/>
    </row>
    <row r="1302" spans="1:2" x14ac:dyDescent="0.25">
      <c r="A1302" s="6"/>
      <c r="B1302" s="6"/>
    </row>
    <row r="1303" spans="1:2" x14ac:dyDescent="0.25">
      <c r="A1303" s="6"/>
      <c r="B1303" s="6"/>
    </row>
    <row r="1304" spans="1:2" x14ac:dyDescent="0.25">
      <c r="A1304" s="6"/>
      <c r="B1304" s="6"/>
    </row>
    <row r="1305" spans="1:2" x14ac:dyDescent="0.25">
      <c r="A1305" s="6"/>
      <c r="B1305" s="6"/>
    </row>
    <row r="1306" spans="1:2" x14ac:dyDescent="0.25">
      <c r="A1306" s="6"/>
      <c r="B1306" s="6"/>
    </row>
    <row r="1307" spans="1:2" x14ac:dyDescent="0.25">
      <c r="A1307" s="6"/>
      <c r="B1307" s="6"/>
    </row>
    <row r="1308" spans="1:2" x14ac:dyDescent="0.25">
      <c r="A1308" s="6"/>
      <c r="B1308" s="6"/>
    </row>
    <row r="1309" spans="1:2" x14ac:dyDescent="0.25">
      <c r="A1309" s="6"/>
      <c r="B1309" s="6"/>
    </row>
    <row r="1310" spans="1:2" x14ac:dyDescent="0.25">
      <c r="A1310" s="6"/>
      <c r="B1310" s="6"/>
    </row>
    <row r="1311" spans="1:2" x14ac:dyDescent="0.25">
      <c r="A1311" s="6"/>
      <c r="B1311" s="6"/>
    </row>
    <row r="1312" spans="1:2" x14ac:dyDescent="0.25">
      <c r="A1312" s="6"/>
      <c r="B1312" s="6"/>
    </row>
    <row r="1313" spans="1:2" x14ac:dyDescent="0.25">
      <c r="A1313" s="6"/>
      <c r="B1313" s="6"/>
    </row>
    <row r="1314" spans="1:2" x14ac:dyDescent="0.25">
      <c r="A1314" s="6"/>
      <c r="B1314" s="6"/>
    </row>
    <row r="1315" spans="1:2" x14ac:dyDescent="0.25">
      <c r="A1315" s="6"/>
      <c r="B1315" s="6"/>
    </row>
    <row r="1316" spans="1:2" x14ac:dyDescent="0.25">
      <c r="A1316" s="6"/>
      <c r="B1316" s="6"/>
    </row>
    <row r="1317" spans="1:2" x14ac:dyDescent="0.25">
      <c r="A1317" s="6"/>
      <c r="B1317" s="6"/>
    </row>
    <row r="1318" spans="1:2" x14ac:dyDescent="0.25">
      <c r="A1318" s="6"/>
      <c r="B1318" s="6"/>
    </row>
    <row r="1319" spans="1:2" x14ac:dyDescent="0.25">
      <c r="A1319" s="6"/>
      <c r="B1319" s="6"/>
    </row>
    <row r="1320" spans="1:2" x14ac:dyDescent="0.25">
      <c r="A1320" s="6"/>
      <c r="B1320" s="6"/>
    </row>
    <row r="1321" spans="1:2" x14ac:dyDescent="0.25">
      <c r="A1321" s="6"/>
      <c r="B1321" s="6"/>
    </row>
    <row r="1322" spans="1:2" x14ac:dyDescent="0.25">
      <c r="A1322" s="6"/>
      <c r="B1322" s="6"/>
    </row>
    <row r="1323" spans="1:2" x14ac:dyDescent="0.25">
      <c r="A1323" s="6"/>
      <c r="B1323" s="6"/>
    </row>
    <row r="1324" spans="1:2" x14ac:dyDescent="0.25">
      <c r="A1324" s="6"/>
      <c r="B1324" s="6"/>
    </row>
    <row r="1325" spans="1:2" x14ac:dyDescent="0.25">
      <c r="A1325" s="6"/>
      <c r="B1325" s="6"/>
    </row>
    <row r="1326" spans="1:2" x14ac:dyDescent="0.25">
      <c r="A1326" s="6"/>
      <c r="B1326" s="6"/>
    </row>
    <row r="1327" spans="1:2" x14ac:dyDescent="0.25">
      <c r="A1327" s="6"/>
      <c r="B1327" s="6"/>
    </row>
    <row r="1328" spans="1:2" x14ac:dyDescent="0.25">
      <c r="A1328" s="6"/>
      <c r="B1328" s="6"/>
    </row>
    <row r="1329" spans="1:2" x14ac:dyDescent="0.25">
      <c r="A1329" s="6"/>
      <c r="B1329" s="6"/>
    </row>
    <row r="1330" spans="1:2" x14ac:dyDescent="0.25">
      <c r="A1330" s="6"/>
      <c r="B1330" s="6"/>
    </row>
    <row r="1331" spans="1:2" x14ac:dyDescent="0.25">
      <c r="A1331" s="6"/>
      <c r="B1331" s="6"/>
    </row>
    <row r="1332" spans="1:2" x14ac:dyDescent="0.25">
      <c r="A1332" s="6"/>
      <c r="B1332" s="6"/>
    </row>
    <row r="1333" spans="1:2" x14ac:dyDescent="0.25">
      <c r="A1333" s="6"/>
      <c r="B1333" s="6"/>
    </row>
    <row r="1334" spans="1:2" x14ac:dyDescent="0.25">
      <c r="A1334" s="6"/>
      <c r="B1334" s="6"/>
    </row>
    <row r="1335" spans="1:2" x14ac:dyDescent="0.25">
      <c r="A1335" s="6"/>
      <c r="B1335" s="6"/>
    </row>
    <row r="1336" spans="1:2" x14ac:dyDescent="0.25">
      <c r="A1336" s="6"/>
      <c r="B1336" s="6"/>
    </row>
    <row r="1337" spans="1:2" x14ac:dyDescent="0.25">
      <c r="A1337" s="6"/>
      <c r="B1337" s="6"/>
    </row>
    <row r="1338" spans="1:2" x14ac:dyDescent="0.25">
      <c r="A1338" s="6"/>
      <c r="B1338" s="6"/>
    </row>
    <row r="1339" spans="1:2" x14ac:dyDescent="0.25">
      <c r="A1339" s="6"/>
      <c r="B1339" s="6"/>
    </row>
    <row r="1340" spans="1:2" x14ac:dyDescent="0.25">
      <c r="A1340" s="6"/>
      <c r="B1340" s="6"/>
    </row>
    <row r="1341" spans="1:2" x14ac:dyDescent="0.25">
      <c r="A1341" s="6"/>
      <c r="B1341" s="6"/>
    </row>
    <row r="1342" spans="1:2" x14ac:dyDescent="0.25">
      <c r="A1342" s="6"/>
      <c r="B1342" s="6"/>
    </row>
    <row r="1343" spans="1:2" x14ac:dyDescent="0.25">
      <c r="A1343" s="6"/>
      <c r="B1343" s="6"/>
    </row>
    <row r="1344" spans="1:2" x14ac:dyDescent="0.25">
      <c r="A1344" s="6"/>
      <c r="B1344" s="6"/>
    </row>
    <row r="1345" spans="1:2" x14ac:dyDescent="0.25">
      <c r="A1345" s="6"/>
      <c r="B1345" s="6"/>
    </row>
    <row r="1346" spans="1:2" x14ac:dyDescent="0.25">
      <c r="A1346" s="6"/>
      <c r="B1346" s="6"/>
    </row>
    <row r="1347" spans="1:2" x14ac:dyDescent="0.25">
      <c r="A1347" s="6"/>
      <c r="B1347" s="6"/>
    </row>
    <row r="1348" spans="1:2" x14ac:dyDescent="0.25">
      <c r="A1348" s="6"/>
      <c r="B1348" s="6"/>
    </row>
    <row r="1349" spans="1:2" x14ac:dyDescent="0.25">
      <c r="A1349" s="6"/>
      <c r="B1349" s="6"/>
    </row>
    <row r="1350" spans="1:2" x14ac:dyDescent="0.25">
      <c r="A1350" s="6"/>
      <c r="B1350" s="6"/>
    </row>
    <row r="1351" spans="1:2" x14ac:dyDescent="0.25">
      <c r="A1351" s="6"/>
      <c r="B1351" s="6"/>
    </row>
    <row r="1352" spans="1:2" x14ac:dyDescent="0.25">
      <c r="A1352" s="6"/>
      <c r="B1352" s="6"/>
    </row>
    <row r="1353" spans="1:2" x14ac:dyDescent="0.25">
      <c r="A1353" s="6"/>
      <c r="B1353" s="6"/>
    </row>
    <row r="1354" spans="1:2" x14ac:dyDescent="0.25">
      <c r="A1354" s="6"/>
      <c r="B1354" s="6"/>
    </row>
    <row r="1355" spans="1:2" x14ac:dyDescent="0.25">
      <c r="A1355" s="6"/>
      <c r="B1355" s="6"/>
    </row>
    <row r="1356" spans="1:2" x14ac:dyDescent="0.25">
      <c r="A1356" s="6"/>
      <c r="B1356" s="6"/>
    </row>
    <row r="1357" spans="1:2" x14ac:dyDescent="0.25">
      <c r="A1357" s="6"/>
      <c r="B1357" s="6"/>
    </row>
    <row r="1358" spans="1:2" x14ac:dyDescent="0.25">
      <c r="A1358" s="6"/>
      <c r="B1358" s="6"/>
    </row>
    <row r="1359" spans="1:2" x14ac:dyDescent="0.25">
      <c r="A1359" s="6"/>
      <c r="B1359" s="6"/>
    </row>
    <row r="1360" spans="1:2" x14ac:dyDescent="0.25">
      <c r="A1360" s="6"/>
      <c r="B1360" s="6"/>
    </row>
    <row r="1361" spans="1:2" x14ac:dyDescent="0.25">
      <c r="A1361" s="6"/>
      <c r="B1361" s="6"/>
    </row>
    <row r="1362" spans="1:2" x14ac:dyDescent="0.25">
      <c r="A1362" s="6"/>
      <c r="B1362" s="6"/>
    </row>
    <row r="1363" spans="1:2" x14ac:dyDescent="0.25">
      <c r="A1363" s="6"/>
      <c r="B1363" s="6"/>
    </row>
    <row r="1364" spans="1:2" x14ac:dyDescent="0.25">
      <c r="A1364" s="6"/>
      <c r="B1364" s="6"/>
    </row>
    <row r="1365" spans="1:2" x14ac:dyDescent="0.25">
      <c r="A1365" s="6"/>
      <c r="B1365" s="6"/>
    </row>
    <row r="1366" spans="1:2" x14ac:dyDescent="0.25">
      <c r="A1366" s="6"/>
      <c r="B1366" s="6"/>
    </row>
    <row r="1367" spans="1:2" x14ac:dyDescent="0.25">
      <c r="A1367" s="6"/>
      <c r="B1367" s="6"/>
    </row>
    <row r="1368" spans="1:2" x14ac:dyDescent="0.25">
      <c r="A1368" s="6"/>
      <c r="B1368" s="6"/>
    </row>
    <row r="1369" spans="1:2" x14ac:dyDescent="0.25">
      <c r="A1369" s="6"/>
      <c r="B1369" s="6"/>
    </row>
    <row r="1370" spans="1:2" x14ac:dyDescent="0.25">
      <c r="A1370" s="6"/>
      <c r="B1370" s="6"/>
    </row>
    <row r="1371" spans="1:2" x14ac:dyDescent="0.25">
      <c r="A1371" s="6"/>
      <c r="B1371" s="6"/>
    </row>
    <row r="1372" spans="1:2" x14ac:dyDescent="0.25">
      <c r="A1372" s="6"/>
      <c r="B1372" s="6"/>
    </row>
    <row r="1373" spans="1:2" x14ac:dyDescent="0.25">
      <c r="A1373" s="6"/>
      <c r="B1373" s="6"/>
    </row>
    <row r="1374" spans="1:2" x14ac:dyDescent="0.25">
      <c r="A1374" s="6"/>
      <c r="B1374" s="6"/>
    </row>
    <row r="1375" spans="1:2" x14ac:dyDescent="0.25">
      <c r="A1375" s="6"/>
      <c r="B1375" s="6"/>
    </row>
    <row r="1376" spans="1:2" x14ac:dyDescent="0.25">
      <c r="A1376" s="6"/>
      <c r="B1376" s="6"/>
    </row>
    <row r="1377" spans="1:2" x14ac:dyDescent="0.25">
      <c r="A1377" s="6"/>
      <c r="B1377" s="6"/>
    </row>
    <row r="1378" spans="1:2" x14ac:dyDescent="0.25">
      <c r="A1378" s="6"/>
      <c r="B1378" s="6"/>
    </row>
    <row r="1379" spans="1:2" x14ac:dyDescent="0.25">
      <c r="A1379" s="6"/>
      <c r="B1379" s="6"/>
    </row>
    <row r="1380" spans="1:2" x14ac:dyDescent="0.25">
      <c r="A1380" s="6"/>
      <c r="B1380" s="6"/>
    </row>
    <row r="1381" spans="1:2" x14ac:dyDescent="0.25">
      <c r="A1381" s="6"/>
      <c r="B1381" s="6"/>
    </row>
    <row r="1382" spans="1:2" x14ac:dyDescent="0.25">
      <c r="A1382" s="6"/>
      <c r="B1382" s="6"/>
    </row>
    <row r="1383" spans="1:2" x14ac:dyDescent="0.25">
      <c r="A1383" s="6"/>
      <c r="B1383" s="6"/>
    </row>
    <row r="1384" spans="1:2" x14ac:dyDescent="0.25">
      <c r="A1384" s="6"/>
      <c r="B1384" s="6"/>
    </row>
    <row r="1385" spans="1:2" x14ac:dyDescent="0.25">
      <c r="A1385" s="6"/>
      <c r="B1385" s="6"/>
    </row>
    <row r="1386" spans="1:2" x14ac:dyDescent="0.25">
      <c r="A1386" s="6"/>
      <c r="B1386" s="6"/>
    </row>
    <row r="1387" spans="1:2" x14ac:dyDescent="0.25">
      <c r="A1387" s="6"/>
      <c r="B1387" s="6"/>
    </row>
    <row r="1388" spans="1:2" x14ac:dyDescent="0.25">
      <c r="A1388" s="6"/>
      <c r="B1388" s="6"/>
    </row>
    <row r="1389" spans="1:2" x14ac:dyDescent="0.25">
      <c r="A1389" s="6"/>
      <c r="B1389" s="6"/>
    </row>
    <row r="1390" spans="1:2" x14ac:dyDescent="0.25">
      <c r="A1390" s="6"/>
      <c r="B1390" s="6"/>
    </row>
    <row r="1391" spans="1:2" x14ac:dyDescent="0.25">
      <c r="A1391" s="6"/>
      <c r="B1391" s="6"/>
    </row>
    <row r="1392" spans="1:2" x14ac:dyDescent="0.25">
      <c r="A1392" s="6"/>
      <c r="B1392" s="6"/>
    </row>
    <row r="1393" spans="1:2" x14ac:dyDescent="0.25">
      <c r="A1393" s="6"/>
      <c r="B1393" s="6"/>
    </row>
    <row r="1394" spans="1:2" x14ac:dyDescent="0.25">
      <c r="A1394" s="6"/>
      <c r="B1394" s="6"/>
    </row>
    <row r="1395" spans="1:2" x14ac:dyDescent="0.25">
      <c r="A1395" s="6"/>
      <c r="B1395" s="6"/>
    </row>
    <row r="1396" spans="1:2" x14ac:dyDescent="0.25">
      <c r="A1396" s="6"/>
      <c r="B1396" s="6"/>
    </row>
    <row r="1397" spans="1:2" x14ac:dyDescent="0.25">
      <c r="A1397" s="6"/>
      <c r="B1397" s="6"/>
    </row>
    <row r="1398" spans="1:2" x14ac:dyDescent="0.25">
      <c r="A1398" s="6"/>
      <c r="B1398" s="6"/>
    </row>
    <row r="1399" spans="1:2" x14ac:dyDescent="0.25">
      <c r="A1399" s="6"/>
      <c r="B1399" s="6"/>
    </row>
    <row r="1400" spans="1:2" x14ac:dyDescent="0.25">
      <c r="A1400" s="6"/>
      <c r="B1400" s="6"/>
    </row>
    <row r="1401" spans="1:2" x14ac:dyDescent="0.25">
      <c r="A1401" s="6"/>
      <c r="B1401" s="6"/>
    </row>
    <row r="1402" spans="1:2" x14ac:dyDescent="0.25">
      <c r="A1402" s="6"/>
      <c r="B1402" s="6"/>
    </row>
    <row r="1403" spans="1:2" x14ac:dyDescent="0.25">
      <c r="A1403" s="6"/>
      <c r="B1403" s="6"/>
    </row>
    <row r="1404" spans="1:2" x14ac:dyDescent="0.25">
      <c r="A1404" s="6"/>
      <c r="B1404" s="6"/>
    </row>
    <row r="1405" spans="1:2" x14ac:dyDescent="0.25">
      <c r="A1405" s="6"/>
      <c r="B1405" s="6"/>
    </row>
    <row r="1406" spans="1:2" x14ac:dyDescent="0.25">
      <c r="A1406" s="6"/>
      <c r="B1406" s="6"/>
    </row>
    <row r="1407" spans="1:2" x14ac:dyDescent="0.25">
      <c r="A1407" s="6"/>
      <c r="B1407" s="6"/>
    </row>
    <row r="1408" spans="1:2" x14ac:dyDescent="0.25">
      <c r="A1408" s="6"/>
      <c r="B1408" s="6"/>
    </row>
    <row r="1409" spans="1:2" x14ac:dyDescent="0.25">
      <c r="A1409" s="6"/>
      <c r="B1409" s="6"/>
    </row>
    <row r="1410" spans="1:2" x14ac:dyDescent="0.25">
      <c r="A1410" s="6"/>
      <c r="B1410" s="6"/>
    </row>
    <row r="1411" spans="1:2" x14ac:dyDescent="0.25">
      <c r="A1411" s="6"/>
      <c r="B1411" s="6"/>
    </row>
    <row r="1412" spans="1:2" x14ac:dyDescent="0.25">
      <c r="A1412" s="6"/>
      <c r="B1412" s="6"/>
    </row>
    <row r="1413" spans="1:2" x14ac:dyDescent="0.25">
      <c r="A1413" s="6"/>
      <c r="B1413" s="6"/>
    </row>
    <row r="1414" spans="1:2" x14ac:dyDescent="0.25">
      <c r="A1414" s="6"/>
      <c r="B1414" s="6"/>
    </row>
    <row r="1415" spans="1:2" x14ac:dyDescent="0.25">
      <c r="A1415" s="6"/>
      <c r="B1415" s="6"/>
    </row>
    <row r="1416" spans="1:2" x14ac:dyDescent="0.25">
      <c r="A1416" s="6"/>
      <c r="B1416" s="6"/>
    </row>
    <row r="1417" spans="1:2" x14ac:dyDescent="0.25">
      <c r="A1417" s="6"/>
      <c r="B1417" s="6"/>
    </row>
    <row r="1418" spans="1:2" x14ac:dyDescent="0.25">
      <c r="A1418" s="6"/>
      <c r="B1418" s="6"/>
    </row>
    <row r="1419" spans="1:2" x14ac:dyDescent="0.25">
      <c r="A1419" s="6"/>
      <c r="B1419" s="6"/>
    </row>
    <row r="1420" spans="1:2" x14ac:dyDescent="0.25">
      <c r="A1420" s="6"/>
      <c r="B1420" s="6"/>
    </row>
    <row r="1421" spans="1:2" x14ac:dyDescent="0.25">
      <c r="A1421" s="6"/>
      <c r="B1421" s="6"/>
    </row>
    <row r="1422" spans="1:2" x14ac:dyDescent="0.25">
      <c r="A1422" s="6"/>
      <c r="B1422" s="6"/>
    </row>
    <row r="1423" spans="1:2" x14ac:dyDescent="0.25">
      <c r="A1423" s="6"/>
      <c r="B1423" s="6"/>
    </row>
    <row r="1424" spans="1:2" x14ac:dyDescent="0.25">
      <c r="A1424" s="6"/>
      <c r="B1424" s="6"/>
    </row>
    <row r="1425" spans="1:2" x14ac:dyDescent="0.25">
      <c r="A1425" s="6"/>
      <c r="B1425" s="6"/>
    </row>
    <row r="1426" spans="1:2" x14ac:dyDescent="0.25">
      <c r="A1426" s="6"/>
      <c r="B1426" s="6"/>
    </row>
    <row r="1427" spans="1:2" x14ac:dyDescent="0.25">
      <c r="A1427" s="6"/>
      <c r="B1427" s="6"/>
    </row>
    <row r="1428" spans="1:2" x14ac:dyDescent="0.25">
      <c r="A1428" s="6"/>
      <c r="B1428" s="6"/>
    </row>
    <row r="1429" spans="1:2" x14ac:dyDescent="0.25">
      <c r="A1429" s="6"/>
      <c r="B1429" s="6"/>
    </row>
    <row r="1430" spans="1:2" x14ac:dyDescent="0.25">
      <c r="A1430" s="6"/>
      <c r="B1430" s="6"/>
    </row>
    <row r="1431" spans="1:2" x14ac:dyDescent="0.25">
      <c r="A1431" s="6"/>
      <c r="B1431" s="6"/>
    </row>
    <row r="1432" spans="1:2" x14ac:dyDescent="0.25">
      <c r="A1432" s="6"/>
      <c r="B1432" s="6"/>
    </row>
    <row r="1433" spans="1:2" x14ac:dyDescent="0.25">
      <c r="A1433" s="6"/>
      <c r="B1433" s="6"/>
    </row>
    <row r="1434" spans="1:2" x14ac:dyDescent="0.25">
      <c r="A1434" s="6"/>
      <c r="B1434" s="6"/>
    </row>
    <row r="1435" spans="1:2" x14ac:dyDescent="0.25">
      <c r="A1435" s="6"/>
      <c r="B1435" s="6"/>
    </row>
    <row r="1436" spans="1:2" x14ac:dyDescent="0.25">
      <c r="A1436" s="6"/>
      <c r="B1436" s="6"/>
    </row>
    <row r="1437" spans="1:2" x14ac:dyDescent="0.25">
      <c r="A1437" s="6"/>
      <c r="B1437" s="6"/>
    </row>
    <row r="1438" spans="1:2" x14ac:dyDescent="0.25">
      <c r="A1438" s="6"/>
      <c r="B1438" s="6"/>
    </row>
    <row r="1439" spans="1:2" x14ac:dyDescent="0.25">
      <c r="A1439" s="6"/>
      <c r="B1439" s="6"/>
    </row>
    <row r="1440" spans="1:2" x14ac:dyDescent="0.25">
      <c r="A1440" s="6"/>
      <c r="B1440" s="6"/>
    </row>
    <row r="1441" spans="1:2" x14ac:dyDescent="0.25">
      <c r="A1441" s="6"/>
      <c r="B1441" s="6"/>
    </row>
    <row r="1442" spans="1:2" x14ac:dyDescent="0.25">
      <c r="A1442" s="6"/>
      <c r="B1442" s="6"/>
    </row>
    <row r="1443" spans="1:2" x14ac:dyDescent="0.25">
      <c r="A1443" s="6"/>
      <c r="B1443" s="6"/>
    </row>
    <row r="1444" spans="1:2" x14ac:dyDescent="0.25">
      <c r="A1444" s="6"/>
      <c r="B1444" s="6"/>
    </row>
    <row r="1445" spans="1:2" x14ac:dyDescent="0.25">
      <c r="A1445" s="6"/>
      <c r="B1445" s="6"/>
    </row>
    <row r="1446" spans="1:2" x14ac:dyDescent="0.25">
      <c r="A1446" s="6"/>
      <c r="B1446" s="6"/>
    </row>
    <row r="1447" spans="1:2" x14ac:dyDescent="0.25">
      <c r="A1447" s="6"/>
      <c r="B1447" s="6"/>
    </row>
    <row r="1448" spans="1:2" x14ac:dyDescent="0.25">
      <c r="A1448" s="6"/>
      <c r="B1448" s="6"/>
    </row>
    <row r="1449" spans="1:2" x14ac:dyDescent="0.25">
      <c r="A1449" s="6"/>
      <c r="B1449" s="6"/>
    </row>
    <row r="1450" spans="1:2" x14ac:dyDescent="0.25">
      <c r="A1450" s="6"/>
      <c r="B1450" s="6"/>
    </row>
    <row r="1451" spans="1:2" x14ac:dyDescent="0.25">
      <c r="A1451" s="6"/>
      <c r="B1451" s="6"/>
    </row>
    <row r="1452" spans="1:2" x14ac:dyDescent="0.25">
      <c r="A1452" s="6"/>
      <c r="B1452" s="6"/>
    </row>
    <row r="1453" spans="1:2" x14ac:dyDescent="0.25">
      <c r="A1453" s="6"/>
      <c r="B1453" s="6"/>
    </row>
    <row r="1454" spans="1:2" x14ac:dyDescent="0.25">
      <c r="A1454" s="6"/>
      <c r="B1454" s="6"/>
    </row>
    <row r="1455" spans="1:2" x14ac:dyDescent="0.25">
      <c r="A1455" s="6"/>
      <c r="B1455" s="6"/>
    </row>
    <row r="1456" spans="1:2" x14ac:dyDescent="0.25">
      <c r="A1456" s="6"/>
      <c r="B1456" s="6"/>
    </row>
    <row r="1457" spans="1:2" x14ac:dyDescent="0.25">
      <c r="A1457" s="6"/>
      <c r="B1457" s="6"/>
    </row>
    <row r="1458" spans="1:2" x14ac:dyDescent="0.25">
      <c r="A1458" s="6"/>
      <c r="B1458" s="6"/>
    </row>
    <row r="1459" spans="1:2" x14ac:dyDescent="0.25">
      <c r="A1459" s="6"/>
      <c r="B1459" s="6"/>
    </row>
    <row r="1460" spans="1:2" x14ac:dyDescent="0.25">
      <c r="A1460" s="6"/>
      <c r="B1460" s="6"/>
    </row>
    <row r="1461" spans="1:2" x14ac:dyDescent="0.25">
      <c r="A1461" s="6"/>
      <c r="B1461" s="6"/>
    </row>
    <row r="1462" spans="1:2" x14ac:dyDescent="0.25">
      <c r="A1462" s="6"/>
      <c r="B1462" s="6"/>
    </row>
    <row r="1463" spans="1:2" x14ac:dyDescent="0.25">
      <c r="A1463" s="6"/>
      <c r="B1463" s="6"/>
    </row>
    <row r="1464" spans="1:2" x14ac:dyDescent="0.25">
      <c r="A1464" s="6"/>
      <c r="B1464" s="6"/>
    </row>
    <row r="1465" spans="1:2" x14ac:dyDescent="0.25">
      <c r="A1465" s="6"/>
      <c r="B1465" s="6"/>
    </row>
    <row r="1466" spans="1:2" x14ac:dyDescent="0.25">
      <c r="A1466" s="6"/>
      <c r="B1466" s="6"/>
    </row>
    <row r="1467" spans="1:2" x14ac:dyDescent="0.25">
      <c r="A1467" s="6"/>
      <c r="B1467" s="6"/>
    </row>
    <row r="1468" spans="1:2" x14ac:dyDescent="0.25">
      <c r="A1468" s="6"/>
      <c r="B1468" s="6"/>
    </row>
    <row r="1469" spans="1:2" x14ac:dyDescent="0.25">
      <c r="A1469" s="6"/>
      <c r="B1469" s="6"/>
    </row>
    <row r="1470" spans="1:2" x14ac:dyDescent="0.25">
      <c r="A1470" s="6"/>
      <c r="B1470" s="6"/>
    </row>
    <row r="1471" spans="1:2" x14ac:dyDescent="0.25">
      <c r="A1471" s="6"/>
      <c r="B1471" s="6"/>
    </row>
    <row r="1472" spans="1:2" x14ac:dyDescent="0.25">
      <c r="A1472" s="6"/>
      <c r="B1472" s="6"/>
    </row>
    <row r="1473" spans="1:2" x14ac:dyDescent="0.25">
      <c r="A1473" s="6"/>
      <c r="B1473" s="6"/>
    </row>
    <row r="1474" spans="1:2" x14ac:dyDescent="0.25">
      <c r="A1474" s="6"/>
      <c r="B1474" s="6"/>
    </row>
    <row r="1475" spans="1:2" x14ac:dyDescent="0.25">
      <c r="A1475" s="6"/>
      <c r="B1475" s="6"/>
    </row>
    <row r="1476" spans="1:2" x14ac:dyDescent="0.25">
      <c r="A1476" s="6"/>
      <c r="B1476" s="6"/>
    </row>
    <row r="1477" spans="1:2" x14ac:dyDescent="0.25">
      <c r="A1477" s="6"/>
      <c r="B1477" s="6"/>
    </row>
    <row r="1478" spans="1:2" x14ac:dyDescent="0.25">
      <c r="A1478" s="6"/>
      <c r="B1478" s="6"/>
    </row>
    <row r="1479" spans="1:2" x14ac:dyDescent="0.25">
      <c r="A1479" s="6"/>
      <c r="B1479" s="6"/>
    </row>
    <row r="1480" spans="1:2" x14ac:dyDescent="0.25">
      <c r="A1480" s="6"/>
      <c r="B1480" s="6"/>
    </row>
    <row r="1481" spans="1:2" x14ac:dyDescent="0.25">
      <c r="A1481" s="6"/>
      <c r="B1481" s="6"/>
    </row>
    <row r="1482" spans="1:2" x14ac:dyDescent="0.25">
      <c r="A1482" s="6"/>
      <c r="B1482" s="6"/>
    </row>
    <row r="1483" spans="1:2" x14ac:dyDescent="0.25">
      <c r="A1483" s="6"/>
      <c r="B1483" s="6"/>
    </row>
    <row r="1484" spans="1:2" x14ac:dyDescent="0.25">
      <c r="A1484" s="6"/>
      <c r="B1484" s="6"/>
    </row>
    <row r="1485" spans="1:2" x14ac:dyDescent="0.25">
      <c r="A1485" s="6"/>
      <c r="B1485" s="6"/>
    </row>
    <row r="1486" spans="1:2" x14ac:dyDescent="0.25">
      <c r="A1486" s="6"/>
      <c r="B1486" s="6"/>
    </row>
    <row r="1487" spans="1:2" x14ac:dyDescent="0.25">
      <c r="A1487" s="6"/>
      <c r="B1487" s="6"/>
    </row>
    <row r="1488" spans="1:2" x14ac:dyDescent="0.25">
      <c r="A1488" s="6"/>
      <c r="B1488" s="6"/>
    </row>
    <row r="1489" spans="1:2" x14ac:dyDescent="0.25">
      <c r="A1489" s="6"/>
      <c r="B1489" s="6"/>
    </row>
    <row r="1490" spans="1:2" x14ac:dyDescent="0.25">
      <c r="A1490" s="6"/>
      <c r="B1490" s="6"/>
    </row>
    <row r="1491" spans="1:2" x14ac:dyDescent="0.25">
      <c r="A1491" s="6"/>
      <c r="B1491" s="6"/>
    </row>
    <row r="1492" spans="1:2" x14ac:dyDescent="0.25">
      <c r="A1492" s="6"/>
      <c r="B1492" s="6"/>
    </row>
    <row r="1493" spans="1:2" x14ac:dyDescent="0.25">
      <c r="A1493" s="6"/>
      <c r="B1493" s="6"/>
    </row>
    <row r="1494" spans="1:2" x14ac:dyDescent="0.25">
      <c r="A1494" s="6"/>
      <c r="B1494" s="6"/>
    </row>
    <row r="1495" spans="1:2" x14ac:dyDescent="0.25">
      <c r="A1495" s="6"/>
      <c r="B1495" s="6"/>
    </row>
    <row r="1496" spans="1:2" x14ac:dyDescent="0.25">
      <c r="A1496" s="6"/>
      <c r="B1496" s="6"/>
    </row>
    <row r="1497" spans="1:2" x14ac:dyDescent="0.25">
      <c r="A1497" s="6"/>
      <c r="B1497" s="6"/>
    </row>
    <row r="1498" spans="1:2" x14ac:dyDescent="0.25">
      <c r="A1498" s="6"/>
      <c r="B1498" s="6"/>
    </row>
    <row r="1499" spans="1:2" x14ac:dyDescent="0.25">
      <c r="A1499" s="6"/>
      <c r="B1499" s="6"/>
    </row>
    <row r="1500" spans="1:2" x14ac:dyDescent="0.25">
      <c r="A1500" s="6"/>
      <c r="B1500" s="6"/>
    </row>
    <row r="1501" spans="1:2" x14ac:dyDescent="0.25">
      <c r="A1501" s="6"/>
      <c r="B1501" s="6"/>
    </row>
    <row r="1502" spans="1:2" x14ac:dyDescent="0.25">
      <c r="A1502" s="6"/>
      <c r="B1502" s="6"/>
    </row>
    <row r="1503" spans="1:2" x14ac:dyDescent="0.25">
      <c r="A1503" s="6"/>
      <c r="B1503" s="6"/>
    </row>
    <row r="1504" spans="1:2" x14ac:dyDescent="0.25">
      <c r="A1504" s="6"/>
      <c r="B1504" s="6"/>
    </row>
    <row r="1505" spans="1:2" x14ac:dyDescent="0.25">
      <c r="A1505" s="6"/>
      <c r="B1505" s="6"/>
    </row>
    <row r="1506" spans="1:2" x14ac:dyDescent="0.25">
      <c r="A1506" s="6"/>
      <c r="B1506" s="6"/>
    </row>
    <row r="1507" spans="1:2" x14ac:dyDescent="0.25">
      <c r="A1507" s="6"/>
      <c r="B1507" s="6"/>
    </row>
    <row r="1508" spans="1:2" x14ac:dyDescent="0.25">
      <c r="A1508" s="6"/>
      <c r="B1508" s="6"/>
    </row>
    <row r="1509" spans="1:2" x14ac:dyDescent="0.25">
      <c r="A1509" s="6"/>
      <c r="B1509" s="6"/>
    </row>
    <row r="1510" spans="1:2" x14ac:dyDescent="0.25">
      <c r="A1510" s="6"/>
      <c r="B1510" s="6"/>
    </row>
    <row r="1511" spans="1:2" x14ac:dyDescent="0.25">
      <c r="A1511" s="6"/>
      <c r="B1511" s="6"/>
    </row>
    <row r="1512" spans="1:2" x14ac:dyDescent="0.25">
      <c r="A1512" s="6"/>
      <c r="B1512" s="6"/>
    </row>
    <row r="1513" spans="1:2" x14ac:dyDescent="0.25">
      <c r="A1513" s="6"/>
      <c r="B1513" s="6"/>
    </row>
    <row r="1514" spans="1:2" x14ac:dyDescent="0.25">
      <c r="A1514" s="6"/>
      <c r="B1514" s="6"/>
    </row>
    <row r="1515" spans="1:2" x14ac:dyDescent="0.25">
      <c r="A1515" s="6"/>
      <c r="B1515" s="6"/>
    </row>
    <row r="1516" spans="1:2" x14ac:dyDescent="0.25">
      <c r="A1516" s="6"/>
      <c r="B1516" s="6"/>
    </row>
    <row r="1517" spans="1:2" x14ac:dyDescent="0.25">
      <c r="A1517" s="6"/>
      <c r="B1517" s="6"/>
    </row>
    <row r="1518" spans="1:2" x14ac:dyDescent="0.25">
      <c r="A1518" s="6"/>
      <c r="B1518" s="6"/>
    </row>
    <row r="1519" spans="1:2" x14ac:dyDescent="0.25">
      <c r="A1519" s="6"/>
      <c r="B1519" s="6"/>
    </row>
    <row r="1520" spans="1:2" x14ac:dyDescent="0.25">
      <c r="A1520" s="6"/>
      <c r="B1520" s="6"/>
    </row>
    <row r="1521" spans="1:2" x14ac:dyDescent="0.25">
      <c r="A1521" s="6"/>
      <c r="B1521" s="6"/>
    </row>
    <row r="1522" spans="1:2" x14ac:dyDescent="0.25">
      <c r="A1522" s="6"/>
      <c r="B1522" s="6"/>
    </row>
    <row r="1523" spans="1:2" x14ac:dyDescent="0.25">
      <c r="A1523" s="6"/>
      <c r="B1523" s="6"/>
    </row>
    <row r="1524" spans="1:2" x14ac:dyDescent="0.25">
      <c r="A1524" s="6"/>
      <c r="B1524" s="6"/>
    </row>
    <row r="1525" spans="1:2" x14ac:dyDescent="0.25">
      <c r="A1525" s="6"/>
      <c r="B1525" s="6"/>
    </row>
    <row r="1526" spans="1:2" x14ac:dyDescent="0.25">
      <c r="A1526" s="6"/>
      <c r="B1526" s="6"/>
    </row>
    <row r="1527" spans="1:2" x14ac:dyDescent="0.25">
      <c r="A1527" s="6"/>
      <c r="B1527" s="6"/>
    </row>
    <row r="1528" spans="1:2" x14ac:dyDescent="0.25">
      <c r="A1528" s="6"/>
      <c r="B1528" s="6"/>
    </row>
    <row r="1529" spans="1:2" x14ac:dyDescent="0.25">
      <c r="A1529" s="6"/>
      <c r="B1529" s="6"/>
    </row>
    <row r="1530" spans="1:2" x14ac:dyDescent="0.25">
      <c r="A1530" s="6"/>
      <c r="B1530" s="6"/>
    </row>
    <row r="1531" spans="1:2" x14ac:dyDescent="0.25">
      <c r="A1531" s="6"/>
      <c r="B1531" s="6"/>
    </row>
    <row r="1532" spans="1:2" x14ac:dyDescent="0.25">
      <c r="A1532" s="6"/>
      <c r="B1532" s="6"/>
    </row>
    <row r="1533" spans="1:2" x14ac:dyDescent="0.25">
      <c r="A1533" s="6"/>
      <c r="B1533" s="6"/>
    </row>
    <row r="1534" spans="1:2" x14ac:dyDescent="0.25">
      <c r="A1534" s="6"/>
      <c r="B1534" s="6"/>
    </row>
    <row r="1535" spans="1:2" x14ac:dyDescent="0.25">
      <c r="A1535" s="6"/>
      <c r="B1535" s="6"/>
    </row>
    <row r="1536" spans="1:2" x14ac:dyDescent="0.25">
      <c r="A1536" s="6"/>
      <c r="B1536" s="6"/>
    </row>
    <row r="1537" spans="1:2" x14ac:dyDescent="0.25">
      <c r="A1537" s="6"/>
      <c r="B1537" s="6"/>
    </row>
    <row r="1538" spans="1:2" x14ac:dyDescent="0.25">
      <c r="A1538" s="6"/>
      <c r="B1538" s="6"/>
    </row>
    <row r="1539" spans="1:2" x14ac:dyDescent="0.25">
      <c r="A1539" s="6"/>
      <c r="B1539" s="6"/>
    </row>
    <row r="1540" spans="1:2" x14ac:dyDescent="0.25">
      <c r="A1540" s="6"/>
      <c r="B1540" s="6"/>
    </row>
    <row r="1541" spans="1:2" x14ac:dyDescent="0.25">
      <c r="A1541" s="6"/>
      <c r="B1541" s="6"/>
    </row>
    <row r="1542" spans="1:2" x14ac:dyDescent="0.25">
      <c r="A1542" s="6"/>
      <c r="B1542" s="6"/>
    </row>
    <row r="1543" spans="1:2" x14ac:dyDescent="0.25">
      <c r="A1543" s="6"/>
      <c r="B1543" s="6"/>
    </row>
    <row r="1544" spans="1:2" x14ac:dyDescent="0.25">
      <c r="A1544" s="6"/>
      <c r="B1544" s="6"/>
    </row>
    <row r="1545" spans="1:2" x14ac:dyDescent="0.25">
      <c r="A1545" s="6"/>
      <c r="B1545" s="6"/>
    </row>
    <row r="1546" spans="1:2" x14ac:dyDescent="0.25">
      <c r="A1546" s="6"/>
      <c r="B1546" s="6"/>
    </row>
    <row r="1547" spans="1:2" x14ac:dyDescent="0.25">
      <c r="A1547" s="6"/>
      <c r="B1547" s="6"/>
    </row>
    <row r="1548" spans="1:2" x14ac:dyDescent="0.25">
      <c r="A1548" s="6"/>
      <c r="B1548" s="6"/>
    </row>
    <row r="1549" spans="1:2" x14ac:dyDescent="0.25">
      <c r="A1549" s="6"/>
      <c r="B1549" s="6"/>
    </row>
    <row r="1550" spans="1:2" x14ac:dyDescent="0.25">
      <c r="A1550" s="6"/>
      <c r="B1550" s="6"/>
    </row>
    <row r="1551" spans="1:2" x14ac:dyDescent="0.25">
      <c r="A1551" s="6"/>
      <c r="B1551" s="6"/>
    </row>
    <row r="1552" spans="1:2" x14ac:dyDescent="0.25">
      <c r="A1552" s="6"/>
      <c r="B1552" s="6"/>
    </row>
    <row r="1553" spans="1:2" x14ac:dyDescent="0.25">
      <c r="A1553" s="6"/>
      <c r="B1553" s="6"/>
    </row>
    <row r="1554" spans="1:2" x14ac:dyDescent="0.25">
      <c r="A1554" s="6"/>
      <c r="B1554" s="6"/>
    </row>
    <row r="1555" spans="1:2" x14ac:dyDescent="0.25">
      <c r="A1555" s="6"/>
      <c r="B1555" s="6"/>
    </row>
    <row r="1556" spans="1:2" x14ac:dyDescent="0.25">
      <c r="A1556" s="6"/>
      <c r="B1556" s="6"/>
    </row>
    <row r="1557" spans="1:2" x14ac:dyDescent="0.25">
      <c r="A1557" s="6"/>
      <c r="B1557" s="6"/>
    </row>
    <row r="1558" spans="1:2" x14ac:dyDescent="0.25">
      <c r="A1558" s="6"/>
      <c r="B1558" s="6"/>
    </row>
    <row r="1559" spans="1:2" x14ac:dyDescent="0.25">
      <c r="A1559" s="6"/>
      <c r="B1559" s="6"/>
    </row>
    <row r="1560" spans="1:2" x14ac:dyDescent="0.25">
      <c r="A1560" s="6"/>
      <c r="B1560" s="6"/>
    </row>
    <row r="1561" spans="1:2" x14ac:dyDescent="0.25">
      <c r="A1561" s="6"/>
      <c r="B1561" s="6"/>
    </row>
    <row r="1562" spans="1:2" x14ac:dyDescent="0.25">
      <c r="A1562" s="6"/>
      <c r="B1562" s="6"/>
    </row>
    <row r="1563" spans="1:2" x14ac:dyDescent="0.25">
      <c r="A1563" s="6"/>
      <c r="B1563" s="6"/>
    </row>
    <row r="1564" spans="1:2" x14ac:dyDescent="0.25">
      <c r="A1564" s="6"/>
      <c r="B1564" s="6"/>
    </row>
    <row r="1565" spans="1:2" x14ac:dyDescent="0.25">
      <c r="A1565" s="6"/>
      <c r="B1565" s="6"/>
    </row>
    <row r="1566" spans="1:2" x14ac:dyDescent="0.25">
      <c r="A1566" s="6"/>
      <c r="B1566" s="6"/>
    </row>
    <row r="1567" spans="1:2" x14ac:dyDescent="0.25">
      <c r="A1567" s="6"/>
      <c r="B1567" s="6"/>
    </row>
    <row r="1568" spans="1:2" x14ac:dyDescent="0.25">
      <c r="A1568" s="6"/>
      <c r="B1568" s="6"/>
    </row>
    <row r="1569" spans="1:2" x14ac:dyDescent="0.25">
      <c r="A1569" s="6"/>
      <c r="B1569" s="6"/>
    </row>
    <row r="1570" spans="1:2" x14ac:dyDescent="0.25">
      <c r="A1570" s="6"/>
      <c r="B1570" s="6"/>
    </row>
    <row r="1571" spans="1:2" x14ac:dyDescent="0.25">
      <c r="A1571" s="6"/>
      <c r="B1571" s="6"/>
    </row>
    <row r="1572" spans="1:2" x14ac:dyDescent="0.25">
      <c r="A1572" s="6"/>
      <c r="B1572" s="6"/>
    </row>
    <row r="1573" spans="1:2" x14ac:dyDescent="0.25">
      <c r="A1573" s="6"/>
      <c r="B1573" s="6"/>
    </row>
    <row r="1574" spans="1:2" x14ac:dyDescent="0.25">
      <c r="A1574" s="6"/>
      <c r="B1574" s="6"/>
    </row>
    <row r="1575" spans="1:2" x14ac:dyDescent="0.25">
      <c r="A1575" s="6"/>
      <c r="B1575" s="6"/>
    </row>
    <row r="1576" spans="1:2" x14ac:dyDescent="0.25">
      <c r="A1576" s="6"/>
      <c r="B1576" s="6"/>
    </row>
    <row r="1577" spans="1:2" x14ac:dyDescent="0.25">
      <c r="A1577" s="6"/>
      <c r="B1577" s="6"/>
    </row>
    <row r="1578" spans="1:2" x14ac:dyDescent="0.25">
      <c r="A1578" s="6"/>
      <c r="B1578" s="6"/>
    </row>
    <row r="1579" spans="1:2" x14ac:dyDescent="0.25">
      <c r="A1579" s="6"/>
      <c r="B1579" s="6"/>
    </row>
    <row r="1580" spans="1:2" x14ac:dyDescent="0.25">
      <c r="A1580" s="6"/>
      <c r="B1580" s="6"/>
    </row>
    <row r="1581" spans="1:2" x14ac:dyDescent="0.25">
      <c r="A1581" s="6"/>
      <c r="B1581" s="6"/>
    </row>
    <row r="1582" spans="1:2" x14ac:dyDescent="0.25">
      <c r="A1582" s="6"/>
      <c r="B1582" s="6"/>
    </row>
    <row r="1583" spans="1:2" x14ac:dyDescent="0.25">
      <c r="A1583" s="6"/>
      <c r="B1583" s="6"/>
    </row>
    <row r="1584" spans="1:2" x14ac:dyDescent="0.25">
      <c r="A1584" s="6"/>
      <c r="B1584" s="6"/>
    </row>
    <row r="1585" spans="1:2" x14ac:dyDescent="0.25">
      <c r="A1585" s="6"/>
      <c r="B1585" s="6"/>
    </row>
    <row r="1586" spans="1:2" x14ac:dyDescent="0.25">
      <c r="A1586" s="6"/>
      <c r="B1586" s="6"/>
    </row>
    <row r="1587" spans="1:2" x14ac:dyDescent="0.25">
      <c r="A1587" s="6"/>
      <c r="B1587" s="6"/>
    </row>
    <row r="1588" spans="1:2" x14ac:dyDescent="0.25">
      <c r="A1588" s="6"/>
      <c r="B1588" s="6"/>
    </row>
    <row r="1589" spans="1:2" x14ac:dyDescent="0.25">
      <c r="A1589" s="6"/>
      <c r="B1589" s="6"/>
    </row>
    <row r="1590" spans="1:2" x14ac:dyDescent="0.25">
      <c r="A1590" s="6"/>
      <c r="B1590" s="6"/>
    </row>
    <row r="1591" spans="1:2" x14ac:dyDescent="0.25">
      <c r="A1591" s="6"/>
      <c r="B1591" s="6"/>
    </row>
    <row r="1592" spans="1:2" x14ac:dyDescent="0.25">
      <c r="A1592" s="6"/>
      <c r="B1592" s="6"/>
    </row>
    <row r="1593" spans="1:2" x14ac:dyDescent="0.25">
      <c r="A1593" s="6"/>
      <c r="B1593" s="6"/>
    </row>
    <row r="1594" spans="1:2" x14ac:dyDescent="0.25">
      <c r="A1594" s="6"/>
      <c r="B1594" s="6"/>
    </row>
    <row r="1595" spans="1:2" x14ac:dyDescent="0.25">
      <c r="A1595" s="6"/>
      <c r="B1595" s="6"/>
    </row>
    <row r="1596" spans="1:2" x14ac:dyDescent="0.25">
      <c r="A1596" s="6"/>
      <c r="B1596" s="6"/>
    </row>
    <row r="1597" spans="1:2" x14ac:dyDescent="0.25">
      <c r="A1597" s="6"/>
      <c r="B1597" s="6"/>
    </row>
    <row r="1598" spans="1:2" x14ac:dyDescent="0.25">
      <c r="A1598" s="6"/>
      <c r="B1598" s="6"/>
    </row>
    <row r="1599" spans="1:2" x14ac:dyDescent="0.25">
      <c r="A1599" s="6"/>
      <c r="B1599" s="6"/>
    </row>
    <row r="1600" spans="1:2" x14ac:dyDescent="0.25">
      <c r="A1600" s="6"/>
      <c r="B1600" s="6"/>
    </row>
    <row r="1601" spans="1:2" x14ac:dyDescent="0.25">
      <c r="A1601" s="6"/>
      <c r="B1601" s="6"/>
    </row>
    <row r="1602" spans="1:2" x14ac:dyDescent="0.25">
      <c r="A1602" s="6"/>
      <c r="B1602" s="6"/>
    </row>
    <row r="1603" spans="1:2" x14ac:dyDescent="0.25">
      <c r="A1603" s="6"/>
      <c r="B1603" s="6"/>
    </row>
    <row r="1604" spans="1:2" x14ac:dyDescent="0.25">
      <c r="A1604" s="6"/>
      <c r="B1604" s="6"/>
    </row>
    <row r="1605" spans="1:2" x14ac:dyDescent="0.25">
      <c r="A1605" s="6"/>
      <c r="B1605" s="6"/>
    </row>
    <row r="1606" spans="1:2" x14ac:dyDescent="0.25">
      <c r="A1606" s="6"/>
      <c r="B1606" s="6"/>
    </row>
    <row r="1607" spans="1:2" x14ac:dyDescent="0.25">
      <c r="A1607" s="6"/>
      <c r="B1607" s="6"/>
    </row>
    <row r="1608" spans="1:2" x14ac:dyDescent="0.25">
      <c r="A1608" s="6"/>
      <c r="B1608" s="6"/>
    </row>
    <row r="1609" spans="1:2" x14ac:dyDescent="0.25">
      <c r="A1609" s="6"/>
      <c r="B1609" s="6"/>
    </row>
    <row r="1610" spans="1:2" x14ac:dyDescent="0.25">
      <c r="A1610" s="6"/>
      <c r="B1610" s="6"/>
    </row>
    <row r="1611" spans="1:2" x14ac:dyDescent="0.25">
      <c r="A1611" s="6"/>
      <c r="B1611" s="6"/>
    </row>
    <row r="1612" spans="1:2" x14ac:dyDescent="0.25">
      <c r="A1612" s="6"/>
      <c r="B1612" s="6"/>
    </row>
    <row r="1613" spans="1:2" x14ac:dyDescent="0.25">
      <c r="A1613" s="6"/>
      <c r="B1613" s="6"/>
    </row>
    <row r="1614" spans="1:2" x14ac:dyDescent="0.25">
      <c r="A1614" s="6"/>
      <c r="B1614" s="6"/>
    </row>
    <row r="1615" spans="1:2" x14ac:dyDescent="0.25">
      <c r="A1615" s="6"/>
      <c r="B1615" s="6"/>
    </row>
    <row r="1616" spans="1:2" x14ac:dyDescent="0.25">
      <c r="A1616" s="6"/>
      <c r="B1616" s="6"/>
    </row>
    <row r="1617" spans="1:2" x14ac:dyDescent="0.25">
      <c r="A1617" s="6"/>
      <c r="B1617" s="6"/>
    </row>
    <row r="1618" spans="1:2" x14ac:dyDescent="0.25">
      <c r="A1618" s="6"/>
      <c r="B1618" s="6"/>
    </row>
    <row r="1619" spans="1:2" x14ac:dyDescent="0.25">
      <c r="A1619" s="6"/>
      <c r="B1619" s="6"/>
    </row>
    <row r="1620" spans="1:2" x14ac:dyDescent="0.25">
      <c r="A1620" s="6"/>
      <c r="B1620" s="6"/>
    </row>
    <row r="1621" spans="1:2" x14ac:dyDescent="0.25">
      <c r="A1621" s="6"/>
      <c r="B1621" s="6"/>
    </row>
    <row r="1622" spans="1:2" x14ac:dyDescent="0.25">
      <c r="A1622" s="6"/>
      <c r="B1622" s="6"/>
    </row>
    <row r="1623" spans="1:2" x14ac:dyDescent="0.25">
      <c r="A1623" s="6"/>
      <c r="B1623" s="6"/>
    </row>
    <row r="1624" spans="1:2" x14ac:dyDescent="0.25">
      <c r="A1624" s="6"/>
      <c r="B1624" s="6"/>
    </row>
    <row r="1625" spans="1:2" x14ac:dyDescent="0.25">
      <c r="A1625" s="6"/>
      <c r="B1625" s="6"/>
    </row>
    <row r="1626" spans="1:2" x14ac:dyDescent="0.25">
      <c r="A1626" s="6"/>
      <c r="B1626" s="6"/>
    </row>
    <row r="1627" spans="1:2" x14ac:dyDescent="0.25">
      <c r="A1627" s="6"/>
      <c r="B1627" s="6"/>
    </row>
    <row r="1628" spans="1:2" x14ac:dyDescent="0.25">
      <c r="A1628" s="6"/>
      <c r="B1628" s="6"/>
    </row>
    <row r="1629" spans="1:2" x14ac:dyDescent="0.25">
      <c r="A1629" s="6"/>
      <c r="B1629" s="6"/>
    </row>
    <row r="1630" spans="1:2" x14ac:dyDescent="0.25">
      <c r="A1630" s="6"/>
      <c r="B1630" s="6"/>
    </row>
    <row r="1631" spans="1:2" x14ac:dyDescent="0.25">
      <c r="A1631" s="6"/>
      <c r="B1631" s="6"/>
    </row>
    <row r="1632" spans="1:2" x14ac:dyDescent="0.25">
      <c r="A1632" s="6"/>
      <c r="B1632" s="6"/>
    </row>
    <row r="1633" spans="1:2" x14ac:dyDescent="0.25">
      <c r="A1633" s="6"/>
      <c r="B1633" s="6"/>
    </row>
    <row r="1634" spans="1:2" x14ac:dyDescent="0.25">
      <c r="A1634" s="6"/>
      <c r="B1634" s="6"/>
    </row>
    <row r="1635" spans="1:2" x14ac:dyDescent="0.25">
      <c r="A1635" s="6"/>
      <c r="B1635" s="6"/>
    </row>
    <row r="1636" spans="1:2" x14ac:dyDescent="0.25">
      <c r="A1636" s="6"/>
      <c r="B1636" s="6"/>
    </row>
    <row r="1637" spans="1:2" x14ac:dyDescent="0.25">
      <c r="A1637" s="6"/>
      <c r="B1637" s="6"/>
    </row>
    <row r="1638" spans="1:2" x14ac:dyDescent="0.25">
      <c r="A1638" s="6"/>
      <c r="B1638" s="6"/>
    </row>
    <row r="1639" spans="1:2" x14ac:dyDescent="0.25">
      <c r="A1639" s="6"/>
      <c r="B1639" s="6"/>
    </row>
    <row r="1640" spans="1:2" x14ac:dyDescent="0.25">
      <c r="A1640" s="6"/>
      <c r="B1640" s="6"/>
    </row>
    <row r="1641" spans="1:2" x14ac:dyDescent="0.25">
      <c r="A1641" s="6"/>
      <c r="B1641" s="6"/>
    </row>
    <row r="1642" spans="1:2" x14ac:dyDescent="0.25">
      <c r="A1642" s="6"/>
      <c r="B1642" s="6"/>
    </row>
    <row r="1643" spans="1:2" x14ac:dyDescent="0.25">
      <c r="A1643" s="6"/>
      <c r="B1643" s="6"/>
    </row>
    <row r="1644" spans="1:2" x14ac:dyDescent="0.25">
      <c r="A1644" s="6"/>
      <c r="B1644" s="6"/>
    </row>
    <row r="1645" spans="1:2" x14ac:dyDescent="0.25">
      <c r="A1645" s="6"/>
      <c r="B1645" s="6"/>
    </row>
    <row r="1646" spans="1:2" x14ac:dyDescent="0.25">
      <c r="A1646" s="6"/>
      <c r="B1646" s="6"/>
    </row>
    <row r="1647" spans="1:2" x14ac:dyDescent="0.25">
      <c r="A1647" s="6"/>
      <c r="B1647" s="6"/>
    </row>
    <row r="1648" spans="1:2" x14ac:dyDescent="0.25">
      <c r="A1648" s="6"/>
      <c r="B1648" s="6"/>
    </row>
    <row r="1649" spans="1:2" x14ac:dyDescent="0.25">
      <c r="A1649" s="6"/>
      <c r="B1649" s="6"/>
    </row>
    <row r="1650" spans="1:2" x14ac:dyDescent="0.25">
      <c r="A1650" s="6"/>
      <c r="B1650" s="6"/>
    </row>
    <row r="1651" spans="1:2" x14ac:dyDescent="0.25">
      <c r="A1651" s="6"/>
      <c r="B1651" s="6"/>
    </row>
    <row r="1652" spans="1:2" x14ac:dyDescent="0.25">
      <c r="A1652" s="6"/>
      <c r="B1652" s="6"/>
    </row>
    <row r="1653" spans="1:2" x14ac:dyDescent="0.25">
      <c r="A1653" s="6"/>
      <c r="B1653" s="6"/>
    </row>
    <row r="1654" spans="1:2" x14ac:dyDescent="0.25">
      <c r="A1654" s="6"/>
      <c r="B1654" s="6"/>
    </row>
    <row r="1655" spans="1:2" x14ac:dyDescent="0.25">
      <c r="A1655" s="6"/>
      <c r="B1655" s="6"/>
    </row>
    <row r="1656" spans="1:2" x14ac:dyDescent="0.25">
      <c r="A1656" s="6"/>
      <c r="B1656" s="6"/>
    </row>
    <row r="1657" spans="1:2" x14ac:dyDescent="0.25">
      <c r="A1657" s="6"/>
      <c r="B1657" s="6"/>
    </row>
    <row r="1658" spans="1:2" x14ac:dyDescent="0.25">
      <c r="A1658" s="6"/>
      <c r="B1658" s="6"/>
    </row>
    <row r="1659" spans="1:2" x14ac:dyDescent="0.25">
      <c r="A1659" s="6"/>
      <c r="B1659" s="6"/>
    </row>
    <row r="1660" spans="1:2" x14ac:dyDescent="0.25">
      <c r="A1660" s="6"/>
      <c r="B1660" s="6"/>
    </row>
    <row r="1661" spans="1:2" x14ac:dyDescent="0.25">
      <c r="A1661" s="6"/>
      <c r="B1661" s="6"/>
    </row>
    <row r="1662" spans="1:2" x14ac:dyDescent="0.25">
      <c r="A1662" s="6"/>
      <c r="B1662" s="6"/>
    </row>
    <row r="1663" spans="1:2" x14ac:dyDescent="0.25">
      <c r="A1663" s="6"/>
      <c r="B1663" s="6"/>
    </row>
    <row r="1664" spans="1:2" x14ac:dyDescent="0.25">
      <c r="A1664" s="6"/>
      <c r="B1664" s="6"/>
    </row>
    <row r="1665" spans="1:2" x14ac:dyDescent="0.25">
      <c r="A1665" s="6"/>
      <c r="B1665" s="6"/>
    </row>
    <row r="1666" spans="1:2" x14ac:dyDescent="0.25">
      <c r="A1666" s="6"/>
      <c r="B1666" s="6"/>
    </row>
    <row r="1667" spans="1:2" x14ac:dyDescent="0.25">
      <c r="A1667" s="6"/>
      <c r="B1667" s="6"/>
    </row>
    <row r="1668" spans="1:2" x14ac:dyDescent="0.25">
      <c r="A1668" s="6"/>
      <c r="B1668" s="6"/>
    </row>
    <row r="1669" spans="1:2" x14ac:dyDescent="0.25">
      <c r="A1669" s="6"/>
      <c r="B1669" s="6"/>
    </row>
    <row r="1670" spans="1:2" x14ac:dyDescent="0.25">
      <c r="A1670" s="6"/>
      <c r="B1670" s="6"/>
    </row>
    <row r="1671" spans="1:2" x14ac:dyDescent="0.25">
      <c r="A1671" s="6"/>
      <c r="B1671" s="6"/>
    </row>
    <row r="1672" spans="1:2" x14ac:dyDescent="0.25">
      <c r="A1672" s="6"/>
      <c r="B1672" s="6"/>
    </row>
    <row r="1673" spans="1:2" x14ac:dyDescent="0.25">
      <c r="A1673" s="6"/>
      <c r="B1673" s="6"/>
    </row>
    <row r="1674" spans="1:2" x14ac:dyDescent="0.25">
      <c r="A1674" s="6"/>
      <c r="B1674" s="6"/>
    </row>
    <row r="1675" spans="1:2" x14ac:dyDescent="0.25">
      <c r="A1675" s="6"/>
      <c r="B1675" s="6"/>
    </row>
    <row r="1676" spans="1:2" x14ac:dyDescent="0.25">
      <c r="A1676" s="6"/>
      <c r="B1676" s="6"/>
    </row>
    <row r="1677" spans="1:2" x14ac:dyDescent="0.25">
      <c r="A1677" s="6"/>
      <c r="B1677" s="6"/>
    </row>
    <row r="1678" spans="1:2" x14ac:dyDescent="0.25">
      <c r="A1678" s="6"/>
      <c r="B1678" s="6"/>
    </row>
    <row r="1679" spans="1:2" x14ac:dyDescent="0.25">
      <c r="A1679" s="6"/>
      <c r="B1679" s="6"/>
    </row>
    <row r="1680" spans="1:2" x14ac:dyDescent="0.25">
      <c r="A1680" s="6"/>
      <c r="B1680" s="6"/>
    </row>
    <row r="1681" spans="1:2" x14ac:dyDescent="0.25">
      <c r="A1681" s="6"/>
      <c r="B1681" s="6"/>
    </row>
    <row r="1682" spans="1:2" x14ac:dyDescent="0.25">
      <c r="A1682" s="6"/>
      <c r="B1682" s="6"/>
    </row>
    <row r="1683" spans="1:2" x14ac:dyDescent="0.25">
      <c r="A1683" s="6"/>
      <c r="B1683" s="6"/>
    </row>
    <row r="1684" spans="1:2" x14ac:dyDescent="0.25">
      <c r="A1684" s="6"/>
      <c r="B1684" s="6"/>
    </row>
    <row r="1685" spans="1:2" x14ac:dyDescent="0.25">
      <c r="A1685" s="6"/>
      <c r="B1685" s="6"/>
    </row>
    <row r="1686" spans="1:2" x14ac:dyDescent="0.25">
      <c r="A1686" s="6"/>
      <c r="B1686" s="6"/>
    </row>
    <row r="1687" spans="1:2" x14ac:dyDescent="0.25">
      <c r="A1687" s="6"/>
      <c r="B1687" s="6"/>
    </row>
    <row r="1688" spans="1:2" x14ac:dyDescent="0.25">
      <c r="A1688" s="6"/>
      <c r="B1688" s="6"/>
    </row>
    <row r="1689" spans="1:2" x14ac:dyDescent="0.25">
      <c r="A1689" s="6"/>
      <c r="B1689" s="6"/>
    </row>
    <row r="1690" spans="1:2" x14ac:dyDescent="0.25">
      <c r="A1690" s="6"/>
      <c r="B1690" s="6"/>
    </row>
    <row r="1691" spans="1:2" x14ac:dyDescent="0.25">
      <c r="A1691" s="6"/>
      <c r="B1691" s="6"/>
    </row>
    <row r="1692" spans="1:2" x14ac:dyDescent="0.25">
      <c r="A1692" s="6"/>
      <c r="B1692" s="6"/>
    </row>
    <row r="1693" spans="1:2" x14ac:dyDescent="0.25">
      <c r="A1693" s="6"/>
      <c r="B1693" s="6"/>
    </row>
    <row r="1694" spans="1:2" x14ac:dyDescent="0.25">
      <c r="A1694" s="6"/>
      <c r="B1694" s="6"/>
    </row>
    <row r="1695" spans="1:2" x14ac:dyDescent="0.25">
      <c r="A1695" s="6"/>
      <c r="B1695" s="6"/>
    </row>
    <row r="1696" spans="1:2" x14ac:dyDescent="0.25">
      <c r="A1696" s="6"/>
      <c r="B1696" s="6"/>
    </row>
    <row r="1697" spans="1:2" x14ac:dyDescent="0.25">
      <c r="A1697" s="6"/>
      <c r="B1697" s="6"/>
    </row>
    <row r="1698" spans="1:2" x14ac:dyDescent="0.25">
      <c r="A1698" s="6"/>
      <c r="B1698" s="6"/>
    </row>
    <row r="1699" spans="1:2" x14ac:dyDescent="0.25">
      <c r="A1699" s="6"/>
      <c r="B1699" s="6"/>
    </row>
    <row r="1700" spans="1:2" x14ac:dyDescent="0.25">
      <c r="A1700" s="6"/>
      <c r="B1700" s="6"/>
    </row>
    <row r="1701" spans="1:2" x14ac:dyDescent="0.25">
      <c r="A1701" s="6"/>
      <c r="B1701" s="6"/>
    </row>
    <row r="1702" spans="1:2" x14ac:dyDescent="0.25">
      <c r="A1702" s="6"/>
      <c r="B1702" s="6"/>
    </row>
    <row r="1703" spans="1:2" x14ac:dyDescent="0.25">
      <c r="A1703" s="6"/>
      <c r="B1703" s="6"/>
    </row>
    <row r="1704" spans="1:2" x14ac:dyDescent="0.25">
      <c r="A1704" s="6"/>
      <c r="B1704" s="6"/>
    </row>
    <row r="1705" spans="1:2" x14ac:dyDescent="0.25">
      <c r="A1705" s="6"/>
      <c r="B1705" s="6"/>
    </row>
    <row r="1706" spans="1:2" x14ac:dyDescent="0.25">
      <c r="A1706" s="6"/>
      <c r="B1706" s="6"/>
    </row>
    <row r="1707" spans="1:2" x14ac:dyDescent="0.25">
      <c r="A1707" s="6"/>
      <c r="B1707" s="6"/>
    </row>
    <row r="1708" spans="1:2" x14ac:dyDescent="0.25">
      <c r="A1708" s="6"/>
      <c r="B1708" s="6"/>
    </row>
    <row r="1709" spans="1:2" x14ac:dyDescent="0.25">
      <c r="A1709" s="6"/>
      <c r="B1709" s="6"/>
    </row>
    <row r="1710" spans="1:2" x14ac:dyDescent="0.25">
      <c r="A1710" s="6"/>
      <c r="B1710" s="6"/>
    </row>
    <row r="1711" spans="1:2" x14ac:dyDescent="0.25">
      <c r="A1711" s="6"/>
      <c r="B1711" s="6"/>
    </row>
    <row r="1712" spans="1:2" x14ac:dyDescent="0.25">
      <c r="A1712" s="6"/>
      <c r="B1712" s="6"/>
    </row>
    <row r="1713" spans="1:2" x14ac:dyDescent="0.25">
      <c r="A1713" s="6"/>
      <c r="B1713" s="6"/>
    </row>
    <row r="1714" spans="1:2" x14ac:dyDescent="0.25">
      <c r="A1714" s="6"/>
      <c r="B1714" s="6"/>
    </row>
    <row r="1715" spans="1:2" x14ac:dyDescent="0.25">
      <c r="A1715" s="6"/>
      <c r="B1715" s="6"/>
    </row>
    <row r="1716" spans="1:2" x14ac:dyDescent="0.25">
      <c r="A1716" s="6"/>
      <c r="B1716" s="6"/>
    </row>
    <row r="1717" spans="1:2" x14ac:dyDescent="0.25">
      <c r="A1717" s="6"/>
      <c r="B1717" s="6"/>
    </row>
    <row r="1718" spans="1:2" x14ac:dyDescent="0.25">
      <c r="A1718" s="6"/>
      <c r="B1718" s="6"/>
    </row>
    <row r="1719" spans="1:2" x14ac:dyDescent="0.25">
      <c r="A1719" s="6"/>
      <c r="B1719" s="6"/>
    </row>
    <row r="1720" spans="1:2" x14ac:dyDescent="0.25">
      <c r="A1720" s="6"/>
      <c r="B1720" s="6"/>
    </row>
    <row r="1721" spans="1:2" x14ac:dyDescent="0.25">
      <c r="A1721" s="6"/>
      <c r="B1721" s="6"/>
    </row>
    <row r="1722" spans="1:2" x14ac:dyDescent="0.25">
      <c r="A1722" s="6"/>
      <c r="B1722" s="6"/>
    </row>
    <row r="1723" spans="1:2" x14ac:dyDescent="0.25">
      <c r="A1723" s="6"/>
      <c r="B1723" s="6"/>
    </row>
    <row r="1724" spans="1:2" x14ac:dyDescent="0.25">
      <c r="A1724" s="6"/>
      <c r="B1724" s="6"/>
    </row>
    <row r="1725" spans="1:2" x14ac:dyDescent="0.25">
      <c r="A1725" s="6"/>
      <c r="B1725" s="6"/>
    </row>
    <row r="1726" spans="1:2" x14ac:dyDescent="0.25">
      <c r="A1726" s="6"/>
      <c r="B1726" s="6"/>
    </row>
    <row r="1727" spans="1:2" x14ac:dyDescent="0.25">
      <c r="A1727" s="6"/>
      <c r="B1727" s="6"/>
    </row>
    <row r="1728" spans="1:2" x14ac:dyDescent="0.25">
      <c r="A1728" s="6"/>
      <c r="B1728" s="6"/>
    </row>
    <row r="1729" spans="1:2" x14ac:dyDescent="0.25">
      <c r="A1729" s="6"/>
      <c r="B1729" s="6"/>
    </row>
    <row r="1730" spans="1:2" x14ac:dyDescent="0.25">
      <c r="A1730" s="6"/>
      <c r="B1730" s="6"/>
    </row>
    <row r="1731" spans="1:2" x14ac:dyDescent="0.25">
      <c r="A1731" s="6"/>
      <c r="B1731" s="6"/>
    </row>
    <row r="1732" spans="1:2" x14ac:dyDescent="0.25">
      <c r="A1732" s="6"/>
      <c r="B1732" s="6"/>
    </row>
    <row r="1733" spans="1:2" x14ac:dyDescent="0.25">
      <c r="A1733" s="6"/>
      <c r="B1733" s="6"/>
    </row>
    <row r="1734" spans="1:2" x14ac:dyDescent="0.25">
      <c r="A1734" s="6"/>
      <c r="B1734" s="6"/>
    </row>
    <row r="1735" spans="1:2" x14ac:dyDescent="0.25">
      <c r="A1735" s="6"/>
      <c r="B1735" s="6"/>
    </row>
    <row r="1736" spans="1:2" x14ac:dyDescent="0.25">
      <c r="A1736" s="6"/>
      <c r="B1736" s="6"/>
    </row>
    <row r="1737" spans="1:2" x14ac:dyDescent="0.25">
      <c r="A1737" s="6"/>
      <c r="B1737" s="6"/>
    </row>
    <row r="1738" spans="1:2" x14ac:dyDescent="0.25">
      <c r="A1738" s="6"/>
      <c r="B1738" s="6"/>
    </row>
    <row r="1739" spans="1:2" x14ac:dyDescent="0.25">
      <c r="A1739" s="6"/>
      <c r="B1739" s="6"/>
    </row>
    <row r="1740" spans="1:2" x14ac:dyDescent="0.25">
      <c r="A1740" s="6"/>
      <c r="B1740" s="6"/>
    </row>
    <row r="1741" spans="1:2" x14ac:dyDescent="0.25">
      <c r="A1741" s="6"/>
      <c r="B1741" s="6"/>
    </row>
    <row r="1742" spans="1:2" x14ac:dyDescent="0.25">
      <c r="A1742" s="6"/>
      <c r="B1742" s="6"/>
    </row>
    <row r="1743" spans="1:2" x14ac:dyDescent="0.25">
      <c r="A1743" s="6"/>
      <c r="B1743" s="6"/>
    </row>
    <row r="1744" spans="1:2" x14ac:dyDescent="0.25">
      <c r="A1744" s="6"/>
      <c r="B1744" s="6"/>
    </row>
    <row r="1745" spans="1:2" x14ac:dyDescent="0.25">
      <c r="A1745" s="6"/>
      <c r="B1745" s="6"/>
    </row>
    <row r="1746" spans="1:2" x14ac:dyDescent="0.25">
      <c r="A1746" s="6"/>
      <c r="B1746" s="6"/>
    </row>
    <row r="1747" spans="1:2" x14ac:dyDescent="0.25">
      <c r="A1747" s="6"/>
      <c r="B1747" s="6"/>
    </row>
    <row r="1748" spans="1:2" x14ac:dyDescent="0.25">
      <c r="A1748" s="6"/>
      <c r="B1748" s="6"/>
    </row>
    <row r="1749" spans="1:2" x14ac:dyDescent="0.25">
      <c r="A1749" s="6"/>
      <c r="B1749" s="6"/>
    </row>
    <row r="1750" spans="1:2" x14ac:dyDescent="0.25">
      <c r="A1750" s="6"/>
      <c r="B1750" s="6"/>
    </row>
    <row r="1751" spans="1:2" x14ac:dyDescent="0.25">
      <c r="A1751" s="6"/>
      <c r="B1751" s="6"/>
    </row>
    <row r="1752" spans="1:2" x14ac:dyDescent="0.25">
      <c r="A1752" s="6"/>
      <c r="B1752" s="6"/>
    </row>
    <row r="1753" spans="1:2" x14ac:dyDescent="0.25">
      <c r="A1753" s="6"/>
      <c r="B1753" s="6"/>
    </row>
    <row r="1754" spans="1:2" x14ac:dyDescent="0.25">
      <c r="A1754" s="6"/>
      <c r="B1754" s="6"/>
    </row>
    <row r="1755" spans="1:2" x14ac:dyDescent="0.25">
      <c r="A1755" s="6"/>
      <c r="B1755" s="6"/>
    </row>
    <row r="1756" spans="1:2" x14ac:dyDescent="0.25">
      <c r="A1756" s="6"/>
      <c r="B1756" s="6"/>
    </row>
    <row r="1757" spans="1:2" x14ac:dyDescent="0.25">
      <c r="A1757" s="6"/>
      <c r="B1757" s="6"/>
    </row>
    <row r="1758" spans="1:2" x14ac:dyDescent="0.25">
      <c r="A1758" s="6"/>
      <c r="B1758" s="6"/>
    </row>
    <row r="1759" spans="1:2" x14ac:dyDescent="0.25">
      <c r="A1759" s="6"/>
      <c r="B1759" s="6"/>
    </row>
    <row r="1760" spans="1:2" x14ac:dyDescent="0.25">
      <c r="A1760" s="6"/>
      <c r="B1760" s="6"/>
    </row>
    <row r="1761" spans="1:2" x14ac:dyDescent="0.25">
      <c r="A1761" s="6"/>
      <c r="B1761" s="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39C9B-4F34-405F-BB37-2F7D6CE64C25}">
  <sheetPr codeName="Feuil1"/>
  <dimension ref="A1:FE1221"/>
  <sheetViews>
    <sheetView showGridLines="0" tabSelected="1" zoomScaleNormal="100" workbookViewId="0">
      <pane ySplit="11" topLeftCell="A12" activePane="bottomLeft" state="frozen"/>
      <selection pane="bottomLeft" activeCell="AT18" sqref="AT18"/>
    </sheetView>
  </sheetViews>
  <sheetFormatPr baseColWidth="10" defaultRowHeight="15" x14ac:dyDescent="0.25"/>
  <cols>
    <col min="1" max="1" width="11.140625" customWidth="1"/>
    <col min="2" max="2" width="23.42578125" bestFit="1" customWidth="1"/>
    <col min="3" max="3" width="14.7109375" bestFit="1" customWidth="1"/>
    <col min="4" max="4" width="17" bestFit="1" customWidth="1"/>
    <col min="5" max="5" width="22.7109375" customWidth="1"/>
    <col min="6" max="6" width="14.42578125" bestFit="1" customWidth="1"/>
    <col min="7" max="7" width="23.28515625" customWidth="1"/>
    <col min="8" max="8" width="17.7109375" bestFit="1" customWidth="1"/>
    <col min="9" max="9" width="17.28515625" bestFit="1" customWidth="1"/>
    <col min="10" max="10" width="24.140625" bestFit="1" customWidth="1"/>
    <col min="11" max="11" width="18" bestFit="1" customWidth="1"/>
    <col min="12" max="12" width="12" bestFit="1" customWidth="1"/>
    <col min="13" max="13" width="24.85546875" bestFit="1" customWidth="1"/>
    <col min="14" max="14" width="21.28515625" bestFit="1" customWidth="1"/>
    <col min="15" max="15" width="28.7109375" bestFit="1" customWidth="1"/>
    <col min="16" max="16" width="18.28515625" customWidth="1"/>
    <col min="17" max="17" width="14.5703125" bestFit="1" customWidth="1"/>
    <col min="18" max="18" width="13.85546875" bestFit="1" customWidth="1"/>
    <col min="19" max="19" width="15.140625" customWidth="1"/>
    <col min="20" max="20" width="16.85546875" customWidth="1"/>
    <col min="21" max="21" width="16.28515625" bestFit="1" customWidth="1"/>
    <col min="22" max="22" width="17.140625" customWidth="1"/>
    <col min="23" max="23" width="14.85546875" bestFit="1" customWidth="1"/>
    <col min="24" max="24" width="14.5703125" bestFit="1" customWidth="1"/>
    <col min="25" max="27" width="16.140625" bestFit="1" customWidth="1"/>
    <col min="28" max="28" width="14.5703125" bestFit="1" customWidth="1"/>
    <col min="29" max="29" width="16.28515625" bestFit="1" customWidth="1"/>
    <col min="30" max="30" width="14.5703125" bestFit="1" customWidth="1"/>
    <col min="31" max="31" width="16.7109375" bestFit="1" customWidth="1"/>
    <col min="32" max="32" width="18.7109375" bestFit="1" customWidth="1"/>
    <col min="33" max="33" width="16.7109375" bestFit="1" customWidth="1"/>
    <col min="34" max="34" width="16.5703125" customWidth="1"/>
    <col min="35" max="35" width="17.7109375" bestFit="1" customWidth="1"/>
    <col min="36" max="36" width="15.5703125" customWidth="1"/>
    <col min="37" max="37" width="15.7109375" bestFit="1" customWidth="1"/>
    <col min="38" max="38" width="20.5703125" customWidth="1"/>
    <col min="39" max="39" width="19.42578125" customWidth="1"/>
    <col min="40" max="40" width="19.5703125" customWidth="1"/>
    <col min="41" max="41" width="15.42578125" customWidth="1"/>
    <col min="42" max="42" width="19.42578125" customWidth="1"/>
    <col min="43" max="43" width="14.5703125" bestFit="1" customWidth="1"/>
    <col min="44" max="45" width="13.42578125" bestFit="1" customWidth="1"/>
    <col min="46" max="46" width="19.7109375" bestFit="1" customWidth="1"/>
    <col min="47" max="47" width="13.5703125" bestFit="1" customWidth="1"/>
    <col min="48" max="48" width="20" bestFit="1" customWidth="1"/>
    <col min="49" max="49" width="19.140625" bestFit="1" customWidth="1"/>
    <col min="50" max="50" width="15.140625" customWidth="1"/>
    <col min="51" max="51" width="18.42578125" bestFit="1" customWidth="1"/>
    <col min="52" max="52" width="15.42578125" bestFit="1" customWidth="1"/>
    <col min="53" max="57" width="14.140625" customWidth="1"/>
    <col min="58" max="58" width="15.42578125" bestFit="1" customWidth="1"/>
    <col min="59" max="63" width="14.140625" customWidth="1"/>
    <col min="67" max="67" width="20" bestFit="1" customWidth="1"/>
    <col min="68" max="68" width="12.7109375" bestFit="1" customWidth="1"/>
    <col min="69" max="69" width="15.85546875" bestFit="1" customWidth="1"/>
    <col min="70" max="71" width="15" customWidth="1"/>
    <col min="72" max="72" width="13" bestFit="1" customWidth="1"/>
    <col min="73" max="73" width="19" style="94" bestFit="1" customWidth="1"/>
    <col min="76" max="76" width="15.42578125" customWidth="1"/>
    <col min="77" max="77" width="17.140625" customWidth="1"/>
    <col min="80" max="80" width="20.140625" bestFit="1" customWidth="1"/>
    <col min="81" max="83" width="15.7109375" customWidth="1"/>
    <col min="84" max="84" width="12.5703125" bestFit="1" customWidth="1"/>
    <col min="85" max="85" width="12" bestFit="1" customWidth="1"/>
    <col min="86" max="86" width="12" customWidth="1"/>
    <col min="87" max="87" width="14.7109375" bestFit="1" customWidth="1"/>
    <col min="88" max="88" width="15.28515625" customWidth="1"/>
    <col min="93" max="93" width="15.85546875" bestFit="1" customWidth="1"/>
    <col min="95" max="95" width="12" bestFit="1" customWidth="1"/>
    <col min="98" max="98" width="12.7109375" bestFit="1" customWidth="1"/>
    <col min="101" max="101" width="12" bestFit="1" customWidth="1"/>
    <col min="102" max="106" width="12.7109375" customWidth="1"/>
    <col min="107" max="107" width="13.28515625" bestFit="1" customWidth="1"/>
    <col min="108" max="111" width="12.7109375" customWidth="1"/>
    <col min="116" max="116" width="12" bestFit="1" customWidth="1"/>
    <col min="128" max="128" width="12.7109375" bestFit="1" customWidth="1"/>
    <col min="131" max="131" width="13.28515625" bestFit="1" customWidth="1"/>
    <col min="134" max="134" width="12" bestFit="1" customWidth="1"/>
    <col min="137" max="137" width="12.7109375" bestFit="1" customWidth="1"/>
    <col min="140" max="140" width="13.28515625" bestFit="1" customWidth="1"/>
    <col min="143" max="143" width="12.7109375" bestFit="1" customWidth="1"/>
    <col min="152" max="152" width="12.7109375" bestFit="1" customWidth="1"/>
    <col min="160" max="161" width="11.42578125" style="89"/>
    <col min="164" max="164" width="13.28515625" bestFit="1" customWidth="1"/>
  </cols>
  <sheetData>
    <row r="1" spans="1:161" s="3" customFormat="1" ht="12.7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166</v>
      </c>
      <c r="AJ1" s="2" t="s">
        <v>35</v>
      </c>
      <c r="AK1" s="2" t="s">
        <v>142</v>
      </c>
      <c r="AL1" s="2" t="s">
        <v>206</v>
      </c>
      <c r="AM1" s="2" t="s">
        <v>259</v>
      </c>
      <c r="BU1" s="116"/>
      <c r="DT1" s="3" t="s">
        <v>241</v>
      </c>
      <c r="FD1" s="125"/>
      <c r="FE1" s="125"/>
    </row>
    <row r="2" spans="1:161" x14ac:dyDescent="0.25">
      <c r="B2" s="4">
        <v>2566801</v>
      </c>
      <c r="C2">
        <v>52</v>
      </c>
      <c r="D2">
        <v>0</v>
      </c>
      <c r="E2">
        <v>0</v>
      </c>
      <c r="F2">
        <v>0</v>
      </c>
      <c r="G2">
        <v>12</v>
      </c>
      <c r="H2">
        <v>1</v>
      </c>
      <c r="I2">
        <v>0</v>
      </c>
      <c r="J2">
        <v>0</v>
      </c>
      <c r="K2">
        <v>0</v>
      </c>
      <c r="L2">
        <v>27.5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27.5</v>
      </c>
      <c r="T2">
        <v>99</v>
      </c>
      <c r="U2">
        <v>12</v>
      </c>
      <c r="V2">
        <v>0</v>
      </c>
      <c r="W2">
        <v>288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 t="s">
        <v>36</v>
      </c>
      <c r="AH2">
        <v>5</v>
      </c>
      <c r="AI2">
        <v>5000</v>
      </c>
      <c r="AJ2">
        <v>1188</v>
      </c>
      <c r="AK2">
        <v>147.1</v>
      </c>
      <c r="AL2">
        <v>0</v>
      </c>
      <c r="AM2">
        <v>0</v>
      </c>
      <c r="AN2" t="s">
        <v>36</v>
      </c>
    </row>
    <row r="3" spans="1:161" x14ac:dyDescent="0.25">
      <c r="M3" s="96" t="s">
        <v>180</v>
      </c>
      <c r="N3" s="86">
        <f>I4*$AI$2</f>
        <v>165.26140888648382</v>
      </c>
      <c r="U3">
        <f>U2</f>
        <v>12</v>
      </c>
      <c r="W3">
        <f>IF(OR(AM2=4,AM2=8,AM2=9),0,W2)</f>
        <v>288</v>
      </c>
    </row>
    <row r="4" spans="1:161" x14ac:dyDescent="0.25">
      <c r="B4" s="86" t="s">
        <v>98</v>
      </c>
      <c r="C4" s="138">
        <v>43465</v>
      </c>
      <c r="E4" s="96" t="s">
        <v>173</v>
      </c>
      <c r="F4" s="87">
        <v>4.0000000000000002E-4</v>
      </c>
      <c r="G4" s="91"/>
      <c r="H4" s="96" t="s">
        <v>180</v>
      </c>
      <c r="I4" s="86">
        <f>(VLOOKUP(C2,'Premiums Rate'!$A:$M,12+$AF$2,FALSE)/VLOOKUP('Cash flows par police'!C2,'Premiums Rate'!$A:$K,10+$AF$2,FALSE))</f>
        <v>3.3052281777296764E-2</v>
      </c>
      <c r="J4" s="96" t="s">
        <v>183</v>
      </c>
      <c r="K4" s="86">
        <f>VLOOKUP($C$2,'Premiums Rate'!$A:$M,12+'Cash flows par police'!$AF$2,FALSE)/VLOOKUP($C$2,'Premiums Rate'!$A:$I,8+'Cash flows par police'!$AF$2,FALSE)</f>
        <v>1</v>
      </c>
      <c r="M4" s="96" t="s">
        <v>175</v>
      </c>
      <c r="N4" s="86">
        <f>I5*$AI$2</f>
        <v>202.76140888648382</v>
      </c>
      <c r="P4" s="96" t="s">
        <v>217</v>
      </c>
      <c r="Q4" s="102">
        <f>IF($C$2&lt;53,0.25,IF($C$2&lt;70,0.45,0.9))/100</f>
        <v>2.5000000000000001E-3</v>
      </c>
      <c r="AN4" s="3" t="s">
        <v>210</v>
      </c>
      <c r="AO4" s="3" t="s">
        <v>211</v>
      </c>
      <c r="AP4" s="3" t="s">
        <v>266</v>
      </c>
      <c r="AQ4" s="3" t="s">
        <v>267</v>
      </c>
      <c r="AR4" s="3" t="s">
        <v>273</v>
      </c>
    </row>
    <row r="5" spans="1:161" x14ac:dyDescent="0.25">
      <c r="B5" s="86" t="s">
        <v>192</v>
      </c>
      <c r="C5" s="86">
        <v>9999</v>
      </c>
      <c r="E5" s="96" t="s">
        <v>174</v>
      </c>
      <c r="F5" s="87">
        <f>IF(C2&lt;=42,0.0047,IF(C2&lt;=52,0.0071,IF(C2&lt;=60,0.0125,IF(C2&lt;=65,0.0158,IF(C2&lt;=70,0.0185,IF(C2&lt;=75,0.0283,0.0369))))))</f>
        <v>7.1000000000000004E-3</v>
      </c>
      <c r="H5" s="96" t="s">
        <v>175</v>
      </c>
      <c r="I5" s="86">
        <f>K5*VLOOKUP(C2,'Premiums Rate'!$A:$I,8+'Cash flows par police'!$AF$2,FALSE)/VLOOKUP(C2,'Premiums Rate'!$A:$K,10+'Cash flows par police'!$AF$2,FALSE)</f>
        <v>4.0552281777296764E-2</v>
      </c>
      <c r="J5" s="96" t="s">
        <v>182</v>
      </c>
      <c r="K5" s="86">
        <f>((VLOOKUP($C$2,'Premiums Rate'!$A:$M,12+'Cash flows par police'!$AF$2,FALSE)+($F$4+$F$5)*VLOOKUP($C$2,'Premiums Rate'!$A:$K,10+'Cash flows par police'!$AF$2,FALSE))/VLOOKUP($C$2,'Premiums Rate'!$A:$I,8+'Cash flows par police'!$AF$2,FALSE))</f>
        <v>1.226913229486978</v>
      </c>
      <c r="M5" s="96" t="s">
        <v>185</v>
      </c>
      <c r="N5" s="86">
        <f>I6*$AI$2</f>
        <v>247.27001083717542</v>
      </c>
      <c r="O5" s="115"/>
      <c r="P5" s="96" t="s">
        <v>218</v>
      </c>
      <c r="Q5" s="103">
        <f>IF($C$2&lt;53,0.35,IF($C$2&lt;70,0.55,1.2))/100</f>
        <v>3.4999999999999996E-3</v>
      </c>
      <c r="AN5">
        <f>W2/U2</f>
        <v>24</v>
      </c>
      <c r="AO5">
        <f>AN5*'Real assumptions'!$D$28</f>
        <v>6</v>
      </c>
      <c r="AP5">
        <f>IF(C2&lt;53,0.35,IF(C2&lt;70,0.55,1.2))</f>
        <v>0.35</v>
      </c>
      <c r="AQ5">
        <f>IF(C2&lt;53,0.25,IF(C2&lt;70,0.45,0.9))</f>
        <v>0.25</v>
      </c>
      <c r="AR5">
        <f>$W$3/$U$2</f>
        <v>24</v>
      </c>
    </row>
    <row r="6" spans="1:161" x14ac:dyDescent="0.25">
      <c r="B6" s="86" t="s">
        <v>219</v>
      </c>
      <c r="C6" s="119">
        <v>0.05</v>
      </c>
      <c r="E6" s="96" t="s">
        <v>176</v>
      </c>
      <c r="F6" s="87">
        <v>0.13</v>
      </c>
      <c r="H6" s="96" t="s">
        <v>178</v>
      </c>
      <c r="I6" s="86">
        <f>I5/(1-$F$6-$F$7)</f>
        <v>4.9454002167435084E-2</v>
      </c>
      <c r="J6" s="96" t="s">
        <v>184</v>
      </c>
      <c r="K6" s="86">
        <f>K5/(1-F6-F7)</f>
        <v>1.496235645715827</v>
      </c>
      <c r="M6" s="96" t="s">
        <v>183</v>
      </c>
      <c r="N6" s="86">
        <f>K4*$AI$2</f>
        <v>5000</v>
      </c>
      <c r="BU6"/>
      <c r="FD6"/>
      <c r="FE6"/>
    </row>
    <row r="7" spans="1:161" x14ac:dyDescent="0.25">
      <c r="B7" s="86" t="s">
        <v>239</v>
      </c>
      <c r="C7" s="139">
        <v>85</v>
      </c>
      <c r="E7" s="96" t="s">
        <v>177</v>
      </c>
      <c r="F7" s="87">
        <v>0.05</v>
      </c>
      <c r="H7" s="96" t="s">
        <v>179</v>
      </c>
      <c r="I7" s="86">
        <f>VLOOKUP(C2,'Premiums Rate'!$A:$K,10+'Cash flows par police'!$AF$2,FALSE)/VLOOKUP(C2,'Premiums Rate'!$A:$I,8+'Cash flows par police'!$AF$2,FALSE)</f>
        <v>30.255097264930395</v>
      </c>
      <c r="M7" s="96" t="s">
        <v>182</v>
      </c>
      <c r="N7" s="86">
        <f>K5*$AI$2</f>
        <v>6134.5661474348899</v>
      </c>
      <c r="BU7"/>
      <c r="FD7"/>
      <c r="FE7"/>
    </row>
    <row r="8" spans="1:161" x14ac:dyDescent="0.25">
      <c r="B8" s="86" t="s">
        <v>262</v>
      </c>
      <c r="C8" s="139">
        <v>36</v>
      </c>
      <c r="E8" s="96" t="s">
        <v>209</v>
      </c>
      <c r="F8" s="87">
        <f>SUM(F6:F7)</f>
        <v>0.18</v>
      </c>
      <c r="H8" s="96" t="s">
        <v>181</v>
      </c>
      <c r="I8" s="86">
        <f>I7*(I6-I4)</f>
        <v>0.49623564571582696</v>
      </c>
      <c r="M8" s="96" t="s">
        <v>184</v>
      </c>
      <c r="N8" s="86">
        <f>K6*$AI$2</f>
        <v>7481.1782285791351</v>
      </c>
      <c r="BU8"/>
      <c r="FD8"/>
      <c r="FE8"/>
    </row>
    <row r="9" spans="1:161" x14ac:dyDescent="0.25">
      <c r="M9" s="96" t="s">
        <v>181</v>
      </c>
      <c r="N9" s="86">
        <f>I8*AI2</f>
        <v>2481.1782285791346</v>
      </c>
      <c r="S9" s="98"/>
      <c r="T9" s="98"/>
      <c r="AB9" t="s">
        <v>271</v>
      </c>
      <c r="AF9" t="s">
        <v>240</v>
      </c>
      <c r="AH9" s="98" t="s">
        <v>189</v>
      </c>
      <c r="AJ9" s="98" t="s">
        <v>189</v>
      </c>
      <c r="AM9" s="98" t="s">
        <v>189</v>
      </c>
      <c r="AO9" s="98" t="s">
        <v>189</v>
      </c>
      <c r="BU9"/>
      <c r="FD9"/>
      <c r="FE9"/>
    </row>
    <row r="10" spans="1:161" x14ac:dyDescent="0.25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  <c r="K10">
        <v>11</v>
      </c>
      <c r="L10">
        <v>12</v>
      </c>
      <c r="M10">
        <v>13</v>
      </c>
      <c r="N10">
        <v>14</v>
      </c>
      <c r="O10">
        <v>15</v>
      </c>
      <c r="P10">
        <v>16</v>
      </c>
      <c r="Q10">
        <v>17</v>
      </c>
      <c r="R10">
        <v>18</v>
      </c>
      <c r="S10">
        <v>19</v>
      </c>
      <c r="T10">
        <v>20</v>
      </c>
      <c r="U10">
        <v>21</v>
      </c>
      <c r="V10">
        <v>22</v>
      </c>
      <c r="X10">
        <v>24</v>
      </c>
      <c r="Y10">
        <v>25</v>
      </c>
      <c r="Z10">
        <v>26</v>
      </c>
      <c r="AA10">
        <v>27</v>
      </c>
      <c r="AB10">
        <v>28</v>
      </c>
      <c r="AC10">
        <v>29</v>
      </c>
      <c r="AD10">
        <v>30</v>
      </c>
      <c r="AE10">
        <v>31</v>
      </c>
      <c r="AF10">
        <v>32</v>
      </c>
      <c r="AG10">
        <v>33</v>
      </c>
      <c r="AH10">
        <v>34</v>
      </c>
      <c r="AI10">
        <v>35</v>
      </c>
      <c r="AJ10">
        <v>36</v>
      </c>
      <c r="AK10">
        <v>37</v>
      </c>
      <c r="AL10">
        <v>38</v>
      </c>
      <c r="AM10">
        <v>39</v>
      </c>
      <c r="AN10">
        <v>40</v>
      </c>
      <c r="AO10">
        <v>41</v>
      </c>
      <c r="AP10">
        <v>42</v>
      </c>
      <c r="AQ10">
        <v>43</v>
      </c>
      <c r="AR10">
        <v>44</v>
      </c>
      <c r="AS10">
        <v>45</v>
      </c>
      <c r="AT10">
        <v>46</v>
      </c>
      <c r="AU10">
        <v>47</v>
      </c>
      <c r="AV10">
        <v>48</v>
      </c>
      <c r="AW10">
        <v>49</v>
      </c>
      <c r="AX10">
        <v>50</v>
      </c>
      <c r="AY10">
        <v>51</v>
      </c>
      <c r="AZ10">
        <v>52</v>
      </c>
      <c r="BA10">
        <v>53</v>
      </c>
      <c r="BU10"/>
      <c r="FD10"/>
      <c r="FE10"/>
    </row>
    <row r="11" spans="1:161" ht="15.75" thickBot="1" x14ac:dyDescent="0.3">
      <c r="A11" s="5" t="s">
        <v>84</v>
      </c>
      <c r="B11" s="5" t="s">
        <v>85</v>
      </c>
      <c r="C11" s="5" t="s">
        <v>86</v>
      </c>
      <c r="D11" s="5" t="s">
        <v>87</v>
      </c>
      <c r="E11" s="5" t="s">
        <v>88</v>
      </c>
      <c r="F11" s="5" t="s">
        <v>89</v>
      </c>
      <c r="G11" s="5" t="s">
        <v>90</v>
      </c>
      <c r="H11" s="5" t="s">
        <v>91</v>
      </c>
      <c r="I11" s="5" t="s">
        <v>92</v>
      </c>
      <c r="J11" s="5" t="s">
        <v>93</v>
      </c>
      <c r="K11" s="5" t="s">
        <v>94</v>
      </c>
      <c r="L11" s="5" t="s">
        <v>95</v>
      </c>
      <c r="M11" s="5" t="s">
        <v>96</v>
      </c>
      <c r="N11" s="5" t="s">
        <v>97</v>
      </c>
      <c r="O11" s="5" t="s">
        <v>141</v>
      </c>
      <c r="P11" s="136" t="s">
        <v>230</v>
      </c>
      <c r="Q11" s="136" t="s">
        <v>237</v>
      </c>
      <c r="R11" s="5" t="s">
        <v>207</v>
      </c>
      <c r="S11" s="5" t="s">
        <v>208</v>
      </c>
      <c r="T11" s="137"/>
      <c r="U11" s="136" t="s">
        <v>233</v>
      </c>
      <c r="V11" s="136" t="s">
        <v>238</v>
      </c>
      <c r="W11" s="78"/>
      <c r="X11" s="5" t="s">
        <v>260</v>
      </c>
      <c r="Y11" s="5" t="s">
        <v>261</v>
      </c>
      <c r="Z11" s="5" t="s">
        <v>212</v>
      </c>
      <c r="AA11" s="5" t="s">
        <v>213</v>
      </c>
      <c r="AB11" s="5" t="s">
        <v>214</v>
      </c>
      <c r="AC11" s="5" t="s">
        <v>215</v>
      </c>
      <c r="AD11" s="5" t="s">
        <v>216</v>
      </c>
      <c r="AE11" s="5" t="s">
        <v>265</v>
      </c>
      <c r="AF11" s="5" t="s">
        <v>234</v>
      </c>
      <c r="AG11" s="136" t="s">
        <v>235</v>
      </c>
      <c r="AH11" s="5" t="s">
        <v>220</v>
      </c>
      <c r="AI11" s="5" t="s">
        <v>228</v>
      </c>
      <c r="AJ11" s="5" t="s">
        <v>227</v>
      </c>
      <c r="AK11" s="5" t="s">
        <v>275</v>
      </c>
      <c r="AL11" s="5" t="s">
        <v>223</v>
      </c>
      <c r="AM11" s="5" t="s">
        <v>225</v>
      </c>
      <c r="AN11" s="5" t="s">
        <v>224</v>
      </c>
      <c r="AO11" s="5" t="s">
        <v>221</v>
      </c>
      <c r="AP11" s="5" t="s">
        <v>222</v>
      </c>
      <c r="AQ11" s="136" t="s">
        <v>226</v>
      </c>
      <c r="AR11" s="5" t="s">
        <v>242</v>
      </c>
      <c r="AS11" s="5" t="s">
        <v>243</v>
      </c>
      <c r="AT11" s="5" t="s">
        <v>244</v>
      </c>
      <c r="AU11" s="5" t="s">
        <v>245</v>
      </c>
      <c r="AV11" s="5" t="s">
        <v>186</v>
      </c>
      <c r="AW11" s="5" t="s">
        <v>193</v>
      </c>
      <c r="AX11" s="5" t="s">
        <v>229</v>
      </c>
      <c r="AY11" s="5" t="s">
        <v>264</v>
      </c>
      <c r="AZ11" s="136" t="s">
        <v>231</v>
      </c>
      <c r="BA11" s="136" t="s">
        <v>232</v>
      </c>
      <c r="BB11" s="5" t="s">
        <v>268</v>
      </c>
      <c r="BC11" s="5" t="s">
        <v>269</v>
      </c>
      <c r="BD11" s="5" t="s">
        <v>270</v>
      </c>
      <c r="BE11" s="5" t="s">
        <v>274</v>
      </c>
      <c r="BF11" s="5" t="s">
        <v>272</v>
      </c>
      <c r="BU11"/>
      <c r="FD11"/>
      <c r="FE11"/>
    </row>
    <row r="12" spans="1:161" ht="15.75" thickTop="1" x14ac:dyDescent="0.25">
      <c r="A12" s="7">
        <f>C4</f>
        <v>43465</v>
      </c>
      <c r="B12">
        <f>H2</f>
        <v>1</v>
      </c>
      <c r="C12">
        <f>(B12+11)/12-1</f>
        <v>0</v>
      </c>
      <c r="D12">
        <f>IF(C12-INT(C12)=0,1,0)</f>
        <v>1</v>
      </c>
      <c r="E12">
        <f>$C$2+INT($C12)</f>
        <v>52</v>
      </c>
      <c r="F12">
        <f>IF(C12&gt;=$T$2,0,VLOOKUP($E12,EKM_F05!$A$3:$C$128,2,TRUE))</f>
        <v>3.7060256410256409E-3</v>
      </c>
      <c r="G12">
        <f>F12*'Real assumptions'!$B$3</f>
        <v>1.5465245E-3</v>
      </c>
      <c r="J12">
        <f>HLOOKUP(C12,'Real assumptions'!$B$5:$L$8,4,TRUE)</f>
        <v>2.7200000000000002E-2</v>
      </c>
      <c r="K12">
        <f t="shared" ref="K12:K75" si="0">IF(B12&gt;$AJ$2,0,IF(($U$2*(B12+11))/12-INT(($U$2*(B12+11))/12)=0,1,0))</f>
        <v>1</v>
      </c>
      <c r="O12" s="135">
        <f>IF(U2=0,0,1)</f>
        <v>1</v>
      </c>
      <c r="P12" s="133">
        <v>0</v>
      </c>
      <c r="R12" s="89">
        <f t="shared" ref="R12:R75" si="1">$AI$2</f>
        <v>5000</v>
      </c>
      <c r="S12">
        <f t="shared" ref="S12:S75" si="2">INT(B12/12)+1-B12/12</f>
        <v>0.91666666666666663</v>
      </c>
      <c r="U12" s="133">
        <v>0</v>
      </c>
      <c r="V12" s="133">
        <v>0</v>
      </c>
      <c r="X12" s="94">
        <f>Y12-(Y12*($U$2/12))</f>
        <v>0</v>
      </c>
      <c r="Y12">
        <f t="shared" ref="Y12:Y75" si="3">IF(P12=0,0,$AN$5)</f>
        <v>0</v>
      </c>
      <c r="Z12">
        <f>ROUNDDOWN(T2-C13,0)</f>
        <v>98</v>
      </c>
      <c r="AA12">
        <f>99-(B12/12)</f>
        <v>98.916666666666671</v>
      </c>
      <c r="AB12">
        <f>IF($AM$2&lt;&gt;0,0,R12/99)</f>
        <v>50.505050505050505</v>
      </c>
      <c r="AC12">
        <f>AB12*AA12</f>
        <v>4995.7912457912462</v>
      </c>
      <c r="AD12">
        <f>IF($AM$2&lt;&gt;0,0,AB12+$Q$4*$AI$2+$Q$5*$AI$2)</f>
        <v>80.505050505050505</v>
      </c>
      <c r="AE12">
        <f>MIN($C$6*AD12*AA12,$AI$2-AC12+BD12)</f>
        <v>4.2087542087538168</v>
      </c>
      <c r="AF12" s="94">
        <f>MAX(($AI$2+$Y$2-AC12-AE12+X12+BD12),0)</f>
        <v>0</v>
      </c>
      <c r="AG12" s="120">
        <v>0</v>
      </c>
      <c r="AH12" s="120">
        <v>0</v>
      </c>
      <c r="AI12">
        <f>HLOOKUP(AW12,'Real assumptions'!$A$21:$AK$24,2,TRUE)</f>
        <v>1.3936999999999999</v>
      </c>
      <c r="AJ12" s="123">
        <f>((1+AI12/100)^(1/12))-1</f>
        <v>1.154063174106934E-3</v>
      </c>
      <c r="AK12" s="122">
        <f>(1+HLOOKUP(YEAR(A12),'Real assumptions'!$A$21:$AK$24,2,TRUE)/100)^(1/12)-1</f>
        <v>1.154063174106934E-3</v>
      </c>
      <c r="AL12">
        <v>0</v>
      </c>
      <c r="AN12">
        <v>0</v>
      </c>
      <c r="AO12" s="120">
        <v>0</v>
      </c>
      <c r="AP12" s="120">
        <v>0</v>
      </c>
      <c r="AQ12">
        <f>IF(P12=0,0,AR12+AS12)</f>
        <v>0</v>
      </c>
      <c r="AR12">
        <v>0</v>
      </c>
      <c r="AS12">
        <f t="shared" ref="AS12:AS75" si="4">IF(B12&gt;$B$12,IF(B12&lt;=$AJ$2,AT12,0),0)</f>
        <v>0</v>
      </c>
      <c r="AT12" s="120">
        <v>0</v>
      </c>
      <c r="AU12">
        <f>IFERROR(HLOOKUP(B12,'Real assumptions'!$B$43:$AL$44,2,TRUE)*($W$3/$U$2),0)</f>
        <v>4.8000000000000007</v>
      </c>
      <c r="AV12">
        <v>1</v>
      </c>
      <c r="AW12">
        <f t="shared" ref="AW12:AW43" si="5">YEAR(A12)</f>
        <v>2018</v>
      </c>
      <c r="AY12" s="120">
        <v>0</v>
      </c>
      <c r="AZ12">
        <f t="shared" ref="AZ12:AZ75" si="6">(AZ13+BA13-P13+U13+AQ13)/((1+AJ13))</f>
        <v>-99.2308450003122</v>
      </c>
      <c r="BB12">
        <f>Z13+IF(S12=1,0,S12)</f>
        <v>98.916666666666671</v>
      </c>
      <c r="BC12">
        <f t="shared" ref="BC12:BC75" si="7">$AQ$5*BB12+IF($W$3=0,0,$AP$5*AA12)</f>
        <v>59.349999999999994</v>
      </c>
      <c r="BD12">
        <f>(BC12/100)*($AI$2+$Y$2)-AA12*(AD12-AB12)</f>
        <v>0</v>
      </c>
      <c r="BE12">
        <f t="shared" ref="BE12:BE75" si="8">IF(B12=1,$AR$5,IF(P12=0,0,$W$3/$U$2))</f>
        <v>24</v>
      </c>
      <c r="BF12" s="134">
        <f>BE12</f>
        <v>24</v>
      </c>
      <c r="BU12"/>
      <c r="FD12"/>
      <c r="FE12"/>
    </row>
    <row r="13" spans="1:161" x14ac:dyDescent="0.25">
      <c r="A13" s="7">
        <f>DATE(YEAR(A12),MONTH(A12)+2,1)-1</f>
        <v>43496</v>
      </c>
      <c r="B13">
        <f t="shared" ref="B13:B76" si="9">B12+1</f>
        <v>2</v>
      </c>
      <c r="C13">
        <f t="shared" ref="C13:C76" si="10">(B13+11)/12-1</f>
        <v>8.3333333333333259E-2</v>
      </c>
      <c r="D13">
        <f t="shared" ref="D13:D76" si="11">IF(C13-INT(C13)=0,1,0)</f>
        <v>0</v>
      </c>
      <c r="E13">
        <f t="shared" ref="E13:E76" si="12">$C$2+INT($C13)</f>
        <v>52</v>
      </c>
      <c r="F13">
        <f>IF(C13&gt;=$T$2,0,VLOOKUP($E13,EKM_F05!$A$3:$C$128,2,TRUE))</f>
        <v>3.7060256410256409E-3</v>
      </c>
      <c r="G13">
        <f>F13*'Real assumptions'!$B$3</f>
        <v>1.5465245E-3</v>
      </c>
      <c r="H13">
        <f>(1-(1-G13)^(1/12))</f>
        <v>1.2896848313392884E-4</v>
      </c>
      <c r="I13">
        <f>H13*O12*(1-M13/2)</f>
        <v>1.2882046436449426E-4</v>
      </c>
      <c r="J13">
        <f>IF(B13&gt;$AJ$2,0,HLOOKUP(C13,'Real assumptions'!$B$5:$L$8,4,TRUE))</f>
        <v>2.7200000000000002E-2</v>
      </c>
      <c r="K13">
        <f t="shared" si="0"/>
        <v>1</v>
      </c>
      <c r="L13">
        <f>IF(B13&gt;$AJ$2,0,1/12)</f>
        <v>8.3333333333333329E-2</v>
      </c>
      <c r="M13">
        <f>(1-(1-J13)^L13)</f>
        <v>2.2954254533781304E-3</v>
      </c>
      <c r="N13">
        <f>M13*O12*(1-H13/2)</f>
        <v>2.2952774346086959E-3</v>
      </c>
      <c r="O13" s="8">
        <f t="shared" ref="O13:O76" si="13">IF(E14&gt;$C$5,0,IF(B13&gt;$AJ$2,0,O12-I13-N13))</f>
        <v>0.99757590210102687</v>
      </c>
      <c r="P13">
        <f t="shared" ref="P13:P76" si="14">IF($U$2=0,0,$W$3/$U$2*K13*O12)</f>
        <v>24</v>
      </c>
      <c r="Q13">
        <f>BF13*I13</f>
        <v>6.1833822894957246E-3</v>
      </c>
      <c r="R13" s="89">
        <f t="shared" si="1"/>
        <v>5000</v>
      </c>
      <c r="S13">
        <f t="shared" si="2"/>
        <v>0.83333333333333337</v>
      </c>
      <c r="U13">
        <f>O12*AV12*'Real assumptions'!$B$33/12+AX13*'Real assumptions'!$B$34</f>
        <v>10</v>
      </c>
      <c r="V13">
        <f>IF(P13=0,0,IF(E13&lt;=$C$7,$AN$5*O12,0))*'Real assumptions'!$D$28</f>
        <v>6</v>
      </c>
      <c r="X13" s="94">
        <f t="shared" ref="X13:X76" si="15">IF($U$2=12,0,IF($AM$2&lt;&gt;0,0,X12+Y13-($AN$5*($U$2/12))))</f>
        <v>0</v>
      </c>
      <c r="Y13">
        <f t="shared" si="3"/>
        <v>24</v>
      </c>
      <c r="Z13">
        <f>ROUNDDOWN(T2-C13,0)</f>
        <v>98</v>
      </c>
      <c r="AA13">
        <f t="shared" ref="AA13:AA75" si="16">99-(B13/12)</f>
        <v>98.833333333333329</v>
      </c>
      <c r="AB13">
        <f t="shared" ref="AB13:AB76" si="17">IF($AM$2&lt;&gt;0,0,R13/99)</f>
        <v>50.505050505050505</v>
      </c>
      <c r="AC13">
        <f>AB13*AA13</f>
        <v>4991.5824915824915</v>
      </c>
      <c r="AD13">
        <f t="shared" ref="AD13:AD76" si="18">IF($AM$2&lt;&gt;0,0,AB13+$Q$4*$AI$2+$Q$5*$AI$2)</f>
        <v>80.505050505050505</v>
      </c>
      <c r="AE13">
        <f>MIN($C$6*AD13*AA13,$AI$2-AC13+BD13)</f>
        <v>8.4175084175085431</v>
      </c>
      <c r="AF13" s="94">
        <f>MAX(($AI$2+$Y$2-AC13-AE13+X13+BD13),0)</f>
        <v>0</v>
      </c>
      <c r="AG13">
        <f>IF(B13&lt;=$C$8,0,AF13*N13)</f>
        <v>0</v>
      </c>
      <c r="AH13">
        <f>AF13*O13</f>
        <v>0</v>
      </c>
      <c r="AI13">
        <f>HLOOKUP(AW13,'Real assumptions'!$A$21:$AK$24,2,TRUE)</f>
        <v>1.4138999999999999</v>
      </c>
      <c r="AJ13" s="123">
        <f>((1+AI13/100)^(1/12))-1</f>
        <v>1.1706827682447241E-3</v>
      </c>
      <c r="AK13" s="122">
        <f>(1+HLOOKUP(YEAR(A13),'Real assumptions'!$A$21:$AK$24,2,TRUE)/100)^(1/12)-1</f>
        <v>1.1706827682447241E-3</v>
      </c>
      <c r="AL13">
        <f>AQ13+U13</f>
        <v>14.8</v>
      </c>
      <c r="AM13">
        <f>('Real assumptions'!$B$33/12)*O12*AV12</f>
        <v>10</v>
      </c>
      <c r="AN13">
        <f>AP12+P13+AH12-V13-AL13</f>
        <v>3.1999999999999993</v>
      </c>
      <c r="AO13">
        <f>AN13*AJ13</f>
        <v>3.7461848583831159E-3</v>
      </c>
      <c r="AP13" s="121">
        <f>IF(MONTH(A13)=12,0,AP12+AO13)</f>
        <v>3.7461848583831159E-3</v>
      </c>
      <c r="AQ13">
        <f t="shared" ref="AQ13:AQ76" si="19">IF(P13=0,0,AR13+AS13)</f>
        <v>4.8000000000000007</v>
      </c>
      <c r="AR13">
        <v>0</v>
      </c>
      <c r="AS13">
        <f t="shared" si="4"/>
        <v>4.8000000000000007</v>
      </c>
      <c r="AT13">
        <f t="shared" ref="AT13:AT76" si="20">IF(OR(B13&lt;=$B$12,B13&gt;$AJ$2),0,AU13*O12)</f>
        <v>4.8000000000000007</v>
      </c>
      <c r="AU13">
        <f>IFERROR(HLOOKUP(B13,'Real assumptions'!$B$43:$AL$44,2,TRUE)*($W$3/$U$2),0)</f>
        <v>4.8000000000000007</v>
      </c>
      <c r="AV13">
        <f>AV12*(1+'Real assumptions'!$B$35)^(1/12)</f>
        <v>1.0010357460146984</v>
      </c>
      <c r="AW13">
        <f t="shared" si="5"/>
        <v>2019</v>
      </c>
      <c r="AX13">
        <f>MAX(0,AH12+AP12-V13+AY13)</f>
        <v>0</v>
      </c>
      <c r="AY13">
        <f>IF(P13=0,0,(AB13/$U$2)*O12)</f>
        <v>4.2087542087542085</v>
      </c>
      <c r="AZ13">
        <f t="shared" si="6"/>
        <v>-96.15319622292192</v>
      </c>
      <c r="BA13">
        <f>AG13+V13+Q13</f>
        <v>6.0061833822894961</v>
      </c>
      <c r="BB13">
        <f t="shared" ref="BB13:BB76" si="21">Z14+IF(S13=1,0,S13)</f>
        <v>98.833333333333329</v>
      </c>
      <c r="BC13">
        <f t="shared" si="7"/>
        <v>59.3</v>
      </c>
      <c r="BD13">
        <f t="shared" ref="BD13:BD76" si="22">(BC13/100)*($AI$2+$Y$2)-AA13*(AD13-AB13)</f>
        <v>0</v>
      </c>
      <c r="BE13">
        <f t="shared" si="8"/>
        <v>24</v>
      </c>
      <c r="BF13">
        <f>((IF(B13&lt;13,BF12+BE13,$AI$2+$Y$2)))</f>
        <v>48</v>
      </c>
      <c r="BU13"/>
      <c r="FD13"/>
      <c r="FE13"/>
    </row>
    <row r="14" spans="1:161" x14ac:dyDescent="0.25">
      <c r="A14" s="7">
        <f t="shared" ref="A14:A77" si="23">DATE(YEAR(A13),MONTH(A13)+2,1)-1</f>
        <v>43524</v>
      </c>
      <c r="B14">
        <f t="shared" si="9"/>
        <v>3</v>
      </c>
      <c r="C14">
        <f t="shared" si="10"/>
        <v>0.16666666666666674</v>
      </c>
      <c r="D14">
        <f t="shared" si="11"/>
        <v>0</v>
      </c>
      <c r="E14">
        <f t="shared" si="12"/>
        <v>52</v>
      </c>
      <c r="F14">
        <f>IF(C14&gt;=$T$2,0,VLOOKUP($E14,EKM_F05!$A$3:$C$128,2,TRUE))</f>
        <v>3.7060256410256409E-3</v>
      </c>
      <c r="G14">
        <f>F14*'Real assumptions'!$B$3</f>
        <v>1.5465245E-3</v>
      </c>
      <c r="H14">
        <f t="shared" ref="H14:H77" si="24">(1-(1-G14)^(1/12))</f>
        <v>1.2896848313392884E-4</v>
      </c>
      <c r="I14">
        <f t="shared" ref="I14:I77" si="25">H14*O13*(1-M14/2)</f>
        <v>1.2850819094748354E-4</v>
      </c>
      <c r="J14">
        <f>IF(B14&gt;$AJ$2,0,HLOOKUP(C14,'Real assumptions'!$B$5:$L$8,4,TRUE))</f>
        <v>2.7200000000000002E-2</v>
      </c>
      <c r="K14">
        <f t="shared" si="0"/>
        <v>1</v>
      </c>
      <c r="L14">
        <f t="shared" ref="L14:L77" si="26">IF(B14&gt;$AJ$2,0,1/12)</f>
        <v>8.3333333333333329E-2</v>
      </c>
      <c r="M14">
        <f t="shared" ref="M14:M77" si="27">(1-(1-J14)^L14)</f>
        <v>2.2954254533781304E-3</v>
      </c>
      <c r="N14">
        <f t="shared" ref="N14:N77" si="28">M14*O13*(1-H14/2)</f>
        <v>2.2897134574019003E-3</v>
      </c>
      <c r="O14" s="8">
        <f t="shared" si="13"/>
        <v>0.9951576804526775</v>
      </c>
      <c r="P14">
        <f t="shared" si="14"/>
        <v>23.941821650424643</v>
      </c>
      <c r="Q14">
        <f t="shared" ref="Q14:Q77" si="29">BF14*I14</f>
        <v>9.2525897482188153E-3</v>
      </c>
      <c r="R14" s="89">
        <f t="shared" si="1"/>
        <v>5000</v>
      </c>
      <c r="S14">
        <f t="shared" si="2"/>
        <v>0.75</v>
      </c>
      <c r="U14">
        <f>O13*AV13*'Real assumptions'!$B$33/12+AX14*'Real assumptions'!$B$34</f>
        <v>9.9860913736598711</v>
      </c>
      <c r="V14">
        <f>IF(P14=0,0,IF(E14&lt;=$C$7,$AN$5*O13,0))*'Real assumptions'!$D$28</f>
        <v>5.9854554126061608</v>
      </c>
      <c r="X14" s="94">
        <f t="shared" si="15"/>
        <v>0</v>
      </c>
      <c r="Y14">
        <f t="shared" si="3"/>
        <v>24</v>
      </c>
      <c r="Z14">
        <f t="shared" ref="Z14:Z77" si="30">IF(S12=1,Z13-1,Z13)</f>
        <v>98</v>
      </c>
      <c r="AA14">
        <f t="shared" si="16"/>
        <v>98.75</v>
      </c>
      <c r="AB14">
        <f t="shared" si="17"/>
        <v>50.505050505050505</v>
      </c>
      <c r="AC14">
        <f t="shared" ref="AC14:AC77" si="31">AB14*AA14</f>
        <v>4987.3737373737376</v>
      </c>
      <c r="AD14">
        <f t="shared" si="18"/>
        <v>80.505050505050505</v>
      </c>
      <c r="AE14">
        <f t="shared" ref="AE14:AE76" si="32">MIN($C$6*AD14*AA14,$AI$2-AC14+BD14)</f>
        <v>12.62626262626236</v>
      </c>
      <c r="AF14" s="94">
        <f>MAX(($AI$2+$Y$2-AC14-AE14+X14+BD14),0)</f>
        <v>0</v>
      </c>
      <c r="AG14">
        <f t="shared" ref="AG14:AG77" si="33">IF(B14&lt;=$C$8,0,AF14*N14)</f>
        <v>0</v>
      </c>
      <c r="AH14">
        <f t="shared" ref="AH14:AH76" si="34">AF14*O14</f>
        <v>0</v>
      </c>
      <c r="AI14">
        <f>HLOOKUP(AW14,'Real assumptions'!$A$21:$AK$24,2,TRUE)</f>
        <v>1.4138999999999999</v>
      </c>
      <c r="AJ14" s="123">
        <f t="shared" ref="AJ14:AJ77" si="35">((1+AI14/100)^(1/12))-1</f>
        <v>1.1706827682447241E-3</v>
      </c>
      <c r="AK14" s="122">
        <f>(1+HLOOKUP(YEAR(A14),'Real assumptions'!$A$21:$AK$24,2,TRUE)/100)^(1/12)-1</f>
        <v>1.1706827682447241E-3</v>
      </c>
      <c r="AL14">
        <f t="shared" ref="AL14:AL77" si="36">AQ14+U14</f>
        <v>14.774455703744801</v>
      </c>
      <c r="AM14">
        <f>('Real assumptions'!$B$33/12)*O13*AV13</f>
        <v>9.9860913736598711</v>
      </c>
      <c r="AN14">
        <f>AP13+P14+AH13-V14-AL14</f>
        <v>3.1856567189320639</v>
      </c>
      <c r="AO14">
        <f>AN14*AJ14</f>
        <v>3.7293934263967934E-3</v>
      </c>
      <c r="AP14" s="121">
        <f t="shared" ref="AP14:AP76" si="37">IF(MONTH(A14)=12,0,AP13+AO14)</f>
        <v>7.4755782847799098E-3</v>
      </c>
      <c r="AQ14">
        <f t="shared" si="19"/>
        <v>4.7883643300849297</v>
      </c>
      <c r="AR14">
        <v>0</v>
      </c>
      <c r="AS14">
        <f>IF(B14&gt;$B$12,IF(B14&lt;=$AJ$2,AT14,0),0)</f>
        <v>4.7883643300849297</v>
      </c>
      <c r="AT14">
        <f t="shared" si="20"/>
        <v>4.7883643300849297</v>
      </c>
      <c r="AU14">
        <f>IFERROR(HLOOKUP(B14,'Real assumptions'!$B$43:$AL$44,2,TRUE)*($W$3/$U$2),0)</f>
        <v>4.8000000000000007</v>
      </c>
      <c r="AV14">
        <f>AV13*(1+'Real assumptions'!$B$35)^(1/12)</f>
        <v>1.0020725647992037</v>
      </c>
      <c r="AW14">
        <f t="shared" si="5"/>
        <v>2019</v>
      </c>
      <c r="AX14">
        <f>MAX(0,AH13+AP13-V14+AY14)</f>
        <v>0</v>
      </c>
      <c r="AY14">
        <f t="shared" ref="AY14:AY77" si="38">IF(P14=0,0,(AB14/$U$2)*O13)</f>
        <v>4.1985517765194729</v>
      </c>
      <c r="AZ14">
        <f t="shared" si="6"/>
        <v>-93.093103168526298</v>
      </c>
      <c r="BA14">
        <f>AG14+V14+Q14</f>
        <v>5.9947080023543799</v>
      </c>
      <c r="BB14">
        <f t="shared" si="21"/>
        <v>98.75</v>
      </c>
      <c r="BC14">
        <f t="shared" si="7"/>
        <v>59.25</v>
      </c>
      <c r="BD14">
        <f t="shared" si="22"/>
        <v>0</v>
      </c>
      <c r="BE14">
        <f t="shared" si="8"/>
        <v>24</v>
      </c>
      <c r="BF14">
        <f t="shared" ref="BF14:BF77" si="39">((IF(B14&lt;13,BF13+BE14,$AI$2+$Y$2)))</f>
        <v>72</v>
      </c>
      <c r="BU14"/>
      <c r="FD14"/>
      <c r="FE14"/>
    </row>
    <row r="15" spans="1:161" x14ac:dyDescent="0.25">
      <c r="A15" s="7">
        <f t="shared" si="23"/>
        <v>43555</v>
      </c>
      <c r="B15">
        <f t="shared" si="9"/>
        <v>4</v>
      </c>
      <c r="C15">
        <f t="shared" si="10"/>
        <v>0.25</v>
      </c>
      <c r="D15">
        <f t="shared" si="11"/>
        <v>0</v>
      </c>
      <c r="E15">
        <f t="shared" si="12"/>
        <v>52</v>
      </c>
      <c r="F15">
        <f>IF(C15&gt;=$T$2,0,VLOOKUP($E15,EKM_F05!$A$3:$C$128,2,TRUE))</f>
        <v>3.7060256410256409E-3</v>
      </c>
      <c r="G15">
        <f>F15*'Real assumptions'!$B$3</f>
        <v>1.5465245E-3</v>
      </c>
      <c r="H15">
        <f t="shared" si="24"/>
        <v>1.2896848313392884E-4</v>
      </c>
      <c r="I15">
        <f t="shared" si="25"/>
        <v>1.2819667451180689E-4</v>
      </c>
      <c r="J15">
        <f>IF(B15&gt;$AJ$2,0,HLOOKUP(C15,'Real assumptions'!$B$5:$L$8,4,TRUE))</f>
        <v>2.7200000000000002E-2</v>
      </c>
      <c r="K15">
        <f t="shared" si="0"/>
        <v>1</v>
      </c>
      <c r="L15">
        <f t="shared" si="26"/>
        <v>8.3333333333333329E-2</v>
      </c>
      <c r="M15">
        <f>(1-(1-J15)^L15)</f>
        <v>2.2954254533781304E-3</v>
      </c>
      <c r="N15">
        <f>M15*O14*(1-H15/2)</f>
        <v>2.2841629678205621E-3</v>
      </c>
      <c r="O15" s="8">
        <f>IF(E16&gt;$C$5,0,IF(B15&gt;$AJ$2,0,O14-I15-N15))</f>
        <v>0.99274532081034517</v>
      </c>
      <c r="P15">
        <f t="shared" si="14"/>
        <v>23.883784330864259</v>
      </c>
      <c r="Q15">
        <f t="shared" si="29"/>
        <v>1.2306880753133461E-2</v>
      </c>
      <c r="R15" s="89">
        <f t="shared" si="1"/>
        <v>5000</v>
      </c>
      <c r="S15">
        <f t="shared" si="2"/>
        <v>0.66666666666666674</v>
      </c>
      <c r="U15">
        <f>O14*AV14*'Real assumptions'!$B$33/12+AX15*'Real assumptions'!$B$34</f>
        <v>9.9722020923084091</v>
      </c>
      <c r="V15">
        <f>IF(P15=0,0,IF(E15&lt;=$C$7,$AN$5*O14,0))*'Real assumptions'!$D$28</f>
        <v>5.9709460827160648</v>
      </c>
      <c r="X15" s="94">
        <f t="shared" si="15"/>
        <v>0</v>
      </c>
      <c r="Y15">
        <f t="shared" si="3"/>
        <v>24</v>
      </c>
      <c r="Z15">
        <f t="shared" si="30"/>
        <v>98</v>
      </c>
      <c r="AA15">
        <f t="shared" si="16"/>
        <v>98.666666666666671</v>
      </c>
      <c r="AB15">
        <f t="shared" si="17"/>
        <v>50.505050505050505</v>
      </c>
      <c r="AC15">
        <f t="shared" si="31"/>
        <v>4983.1649831649838</v>
      </c>
      <c r="AD15">
        <f t="shared" si="18"/>
        <v>80.505050505050505</v>
      </c>
      <c r="AE15">
        <f t="shared" si="32"/>
        <v>16.835016835016177</v>
      </c>
      <c r="AF15" s="94">
        <f>MAX(($AI$2+$Y$2-AC15-AE15+X15+BD15),0)</f>
        <v>0</v>
      </c>
      <c r="AG15">
        <f t="shared" si="33"/>
        <v>0</v>
      </c>
      <c r="AH15">
        <f>AF15*O15</f>
        <v>0</v>
      </c>
      <c r="AI15">
        <f>HLOOKUP(AW15,'Real assumptions'!$A$21:$AK$24,2,TRUE)</f>
        <v>1.4138999999999999</v>
      </c>
      <c r="AJ15" s="123">
        <f t="shared" si="35"/>
        <v>1.1706827682447241E-3</v>
      </c>
      <c r="AK15" s="122">
        <f>(1+HLOOKUP(YEAR(A15),'Real assumptions'!$A$21:$AK$24,2,TRUE)/100)^(1/12)-1</f>
        <v>1.1706827682447241E-3</v>
      </c>
      <c r="AL15">
        <f t="shared" si="36"/>
        <v>14.748958958481261</v>
      </c>
      <c r="AM15">
        <f>('Real assumptions'!$B$33/12)*O14*AV14</f>
        <v>9.9722020923084091</v>
      </c>
      <c r="AN15">
        <f>AP14+P15+AH14-V15-AL15</f>
        <v>3.1713548679517132</v>
      </c>
      <c r="AO15">
        <f>AN15*AJ15</f>
        <v>3.7126504959000928E-3</v>
      </c>
      <c r="AP15" s="121">
        <f>IF(MONTH(A15)=12,0,AP14+AO15)</f>
        <v>1.1188228780680003E-2</v>
      </c>
      <c r="AQ15">
        <f t="shared" si="19"/>
        <v>4.7767568661728523</v>
      </c>
      <c r="AR15">
        <v>0</v>
      </c>
      <c r="AS15">
        <f t="shared" si="4"/>
        <v>4.7767568661728523</v>
      </c>
      <c r="AT15">
        <f t="shared" si="20"/>
        <v>4.7767568661728523</v>
      </c>
      <c r="AU15">
        <f>IFERROR(HLOOKUP(B15,'Real assumptions'!$B$43:$AL$44,2,TRUE)*($W$3/$U$2),0)</f>
        <v>4.8000000000000007</v>
      </c>
      <c r="AV15">
        <f>AV14*(1+'Real assumptions'!$B$35)^(1/12)</f>
        <v>1.003110457464633</v>
      </c>
      <c r="AW15">
        <f t="shared" si="5"/>
        <v>2019</v>
      </c>
      <c r="AX15">
        <f t="shared" ref="AX15:AX77" si="40">MAX(0,AH14+AP14-V15+AY15)</f>
        <v>0</v>
      </c>
      <c r="AY15">
        <f t="shared" si="38"/>
        <v>4.188374075979282</v>
      </c>
      <c r="AZ15">
        <f t="shared" si="6"/>
        <v>-90.050513251334309</v>
      </c>
      <c r="BA15">
        <f t="shared" ref="BA15:BA76" si="41">AG15+V15+Q15</f>
        <v>5.983252963469198</v>
      </c>
      <c r="BB15">
        <f t="shared" si="21"/>
        <v>98.666666666666671</v>
      </c>
      <c r="BC15">
        <f t="shared" si="7"/>
        <v>59.2</v>
      </c>
      <c r="BD15">
        <f t="shared" si="22"/>
        <v>0</v>
      </c>
      <c r="BE15">
        <f t="shared" si="8"/>
        <v>24</v>
      </c>
      <c r="BF15">
        <f t="shared" si="39"/>
        <v>96</v>
      </c>
      <c r="BU15"/>
      <c r="FD15"/>
      <c r="FE15"/>
    </row>
    <row r="16" spans="1:161" x14ac:dyDescent="0.25">
      <c r="A16" s="7">
        <f t="shared" si="23"/>
        <v>43585</v>
      </c>
      <c r="B16">
        <f t="shared" si="9"/>
        <v>5</v>
      </c>
      <c r="C16">
        <f t="shared" si="10"/>
        <v>0.33333333333333326</v>
      </c>
      <c r="D16">
        <f t="shared" si="11"/>
        <v>0</v>
      </c>
      <c r="E16">
        <f t="shared" si="12"/>
        <v>52</v>
      </c>
      <c r="F16">
        <f>IF(C16&gt;=$T$2,0,VLOOKUP($E16,EKM_F05!$A$3:$C$128,2,TRUE))</f>
        <v>3.7060256410256409E-3</v>
      </c>
      <c r="G16">
        <f>F16*'Real assumptions'!$B$3</f>
        <v>1.5465245E-3</v>
      </c>
      <c r="H16">
        <f t="shared" si="24"/>
        <v>1.2896848313392884E-4</v>
      </c>
      <c r="I16">
        <f t="shared" si="25"/>
        <v>1.2788591322246748E-4</v>
      </c>
      <c r="J16">
        <f>IF(B16&gt;$AJ$2,0,HLOOKUP(C16,'Real assumptions'!$B$5:$L$8,4,TRUE))</f>
        <v>2.7200000000000002E-2</v>
      </c>
      <c r="K16">
        <f t="shared" si="0"/>
        <v>1</v>
      </c>
      <c r="L16">
        <f t="shared" si="26"/>
        <v>8.3333333333333329E-2</v>
      </c>
      <c r="M16">
        <f t="shared" si="27"/>
        <v>2.2954254533781304E-3</v>
      </c>
      <c r="N16">
        <f t="shared" si="28"/>
        <v>2.2786259331693563E-3</v>
      </c>
      <c r="O16" s="8">
        <f t="shared" si="13"/>
        <v>0.99033880896395332</v>
      </c>
      <c r="P16">
        <f t="shared" si="14"/>
        <v>23.825887699448284</v>
      </c>
      <c r="Q16">
        <f t="shared" si="29"/>
        <v>1.5346309586696097E-2</v>
      </c>
      <c r="R16" s="89">
        <f t="shared" si="1"/>
        <v>5000</v>
      </c>
      <c r="S16">
        <f t="shared" si="2"/>
        <v>0.58333333333333326</v>
      </c>
      <c r="U16">
        <f>O15*AV15*'Real assumptions'!$B$33/12+AX16*'Real assumptions'!$B$34</f>
        <v>9.9583321290393929</v>
      </c>
      <c r="V16">
        <f>IF(P16=0,0,IF(E16&lt;=$C$7,$AN$5*O15,0))*'Real assumptions'!$D$28</f>
        <v>5.956471924862071</v>
      </c>
      <c r="X16" s="94">
        <f t="shared" si="15"/>
        <v>0</v>
      </c>
      <c r="Y16">
        <f t="shared" si="3"/>
        <v>24</v>
      </c>
      <c r="Z16">
        <f t="shared" si="30"/>
        <v>98</v>
      </c>
      <c r="AA16">
        <f t="shared" si="16"/>
        <v>98.583333333333329</v>
      </c>
      <c r="AB16">
        <f t="shared" si="17"/>
        <v>50.505050505050505</v>
      </c>
      <c r="AC16">
        <f t="shared" si="31"/>
        <v>4978.9562289562291</v>
      </c>
      <c r="AD16">
        <f t="shared" si="18"/>
        <v>80.505050505050505</v>
      </c>
      <c r="AE16">
        <f t="shared" si="32"/>
        <v>21.043771043770903</v>
      </c>
      <c r="AF16" s="94">
        <f t="shared" ref="AF16:AF76" si="42">MAX(($AI$2+$Y$2-AC16-AE16+X16+BD16),0)</f>
        <v>0</v>
      </c>
      <c r="AG16">
        <f t="shared" si="33"/>
        <v>0</v>
      </c>
      <c r="AH16">
        <f t="shared" si="34"/>
        <v>0</v>
      </c>
      <c r="AI16">
        <f>HLOOKUP(AW16,'Real assumptions'!$A$21:$AK$24,2,TRUE)</f>
        <v>1.4138999999999999</v>
      </c>
      <c r="AJ16" s="123">
        <f t="shared" si="35"/>
        <v>1.1706827682447241E-3</v>
      </c>
      <c r="AK16" s="122">
        <f>(1+HLOOKUP(YEAR(A16),'Real assumptions'!$A$21:$AK$24,2,TRUE)/100)^(1/12)-1</f>
        <v>1.1706827682447241E-3</v>
      </c>
      <c r="AL16">
        <f t="shared" si="36"/>
        <v>14.723509668929051</v>
      </c>
      <c r="AM16">
        <f>('Real assumptions'!$B$33/12)*O15*AV15</f>
        <v>9.9583321290393911</v>
      </c>
      <c r="AN16">
        <f t="shared" ref="AN16:AN76" si="43">AP15+P16+AH15-V16-AL16</f>
        <v>3.1570943344378399</v>
      </c>
      <c r="AO16">
        <f t="shared" ref="AO16:AO21" si="44">AN16*AJ16</f>
        <v>3.6959559350494249E-3</v>
      </c>
      <c r="AP16" s="121">
        <f t="shared" si="37"/>
        <v>1.4884184715729429E-2</v>
      </c>
      <c r="AQ16">
        <f t="shared" si="19"/>
        <v>4.7651775398896579</v>
      </c>
      <c r="AR16">
        <v>0</v>
      </c>
      <c r="AS16">
        <f t="shared" si="4"/>
        <v>4.7651775398896579</v>
      </c>
      <c r="AT16">
        <f t="shared" si="20"/>
        <v>4.7651775398896579</v>
      </c>
      <c r="AU16">
        <f>IFERROR(HLOOKUP(B16,'Real assumptions'!$B$43:$AL$44,2,TRUE)*($W$3/$U$2),0)</f>
        <v>4.8000000000000007</v>
      </c>
      <c r="AV16">
        <f>AV15*(1+'Real assumptions'!$B$35)^(1/12)</f>
        <v>1.0041494251232543</v>
      </c>
      <c r="AW16">
        <f t="shared" si="5"/>
        <v>2019</v>
      </c>
      <c r="AX16">
        <f t="shared" si="40"/>
        <v>0</v>
      </c>
      <c r="AY16">
        <f t="shared" si="38"/>
        <v>4.1782210471815873</v>
      </c>
      <c r="AZ16">
        <f t="shared" si="6"/>
        <v>-87.02537403939877</v>
      </c>
      <c r="BA16">
        <f t="shared" si="41"/>
        <v>5.9718182344487669</v>
      </c>
      <c r="BB16">
        <f t="shared" si="21"/>
        <v>98.583333333333329</v>
      </c>
      <c r="BC16">
        <f t="shared" si="7"/>
        <v>59.149999999999991</v>
      </c>
      <c r="BD16">
        <f t="shared" si="22"/>
        <v>0</v>
      </c>
      <c r="BE16">
        <f t="shared" si="8"/>
        <v>24</v>
      </c>
      <c r="BF16">
        <f t="shared" si="39"/>
        <v>120</v>
      </c>
      <c r="BU16"/>
      <c r="FD16"/>
      <c r="FE16"/>
    </row>
    <row r="17" spans="1:161" x14ac:dyDescent="0.25">
      <c r="A17" s="7">
        <f t="shared" si="23"/>
        <v>43616</v>
      </c>
      <c r="B17">
        <f t="shared" si="9"/>
        <v>6</v>
      </c>
      <c r="C17">
        <f t="shared" si="10"/>
        <v>0.41666666666666674</v>
      </c>
      <c r="D17">
        <f t="shared" si="11"/>
        <v>0</v>
      </c>
      <c r="E17">
        <f t="shared" si="12"/>
        <v>52</v>
      </c>
      <c r="F17">
        <f>IF(C17&gt;=$T$2,0,VLOOKUP($E17,EKM_F05!$A$3:$C$128,2,TRUE))</f>
        <v>3.7060256410256409E-3</v>
      </c>
      <c r="G17">
        <f>F17*'Real assumptions'!$B$3</f>
        <v>1.5465245E-3</v>
      </c>
      <c r="H17">
        <f t="shared" si="24"/>
        <v>1.2896848313392884E-4</v>
      </c>
      <c r="I17">
        <f t="shared" si="25"/>
        <v>1.2757590524891662E-4</v>
      </c>
      <c r="J17">
        <f>IF(B17&gt;$AJ$2,0,HLOOKUP(C17,'Real assumptions'!$B$5:$L$8,4,TRUE))</f>
        <v>2.7200000000000002E-2</v>
      </c>
      <c r="K17">
        <f t="shared" si="0"/>
        <v>1</v>
      </c>
      <c r="L17">
        <f t="shared" si="26"/>
        <v>8.3333333333333329E-2</v>
      </c>
      <c r="M17">
        <f>(1-(1-J17)^L17)</f>
        <v>2.2954254533781304E-3</v>
      </c>
      <c r="N17">
        <f>M17*O16*(1-H17/2)</f>
        <v>2.273102320832214E-3</v>
      </c>
      <c r="O17" s="8">
        <f t="shared" si="13"/>
        <v>0.98793813073787218</v>
      </c>
      <c r="P17">
        <f t="shared" si="14"/>
        <v>23.768131415134881</v>
      </c>
      <c r="Q17">
        <f t="shared" si="29"/>
        <v>1.8370930355843994E-2</v>
      </c>
      <c r="R17" s="89">
        <f t="shared" si="1"/>
        <v>5000</v>
      </c>
      <c r="S17">
        <f t="shared" si="2"/>
        <v>0.5</v>
      </c>
      <c r="U17">
        <f>O16*AV16*'Real assumptions'!$B$33/12+AX17*'Real assumptions'!$B$34</f>
        <v>9.9444814569840201</v>
      </c>
      <c r="V17">
        <f>IF(P17=0,0,IF(E17&lt;=$C$7,$AN$5*O16,0))*'Real assumptions'!$D$28</f>
        <v>5.9420328537837204</v>
      </c>
      <c r="X17" s="94">
        <f t="shared" si="15"/>
        <v>0</v>
      </c>
      <c r="Y17">
        <f t="shared" si="3"/>
        <v>24</v>
      </c>
      <c r="Z17">
        <f t="shared" si="30"/>
        <v>98</v>
      </c>
      <c r="AA17">
        <f t="shared" si="16"/>
        <v>98.5</v>
      </c>
      <c r="AB17">
        <f t="shared" si="17"/>
        <v>50.505050505050505</v>
      </c>
      <c r="AC17">
        <f t="shared" si="31"/>
        <v>4974.7474747474744</v>
      </c>
      <c r="AD17">
        <f t="shared" si="18"/>
        <v>80.505050505050505</v>
      </c>
      <c r="AE17">
        <f t="shared" si="32"/>
        <v>25.252525252525629</v>
      </c>
      <c r="AF17" s="94">
        <f t="shared" si="42"/>
        <v>0</v>
      </c>
      <c r="AG17">
        <f t="shared" si="33"/>
        <v>0</v>
      </c>
      <c r="AH17">
        <f t="shared" si="34"/>
        <v>0</v>
      </c>
      <c r="AI17">
        <f>HLOOKUP(AW17,'Real assumptions'!$A$21:$AK$24,2,TRUE)</f>
        <v>1.4138999999999999</v>
      </c>
      <c r="AJ17" s="123">
        <f t="shared" si="35"/>
        <v>1.1706827682447241E-3</v>
      </c>
      <c r="AK17" s="122">
        <f>(1+HLOOKUP(YEAR(A17),'Real assumptions'!$A$21:$AK$24,2,TRUE)/100)^(1/12)-1</f>
        <v>1.1706827682447241E-3</v>
      </c>
      <c r="AL17">
        <f t="shared" si="36"/>
        <v>14.698107740010997</v>
      </c>
      <c r="AM17">
        <f>('Real assumptions'!$B$33/12)*O16*AV16</f>
        <v>9.9444814569840201</v>
      </c>
      <c r="AN17">
        <f t="shared" si="43"/>
        <v>3.1428750060558954</v>
      </c>
      <c r="AO17">
        <f t="shared" si="44"/>
        <v>3.6793096123366696E-3</v>
      </c>
      <c r="AP17" s="121">
        <f t="shared" si="37"/>
        <v>1.8563494328066098E-2</v>
      </c>
      <c r="AQ17">
        <f t="shared" si="19"/>
        <v>4.7536262830269767</v>
      </c>
      <c r="AR17">
        <v>0</v>
      </c>
      <c r="AS17">
        <f t="shared" si="4"/>
        <v>4.7536262830269767</v>
      </c>
      <c r="AT17">
        <f t="shared" si="20"/>
        <v>4.7536262830269767</v>
      </c>
      <c r="AU17">
        <f>IFERROR(HLOOKUP(B17,'Real assumptions'!$B$43:$AL$44,2,TRUE)*($W$3/$U$2),0)</f>
        <v>4.8000000000000007</v>
      </c>
      <c r="AV17">
        <f>AV16*(1+'Real assumptions'!$B$35)^(1/12)</f>
        <v>1.0051894688884875</v>
      </c>
      <c r="AW17">
        <f t="shared" si="5"/>
        <v>2019</v>
      </c>
      <c r="AX17">
        <f t="shared" si="40"/>
        <v>0</v>
      </c>
      <c r="AY17">
        <f t="shared" si="38"/>
        <v>4.1680926303196681</v>
      </c>
      <c r="AZ17">
        <f t="shared" si="6"/>
        <v>-84.017633254202408</v>
      </c>
      <c r="BA17">
        <f t="shared" si="41"/>
        <v>5.9604037841395643</v>
      </c>
      <c r="BB17">
        <f t="shared" si="21"/>
        <v>98.5</v>
      </c>
      <c r="BC17">
        <f t="shared" si="7"/>
        <v>59.099999999999994</v>
      </c>
      <c r="BD17">
        <f t="shared" si="22"/>
        <v>0</v>
      </c>
      <c r="BE17">
        <f t="shared" si="8"/>
        <v>24</v>
      </c>
      <c r="BF17">
        <f t="shared" si="39"/>
        <v>144</v>
      </c>
      <c r="BU17"/>
      <c r="FD17"/>
      <c r="FE17"/>
    </row>
    <row r="18" spans="1:161" x14ac:dyDescent="0.25">
      <c r="A18" s="7">
        <f t="shared" si="23"/>
        <v>43646</v>
      </c>
      <c r="B18">
        <f t="shared" si="9"/>
        <v>7</v>
      </c>
      <c r="C18">
        <f t="shared" si="10"/>
        <v>0.5</v>
      </c>
      <c r="D18">
        <f t="shared" si="11"/>
        <v>0</v>
      </c>
      <c r="E18">
        <f t="shared" si="12"/>
        <v>52</v>
      </c>
      <c r="F18">
        <f>IF(C18&gt;=$T$2,0,VLOOKUP($E18,EKM_F05!$A$3:$C$128,2,TRUE))</f>
        <v>3.7060256410256409E-3</v>
      </c>
      <c r="G18">
        <f>F18*'Real assumptions'!$B$3</f>
        <v>1.5465245E-3</v>
      </c>
      <c r="H18">
        <f t="shared" si="24"/>
        <v>1.2896848313392884E-4</v>
      </c>
      <c r="I18">
        <f>H18*O17*(1-M18/2)</f>
        <v>1.2726664876504311E-4</v>
      </c>
      <c r="J18">
        <f>IF(B18&gt;$AJ$2,0,HLOOKUP(C18,'Real assumptions'!$B$5:$L$8,4,TRUE))</f>
        <v>2.7200000000000002E-2</v>
      </c>
      <c r="K18">
        <f t="shared" si="0"/>
        <v>1</v>
      </c>
      <c r="L18">
        <f t="shared" si="26"/>
        <v>8.3333333333333329E-2</v>
      </c>
      <c r="M18">
        <f t="shared" si="27"/>
        <v>2.2954254533781304E-3</v>
      </c>
      <c r="N18">
        <f t="shared" si="28"/>
        <v>2.2675920982721336E-3</v>
      </c>
      <c r="O18" s="8">
        <f t="shared" si="13"/>
        <v>0.98554327199083502</v>
      </c>
      <c r="P18">
        <f t="shared" si="14"/>
        <v>23.710515137708931</v>
      </c>
      <c r="Q18">
        <f t="shared" si="29"/>
        <v>2.1380796992527241E-2</v>
      </c>
      <c r="R18" s="89">
        <f t="shared" si="1"/>
        <v>5000</v>
      </c>
      <c r="S18">
        <f t="shared" si="2"/>
        <v>0.41666666666666663</v>
      </c>
      <c r="U18">
        <f>O17*AV17*'Real assumptions'!$B$33/12+AX18*'Real assumptions'!$B$34</f>
        <v>9.9306500493108683</v>
      </c>
      <c r="V18">
        <f>IF(P18=0,0,IF(E18&lt;=$C$7,$AN$5*O17,0))*'Real assumptions'!$D$28</f>
        <v>5.9276287844272328</v>
      </c>
      <c r="X18" s="94">
        <f t="shared" si="15"/>
        <v>0</v>
      </c>
      <c r="Y18">
        <f t="shared" si="3"/>
        <v>24</v>
      </c>
      <c r="Z18">
        <f t="shared" si="30"/>
        <v>98</v>
      </c>
      <c r="AA18">
        <f t="shared" si="16"/>
        <v>98.416666666666671</v>
      </c>
      <c r="AB18">
        <f t="shared" si="17"/>
        <v>50.505050505050505</v>
      </c>
      <c r="AC18">
        <f t="shared" si="31"/>
        <v>4970.5387205387206</v>
      </c>
      <c r="AD18">
        <f t="shared" si="18"/>
        <v>80.505050505050505</v>
      </c>
      <c r="AE18">
        <f t="shared" si="32"/>
        <v>29.461279461279446</v>
      </c>
      <c r="AF18" s="94">
        <f t="shared" si="42"/>
        <v>0</v>
      </c>
      <c r="AG18">
        <f t="shared" si="33"/>
        <v>0</v>
      </c>
      <c r="AH18">
        <f t="shared" si="34"/>
        <v>0</v>
      </c>
      <c r="AI18">
        <f>HLOOKUP(AW18,'Real assumptions'!$A$21:$AK$24,2,TRUE)</f>
        <v>1.4138999999999999</v>
      </c>
      <c r="AJ18" s="123">
        <f t="shared" si="35"/>
        <v>1.1706827682447241E-3</v>
      </c>
      <c r="AK18" s="122">
        <f>(1+HLOOKUP(YEAR(A18),'Real assumptions'!$A$21:$AK$24,2,TRUE)/100)^(1/12)-1</f>
        <v>1.1706827682447241E-3</v>
      </c>
      <c r="AL18">
        <f t="shared" si="36"/>
        <v>14.672753076852654</v>
      </c>
      <c r="AM18">
        <f>('Real assumptions'!$B$33/12)*O17*AV17</f>
        <v>9.9306500493108683</v>
      </c>
      <c r="AN18">
        <f t="shared" si="43"/>
        <v>3.1286967707571129</v>
      </c>
      <c r="AO18">
        <f t="shared" si="44"/>
        <v>3.6627113965882656E-3</v>
      </c>
      <c r="AP18" s="121">
        <f t="shared" si="37"/>
        <v>2.2226205724654363E-2</v>
      </c>
      <c r="AQ18">
        <f t="shared" si="19"/>
        <v>4.7421030275417868</v>
      </c>
      <c r="AR18">
        <v>0</v>
      </c>
      <c r="AS18">
        <f t="shared" si="4"/>
        <v>4.7421030275417868</v>
      </c>
      <c r="AT18">
        <f t="shared" si="20"/>
        <v>4.7421030275417868</v>
      </c>
      <c r="AU18">
        <f>IFERROR(HLOOKUP(B18,'Real assumptions'!$B$43:$AL$44,2,TRUE)*($W$3/$U$2),0)</f>
        <v>4.8000000000000007</v>
      </c>
      <c r="AV18">
        <f>AV17*(1+'Real assumptions'!$B$35)^(1/12)</f>
        <v>1.0062305898749055</v>
      </c>
      <c r="AW18">
        <f t="shared" si="5"/>
        <v>2019</v>
      </c>
      <c r="AX18">
        <f t="shared" si="40"/>
        <v>0</v>
      </c>
      <c r="AY18">
        <f t="shared" si="38"/>
        <v>4.1579887657317851</v>
      </c>
      <c r="AZ18">
        <f t="shared" si="6"/>
        <v>-81.027238770245305</v>
      </c>
      <c r="BA18">
        <f t="shared" si="41"/>
        <v>5.9490095814197597</v>
      </c>
      <c r="BB18">
        <f t="shared" si="21"/>
        <v>98.416666666666671</v>
      </c>
      <c r="BC18">
        <f t="shared" si="7"/>
        <v>59.05</v>
      </c>
      <c r="BD18">
        <f t="shared" si="22"/>
        <v>0</v>
      </c>
      <c r="BE18">
        <f t="shared" si="8"/>
        <v>24</v>
      </c>
      <c r="BF18">
        <f t="shared" si="39"/>
        <v>168</v>
      </c>
      <c r="BU18"/>
      <c r="FD18"/>
      <c r="FE18"/>
    </row>
    <row r="19" spans="1:161" x14ac:dyDescent="0.25">
      <c r="A19" s="7">
        <f t="shared" si="23"/>
        <v>43677</v>
      </c>
      <c r="B19">
        <f t="shared" si="9"/>
        <v>8</v>
      </c>
      <c r="C19">
        <f t="shared" si="10"/>
        <v>0.58333333333333326</v>
      </c>
      <c r="D19">
        <f t="shared" si="11"/>
        <v>0</v>
      </c>
      <c r="E19">
        <f t="shared" si="12"/>
        <v>52</v>
      </c>
      <c r="F19">
        <f>IF(C19&gt;=$T$2,0,VLOOKUP($E19,EKM_F05!$A$3:$C$128,2,TRUE))</f>
        <v>3.7060256410256409E-3</v>
      </c>
      <c r="G19">
        <f>F19*'Real assumptions'!$B$3</f>
        <v>1.5465245E-3</v>
      </c>
      <c r="H19">
        <f t="shared" si="24"/>
        <v>1.2896848313392884E-4</v>
      </c>
      <c r="I19">
        <f t="shared" si="25"/>
        <v>1.2695814194916243E-4</v>
      </c>
      <c r="J19">
        <f>IF(B19&gt;$AJ$2,0,HLOOKUP(C19,'Real assumptions'!$B$5:$L$8,4,TRUE))</f>
        <v>2.7200000000000002E-2</v>
      </c>
      <c r="K19">
        <f t="shared" si="0"/>
        <v>1</v>
      </c>
      <c r="L19">
        <f t="shared" si="26"/>
        <v>8.3333333333333329E-2</v>
      </c>
      <c r="M19">
        <f t="shared" si="27"/>
        <v>2.2954254533781304E-3</v>
      </c>
      <c r="N19">
        <f t="shared" si="28"/>
        <v>2.2620952330309838E-3</v>
      </c>
      <c r="O19" s="8">
        <f t="shared" si="13"/>
        <v>0.98315421861585484</v>
      </c>
      <c r="P19">
        <f t="shared" si="14"/>
        <v>23.653038527780041</v>
      </c>
      <c r="Q19">
        <f t="shared" si="29"/>
        <v>2.4375963254239186E-2</v>
      </c>
      <c r="R19" s="89">
        <f t="shared" si="1"/>
        <v>5000</v>
      </c>
      <c r="S19">
        <f t="shared" si="2"/>
        <v>0.33333333333333337</v>
      </c>
      <c r="U19">
        <f>O18*AV18*'Real assumptions'!$B$33/12+AX19*'Real assumptions'!$B$34</f>
        <v>9.9168378792258238</v>
      </c>
      <c r="V19">
        <f>IF(P19=0,0,IF(E19&lt;=$C$7,$AN$5*O18,0))*'Real assumptions'!$D$28</f>
        <v>5.9132596319450101</v>
      </c>
      <c r="X19" s="94">
        <f t="shared" si="15"/>
        <v>0</v>
      </c>
      <c r="Y19">
        <f t="shared" si="3"/>
        <v>24</v>
      </c>
      <c r="Z19">
        <f t="shared" si="30"/>
        <v>98</v>
      </c>
      <c r="AA19">
        <f t="shared" si="16"/>
        <v>98.333333333333329</v>
      </c>
      <c r="AB19">
        <f t="shared" si="17"/>
        <v>50.505050505050505</v>
      </c>
      <c r="AC19">
        <f t="shared" si="31"/>
        <v>4966.3299663299658</v>
      </c>
      <c r="AD19">
        <f t="shared" si="18"/>
        <v>80.505050505050505</v>
      </c>
      <c r="AE19">
        <f t="shared" si="32"/>
        <v>33.670033670034172</v>
      </c>
      <c r="AF19" s="94">
        <f t="shared" si="42"/>
        <v>0</v>
      </c>
      <c r="AG19">
        <f t="shared" si="33"/>
        <v>0</v>
      </c>
      <c r="AH19">
        <f t="shared" si="34"/>
        <v>0</v>
      </c>
      <c r="AI19">
        <f>HLOOKUP(AW19,'Real assumptions'!$A$21:$AK$24,2,TRUE)</f>
        <v>1.4138999999999999</v>
      </c>
      <c r="AJ19" s="123">
        <f t="shared" si="35"/>
        <v>1.1706827682447241E-3</v>
      </c>
      <c r="AK19" s="122">
        <f>(1+HLOOKUP(YEAR(A19),'Real assumptions'!$A$21:$AK$24,2,TRUE)/100)^(1/12)-1</f>
        <v>1.1706827682447241E-3</v>
      </c>
      <c r="AL19">
        <f t="shared" si="36"/>
        <v>14.647445584781833</v>
      </c>
      <c r="AM19">
        <f>('Real assumptions'!$B$33/12)*O18*AV18</f>
        <v>9.9168378792258238</v>
      </c>
      <c r="AN19">
        <f t="shared" si="43"/>
        <v>3.1145595167778506</v>
      </c>
      <c r="AO19">
        <f t="shared" si="44"/>
        <v>3.6461611569644442E-3</v>
      </c>
      <c r="AP19" s="121">
        <f t="shared" si="37"/>
        <v>2.5872366881618807E-2</v>
      </c>
      <c r="AQ19">
        <f t="shared" si="19"/>
        <v>4.7306077055560092</v>
      </c>
      <c r="AR19">
        <v>0</v>
      </c>
      <c r="AS19">
        <f t="shared" si="4"/>
        <v>4.7306077055560092</v>
      </c>
      <c r="AT19">
        <f t="shared" si="20"/>
        <v>4.7306077055560092</v>
      </c>
      <c r="AU19">
        <f>IFERROR(HLOOKUP(B19,'Real assumptions'!$B$43:$AL$44,2,TRUE)*($W$3/$U$2),0)</f>
        <v>4.8000000000000007</v>
      </c>
      <c r="AV19">
        <f>AV18*(1+'Real assumptions'!$B$35)^(1/12)</f>
        <v>1.007272789198236</v>
      </c>
      <c r="AW19">
        <f t="shared" si="5"/>
        <v>2019</v>
      </c>
      <c r="AX19">
        <f t="shared" si="40"/>
        <v>0</v>
      </c>
      <c r="AY19">
        <f t="shared" si="38"/>
        <v>4.1479093939008207</v>
      </c>
      <c r="AZ19">
        <f t="shared" si="6"/>
        <v>-78.054138614633132</v>
      </c>
      <c r="BA19">
        <f t="shared" si="41"/>
        <v>5.9376355951992492</v>
      </c>
      <c r="BB19">
        <f t="shared" si="21"/>
        <v>98.333333333333329</v>
      </c>
      <c r="BC19">
        <f t="shared" si="7"/>
        <v>59</v>
      </c>
      <c r="BD19">
        <f t="shared" si="22"/>
        <v>0</v>
      </c>
      <c r="BE19">
        <f t="shared" si="8"/>
        <v>24</v>
      </c>
      <c r="BF19">
        <f t="shared" si="39"/>
        <v>192</v>
      </c>
      <c r="BU19"/>
      <c r="FD19"/>
      <c r="FE19"/>
    </row>
    <row r="20" spans="1:161" x14ac:dyDescent="0.25">
      <c r="A20" s="7">
        <f t="shared" si="23"/>
        <v>43708</v>
      </c>
      <c r="B20">
        <f t="shared" si="9"/>
        <v>9</v>
      </c>
      <c r="C20">
        <f t="shared" si="10"/>
        <v>0.66666666666666674</v>
      </c>
      <c r="D20">
        <f t="shared" si="11"/>
        <v>0</v>
      </c>
      <c r="E20">
        <f t="shared" si="12"/>
        <v>52</v>
      </c>
      <c r="F20">
        <f>IF(C20&gt;=$T$2,0,VLOOKUP($E20,EKM_F05!$A$3:$C$128,2,TRUE))</f>
        <v>3.7060256410256409E-3</v>
      </c>
      <c r="G20">
        <f>F20*'Real assumptions'!$B$3</f>
        <v>1.5465245E-3</v>
      </c>
      <c r="H20">
        <f t="shared" si="24"/>
        <v>1.2896848313392884E-4</v>
      </c>
      <c r="I20">
        <f t="shared" si="25"/>
        <v>1.2665038298400591E-4</v>
      </c>
      <c r="J20">
        <f>IF(B20&gt;$AJ$2,0,HLOOKUP(C20,'Real assumptions'!$B$5:$L$8,4,TRUE))</f>
        <v>2.7200000000000002E-2</v>
      </c>
      <c r="K20">
        <f t="shared" si="0"/>
        <v>1</v>
      </c>
      <c r="L20">
        <f t="shared" si="26"/>
        <v>8.3333333333333329E-2</v>
      </c>
      <c r="M20">
        <f t="shared" si="27"/>
        <v>2.2954254533781304E-3</v>
      </c>
      <c r="N20">
        <f t="shared" si="28"/>
        <v>2.2566116927293161E-3</v>
      </c>
      <c r="O20" s="8">
        <f t="shared" si="13"/>
        <v>0.98077095654014157</v>
      </c>
      <c r="P20">
        <f t="shared" si="14"/>
        <v>23.595701246780514</v>
      </c>
      <c r="Q20">
        <f t="shared" si="29"/>
        <v>2.7356482724545276E-2</v>
      </c>
      <c r="R20" s="89">
        <f t="shared" si="1"/>
        <v>5000</v>
      </c>
      <c r="S20">
        <f t="shared" si="2"/>
        <v>0.25</v>
      </c>
      <c r="U20">
        <f>O19*AV19*'Real assumptions'!$B$33/12+AX20*'Real assumptions'!$B$34</f>
        <v>9.9030449199720447</v>
      </c>
      <c r="V20">
        <f>IF(P20=0,0,IF(E20&lt;=$C$7,$AN$5*O19,0))*'Real assumptions'!$D$28</f>
        <v>5.8989253116951286</v>
      </c>
      <c r="X20" s="94">
        <f t="shared" si="15"/>
        <v>0</v>
      </c>
      <c r="Y20">
        <f t="shared" si="3"/>
        <v>24</v>
      </c>
      <c r="Z20">
        <f t="shared" si="30"/>
        <v>98</v>
      </c>
      <c r="AA20">
        <f t="shared" si="16"/>
        <v>98.25</v>
      </c>
      <c r="AB20">
        <f t="shared" si="17"/>
        <v>50.505050505050505</v>
      </c>
      <c r="AC20">
        <f t="shared" si="31"/>
        <v>4962.121212121212</v>
      </c>
      <c r="AD20">
        <f t="shared" si="18"/>
        <v>80.505050505050505</v>
      </c>
      <c r="AE20">
        <f t="shared" si="32"/>
        <v>37.878787878787989</v>
      </c>
      <c r="AF20" s="94">
        <f t="shared" si="42"/>
        <v>0</v>
      </c>
      <c r="AG20">
        <f t="shared" si="33"/>
        <v>0</v>
      </c>
      <c r="AH20">
        <f t="shared" si="34"/>
        <v>0</v>
      </c>
      <c r="AI20">
        <f>HLOOKUP(AW20,'Real assumptions'!$A$21:$AK$24,2,TRUE)</f>
        <v>1.4138999999999999</v>
      </c>
      <c r="AJ20" s="123">
        <f t="shared" si="35"/>
        <v>1.1706827682447241E-3</v>
      </c>
      <c r="AK20" s="122">
        <f>(1+HLOOKUP(YEAR(A20),'Real assumptions'!$A$21:$AK$24,2,TRUE)/100)^(1/12)-1</f>
        <v>1.1706827682447241E-3</v>
      </c>
      <c r="AL20">
        <f t="shared" si="36"/>
        <v>14.622185169328148</v>
      </c>
      <c r="AM20">
        <f>('Real assumptions'!$B$33/12)*O19*AV19</f>
        <v>9.9030449199720447</v>
      </c>
      <c r="AN20">
        <f t="shared" si="43"/>
        <v>3.1004631326388576</v>
      </c>
      <c r="AO20">
        <f t="shared" si="44"/>
        <v>3.6296587629583671E-3</v>
      </c>
      <c r="AP20" s="121">
        <f t="shared" si="37"/>
        <v>2.9502025644577174E-2</v>
      </c>
      <c r="AQ20">
        <f t="shared" si="19"/>
        <v>4.7191402493561041</v>
      </c>
      <c r="AR20">
        <v>0</v>
      </c>
      <c r="AS20">
        <f t="shared" si="4"/>
        <v>4.7191402493561041</v>
      </c>
      <c r="AT20">
        <f t="shared" si="20"/>
        <v>4.7191402493561041</v>
      </c>
      <c r="AU20">
        <f>IFERROR(HLOOKUP(B20,'Real assumptions'!$B$43:$AL$44,2,TRUE)*($W$3/$U$2),0)</f>
        <v>4.8000000000000007</v>
      </c>
      <c r="AV20">
        <f>AV19*(1+'Real assumptions'!$B$35)^(1/12)</f>
        <v>1.0083160679753622</v>
      </c>
      <c r="AW20">
        <f t="shared" si="5"/>
        <v>2019</v>
      </c>
      <c r="AX20">
        <f t="shared" si="40"/>
        <v>0</v>
      </c>
      <c r="AY20">
        <f t="shared" si="38"/>
        <v>4.137854455453934</v>
      </c>
      <c r="AZ20">
        <f t="shared" si="6"/>
        <v>-75.098280966666778</v>
      </c>
      <c r="BA20">
        <f t="shared" si="41"/>
        <v>5.9262817944196735</v>
      </c>
      <c r="BB20">
        <f t="shared" si="21"/>
        <v>98.25</v>
      </c>
      <c r="BC20">
        <f t="shared" si="7"/>
        <v>58.949999999999996</v>
      </c>
      <c r="BD20">
        <f t="shared" si="22"/>
        <v>0</v>
      </c>
      <c r="BE20">
        <f t="shared" si="8"/>
        <v>24</v>
      </c>
      <c r="BF20">
        <f t="shared" si="39"/>
        <v>216</v>
      </c>
      <c r="BU20"/>
      <c r="FD20"/>
      <c r="FE20"/>
    </row>
    <row r="21" spans="1:161" x14ac:dyDescent="0.25">
      <c r="A21" s="7">
        <f t="shared" si="23"/>
        <v>43738</v>
      </c>
      <c r="B21">
        <f t="shared" si="9"/>
        <v>10</v>
      </c>
      <c r="C21">
        <f t="shared" si="10"/>
        <v>0.75</v>
      </c>
      <c r="D21">
        <f t="shared" si="11"/>
        <v>0</v>
      </c>
      <c r="E21">
        <f t="shared" si="12"/>
        <v>52</v>
      </c>
      <c r="F21">
        <f>IF(C21&gt;=$T$2,0,VLOOKUP($E21,EKM_F05!$A$3:$C$128,2,TRUE))</f>
        <v>3.7060256410256409E-3</v>
      </c>
      <c r="G21">
        <f>F21*'Real assumptions'!$B$3</f>
        <v>1.5465245E-3</v>
      </c>
      <c r="H21">
        <f t="shared" si="24"/>
        <v>1.2896848313392884E-4</v>
      </c>
      <c r="I21">
        <f t="shared" si="25"/>
        <v>1.2634337005671024E-4</v>
      </c>
      <c r="J21">
        <f>IF(B21&gt;$AJ$2,0,HLOOKUP(C21,'Real assumptions'!$B$5:$L$8,4,TRUE))</f>
        <v>2.7200000000000002E-2</v>
      </c>
      <c r="K21">
        <f t="shared" si="0"/>
        <v>1</v>
      </c>
      <c r="L21">
        <f t="shared" si="26"/>
        <v>8.3333333333333329E-2</v>
      </c>
      <c r="M21">
        <f t="shared" si="27"/>
        <v>2.2954254533781304E-3</v>
      </c>
      <c r="N21">
        <f t="shared" si="28"/>
        <v>2.2511414450661726E-3</v>
      </c>
      <c r="O21" s="8">
        <f t="shared" si="13"/>
        <v>0.97839347172501867</v>
      </c>
      <c r="P21">
        <f t="shared" si="14"/>
        <v>23.538502956963399</v>
      </c>
      <c r="Q21">
        <f t="shared" si="29"/>
        <v>3.0322408813610459E-2</v>
      </c>
      <c r="R21" s="89">
        <f t="shared" si="1"/>
        <v>5000</v>
      </c>
      <c r="S21">
        <f t="shared" si="2"/>
        <v>0.16666666666666663</v>
      </c>
      <c r="U21">
        <f>O20*AV20*'Real assumptions'!$B$33/12+AX21*'Real assumptions'!$B$34</f>
        <v>9.8892711448299035</v>
      </c>
      <c r="V21">
        <f>IF(P21=0,0,IF(E21&lt;=$C$7,$AN$5*O20,0))*'Real assumptions'!$D$28</f>
        <v>5.8846257392408496</v>
      </c>
      <c r="X21" s="94">
        <f t="shared" si="15"/>
        <v>0</v>
      </c>
      <c r="Y21">
        <f t="shared" si="3"/>
        <v>24</v>
      </c>
      <c r="Z21">
        <f t="shared" si="30"/>
        <v>98</v>
      </c>
      <c r="AA21">
        <f t="shared" si="16"/>
        <v>98.166666666666671</v>
      </c>
      <c r="AB21">
        <f t="shared" si="17"/>
        <v>50.505050505050505</v>
      </c>
      <c r="AC21">
        <f t="shared" si="31"/>
        <v>4957.9124579124582</v>
      </c>
      <c r="AD21">
        <f t="shared" si="18"/>
        <v>80.505050505050505</v>
      </c>
      <c r="AE21">
        <f t="shared" si="32"/>
        <v>42.087542087541806</v>
      </c>
      <c r="AF21" s="94">
        <f t="shared" si="42"/>
        <v>0</v>
      </c>
      <c r="AG21">
        <f t="shared" si="33"/>
        <v>0</v>
      </c>
      <c r="AH21">
        <f t="shared" si="34"/>
        <v>0</v>
      </c>
      <c r="AI21">
        <f>HLOOKUP(AW21,'Real assumptions'!$A$21:$AK$24,2,TRUE)</f>
        <v>1.4138999999999999</v>
      </c>
      <c r="AJ21" s="123">
        <f t="shared" si="35"/>
        <v>1.1706827682447241E-3</v>
      </c>
      <c r="AK21" s="122">
        <f>(1+HLOOKUP(YEAR(A21),'Real assumptions'!$A$21:$AK$24,2,TRUE)/100)^(1/12)-1</f>
        <v>1.1706827682447241E-3</v>
      </c>
      <c r="AL21">
        <f t="shared" si="36"/>
        <v>14.596971736222585</v>
      </c>
      <c r="AM21">
        <f>('Real assumptions'!$B$33/12)*O20*AV20</f>
        <v>9.8892711448299035</v>
      </c>
      <c r="AN21">
        <f t="shared" si="43"/>
        <v>3.0864075071445427</v>
      </c>
      <c r="AO21">
        <f t="shared" si="44"/>
        <v>3.6132040843952712E-3</v>
      </c>
      <c r="AP21" s="121">
        <f t="shared" si="37"/>
        <v>3.3115229728972448E-2</v>
      </c>
      <c r="AQ21">
        <f t="shared" si="19"/>
        <v>4.7077005913926806</v>
      </c>
      <c r="AR21">
        <v>0</v>
      </c>
      <c r="AS21">
        <f t="shared" si="4"/>
        <v>4.7077005913926806</v>
      </c>
      <c r="AT21">
        <f t="shared" si="20"/>
        <v>4.7077005913926806</v>
      </c>
      <c r="AU21">
        <f>IFERROR(HLOOKUP(B21,'Real assumptions'!$B$43:$AL$44,2,TRUE)*($W$3/$U$2),0)</f>
        <v>4.8000000000000007</v>
      </c>
      <c r="AV21">
        <f>AV20*(1+'Real assumptions'!$B$35)^(1/12)</f>
        <v>1.009360427324324</v>
      </c>
      <c r="AW21">
        <f t="shared" si="5"/>
        <v>2019</v>
      </c>
      <c r="AX21">
        <f t="shared" si="40"/>
        <v>0</v>
      </c>
      <c r="AY21">
        <f t="shared" si="38"/>
        <v>4.1278238911622118</v>
      </c>
      <c r="AZ21">
        <f t="shared" si="6"/>
        <v>-72.159614157432912</v>
      </c>
      <c r="BA21">
        <f t="shared" si="41"/>
        <v>5.9149481480544601</v>
      </c>
      <c r="BB21">
        <f t="shared" si="21"/>
        <v>98.166666666666671</v>
      </c>
      <c r="BC21">
        <f t="shared" si="7"/>
        <v>58.900000000000006</v>
      </c>
      <c r="BD21">
        <f t="shared" si="22"/>
        <v>0</v>
      </c>
      <c r="BE21">
        <f t="shared" si="8"/>
        <v>24</v>
      </c>
      <c r="BF21">
        <f t="shared" si="39"/>
        <v>240</v>
      </c>
      <c r="BU21"/>
      <c r="FD21"/>
      <c r="FE21"/>
    </row>
    <row r="22" spans="1:161" x14ac:dyDescent="0.25">
      <c r="A22" s="7">
        <f t="shared" si="23"/>
        <v>43769</v>
      </c>
      <c r="B22">
        <f t="shared" si="9"/>
        <v>11</v>
      </c>
      <c r="C22">
        <f t="shared" si="10"/>
        <v>0.83333333333333326</v>
      </c>
      <c r="D22">
        <f t="shared" si="11"/>
        <v>0</v>
      </c>
      <c r="E22">
        <f t="shared" si="12"/>
        <v>52</v>
      </c>
      <c r="F22">
        <f>IF(C22&gt;=$T$2,0,VLOOKUP($E22,EKM_F05!$A$3:$C$128,2,TRUE))</f>
        <v>3.7060256410256409E-3</v>
      </c>
      <c r="G22">
        <f>F22*'Real assumptions'!$B$3</f>
        <v>1.5465245E-3</v>
      </c>
      <c r="H22">
        <f t="shared" si="24"/>
        <v>1.2896848313392884E-4</v>
      </c>
      <c r="I22">
        <f t="shared" si="25"/>
        <v>1.2603710135880659E-4</v>
      </c>
      <c r="J22">
        <f>IF(B22&gt;$AJ$2,0,HLOOKUP(C22,'Real assumptions'!$B$5:$L$8,4,TRUE))</f>
        <v>2.7200000000000002E-2</v>
      </c>
      <c r="K22">
        <f t="shared" si="0"/>
        <v>1</v>
      </c>
      <c r="L22">
        <f t="shared" si="26"/>
        <v>8.3333333333333329E-2</v>
      </c>
      <c r="M22">
        <f t="shared" si="27"/>
        <v>2.2954254533781304E-3</v>
      </c>
      <c r="N22">
        <f t="shared" si="28"/>
        <v>2.2456844578188965E-3</v>
      </c>
      <c r="O22" s="8">
        <f t="shared" si="13"/>
        <v>0.97602175016584092</v>
      </c>
      <c r="P22">
        <f t="shared" si="14"/>
        <v>23.481443321400448</v>
      </c>
      <c r="Q22">
        <f t="shared" si="29"/>
        <v>3.3273794758724939E-2</v>
      </c>
      <c r="R22" s="89">
        <f t="shared" si="1"/>
        <v>5000</v>
      </c>
      <c r="S22">
        <f t="shared" si="2"/>
        <v>8.333333333333337E-2</v>
      </c>
      <c r="U22">
        <f>O21*AV21*'Real assumptions'!$B$33/12+AX22*'Real assumptions'!$B$34</f>
        <v>9.8755165271169378</v>
      </c>
      <c r="V22">
        <f>IF(P22=0,0,IF(E22&lt;=$C$7,$AN$5*O21,0))*'Real assumptions'!$D$28</f>
        <v>5.870360830350112</v>
      </c>
      <c r="X22" s="94">
        <f t="shared" si="15"/>
        <v>0</v>
      </c>
      <c r="Y22">
        <f t="shared" si="3"/>
        <v>24</v>
      </c>
      <c r="Z22">
        <f t="shared" si="30"/>
        <v>98</v>
      </c>
      <c r="AA22">
        <f t="shared" si="16"/>
        <v>98.083333333333329</v>
      </c>
      <c r="AB22">
        <f t="shared" si="17"/>
        <v>50.505050505050505</v>
      </c>
      <c r="AC22">
        <f t="shared" si="31"/>
        <v>4953.7037037037035</v>
      </c>
      <c r="AD22">
        <f t="shared" si="18"/>
        <v>80.505050505050505</v>
      </c>
      <c r="AE22">
        <f t="shared" si="32"/>
        <v>46.296296296296532</v>
      </c>
      <c r="AF22" s="94">
        <f t="shared" si="42"/>
        <v>0</v>
      </c>
      <c r="AG22">
        <f t="shared" si="33"/>
        <v>0</v>
      </c>
      <c r="AH22">
        <f t="shared" si="34"/>
        <v>0</v>
      </c>
      <c r="AI22">
        <f>HLOOKUP(AW22,'Real assumptions'!$A$21:$AK$24,2,TRUE)</f>
        <v>1.4138999999999999</v>
      </c>
      <c r="AJ22" s="123">
        <f t="shared" si="35"/>
        <v>1.1706827682447241E-3</v>
      </c>
      <c r="AK22" s="122">
        <f>(1+HLOOKUP(YEAR(A22),'Real assumptions'!$A$21:$AK$24,2,TRUE)/100)^(1/12)-1</f>
        <v>1.1706827682447241E-3</v>
      </c>
      <c r="AL22">
        <f t="shared" si="36"/>
        <v>14.571805191397029</v>
      </c>
      <c r="AM22">
        <f>('Real assumptions'!$B$33/12)*O21*AV21</f>
        <v>9.8755165271169378</v>
      </c>
      <c r="AN22">
        <f t="shared" si="43"/>
        <v>3.0723925293822809</v>
      </c>
      <c r="AO22">
        <f t="shared" ref="AO22:AO28" si="45">AN22*AJ22</f>
        <v>3.5967969914316583E-3</v>
      </c>
      <c r="AP22" s="121">
        <f t="shared" si="37"/>
        <v>3.6712026720404106E-2</v>
      </c>
      <c r="AQ22">
        <f t="shared" si="19"/>
        <v>4.6962886642800905</v>
      </c>
      <c r="AR22">
        <v>0</v>
      </c>
      <c r="AS22">
        <f t="shared" si="4"/>
        <v>4.6962886642800905</v>
      </c>
      <c r="AT22">
        <f t="shared" si="20"/>
        <v>4.6962886642800905</v>
      </c>
      <c r="AU22">
        <f>IFERROR(HLOOKUP(B22,'Real assumptions'!$B$43:$AL$44,2,TRUE)*($W$3/$U$2),0)</f>
        <v>4.8000000000000007</v>
      </c>
      <c r="AV22">
        <f>AV21*(1+'Real assumptions'!$B$35)^(1/12)</f>
        <v>1.0104058683643193</v>
      </c>
      <c r="AW22">
        <f t="shared" si="5"/>
        <v>2019</v>
      </c>
      <c r="AX22">
        <f t="shared" si="40"/>
        <v>0</v>
      </c>
      <c r="AY22">
        <f t="shared" si="38"/>
        <v>4.1178176419403139</v>
      </c>
      <c r="AZ22">
        <f t="shared" si="6"/>
        <v>-69.238086669395628</v>
      </c>
      <c r="BA22">
        <f t="shared" si="41"/>
        <v>5.903634625108837</v>
      </c>
      <c r="BB22">
        <f t="shared" si="21"/>
        <v>98.083333333333329</v>
      </c>
      <c r="BC22">
        <f t="shared" si="7"/>
        <v>58.849999999999994</v>
      </c>
      <c r="BD22">
        <f t="shared" si="22"/>
        <v>0</v>
      </c>
      <c r="BE22">
        <f t="shared" si="8"/>
        <v>24</v>
      </c>
      <c r="BF22">
        <f t="shared" si="39"/>
        <v>264</v>
      </c>
      <c r="BU22"/>
      <c r="FD22"/>
      <c r="FE22"/>
    </row>
    <row r="23" spans="1:161" x14ac:dyDescent="0.25">
      <c r="A23" s="7">
        <f t="shared" si="23"/>
        <v>43799</v>
      </c>
      <c r="B23">
        <f t="shared" si="9"/>
        <v>12</v>
      </c>
      <c r="C23">
        <f t="shared" si="10"/>
        <v>0.91666666666666674</v>
      </c>
      <c r="D23">
        <f t="shared" si="11"/>
        <v>0</v>
      </c>
      <c r="E23">
        <f t="shared" si="12"/>
        <v>52</v>
      </c>
      <c r="F23">
        <f>IF(C23&gt;=$T$2,0,VLOOKUP($E23,EKM_F05!$A$3:$C$128,2,TRUE))</f>
        <v>3.7060256410256409E-3</v>
      </c>
      <c r="G23">
        <f>F23*'Real assumptions'!$B$3</f>
        <v>1.5465245E-3</v>
      </c>
      <c r="H23">
        <f t="shared" si="24"/>
        <v>1.2896848313392884E-4</v>
      </c>
      <c r="I23">
        <f>H23*O22*(1-M23/2)</f>
        <v>1.2573157508621001E-4</v>
      </c>
      <c r="J23">
        <f>IF(B23&gt;$AJ$2,0,HLOOKUP(C23,'Real assumptions'!$B$5:$L$8,4,TRUE))</f>
        <v>2.7200000000000002E-2</v>
      </c>
      <c r="K23">
        <f t="shared" si="0"/>
        <v>1</v>
      </c>
      <c r="L23">
        <f t="shared" si="26"/>
        <v>8.3333333333333329E-2</v>
      </c>
      <c r="M23">
        <f t="shared" si="27"/>
        <v>2.2954254533781304E-3</v>
      </c>
      <c r="N23">
        <f t="shared" si="28"/>
        <v>2.2402406988429407E-3</v>
      </c>
      <c r="O23" s="8">
        <f t="shared" si="13"/>
        <v>0.97365577789191171</v>
      </c>
      <c r="P23">
        <f t="shared" si="14"/>
        <v>23.424522003980183</v>
      </c>
      <c r="Q23">
        <f t="shared" si="29"/>
        <v>3.6210693624828483E-2</v>
      </c>
      <c r="R23" s="89">
        <f t="shared" si="1"/>
        <v>5000</v>
      </c>
      <c r="S23">
        <f t="shared" si="2"/>
        <v>1</v>
      </c>
      <c r="U23">
        <f>O22*AV22*'Real assumptions'!$B$33/12+AX23*'Real assumptions'!$B$34</f>
        <v>9.8617810401877914</v>
      </c>
      <c r="V23">
        <f>IF(P23=0,0,IF(E23&lt;=$C$7,$AN$5*O22,0))*'Real assumptions'!$D$28</f>
        <v>5.8561305009950457</v>
      </c>
      <c r="X23" s="94">
        <f t="shared" si="15"/>
        <v>0</v>
      </c>
      <c r="Y23">
        <f t="shared" si="3"/>
        <v>24</v>
      </c>
      <c r="Z23">
        <f t="shared" si="30"/>
        <v>98</v>
      </c>
      <c r="AA23">
        <f t="shared" si="16"/>
        <v>98</v>
      </c>
      <c r="AB23">
        <f t="shared" si="17"/>
        <v>50.505050505050505</v>
      </c>
      <c r="AC23">
        <f t="shared" si="31"/>
        <v>4949.4949494949497</v>
      </c>
      <c r="AD23">
        <f t="shared" si="18"/>
        <v>80.505050505050505</v>
      </c>
      <c r="AE23">
        <f t="shared" si="32"/>
        <v>50.505050505050349</v>
      </c>
      <c r="AF23" s="94">
        <f t="shared" si="42"/>
        <v>0</v>
      </c>
      <c r="AG23">
        <f t="shared" si="33"/>
        <v>0</v>
      </c>
      <c r="AH23">
        <f t="shared" si="34"/>
        <v>0</v>
      </c>
      <c r="AI23">
        <f>HLOOKUP(AW23,'Real assumptions'!$A$21:$AK$24,2,TRUE)</f>
        <v>1.4138999999999999</v>
      </c>
      <c r="AJ23" s="123">
        <f t="shared" si="35"/>
        <v>1.1706827682447241E-3</v>
      </c>
      <c r="AK23" s="122">
        <f>(1+HLOOKUP(YEAR(A23),'Real assumptions'!$A$21:$AK$24,2,TRUE)/100)^(1/12)-1</f>
        <v>1.1706827682447241E-3</v>
      </c>
      <c r="AL23">
        <f t="shared" si="36"/>
        <v>14.546685440983829</v>
      </c>
      <c r="AM23">
        <f>('Real assumptions'!$B$33/12)*O22*AV22</f>
        <v>9.8617810401877932</v>
      </c>
      <c r="AN23">
        <f t="shared" si="43"/>
        <v>3.0584180887217123</v>
      </c>
      <c r="AO23">
        <f t="shared" si="45"/>
        <v>3.5804373545544723E-3</v>
      </c>
      <c r="AP23" s="121">
        <f t="shared" si="37"/>
        <v>4.0292464074958581E-2</v>
      </c>
      <c r="AQ23">
        <f t="shared" si="19"/>
        <v>4.6849044007960368</v>
      </c>
      <c r="AR23">
        <v>0</v>
      </c>
      <c r="AS23">
        <f t="shared" si="4"/>
        <v>4.6849044007960368</v>
      </c>
      <c r="AT23">
        <f t="shared" si="20"/>
        <v>4.6849044007960368</v>
      </c>
      <c r="AU23">
        <f>IFERROR(HLOOKUP(B23,'Real assumptions'!$B$43:$AL$44,2,TRUE)*($W$3/$U$2),0)</f>
        <v>4.8000000000000007</v>
      </c>
      <c r="AV23">
        <f>AV22*(1+'Real assumptions'!$B$35)^(1/12)</f>
        <v>1.0114523922157055</v>
      </c>
      <c r="AW23">
        <f t="shared" si="5"/>
        <v>2019</v>
      </c>
      <c r="AX23">
        <f t="shared" si="40"/>
        <v>0</v>
      </c>
      <c r="AY23">
        <f t="shared" si="38"/>
        <v>4.1078356488461312</v>
      </c>
      <c r="AZ23">
        <f t="shared" si="6"/>
        <v>-66.333647135989253</v>
      </c>
      <c r="BA23">
        <f t="shared" si="41"/>
        <v>5.892341194619874</v>
      </c>
      <c r="BB23">
        <f t="shared" si="21"/>
        <v>98</v>
      </c>
      <c r="BC23">
        <f t="shared" si="7"/>
        <v>58.8</v>
      </c>
      <c r="BD23">
        <f t="shared" si="22"/>
        <v>0</v>
      </c>
      <c r="BE23">
        <f t="shared" si="8"/>
        <v>24</v>
      </c>
      <c r="BF23">
        <f t="shared" si="39"/>
        <v>288</v>
      </c>
      <c r="BU23"/>
      <c r="FD23"/>
      <c r="FE23"/>
    </row>
    <row r="24" spans="1:161" x14ac:dyDescent="0.25">
      <c r="A24" s="7">
        <f t="shared" si="23"/>
        <v>43830</v>
      </c>
      <c r="B24">
        <f t="shared" si="9"/>
        <v>13</v>
      </c>
      <c r="C24">
        <f t="shared" si="10"/>
        <v>1</v>
      </c>
      <c r="D24">
        <f t="shared" si="11"/>
        <v>1</v>
      </c>
      <c r="E24">
        <f t="shared" si="12"/>
        <v>53</v>
      </c>
      <c r="F24">
        <f>IF(C24&gt;=$T$2,0,VLOOKUP($E24,EKM_F05!$A$3:$C$128,2,TRUE))</f>
        <v>4.0861538461538461E-3</v>
      </c>
      <c r="G24">
        <f>F24*'Real assumptions'!$B$3</f>
        <v>1.7051519999999999E-3</v>
      </c>
      <c r="H24">
        <f t="shared" si="24"/>
        <v>1.4220717313362385E-4</v>
      </c>
      <c r="I24">
        <f t="shared" si="25"/>
        <v>1.3786200135436767E-4</v>
      </c>
      <c r="J24">
        <f>IF(B24&gt;$AJ$2,0,HLOOKUP(C24,'Real assumptions'!$B$5:$L$8,4,TRUE))</f>
        <v>9.9000000000000005E-2</v>
      </c>
      <c r="K24">
        <f t="shared" si="0"/>
        <v>1</v>
      </c>
      <c r="L24">
        <f t="shared" si="26"/>
        <v>8.3333333333333329E-2</v>
      </c>
      <c r="M24">
        <f t="shared" si="27"/>
        <v>8.6498744788083837E-3</v>
      </c>
      <c r="N24">
        <f t="shared" si="28"/>
        <v>8.4214014299067112E-3</v>
      </c>
      <c r="O24" s="8">
        <f t="shared" si="13"/>
        <v>0.9650965144606507</v>
      </c>
      <c r="P24">
        <f t="shared" si="14"/>
        <v>23.367738669405881</v>
      </c>
      <c r="Q24">
        <f t="shared" si="29"/>
        <v>0.6893100067718384</v>
      </c>
      <c r="R24" s="89">
        <f t="shared" si="1"/>
        <v>5000</v>
      </c>
      <c r="S24">
        <f t="shared" si="2"/>
        <v>0.91666666666666674</v>
      </c>
      <c r="U24">
        <f>O23*AV23*'Real assumptions'!$B$33/12+AX24*'Real assumptions'!$B$34</f>
        <v>9.8480646574341772</v>
      </c>
      <c r="V24">
        <f>IF(P24=0,0,IF(E24&lt;=$C$7,$AN$5*O23,0))*'Real assumptions'!$D$28</f>
        <v>5.8419346673514703</v>
      </c>
      <c r="X24" s="94">
        <f t="shared" si="15"/>
        <v>0</v>
      </c>
      <c r="Y24">
        <f t="shared" si="3"/>
        <v>24</v>
      </c>
      <c r="Z24">
        <f t="shared" si="30"/>
        <v>98</v>
      </c>
      <c r="AA24">
        <f t="shared" si="16"/>
        <v>97.916666666666671</v>
      </c>
      <c r="AB24">
        <f t="shared" si="17"/>
        <v>50.505050505050505</v>
      </c>
      <c r="AC24">
        <f t="shared" si="31"/>
        <v>4945.2861952861958</v>
      </c>
      <c r="AD24">
        <f t="shared" si="18"/>
        <v>80.505050505050505</v>
      </c>
      <c r="AE24">
        <f t="shared" si="32"/>
        <v>54.713804713804166</v>
      </c>
      <c r="AF24" s="94">
        <f t="shared" si="42"/>
        <v>0</v>
      </c>
      <c r="AG24">
        <f t="shared" si="33"/>
        <v>0</v>
      </c>
      <c r="AH24">
        <f t="shared" si="34"/>
        <v>0</v>
      </c>
      <c r="AI24">
        <f>HLOOKUP(AW24,'Real assumptions'!$A$21:$AK$24,2,TRUE)</f>
        <v>1.4138999999999999</v>
      </c>
      <c r="AJ24" s="123">
        <f t="shared" si="35"/>
        <v>1.1706827682447241E-3</v>
      </c>
      <c r="AK24" s="122">
        <f>(1+HLOOKUP(YEAR(A24),'Real assumptions'!$A$21:$AK$24,2,TRUE)/100)^(1/12)-1</f>
        <v>1.1706827682447241E-3</v>
      </c>
      <c r="AL24">
        <f t="shared" si="36"/>
        <v>12.184838524374765</v>
      </c>
      <c r="AM24">
        <f>('Real assumptions'!$B$33/12)*O23*AV23</f>
        <v>9.8480646574341772</v>
      </c>
      <c r="AN24">
        <f t="shared" si="43"/>
        <v>5.3812579417546047</v>
      </c>
      <c r="AO24">
        <f t="shared" si="45"/>
        <v>6.2997459438921865E-3</v>
      </c>
      <c r="AP24" s="121">
        <f t="shared" si="37"/>
        <v>0</v>
      </c>
      <c r="AQ24">
        <f t="shared" si="19"/>
        <v>2.3367738669405886</v>
      </c>
      <c r="AR24">
        <v>0</v>
      </c>
      <c r="AS24">
        <f t="shared" si="4"/>
        <v>2.3367738669405886</v>
      </c>
      <c r="AT24">
        <f t="shared" si="20"/>
        <v>2.3367738669405886</v>
      </c>
      <c r="AU24">
        <f>IFERROR(HLOOKUP(B24,'Real assumptions'!$B$43:$AL$44,2,TRUE)*($W$3/$U$2),0)</f>
        <v>2.4000000000000004</v>
      </c>
      <c r="AV24">
        <f>AV23*(1+'Real assumptions'!$B$35)^(1/12)</f>
        <v>1.0125</v>
      </c>
      <c r="AW24">
        <f t="shared" si="5"/>
        <v>2019</v>
      </c>
      <c r="AX24">
        <f t="shared" si="40"/>
        <v>0</v>
      </c>
      <c r="AY24">
        <f>IF(P24=0,0,(AB24/$U$2)*O23)</f>
        <v>4.0978778530804361</v>
      </c>
      <c r="AZ24">
        <f t="shared" si="6"/>
        <v>-61.759647322738381</v>
      </c>
      <c r="BA24">
        <f t="shared" si="41"/>
        <v>6.5312446741233083</v>
      </c>
      <c r="BB24">
        <f t="shared" si="21"/>
        <v>97.916666666666671</v>
      </c>
      <c r="BC24">
        <f t="shared" si="7"/>
        <v>58.75</v>
      </c>
      <c r="BD24">
        <f t="shared" si="22"/>
        <v>0</v>
      </c>
      <c r="BE24">
        <f t="shared" si="8"/>
        <v>24</v>
      </c>
      <c r="BF24">
        <f t="shared" si="39"/>
        <v>5000</v>
      </c>
      <c r="BU24"/>
      <c r="FD24"/>
      <c r="FE24"/>
    </row>
    <row r="25" spans="1:161" x14ac:dyDescent="0.25">
      <c r="A25" s="7">
        <f t="shared" si="23"/>
        <v>43861</v>
      </c>
      <c r="B25">
        <f t="shared" si="9"/>
        <v>14</v>
      </c>
      <c r="C25">
        <f t="shared" si="10"/>
        <v>1.0833333333333335</v>
      </c>
      <c r="D25">
        <f t="shared" si="11"/>
        <v>0</v>
      </c>
      <c r="E25">
        <f t="shared" si="12"/>
        <v>53</v>
      </c>
      <c r="F25">
        <f>IF(C25&gt;=$T$2,0,VLOOKUP($E25,EKM_F05!$A$3:$C$128,2,TRUE))</f>
        <v>4.0861538461538461E-3</v>
      </c>
      <c r="G25">
        <f>F25*'Real assumptions'!$B$3</f>
        <v>1.7051519999999999E-3</v>
      </c>
      <c r="H25">
        <f t="shared" si="24"/>
        <v>1.4220717313362385E-4</v>
      </c>
      <c r="I25">
        <f t="shared" si="25"/>
        <v>1.3665007696225066E-4</v>
      </c>
      <c r="J25">
        <f>IF(B25&gt;$AJ$2,0,HLOOKUP(C25,'Real assumptions'!$B$5:$L$8,4,TRUE))</f>
        <v>9.9000000000000005E-2</v>
      </c>
      <c r="K25">
        <f t="shared" si="0"/>
        <v>1</v>
      </c>
      <c r="L25">
        <f t="shared" si="26"/>
        <v>8.3333333333333329E-2</v>
      </c>
      <c r="M25">
        <f t="shared" si="27"/>
        <v>8.6498744788083837E-3</v>
      </c>
      <c r="N25">
        <f t="shared" si="28"/>
        <v>8.3473701398597971E-3</v>
      </c>
      <c r="O25" s="8">
        <f t="shared" si="13"/>
        <v>0.95661249424382866</v>
      </c>
      <c r="P25">
        <f t="shared" si="14"/>
        <v>23.162316347055615</v>
      </c>
      <c r="Q25">
        <f t="shared" si="29"/>
        <v>0.68325038481125333</v>
      </c>
      <c r="R25" s="89">
        <f t="shared" si="1"/>
        <v>5000</v>
      </c>
      <c r="S25">
        <f t="shared" si="2"/>
        <v>0.83333333333333326</v>
      </c>
      <c r="U25">
        <f>O24*AV24*'Real assumptions'!$B$33/12+AX25*'Real assumptions'!$B$34</f>
        <v>9.7716022089140875</v>
      </c>
      <c r="V25">
        <f>IF(P25=0,0,IF(E25&lt;=$C$7,$AN$5*O24,0))*'Real assumptions'!$D$28</f>
        <v>5.7905790867639038</v>
      </c>
      <c r="X25" s="94">
        <f t="shared" si="15"/>
        <v>0</v>
      </c>
      <c r="Y25">
        <f t="shared" si="3"/>
        <v>24</v>
      </c>
      <c r="Z25">
        <f t="shared" si="30"/>
        <v>97</v>
      </c>
      <c r="AA25">
        <f t="shared" si="16"/>
        <v>97.833333333333329</v>
      </c>
      <c r="AB25">
        <f t="shared" si="17"/>
        <v>50.505050505050505</v>
      </c>
      <c r="AC25">
        <f t="shared" si="31"/>
        <v>4941.0774410774411</v>
      </c>
      <c r="AD25">
        <f t="shared" si="18"/>
        <v>80.505050505050505</v>
      </c>
      <c r="AE25">
        <f t="shared" si="32"/>
        <v>58.922558922558892</v>
      </c>
      <c r="AF25" s="94">
        <f t="shared" si="42"/>
        <v>0</v>
      </c>
      <c r="AG25">
        <f t="shared" si="33"/>
        <v>0</v>
      </c>
      <c r="AH25">
        <f t="shared" si="34"/>
        <v>0</v>
      </c>
      <c r="AI25">
        <f>HLOOKUP(AW25,'Real assumptions'!$A$21:$AK$24,2,TRUE)</f>
        <v>1.6095999999999999</v>
      </c>
      <c r="AJ25" s="123">
        <f t="shared" si="35"/>
        <v>1.3315384513001849E-3</v>
      </c>
      <c r="AK25" s="122">
        <f>(1+HLOOKUP(YEAR(A25),'Real assumptions'!$A$21:$AK$24,2,TRUE)/100)^(1/12)-1</f>
        <v>1.3315384513001849E-3</v>
      </c>
      <c r="AL25">
        <f t="shared" si="36"/>
        <v>12.087833843619649</v>
      </c>
      <c r="AM25">
        <f>('Real assumptions'!$B$33/12)*O24*AV24</f>
        <v>9.7716022089140875</v>
      </c>
      <c r="AN25">
        <f t="shared" si="43"/>
        <v>5.2839034166720609</v>
      </c>
      <c r="AO25">
        <f t="shared" si="45"/>
        <v>7.0357205722552715E-3</v>
      </c>
      <c r="AP25" s="121">
        <f t="shared" si="37"/>
        <v>7.0357205722552715E-3</v>
      </c>
      <c r="AQ25">
        <f t="shared" si="19"/>
        <v>2.316231634705562</v>
      </c>
      <c r="AR25">
        <v>0</v>
      </c>
      <c r="AS25">
        <f t="shared" si="4"/>
        <v>2.316231634705562</v>
      </c>
      <c r="AT25">
        <f t="shared" si="20"/>
        <v>2.316231634705562</v>
      </c>
      <c r="AU25">
        <f>IFERROR(HLOOKUP(B25,'Real assumptions'!$B$43:$AL$44,2,TRUE)*($W$3/$U$2),0)</f>
        <v>2.4000000000000004</v>
      </c>
      <c r="AV25">
        <f>AV24*(1+'Real assumptions'!$B$35)^(1/12)</f>
        <v>1.013548692839882</v>
      </c>
      <c r="AW25">
        <f t="shared" si="5"/>
        <v>2020</v>
      </c>
      <c r="AX25">
        <f t="shared" si="40"/>
        <v>0</v>
      </c>
      <c r="AY25">
        <f t="shared" si="38"/>
        <v>4.0618540170902806</v>
      </c>
      <c r="AZ25">
        <f t="shared" si="6"/>
        <v>-57.241229636026539</v>
      </c>
      <c r="BA25">
        <f t="shared" si="41"/>
        <v>6.473829471575157</v>
      </c>
      <c r="BB25">
        <f t="shared" si="21"/>
        <v>97.833333333333329</v>
      </c>
      <c r="BC25">
        <f t="shared" si="7"/>
        <v>58.699999999999989</v>
      </c>
      <c r="BD25">
        <f t="shared" si="22"/>
        <v>0</v>
      </c>
      <c r="BE25">
        <f t="shared" si="8"/>
        <v>24</v>
      </c>
      <c r="BF25">
        <f t="shared" si="39"/>
        <v>5000</v>
      </c>
      <c r="BU25"/>
      <c r="FD25"/>
      <c r="FE25"/>
    </row>
    <row r="26" spans="1:161" x14ac:dyDescent="0.25">
      <c r="A26" s="7">
        <f t="shared" si="23"/>
        <v>43890</v>
      </c>
      <c r="B26">
        <f t="shared" si="9"/>
        <v>15</v>
      </c>
      <c r="C26">
        <f t="shared" si="10"/>
        <v>1.1666666666666665</v>
      </c>
      <c r="D26">
        <f t="shared" si="11"/>
        <v>0</v>
      </c>
      <c r="E26">
        <f t="shared" si="12"/>
        <v>53</v>
      </c>
      <c r="F26">
        <f>IF(C26&gt;=$T$2,0,VLOOKUP($E26,EKM_F05!$A$3:$C$128,2,TRUE))</f>
        <v>4.0861538461538461E-3</v>
      </c>
      <c r="G26">
        <f>F26*'Real assumptions'!$B$3</f>
        <v>1.7051519999999999E-3</v>
      </c>
      <c r="H26">
        <f t="shared" si="24"/>
        <v>1.4220717313362385E-4</v>
      </c>
      <c r="I26">
        <f t="shared" si="25"/>
        <v>1.3544880641758815E-4</v>
      </c>
      <c r="J26">
        <f>IF(B26&gt;$AJ$2,0,HLOOKUP(C26,'Real assumptions'!$B$5:$L$8,4,TRUE))</f>
        <v>9.9000000000000005E-2</v>
      </c>
      <c r="K26">
        <f t="shared" si="0"/>
        <v>1</v>
      </c>
      <c r="L26">
        <f t="shared" si="26"/>
        <v>8.3333333333333329E-2</v>
      </c>
      <c r="M26">
        <f t="shared" si="27"/>
        <v>8.6498744788083837E-3</v>
      </c>
      <c r="N26">
        <f t="shared" si="28"/>
        <v>8.2739896478957933E-3</v>
      </c>
      <c r="O26" s="8">
        <f t="shared" si="13"/>
        <v>0.94820305578951525</v>
      </c>
      <c r="P26">
        <f t="shared" si="14"/>
        <v>22.958699861851887</v>
      </c>
      <c r="Q26">
        <f t="shared" si="29"/>
        <v>0.67724403208794071</v>
      </c>
      <c r="R26" s="89">
        <f t="shared" si="1"/>
        <v>5000</v>
      </c>
      <c r="S26">
        <f t="shared" si="2"/>
        <v>0.75</v>
      </c>
      <c r="U26">
        <f>O25*AV25*'Real assumptions'!$B$33/12+AX26*'Real assumptions'!$B$34</f>
        <v>9.6957334309513161</v>
      </c>
      <c r="V26">
        <f>IF(P26=0,0,IF(E26&lt;=$C$7,$AN$5*O25,0))*'Real assumptions'!$D$28</f>
        <v>5.7396749654629717</v>
      </c>
      <c r="X26" s="94">
        <f t="shared" si="15"/>
        <v>0</v>
      </c>
      <c r="Y26">
        <f t="shared" si="3"/>
        <v>24</v>
      </c>
      <c r="Z26">
        <f t="shared" si="30"/>
        <v>97</v>
      </c>
      <c r="AA26">
        <f t="shared" si="16"/>
        <v>97.75</v>
      </c>
      <c r="AB26">
        <f t="shared" si="17"/>
        <v>50.505050505050505</v>
      </c>
      <c r="AC26">
        <f t="shared" si="31"/>
        <v>4936.8686868686873</v>
      </c>
      <c r="AD26">
        <f t="shared" si="18"/>
        <v>80.505050505050505</v>
      </c>
      <c r="AE26">
        <f t="shared" si="32"/>
        <v>63.131313131312709</v>
      </c>
      <c r="AF26" s="94">
        <f t="shared" si="42"/>
        <v>0</v>
      </c>
      <c r="AG26">
        <f t="shared" si="33"/>
        <v>0</v>
      </c>
      <c r="AH26">
        <f t="shared" si="34"/>
        <v>0</v>
      </c>
      <c r="AI26">
        <f>HLOOKUP(AW26,'Real assumptions'!$A$21:$AK$24,2,TRUE)</f>
        <v>1.6095999999999999</v>
      </c>
      <c r="AJ26" s="123">
        <f t="shared" si="35"/>
        <v>1.3315384513001849E-3</v>
      </c>
      <c r="AK26" s="122">
        <f>(1+HLOOKUP(YEAR(A26),'Real assumptions'!$A$21:$AK$24,2,TRUE)/100)^(1/12)-1</f>
        <v>1.3315384513001849E-3</v>
      </c>
      <c r="AL26">
        <f t="shared" si="36"/>
        <v>11.991603417136506</v>
      </c>
      <c r="AM26">
        <f>('Real assumptions'!$B$33/12)*O25*AV25</f>
        <v>9.6957334309513161</v>
      </c>
      <c r="AN26">
        <f t="shared" si="43"/>
        <v>5.2344571998246643</v>
      </c>
      <c r="AO26">
        <f t="shared" si="45"/>
        <v>6.9698810332516356E-3</v>
      </c>
      <c r="AP26" s="121">
        <f t="shared" si="37"/>
        <v>1.4005601605506908E-2</v>
      </c>
      <c r="AQ26">
        <f t="shared" si="19"/>
        <v>2.2958699861851892</v>
      </c>
      <c r="AR26">
        <v>0</v>
      </c>
      <c r="AS26">
        <f t="shared" si="4"/>
        <v>2.2958699861851892</v>
      </c>
      <c r="AT26">
        <f t="shared" si="20"/>
        <v>2.2958699861851892</v>
      </c>
      <c r="AU26">
        <f>IFERROR(HLOOKUP(B26,'Real assumptions'!$B$43:$AL$44,2,TRUE)*($W$3/$U$2),0)</f>
        <v>2.4000000000000004</v>
      </c>
      <c r="AV26">
        <f>AV25*(1+'Real assumptions'!$B$35)^(1/12)</f>
        <v>1.0145984718591936</v>
      </c>
      <c r="AW26">
        <f t="shared" si="5"/>
        <v>2020</v>
      </c>
      <c r="AX26">
        <f t="shared" si="40"/>
        <v>0</v>
      </c>
      <c r="AY26">
        <f t="shared" si="38"/>
        <v>4.0261468612955751</v>
      </c>
      <c r="AZ26">
        <f t="shared" si="6"/>
        <v>-52.76727108712214</v>
      </c>
      <c r="BA26">
        <f t="shared" si="41"/>
        <v>6.416918997550912</v>
      </c>
      <c r="BB26">
        <f t="shared" si="21"/>
        <v>97.75</v>
      </c>
      <c r="BC26">
        <f t="shared" si="7"/>
        <v>58.65</v>
      </c>
      <c r="BD26">
        <f t="shared" si="22"/>
        <v>0</v>
      </c>
      <c r="BE26">
        <f t="shared" si="8"/>
        <v>24</v>
      </c>
      <c r="BF26">
        <f t="shared" si="39"/>
        <v>5000</v>
      </c>
      <c r="BU26"/>
      <c r="FD26"/>
      <c r="FE26"/>
    </row>
    <row r="27" spans="1:161" x14ac:dyDescent="0.25">
      <c r="A27" s="7">
        <f t="shared" si="23"/>
        <v>43921</v>
      </c>
      <c r="B27">
        <f t="shared" si="9"/>
        <v>16</v>
      </c>
      <c r="C27">
        <f t="shared" si="10"/>
        <v>1.25</v>
      </c>
      <c r="D27">
        <f t="shared" si="11"/>
        <v>0</v>
      </c>
      <c r="E27">
        <f t="shared" si="12"/>
        <v>53</v>
      </c>
      <c r="F27">
        <f>IF(C27&gt;=$T$2,0,VLOOKUP($E27,EKM_F05!$A$3:$C$128,2,TRUE))</f>
        <v>4.0861538461538461E-3</v>
      </c>
      <c r="G27">
        <f>F27*'Real assumptions'!$B$3</f>
        <v>1.7051519999999999E-3</v>
      </c>
      <c r="H27">
        <f t="shared" si="24"/>
        <v>1.4220717313362385E-4</v>
      </c>
      <c r="I27">
        <f t="shared" si="25"/>
        <v>1.342580960639885E-4</v>
      </c>
      <c r="J27">
        <f>IF(B27&gt;$AJ$2,0,HLOOKUP(C27,'Real assumptions'!$B$5:$L$8,4,TRUE))</f>
        <v>9.9000000000000005E-2</v>
      </c>
      <c r="K27">
        <f t="shared" si="0"/>
        <v>1</v>
      </c>
      <c r="L27">
        <f t="shared" si="26"/>
        <v>8.3333333333333329E-2</v>
      </c>
      <c r="M27">
        <f t="shared" si="27"/>
        <v>8.6498744788083837E-3</v>
      </c>
      <c r="N27">
        <f t="shared" si="28"/>
        <v>8.2012542329453469E-3</v>
      </c>
      <c r="O27" s="8">
        <f t="shared" si="13"/>
        <v>0.93986754346050583</v>
      </c>
      <c r="P27">
        <f t="shared" si="14"/>
        <v>22.756873338948367</v>
      </c>
      <c r="Q27">
        <f t="shared" si="29"/>
        <v>0.67129048031994254</v>
      </c>
      <c r="R27" s="89">
        <f t="shared" si="1"/>
        <v>5000</v>
      </c>
      <c r="S27">
        <f t="shared" si="2"/>
        <v>0.66666666666666674</v>
      </c>
      <c r="U27">
        <f>O26*AV26*'Real assumptions'!$B$33/12+AX27*'Real assumptions'!$B$34</f>
        <v>9.6204537141625988</v>
      </c>
      <c r="V27">
        <f>IF(P27=0,0,IF(E27&lt;=$C$7,$AN$5*O26,0))*'Real assumptions'!$D$28</f>
        <v>5.6892183347370917</v>
      </c>
      <c r="X27" s="94">
        <f t="shared" si="15"/>
        <v>0</v>
      </c>
      <c r="Y27">
        <f t="shared" si="3"/>
        <v>24</v>
      </c>
      <c r="Z27">
        <f t="shared" si="30"/>
        <v>97</v>
      </c>
      <c r="AA27">
        <f t="shared" si="16"/>
        <v>97.666666666666671</v>
      </c>
      <c r="AB27">
        <f t="shared" si="17"/>
        <v>50.505050505050505</v>
      </c>
      <c r="AC27">
        <f t="shared" si="31"/>
        <v>4932.6599326599326</v>
      </c>
      <c r="AD27">
        <f t="shared" si="18"/>
        <v>80.505050505050505</v>
      </c>
      <c r="AE27">
        <f t="shared" si="32"/>
        <v>67.340067340067435</v>
      </c>
      <c r="AF27" s="94">
        <f t="shared" si="42"/>
        <v>0</v>
      </c>
      <c r="AG27">
        <f t="shared" si="33"/>
        <v>0</v>
      </c>
      <c r="AH27">
        <f t="shared" si="34"/>
        <v>0</v>
      </c>
      <c r="AI27">
        <f>HLOOKUP(AW27,'Real assumptions'!$A$21:$AK$24,2,TRUE)</f>
        <v>1.6095999999999999</v>
      </c>
      <c r="AJ27" s="123">
        <f t="shared" si="35"/>
        <v>1.3315384513001849E-3</v>
      </c>
      <c r="AK27" s="122">
        <f>(1+HLOOKUP(YEAR(A27),'Real assumptions'!$A$21:$AK$24,2,TRUE)/100)^(1/12)-1</f>
        <v>1.3315384513001849E-3</v>
      </c>
      <c r="AL27">
        <f t="shared" si="36"/>
        <v>11.896141048057435</v>
      </c>
      <c r="AM27">
        <f>('Real assumptions'!$B$33/12)*O26*AV26</f>
        <v>9.6204537141625988</v>
      </c>
      <c r="AN27">
        <f t="shared" si="43"/>
        <v>5.1855195577593474</v>
      </c>
      <c r="AO27">
        <f t="shared" si="45"/>
        <v>6.9047186811257008E-3</v>
      </c>
      <c r="AP27" s="121">
        <f t="shared" si="37"/>
        <v>2.091032028663261E-2</v>
      </c>
      <c r="AQ27">
        <f t="shared" si="19"/>
        <v>2.2756873338948371</v>
      </c>
      <c r="AR27">
        <v>0</v>
      </c>
      <c r="AS27">
        <f t="shared" si="4"/>
        <v>2.2756873338948371</v>
      </c>
      <c r="AT27">
        <f t="shared" si="20"/>
        <v>2.2756873338948371</v>
      </c>
      <c r="AU27">
        <f>IFERROR(HLOOKUP(B27,'Real assumptions'!$B$43:$AL$44,2,TRUE)*($W$3/$U$2),0)</f>
        <v>2.4000000000000004</v>
      </c>
      <c r="AV27">
        <f>AV26*(1+'Real assumptions'!$B$35)^(1/12)</f>
        <v>1.0156493381829408</v>
      </c>
      <c r="AW27">
        <f t="shared" si="5"/>
        <v>2020</v>
      </c>
      <c r="AX27">
        <f t="shared" si="40"/>
        <v>0</v>
      </c>
      <c r="AY27">
        <f t="shared" si="38"/>
        <v>3.9907536018077239</v>
      </c>
      <c r="AZ27">
        <f t="shared" si="6"/>
        <v>-48.337309261710928</v>
      </c>
      <c r="BA27">
        <f t="shared" si="41"/>
        <v>6.3605088150570346</v>
      </c>
      <c r="BB27">
        <f t="shared" si="21"/>
        <v>97.666666666666671</v>
      </c>
      <c r="BC27">
        <f t="shared" si="7"/>
        <v>58.599999999999994</v>
      </c>
      <c r="BD27">
        <f t="shared" si="22"/>
        <v>0</v>
      </c>
      <c r="BE27">
        <f t="shared" si="8"/>
        <v>24</v>
      </c>
      <c r="BF27">
        <f t="shared" si="39"/>
        <v>5000</v>
      </c>
      <c r="BU27"/>
      <c r="FD27"/>
      <c r="FE27"/>
    </row>
    <row r="28" spans="1:161" x14ac:dyDescent="0.25">
      <c r="A28" s="7">
        <f t="shared" si="23"/>
        <v>43951</v>
      </c>
      <c r="B28">
        <f t="shared" si="9"/>
        <v>17</v>
      </c>
      <c r="C28">
        <f>(B28+11)/12-1</f>
        <v>1.3333333333333335</v>
      </c>
      <c r="D28">
        <f t="shared" si="11"/>
        <v>0</v>
      </c>
      <c r="E28">
        <f t="shared" si="12"/>
        <v>53</v>
      </c>
      <c r="F28">
        <f>IF(C28&gt;=$T$2,0,VLOOKUP($E28,EKM_F05!$A$3:$C$128,2,TRUE))</f>
        <v>4.0861538461538461E-3</v>
      </c>
      <c r="G28">
        <f>F28*'Real assumptions'!$B$3</f>
        <v>1.7051519999999999E-3</v>
      </c>
      <c r="H28">
        <f t="shared" si="24"/>
        <v>1.4220717313362385E-4</v>
      </c>
      <c r="I28">
        <f t="shared" si="25"/>
        <v>1.3307785306837942E-4</v>
      </c>
      <c r="J28">
        <f>IF(B28&gt;$AJ$2,0,HLOOKUP(C28,'Real assumptions'!$B$5:$L$8,4,TRUE))</f>
        <v>9.9000000000000005E-2</v>
      </c>
      <c r="K28">
        <f t="shared" si="0"/>
        <v>1</v>
      </c>
      <c r="L28">
        <f t="shared" si="26"/>
        <v>8.3333333333333329E-2</v>
      </c>
      <c r="M28">
        <f t="shared" si="27"/>
        <v>8.6498744788083837E-3</v>
      </c>
      <c r="N28">
        <f t="shared" si="28"/>
        <v>8.1291582242321754E-3</v>
      </c>
      <c r="O28" s="8">
        <f t="shared" si="13"/>
        <v>0.93160530738320524</v>
      </c>
      <c r="P28">
        <f t="shared" si="14"/>
        <v>22.556821043052139</v>
      </c>
      <c r="Q28">
        <f t="shared" si="29"/>
        <v>0.66538926534189713</v>
      </c>
      <c r="R28" s="89">
        <f t="shared" si="1"/>
        <v>5000</v>
      </c>
      <c r="S28">
        <f t="shared" si="2"/>
        <v>0.58333333333333326</v>
      </c>
      <c r="U28">
        <f>O27*AV27*'Real assumptions'!$B$33/12+AX28*'Real assumptions'!$B$34</f>
        <v>9.5457584849528914</v>
      </c>
      <c r="V28">
        <f>IF(P28=0,0,IF(E28&lt;=$C$7,$AN$5*O27,0))*'Real assumptions'!$D$28</f>
        <v>5.6392052607630347</v>
      </c>
      <c r="X28" s="94">
        <f t="shared" si="15"/>
        <v>0</v>
      </c>
      <c r="Y28">
        <f t="shared" si="3"/>
        <v>24</v>
      </c>
      <c r="Z28">
        <f t="shared" si="30"/>
        <v>97</v>
      </c>
      <c r="AA28">
        <f t="shared" si="16"/>
        <v>97.583333333333329</v>
      </c>
      <c r="AB28">
        <f t="shared" si="17"/>
        <v>50.505050505050505</v>
      </c>
      <c r="AC28">
        <f t="shared" si="31"/>
        <v>4928.4511784511778</v>
      </c>
      <c r="AD28">
        <f t="shared" si="18"/>
        <v>80.505050505050505</v>
      </c>
      <c r="AE28">
        <f t="shared" si="32"/>
        <v>71.548821548822161</v>
      </c>
      <c r="AF28" s="94">
        <f t="shared" si="42"/>
        <v>0</v>
      </c>
      <c r="AG28">
        <f t="shared" si="33"/>
        <v>0</v>
      </c>
      <c r="AH28">
        <f t="shared" si="34"/>
        <v>0</v>
      </c>
      <c r="AI28">
        <f>HLOOKUP(AW28,'Real assumptions'!$A$21:$AK$24,2,TRUE)</f>
        <v>1.6095999999999999</v>
      </c>
      <c r="AJ28" s="123">
        <f t="shared" si="35"/>
        <v>1.3315384513001849E-3</v>
      </c>
      <c r="AK28" s="122">
        <f>(1+HLOOKUP(YEAR(A28),'Real assumptions'!$A$21:$AK$24,2,TRUE)/100)^(1/12)-1</f>
        <v>1.3315384513001849E-3</v>
      </c>
      <c r="AL28">
        <f t="shared" si="36"/>
        <v>11.801440589258107</v>
      </c>
      <c r="AM28">
        <f>('Real assumptions'!$B$33/12)*O27*AV27</f>
        <v>9.5457584849528914</v>
      </c>
      <c r="AN28">
        <f t="shared" si="43"/>
        <v>5.1370855133176292</v>
      </c>
      <c r="AO28">
        <f t="shared" si="45"/>
        <v>6.8402268885995711E-3</v>
      </c>
      <c r="AP28" s="121">
        <f t="shared" si="37"/>
        <v>2.775054717523218E-2</v>
      </c>
      <c r="AQ28">
        <f t="shared" si="19"/>
        <v>2.2556821043052144</v>
      </c>
      <c r="AR28">
        <v>0</v>
      </c>
      <c r="AS28">
        <f t="shared" si="4"/>
        <v>2.2556821043052144</v>
      </c>
      <c r="AT28">
        <f t="shared" si="20"/>
        <v>2.2556821043052144</v>
      </c>
      <c r="AU28">
        <f>IFERROR(HLOOKUP(B28,'Real assumptions'!$B$43:$AL$44,2,TRUE)*($W$3/$U$2),0)</f>
        <v>2.4000000000000004</v>
      </c>
      <c r="AV28">
        <f>AV27*(1+'Real assumptions'!$B$35)^(1/12)</f>
        <v>1.0167012929372947</v>
      </c>
      <c r="AW28">
        <f t="shared" si="5"/>
        <v>2020</v>
      </c>
      <c r="AX28">
        <f t="shared" si="40"/>
        <v>0</v>
      </c>
      <c r="AY28">
        <f t="shared" si="38"/>
        <v>3.9556714792108827</v>
      </c>
      <c r="AZ28">
        <f t="shared" si="6"/>
        <v>-43.950886319936181</v>
      </c>
      <c r="BA28">
        <f t="shared" si="41"/>
        <v>6.3045945261049319</v>
      </c>
      <c r="BB28">
        <f t="shared" si="21"/>
        <v>97.583333333333329</v>
      </c>
      <c r="BC28">
        <f t="shared" si="7"/>
        <v>58.55</v>
      </c>
      <c r="BD28">
        <f t="shared" si="22"/>
        <v>0</v>
      </c>
      <c r="BE28">
        <f t="shared" si="8"/>
        <v>24</v>
      </c>
      <c r="BF28">
        <f t="shared" si="39"/>
        <v>5000</v>
      </c>
      <c r="BU28"/>
      <c r="FD28"/>
      <c r="FE28"/>
    </row>
    <row r="29" spans="1:161" x14ac:dyDescent="0.25">
      <c r="A29" s="7">
        <f t="shared" si="23"/>
        <v>43982</v>
      </c>
      <c r="B29">
        <f t="shared" si="9"/>
        <v>18</v>
      </c>
      <c r="C29">
        <f t="shared" si="10"/>
        <v>1.4166666666666665</v>
      </c>
      <c r="D29">
        <f t="shared" si="11"/>
        <v>0</v>
      </c>
      <c r="E29">
        <f t="shared" si="12"/>
        <v>53</v>
      </c>
      <c r="F29">
        <f>IF(C29&gt;=$T$2,0,VLOOKUP($E29,EKM_F05!$A$3:$C$128,2,TRUE))</f>
        <v>4.0861538461538461E-3</v>
      </c>
      <c r="G29">
        <f>F29*'Real assumptions'!$B$3</f>
        <v>1.7051519999999999E-3</v>
      </c>
      <c r="H29">
        <f t="shared" si="24"/>
        <v>1.4220717313362385E-4</v>
      </c>
      <c r="I29">
        <f t="shared" si="25"/>
        <v>1.3190798541377042E-4</v>
      </c>
      <c r="J29">
        <f>IF(B29&gt;$AJ$2,0,HLOOKUP(C29,'Real assumptions'!$B$5:$L$8,4,TRUE))</f>
        <v>9.9000000000000005E-2</v>
      </c>
      <c r="K29">
        <f t="shared" si="0"/>
        <v>1</v>
      </c>
      <c r="L29">
        <f t="shared" si="26"/>
        <v>8.3333333333333329E-2</v>
      </c>
      <c r="M29">
        <f t="shared" si="27"/>
        <v>8.6498744788083837E-3</v>
      </c>
      <c r="N29">
        <f t="shared" si="28"/>
        <v>8.0576960008309495E-3</v>
      </c>
      <c r="O29" s="8">
        <f t="shared" si="13"/>
        <v>0.92341570339696055</v>
      </c>
      <c r="P29">
        <f t="shared" si="14"/>
        <v>22.358527377196925</v>
      </c>
      <c r="Q29">
        <f t="shared" si="29"/>
        <v>0.65953992706885212</v>
      </c>
      <c r="R29" s="89">
        <f t="shared" si="1"/>
        <v>5000</v>
      </c>
      <c r="S29">
        <f t="shared" si="2"/>
        <v>0.5</v>
      </c>
      <c r="U29">
        <f>O28*AV28*'Real assumptions'!$B$33/12+AX29*'Real assumptions'!$B$34</f>
        <v>9.4716432052375072</v>
      </c>
      <c r="V29">
        <f>IF(P29=0,0,IF(E29&lt;=$C$7,$AN$5*O28,0))*'Real assumptions'!$D$28</f>
        <v>5.5896318442992312</v>
      </c>
      <c r="X29" s="94">
        <f t="shared" si="15"/>
        <v>0</v>
      </c>
      <c r="Y29">
        <f t="shared" si="3"/>
        <v>24</v>
      </c>
      <c r="Z29">
        <f t="shared" si="30"/>
        <v>97</v>
      </c>
      <c r="AA29">
        <f t="shared" si="16"/>
        <v>97.5</v>
      </c>
      <c r="AB29">
        <f t="shared" si="17"/>
        <v>50.505050505050505</v>
      </c>
      <c r="AC29">
        <f t="shared" si="31"/>
        <v>4924.242424242424</v>
      </c>
      <c r="AD29">
        <f t="shared" si="18"/>
        <v>80.505050505050505</v>
      </c>
      <c r="AE29">
        <f t="shared" si="32"/>
        <v>75.757575757575978</v>
      </c>
      <c r="AF29" s="94">
        <f t="shared" si="42"/>
        <v>0</v>
      </c>
      <c r="AG29">
        <f t="shared" si="33"/>
        <v>0</v>
      </c>
      <c r="AH29">
        <f t="shared" si="34"/>
        <v>0</v>
      </c>
      <c r="AI29">
        <f>HLOOKUP(AW29,'Real assumptions'!$A$21:$AK$24,2,TRUE)</f>
        <v>1.6095999999999999</v>
      </c>
      <c r="AJ29" s="123">
        <f t="shared" si="35"/>
        <v>1.3315384513001849E-3</v>
      </c>
      <c r="AK29" s="122">
        <f>(1+HLOOKUP(YEAR(A29),'Real assumptions'!$A$21:$AK$24,2,TRUE)/100)^(1/12)-1</f>
        <v>1.3315384513001849E-3</v>
      </c>
      <c r="AL29">
        <f t="shared" si="36"/>
        <v>11.7074959429572</v>
      </c>
      <c r="AM29">
        <f>('Real assumptions'!$B$33/12)*O28*AV28</f>
        <v>9.4716432052375055</v>
      </c>
      <c r="AN29">
        <f t="shared" si="43"/>
        <v>5.0891501371157251</v>
      </c>
      <c r="AO29">
        <f>AN29*AJ29</f>
        <v>6.7763990920091961E-3</v>
      </c>
      <c r="AP29" s="121">
        <f t="shared" si="37"/>
        <v>3.4526946267241378E-2</v>
      </c>
      <c r="AQ29">
        <f t="shared" si="19"/>
        <v>2.2358527377196928</v>
      </c>
      <c r="AR29">
        <v>0</v>
      </c>
      <c r="AS29">
        <f t="shared" si="4"/>
        <v>2.2358527377196928</v>
      </c>
      <c r="AT29">
        <f t="shared" si="20"/>
        <v>2.2358527377196928</v>
      </c>
      <c r="AU29">
        <f>IFERROR(HLOOKUP(B29,'Real assumptions'!$B$43:$AL$44,2,TRUE)*($W$3/$U$2),0)</f>
        <v>2.4000000000000004</v>
      </c>
      <c r="AV29">
        <f>AV28*(1+'Real assumptions'!$B$35)^(1/12)</f>
        <v>1.0177543372495932</v>
      </c>
      <c r="AW29">
        <f t="shared" si="5"/>
        <v>2020</v>
      </c>
      <c r="AX29">
        <f t="shared" si="40"/>
        <v>0</v>
      </c>
      <c r="AY29">
        <f t="shared" si="38"/>
        <v>3.9208977583468232</v>
      </c>
      <c r="AZ29">
        <f t="shared" si="6"/>
        <v>-39.607548952168251</v>
      </c>
      <c r="BA29">
        <f t="shared" si="41"/>
        <v>6.2491717713680837</v>
      </c>
      <c r="BB29">
        <f t="shared" si="21"/>
        <v>97.5</v>
      </c>
      <c r="BC29">
        <f t="shared" si="7"/>
        <v>58.5</v>
      </c>
      <c r="BD29">
        <f t="shared" si="22"/>
        <v>0</v>
      </c>
      <c r="BE29">
        <f t="shared" si="8"/>
        <v>24</v>
      </c>
      <c r="BF29">
        <f t="shared" si="39"/>
        <v>5000</v>
      </c>
      <c r="BU29"/>
      <c r="FD29"/>
      <c r="FE29"/>
    </row>
    <row r="30" spans="1:161" x14ac:dyDescent="0.25">
      <c r="A30" s="7">
        <f t="shared" si="23"/>
        <v>44012</v>
      </c>
      <c r="B30">
        <f t="shared" si="9"/>
        <v>19</v>
      </c>
      <c r="C30">
        <f t="shared" si="10"/>
        <v>1.5</v>
      </c>
      <c r="D30">
        <f t="shared" si="11"/>
        <v>0</v>
      </c>
      <c r="E30">
        <f t="shared" si="12"/>
        <v>53</v>
      </c>
      <c r="F30">
        <f>IF(C30&gt;=$T$2,0,VLOOKUP($E30,EKM_F05!$A$3:$C$128,2,TRUE))</f>
        <v>4.0861538461538461E-3</v>
      </c>
      <c r="G30">
        <f>F30*'Real assumptions'!$B$3</f>
        <v>1.7051519999999999E-3</v>
      </c>
      <c r="H30">
        <f t="shared" si="24"/>
        <v>1.4220717313362385E-4</v>
      </c>
      <c r="I30">
        <f t="shared" si="25"/>
        <v>1.3074840189207867E-4</v>
      </c>
      <c r="J30">
        <f>IF(B30&gt;$AJ$2,0,HLOOKUP(C30,'Real assumptions'!$B$5:$L$8,4,TRUE))</f>
        <v>9.9000000000000005E-2</v>
      </c>
      <c r="K30">
        <f t="shared" si="0"/>
        <v>1</v>
      </c>
      <c r="L30">
        <f t="shared" si="26"/>
        <v>8.3333333333333329E-2</v>
      </c>
      <c r="M30">
        <f t="shared" si="27"/>
        <v>8.6498744788083837E-3</v>
      </c>
      <c r="N30">
        <f t="shared" si="28"/>
        <v>7.9868619912290603E-3</v>
      </c>
      <c r="O30" s="8">
        <f t="shared" si="13"/>
        <v>0.91529809300383935</v>
      </c>
      <c r="P30">
        <f t="shared" si="14"/>
        <v>22.161976881527053</v>
      </c>
      <c r="Q30">
        <f t="shared" si="29"/>
        <v>0.6537420094603934</v>
      </c>
      <c r="R30" s="89">
        <f t="shared" si="1"/>
        <v>5000</v>
      </c>
      <c r="S30">
        <f t="shared" si="2"/>
        <v>0.41666666666666674</v>
      </c>
      <c r="U30">
        <f>O29*AV29*'Real assumptions'!$B$33/12+AX30*'Real assumptions'!$B$34</f>
        <v>9.3981033721664051</v>
      </c>
      <c r="V30">
        <f>IF(P30=0,0,IF(E30&lt;=$C$7,$AN$5*O29,0))*'Real assumptions'!$D$28</f>
        <v>5.5404942203817633</v>
      </c>
      <c r="X30" s="94">
        <f t="shared" si="15"/>
        <v>0</v>
      </c>
      <c r="Y30">
        <f t="shared" si="3"/>
        <v>24</v>
      </c>
      <c r="Z30">
        <f t="shared" si="30"/>
        <v>97</v>
      </c>
      <c r="AA30">
        <f t="shared" si="16"/>
        <v>97.416666666666671</v>
      </c>
      <c r="AB30">
        <f t="shared" si="17"/>
        <v>50.505050505050505</v>
      </c>
      <c r="AC30">
        <f t="shared" si="31"/>
        <v>4920.0336700336702</v>
      </c>
      <c r="AD30">
        <f t="shared" si="18"/>
        <v>80.505050505050505</v>
      </c>
      <c r="AE30">
        <f t="shared" si="32"/>
        <v>79.966329966329795</v>
      </c>
      <c r="AF30" s="94">
        <f t="shared" si="42"/>
        <v>0</v>
      </c>
      <c r="AG30">
        <f t="shared" si="33"/>
        <v>0</v>
      </c>
      <c r="AH30">
        <f t="shared" si="34"/>
        <v>0</v>
      </c>
      <c r="AI30">
        <f>HLOOKUP(AW30,'Real assumptions'!$A$21:$AK$24,2,TRUE)</f>
        <v>1.6095999999999999</v>
      </c>
      <c r="AJ30" s="123">
        <f t="shared" si="35"/>
        <v>1.3315384513001849E-3</v>
      </c>
      <c r="AK30" s="122">
        <f>(1+HLOOKUP(YEAR(A30),'Real assumptions'!$A$21:$AK$24,2,TRUE)/100)^(1/12)-1</f>
        <v>1.3315384513001849E-3</v>
      </c>
      <c r="AL30">
        <f t="shared" si="36"/>
        <v>11.614301060319111</v>
      </c>
      <c r="AM30">
        <f>('Real assumptions'!$B$33/12)*O29*AV29</f>
        <v>9.3981033721664051</v>
      </c>
      <c r="AN30">
        <f t="shared" si="43"/>
        <v>5.0417085470934211</v>
      </c>
      <c r="AO30">
        <f t="shared" ref="AO30:AO93" si="46">AN30*AJ30</f>
        <v>6.7132287907036795E-3</v>
      </c>
      <c r="AP30" s="121">
        <f t="shared" si="37"/>
        <v>4.1240175057945055E-2</v>
      </c>
      <c r="AQ30">
        <f t="shared" si="19"/>
        <v>2.2161976881527057</v>
      </c>
      <c r="AR30">
        <v>0</v>
      </c>
      <c r="AS30">
        <f t="shared" si="4"/>
        <v>2.2161976881527057</v>
      </c>
      <c r="AT30">
        <f t="shared" si="20"/>
        <v>2.2161976881527057</v>
      </c>
      <c r="AU30">
        <f>IFERROR(HLOOKUP(B30,'Real assumptions'!$B$43:$AL$44,2,TRUE)*($W$3/$U$2),0)</f>
        <v>2.4000000000000004</v>
      </c>
      <c r="AV30">
        <f>AV29*(1+'Real assumptions'!$B$35)^(1/12)</f>
        <v>1.0188084722483415</v>
      </c>
      <c r="AW30">
        <f t="shared" si="5"/>
        <v>2020</v>
      </c>
      <c r="AX30">
        <f t="shared" si="40"/>
        <v>0</v>
      </c>
      <c r="AY30">
        <f t="shared" si="38"/>
        <v>3.8864297281016857</v>
      </c>
      <c r="AZ30">
        <f t="shared" si="6"/>
        <v>-35.306848335194026</v>
      </c>
      <c r="BA30">
        <f t="shared" si="41"/>
        <v>6.1942362298421569</v>
      </c>
      <c r="BB30">
        <f t="shared" si="21"/>
        <v>97.416666666666671</v>
      </c>
      <c r="BC30">
        <f t="shared" si="7"/>
        <v>58.45</v>
      </c>
      <c r="BD30">
        <f t="shared" si="22"/>
        <v>0</v>
      </c>
      <c r="BE30">
        <f t="shared" si="8"/>
        <v>24</v>
      </c>
      <c r="BF30">
        <f t="shared" si="39"/>
        <v>5000</v>
      </c>
      <c r="BU30"/>
      <c r="FD30"/>
      <c r="FE30"/>
    </row>
    <row r="31" spans="1:161" x14ac:dyDescent="0.25">
      <c r="A31" s="7">
        <f t="shared" si="23"/>
        <v>44043</v>
      </c>
      <c r="B31">
        <f t="shared" si="9"/>
        <v>20</v>
      </c>
      <c r="C31">
        <f t="shared" si="10"/>
        <v>1.5833333333333335</v>
      </c>
      <c r="D31">
        <f t="shared" si="11"/>
        <v>0</v>
      </c>
      <c r="E31">
        <f t="shared" si="12"/>
        <v>53</v>
      </c>
      <c r="F31">
        <f>IF(C31&gt;=$T$2,0,VLOOKUP($E31,EKM_F05!$A$3:$C$128,2,TRUE))</f>
        <v>4.0861538461538461E-3</v>
      </c>
      <c r="G31">
        <f>F31*'Real assumptions'!$B$3</f>
        <v>1.7051519999999999E-3</v>
      </c>
      <c r="H31">
        <f t="shared" si="24"/>
        <v>1.4220717313362385E-4</v>
      </c>
      <c r="I31">
        <f t="shared" si="25"/>
        <v>1.2959901209701812E-4</v>
      </c>
      <c r="J31">
        <f>IF(B31&gt;$AJ$2,0,HLOOKUP(C31,'Real assumptions'!$B$5:$L$8,4,TRUE))</f>
        <v>9.9000000000000005E-2</v>
      </c>
      <c r="K31">
        <f t="shared" si="0"/>
        <v>1</v>
      </c>
      <c r="L31">
        <f t="shared" si="26"/>
        <v>8.3333333333333329E-2</v>
      </c>
      <c r="M31">
        <f t="shared" si="27"/>
        <v>8.6498744788083837E-3</v>
      </c>
      <c r="N31">
        <f t="shared" si="28"/>
        <v>7.9166506728922375E-3</v>
      </c>
      <c r="O31" s="8">
        <f t="shared" si="13"/>
        <v>0.90725184331885012</v>
      </c>
      <c r="P31">
        <f t="shared" si="14"/>
        <v>21.967154232092145</v>
      </c>
      <c r="Q31">
        <f t="shared" si="29"/>
        <v>0.64799506048509059</v>
      </c>
      <c r="R31" s="89">
        <f t="shared" si="1"/>
        <v>5000</v>
      </c>
      <c r="S31">
        <f t="shared" si="2"/>
        <v>0.33333333333333326</v>
      </c>
      <c r="U31">
        <f>O30*AV30*'Real assumptions'!$B$33/12+AX31*'Real assumptions'!$B$34</f>
        <v>9.3251345178506195</v>
      </c>
      <c r="V31">
        <f>IF(P31=0,0,IF(E31&lt;=$C$7,$AN$5*O30,0))*'Real assumptions'!$D$28</f>
        <v>5.4917885580230363</v>
      </c>
      <c r="X31" s="94">
        <f t="shared" si="15"/>
        <v>0</v>
      </c>
      <c r="Y31">
        <f t="shared" si="3"/>
        <v>24</v>
      </c>
      <c r="Z31">
        <f t="shared" si="30"/>
        <v>97</v>
      </c>
      <c r="AA31">
        <f t="shared" si="16"/>
        <v>97.333333333333329</v>
      </c>
      <c r="AB31">
        <f t="shared" si="17"/>
        <v>50.505050505050505</v>
      </c>
      <c r="AC31">
        <f t="shared" si="31"/>
        <v>4915.8249158249155</v>
      </c>
      <c r="AD31">
        <f t="shared" si="18"/>
        <v>80.505050505050505</v>
      </c>
      <c r="AE31">
        <f t="shared" si="32"/>
        <v>84.175084175084521</v>
      </c>
      <c r="AF31" s="94">
        <f t="shared" si="42"/>
        <v>0</v>
      </c>
      <c r="AG31">
        <f t="shared" si="33"/>
        <v>0</v>
      </c>
      <c r="AH31">
        <f t="shared" si="34"/>
        <v>0</v>
      </c>
      <c r="AI31">
        <f>HLOOKUP(AW31,'Real assumptions'!$A$21:$AK$24,2,TRUE)</f>
        <v>1.6095999999999999</v>
      </c>
      <c r="AJ31" s="123">
        <f t="shared" si="35"/>
        <v>1.3315384513001849E-3</v>
      </c>
      <c r="AK31" s="122">
        <f>(1+HLOOKUP(YEAR(A31),'Real assumptions'!$A$21:$AK$24,2,TRUE)/100)^(1/12)-1</f>
        <v>1.3315384513001849E-3</v>
      </c>
      <c r="AL31">
        <f t="shared" si="36"/>
        <v>11.521849941059834</v>
      </c>
      <c r="AM31">
        <f>('Real assumptions'!$B$33/12)*O30*AV30</f>
        <v>9.3251345178506195</v>
      </c>
      <c r="AN31">
        <f t="shared" si="43"/>
        <v>4.9947559080672193</v>
      </c>
      <c r="AO31">
        <f t="shared" si="46"/>
        <v>6.6507095464502734E-3</v>
      </c>
      <c r="AP31" s="121">
        <f t="shared" si="37"/>
        <v>4.7890884604395327E-2</v>
      </c>
      <c r="AQ31">
        <f t="shared" si="19"/>
        <v>2.196715423209215</v>
      </c>
      <c r="AR31">
        <v>0</v>
      </c>
      <c r="AS31">
        <f t="shared" si="4"/>
        <v>2.196715423209215</v>
      </c>
      <c r="AT31">
        <f t="shared" si="20"/>
        <v>2.196715423209215</v>
      </c>
      <c r="AU31">
        <f>IFERROR(HLOOKUP(B31,'Real assumptions'!$B$43:$AL$44,2,TRUE)*($W$3/$U$2),0)</f>
        <v>2.4000000000000004</v>
      </c>
      <c r="AV31">
        <f>AV30*(1+'Real assumptions'!$B$35)^(1/12)</f>
        <v>1.0198636990632137</v>
      </c>
      <c r="AW31">
        <f t="shared" si="5"/>
        <v>2020</v>
      </c>
      <c r="AX31">
        <f t="shared" si="40"/>
        <v>0</v>
      </c>
      <c r="AY31">
        <f t="shared" si="38"/>
        <v>3.8522647011946098</v>
      </c>
      <c r="AZ31">
        <f t="shared" si="6"/>
        <v>-31.048340088822375</v>
      </c>
      <c r="BA31">
        <f t="shared" si="41"/>
        <v>6.1397836185081269</v>
      </c>
      <c r="BB31">
        <f t="shared" si="21"/>
        <v>97.333333333333329</v>
      </c>
      <c r="BC31">
        <f t="shared" si="7"/>
        <v>58.399999999999991</v>
      </c>
      <c r="BD31">
        <f t="shared" si="22"/>
        <v>0</v>
      </c>
      <c r="BE31">
        <f t="shared" si="8"/>
        <v>24</v>
      </c>
      <c r="BF31">
        <f t="shared" si="39"/>
        <v>5000</v>
      </c>
      <c r="BU31"/>
      <c r="FD31"/>
      <c r="FE31"/>
    </row>
    <row r="32" spans="1:161" x14ac:dyDescent="0.25">
      <c r="A32" s="7">
        <f t="shared" si="23"/>
        <v>44074</v>
      </c>
      <c r="B32">
        <f t="shared" si="9"/>
        <v>21</v>
      </c>
      <c r="C32">
        <f t="shared" si="10"/>
        <v>1.6666666666666665</v>
      </c>
      <c r="D32">
        <f t="shared" si="11"/>
        <v>0</v>
      </c>
      <c r="E32">
        <f t="shared" si="12"/>
        <v>53</v>
      </c>
      <c r="F32">
        <f>IF(C32&gt;=$T$2,0,VLOOKUP($E32,EKM_F05!$A$3:$C$128,2,TRUE))</f>
        <v>4.0861538461538461E-3</v>
      </c>
      <c r="G32">
        <f>F32*'Real assumptions'!$B$3</f>
        <v>1.7051519999999999E-3</v>
      </c>
      <c r="H32">
        <f t="shared" si="24"/>
        <v>1.4220717313362385E-4</v>
      </c>
      <c r="I32">
        <f t="shared" si="25"/>
        <v>1.2845972641705093E-4</v>
      </c>
      <c r="J32">
        <f>IF(B32&gt;$AJ$2,0,HLOOKUP(C32,'Real assumptions'!$B$5:$L$8,4,TRUE))</f>
        <v>9.9000000000000005E-2</v>
      </c>
      <c r="K32">
        <f t="shared" si="0"/>
        <v>1</v>
      </c>
      <c r="L32">
        <f t="shared" si="26"/>
        <v>8.3333333333333329E-2</v>
      </c>
      <c r="M32">
        <f t="shared" si="27"/>
        <v>8.6498744788083837E-3</v>
      </c>
      <c r="N32">
        <f t="shared" si="28"/>
        <v>7.8470565718339914E-3</v>
      </c>
      <c r="O32" s="8">
        <f t="shared" si="13"/>
        <v>0.89927632702059901</v>
      </c>
      <c r="P32">
        <f t="shared" si="14"/>
        <v>21.774044239652405</v>
      </c>
      <c r="Q32">
        <f t="shared" si="29"/>
        <v>0.64229863208525462</v>
      </c>
      <c r="R32" s="89">
        <f t="shared" si="1"/>
        <v>5000</v>
      </c>
      <c r="S32">
        <f t="shared" si="2"/>
        <v>0.25</v>
      </c>
      <c r="U32">
        <f>O31*AV31*'Real assumptions'!$B$33/12+AX32*'Real assumptions'!$B$34</f>
        <v>9.2527322090908175</v>
      </c>
      <c r="V32">
        <f>IF(P32=0,0,IF(E32&lt;=$C$7,$AN$5*O31,0))*'Real assumptions'!$D$28</f>
        <v>5.4435110599131011</v>
      </c>
      <c r="X32" s="94">
        <f t="shared" si="15"/>
        <v>0</v>
      </c>
      <c r="Y32">
        <f t="shared" si="3"/>
        <v>24</v>
      </c>
      <c r="Z32">
        <f t="shared" si="30"/>
        <v>97</v>
      </c>
      <c r="AA32">
        <f t="shared" si="16"/>
        <v>97.25</v>
      </c>
      <c r="AB32">
        <f t="shared" si="17"/>
        <v>50.505050505050505</v>
      </c>
      <c r="AC32">
        <f t="shared" si="31"/>
        <v>4911.6161616161617</v>
      </c>
      <c r="AD32">
        <f t="shared" si="18"/>
        <v>80.505050505050505</v>
      </c>
      <c r="AE32">
        <f t="shared" si="32"/>
        <v>88.383838383838338</v>
      </c>
      <c r="AF32" s="94">
        <f t="shared" si="42"/>
        <v>0</v>
      </c>
      <c r="AG32">
        <f t="shared" si="33"/>
        <v>0</v>
      </c>
      <c r="AH32">
        <f t="shared" si="34"/>
        <v>0</v>
      </c>
      <c r="AI32">
        <f>HLOOKUP(AW32,'Real assumptions'!$A$21:$AK$24,2,TRUE)</f>
        <v>1.6095999999999999</v>
      </c>
      <c r="AJ32" s="123">
        <f t="shared" si="35"/>
        <v>1.3315384513001849E-3</v>
      </c>
      <c r="AK32" s="122">
        <f>(1+HLOOKUP(YEAR(A32),'Real assumptions'!$A$21:$AK$24,2,TRUE)/100)^(1/12)-1</f>
        <v>1.3315384513001849E-3</v>
      </c>
      <c r="AL32">
        <f t="shared" si="36"/>
        <v>11.430136633056058</v>
      </c>
      <c r="AM32">
        <f>('Real assumptions'!$B$33/12)*O31*AV31</f>
        <v>9.2527322090908157</v>
      </c>
      <c r="AN32">
        <f t="shared" si="43"/>
        <v>4.948287431287639</v>
      </c>
      <c r="AO32">
        <f t="shared" si="46"/>
        <v>6.5888349828449131E-3</v>
      </c>
      <c r="AP32" s="121">
        <f t="shared" si="37"/>
        <v>5.4479719587240238E-2</v>
      </c>
      <c r="AQ32">
        <f t="shared" si="19"/>
        <v>2.1774044239652408</v>
      </c>
      <c r="AR32">
        <v>0</v>
      </c>
      <c r="AS32">
        <f t="shared" si="4"/>
        <v>2.1774044239652408</v>
      </c>
      <c r="AT32">
        <f t="shared" si="20"/>
        <v>2.1774044239652408</v>
      </c>
      <c r="AU32">
        <f>IFERROR(HLOOKUP(B32,'Real assumptions'!$B$43:$AL$44,2,TRUE)*($W$3/$U$2),0)</f>
        <v>2.4000000000000004</v>
      </c>
      <c r="AV32">
        <f>AV31*(1+'Real assumptions'!$B$35)^(1/12)</f>
        <v>1.020920018825054</v>
      </c>
      <c r="AW32">
        <f t="shared" si="5"/>
        <v>2020</v>
      </c>
      <c r="AX32">
        <f t="shared" si="40"/>
        <v>0</v>
      </c>
      <c r="AY32">
        <f t="shared" si="38"/>
        <v>3.8184000139682239</v>
      </c>
      <c r="AZ32">
        <f t="shared" si="6"/>
        <v>-26.831584232901697</v>
      </c>
      <c r="BA32">
        <f t="shared" si="41"/>
        <v>6.0858096919983558</v>
      </c>
      <c r="BB32">
        <f t="shared" si="21"/>
        <v>97.25</v>
      </c>
      <c r="BC32">
        <f t="shared" si="7"/>
        <v>58.349999999999994</v>
      </c>
      <c r="BD32">
        <f t="shared" si="22"/>
        <v>0</v>
      </c>
      <c r="BE32">
        <f t="shared" si="8"/>
        <v>24</v>
      </c>
      <c r="BF32">
        <f t="shared" si="39"/>
        <v>5000</v>
      </c>
      <c r="BU32"/>
      <c r="FD32"/>
      <c r="FE32"/>
    </row>
    <row r="33" spans="1:161" x14ac:dyDescent="0.25">
      <c r="A33" s="7">
        <f t="shared" si="23"/>
        <v>44104</v>
      </c>
      <c r="B33">
        <f t="shared" si="9"/>
        <v>22</v>
      </c>
      <c r="C33">
        <f t="shared" si="10"/>
        <v>1.75</v>
      </c>
      <c r="D33">
        <f t="shared" si="11"/>
        <v>0</v>
      </c>
      <c r="E33">
        <f t="shared" si="12"/>
        <v>53</v>
      </c>
      <c r="F33">
        <f>IF(C33&gt;=$T$2,0,VLOOKUP($E33,EKM_F05!$A$3:$C$128,2,TRUE))</f>
        <v>4.0861538461538461E-3</v>
      </c>
      <c r="G33">
        <f>F33*'Real assumptions'!$B$3</f>
        <v>1.7051519999999999E-3</v>
      </c>
      <c r="H33">
        <f t="shared" si="24"/>
        <v>1.4220717313362385E-4</v>
      </c>
      <c r="I33">
        <f t="shared" si="25"/>
        <v>1.2733045602840098E-4</v>
      </c>
      <c r="J33">
        <f>IF(B33&gt;$AJ$2,0,HLOOKUP(C33,'Real assumptions'!$B$5:$L$8,4,TRUE))</f>
        <v>9.9000000000000005E-2</v>
      </c>
      <c r="K33">
        <f t="shared" si="0"/>
        <v>1</v>
      </c>
      <c r="L33">
        <f t="shared" si="26"/>
        <v>8.3333333333333329E-2</v>
      </c>
      <c r="M33">
        <f t="shared" si="27"/>
        <v>8.6498744788083837E-3</v>
      </c>
      <c r="N33">
        <f t="shared" si="28"/>
        <v>7.7780742621888352E-3</v>
      </c>
      <c r="O33" s="8">
        <f t="shared" si="13"/>
        <v>0.8913709223023818</v>
      </c>
      <c r="P33">
        <f t="shared" si="14"/>
        <v>21.582631848494376</v>
      </c>
      <c r="Q33">
        <f t="shared" si="29"/>
        <v>0.63665228014200492</v>
      </c>
      <c r="R33" s="89">
        <f t="shared" si="1"/>
        <v>5000</v>
      </c>
      <c r="S33">
        <f t="shared" si="2"/>
        <v>0.16666666666666674</v>
      </c>
      <c r="U33">
        <f>O32*AV32*'Real assumptions'!$B$33/12+AX33*'Real assumptions'!$B$34</f>
        <v>9.1808920471079531</v>
      </c>
      <c r="V33">
        <f>IF(P33=0,0,IF(E33&lt;=$C$7,$AN$5*O32,0))*'Real assumptions'!$D$28</f>
        <v>5.3956579621235941</v>
      </c>
      <c r="X33" s="94">
        <f t="shared" si="15"/>
        <v>0</v>
      </c>
      <c r="Y33">
        <f t="shared" si="3"/>
        <v>24</v>
      </c>
      <c r="Z33">
        <f t="shared" si="30"/>
        <v>97</v>
      </c>
      <c r="AA33">
        <f t="shared" si="16"/>
        <v>97.166666666666671</v>
      </c>
      <c r="AB33">
        <f t="shared" si="17"/>
        <v>50.505050505050505</v>
      </c>
      <c r="AC33">
        <f t="shared" si="31"/>
        <v>4907.4074074074078</v>
      </c>
      <c r="AD33">
        <f t="shared" si="18"/>
        <v>80.505050505050505</v>
      </c>
      <c r="AE33">
        <f t="shared" si="32"/>
        <v>92.592592592592155</v>
      </c>
      <c r="AF33" s="94">
        <f t="shared" si="42"/>
        <v>0</v>
      </c>
      <c r="AG33">
        <f t="shared" si="33"/>
        <v>0</v>
      </c>
      <c r="AH33">
        <f t="shared" si="34"/>
        <v>0</v>
      </c>
      <c r="AI33">
        <f>HLOOKUP(AW33,'Real assumptions'!$A$21:$AK$24,2,TRUE)</f>
        <v>1.6095999999999999</v>
      </c>
      <c r="AJ33" s="123">
        <f t="shared" si="35"/>
        <v>1.3315384513001849E-3</v>
      </c>
      <c r="AK33" s="122">
        <f>(1+HLOOKUP(YEAR(A33),'Real assumptions'!$A$21:$AK$24,2,TRUE)/100)^(1/12)-1</f>
        <v>1.3315384513001849E-3</v>
      </c>
      <c r="AL33">
        <f t="shared" si="36"/>
        <v>11.339155231957392</v>
      </c>
      <c r="AM33">
        <f>('Real assumptions'!$B$33/12)*O32*AV32</f>
        <v>9.1808920471079549</v>
      </c>
      <c r="AN33">
        <f t="shared" si="43"/>
        <v>4.9022983740006332</v>
      </c>
      <c r="AO33">
        <f t="shared" si="46"/>
        <v>6.5275987847282181E-3</v>
      </c>
      <c r="AP33" s="121">
        <f t="shared" si="37"/>
        <v>6.1007318371968454E-2</v>
      </c>
      <c r="AQ33">
        <f t="shared" si="19"/>
        <v>2.1582631848494378</v>
      </c>
      <c r="AR33">
        <v>0</v>
      </c>
      <c r="AS33">
        <f t="shared" si="4"/>
        <v>2.1582631848494378</v>
      </c>
      <c r="AT33">
        <f t="shared" si="20"/>
        <v>2.1582631848494378</v>
      </c>
      <c r="AU33">
        <f>IFERROR(HLOOKUP(B33,'Real assumptions'!$B$43:$AL$44,2,TRUE)*($W$3/$U$2),0)</f>
        <v>2.4000000000000004</v>
      </c>
      <c r="AV33">
        <f>AV32*(1+'Real assumptions'!$B$35)^(1/12)</f>
        <v>1.0219774326658779</v>
      </c>
      <c r="AW33">
        <f t="shared" si="5"/>
        <v>2020</v>
      </c>
      <c r="AX33">
        <f t="shared" si="40"/>
        <v>0</v>
      </c>
      <c r="AY33">
        <f t="shared" si="38"/>
        <v>3.7848330261809719</v>
      </c>
      <c r="AZ33">
        <f t="shared" si="6"/>
        <v>-22.656145144745725</v>
      </c>
      <c r="BA33">
        <f t="shared" si="41"/>
        <v>6.0323102422655985</v>
      </c>
      <c r="BB33">
        <f t="shared" si="21"/>
        <v>97.166666666666671</v>
      </c>
      <c r="BC33">
        <f t="shared" si="7"/>
        <v>58.3</v>
      </c>
      <c r="BD33">
        <f t="shared" si="22"/>
        <v>0</v>
      </c>
      <c r="BE33">
        <f t="shared" si="8"/>
        <v>24</v>
      </c>
      <c r="BF33">
        <f t="shared" si="39"/>
        <v>5000</v>
      </c>
      <c r="BU33"/>
      <c r="FD33"/>
      <c r="FE33"/>
    </row>
    <row r="34" spans="1:161" x14ac:dyDescent="0.25">
      <c r="A34" s="7">
        <f t="shared" si="23"/>
        <v>44135</v>
      </c>
      <c r="B34">
        <f t="shared" si="9"/>
        <v>23</v>
      </c>
      <c r="C34">
        <f t="shared" si="10"/>
        <v>1.8333333333333335</v>
      </c>
      <c r="D34">
        <f t="shared" si="11"/>
        <v>0</v>
      </c>
      <c r="E34">
        <f t="shared" si="12"/>
        <v>53</v>
      </c>
      <c r="F34">
        <f>IF(C34&gt;=$T$2,0,VLOOKUP($E34,EKM_F05!$A$3:$C$128,2,TRUE))</f>
        <v>4.0861538461538461E-3</v>
      </c>
      <c r="G34">
        <f>F34*'Real assumptions'!$B$3</f>
        <v>1.7051519999999999E-3</v>
      </c>
      <c r="H34">
        <f t="shared" si="24"/>
        <v>1.4220717313362385E-4</v>
      </c>
      <c r="I34">
        <f t="shared" si="25"/>
        <v>1.2621111288812879E-4</v>
      </c>
      <c r="J34">
        <f>IF(B34&gt;$AJ$2,0,HLOOKUP(C34,'Real assumptions'!$B$5:$L$8,4,TRUE))</f>
        <v>9.9000000000000005E-2</v>
      </c>
      <c r="K34">
        <f t="shared" si="0"/>
        <v>1</v>
      </c>
      <c r="L34">
        <f t="shared" si="26"/>
        <v>8.3333333333333329E-2</v>
      </c>
      <c r="M34">
        <f t="shared" si="27"/>
        <v>8.6498744788083837E-3</v>
      </c>
      <c r="N34">
        <f t="shared" si="28"/>
        <v>7.7096983657892583E-3</v>
      </c>
      <c r="O34" s="8">
        <f t="shared" si="13"/>
        <v>0.88353501282370439</v>
      </c>
      <c r="P34">
        <f t="shared" si="14"/>
        <v>21.392902135257163</v>
      </c>
      <c r="Q34">
        <f t="shared" si="29"/>
        <v>0.63105556444064392</v>
      </c>
      <c r="R34" s="89">
        <f t="shared" si="1"/>
        <v>5000</v>
      </c>
      <c r="S34">
        <f t="shared" si="2"/>
        <v>8.3333333333333259E-2</v>
      </c>
      <c r="U34">
        <f>O33*AV33*'Real assumptions'!$B$33/12+AX34*'Real assumptions'!$B$34</f>
        <v>9.1096096672760378</v>
      </c>
      <c r="V34">
        <f>IF(P34=0,0,IF(E34&lt;=$C$7,$AN$5*O33,0))*'Real assumptions'!$D$28</f>
        <v>5.3482255338142908</v>
      </c>
      <c r="X34" s="94">
        <f t="shared" si="15"/>
        <v>0</v>
      </c>
      <c r="Y34">
        <f t="shared" si="3"/>
        <v>24</v>
      </c>
      <c r="Z34">
        <f t="shared" si="30"/>
        <v>97</v>
      </c>
      <c r="AA34">
        <f t="shared" si="16"/>
        <v>97.083333333333329</v>
      </c>
      <c r="AB34">
        <f t="shared" si="17"/>
        <v>50.505050505050505</v>
      </c>
      <c r="AC34">
        <f t="shared" si="31"/>
        <v>4903.1986531986531</v>
      </c>
      <c r="AD34">
        <f t="shared" si="18"/>
        <v>80.505050505050505</v>
      </c>
      <c r="AE34">
        <f t="shared" si="32"/>
        <v>96.801346801346881</v>
      </c>
      <c r="AF34" s="94">
        <f t="shared" si="42"/>
        <v>0</v>
      </c>
      <c r="AG34">
        <f t="shared" si="33"/>
        <v>0</v>
      </c>
      <c r="AH34">
        <f t="shared" si="34"/>
        <v>0</v>
      </c>
      <c r="AI34">
        <f>HLOOKUP(AW34,'Real assumptions'!$A$21:$AK$24,2,TRUE)</f>
        <v>1.6095999999999999</v>
      </c>
      <c r="AJ34" s="123">
        <f t="shared" si="35"/>
        <v>1.3315384513001849E-3</v>
      </c>
      <c r="AK34" s="122">
        <f>(1+HLOOKUP(YEAR(A34),'Real assumptions'!$A$21:$AK$24,2,TRUE)/100)^(1/12)-1</f>
        <v>1.3315384513001849E-3</v>
      </c>
      <c r="AL34">
        <f t="shared" si="36"/>
        <v>11.248899880801755</v>
      </c>
      <c r="AM34">
        <f>('Real assumptions'!$B$33/12)*O33*AV33</f>
        <v>9.1096096672760396</v>
      </c>
      <c r="AN34">
        <f t="shared" si="43"/>
        <v>4.8567840390130854</v>
      </c>
      <c r="AO34">
        <f t="shared" si="46"/>
        <v>6.4669946976069403E-3</v>
      </c>
      <c r="AP34" s="121">
        <f t="shared" si="37"/>
        <v>6.7474313069575395E-2</v>
      </c>
      <c r="AQ34">
        <f t="shared" si="19"/>
        <v>2.1392902135257166</v>
      </c>
      <c r="AR34">
        <v>0</v>
      </c>
      <c r="AS34">
        <f t="shared" si="4"/>
        <v>2.1392902135257166</v>
      </c>
      <c r="AT34">
        <f t="shared" si="20"/>
        <v>2.1392902135257166</v>
      </c>
      <c r="AU34">
        <f>IFERROR(HLOOKUP(B34,'Real assumptions'!$B$43:$AL$44,2,TRUE)*($W$3/$U$2),0)</f>
        <v>2.4000000000000004</v>
      </c>
      <c r="AV34">
        <f>AV33*(1+'Real assumptions'!$B$35)^(1/12)</f>
        <v>1.0230359417188732</v>
      </c>
      <c r="AW34">
        <f t="shared" si="5"/>
        <v>2020</v>
      </c>
      <c r="AX34">
        <f t="shared" si="40"/>
        <v>0</v>
      </c>
      <c r="AY34">
        <f t="shared" si="38"/>
        <v>3.75156112080127</v>
      </c>
      <c r="AZ34">
        <f t="shared" si="6"/>
        <v>-18.521591516963717</v>
      </c>
      <c r="BA34">
        <f t="shared" si="41"/>
        <v>5.9792810982549351</v>
      </c>
      <c r="BB34">
        <f t="shared" si="21"/>
        <v>97.083333333333329</v>
      </c>
      <c r="BC34">
        <f t="shared" si="7"/>
        <v>58.25</v>
      </c>
      <c r="BD34">
        <f t="shared" si="22"/>
        <v>0</v>
      </c>
      <c r="BE34">
        <f t="shared" si="8"/>
        <v>24</v>
      </c>
      <c r="BF34">
        <f t="shared" si="39"/>
        <v>5000</v>
      </c>
      <c r="BU34"/>
      <c r="FD34"/>
      <c r="FE34"/>
    </row>
    <row r="35" spans="1:161" x14ac:dyDescent="0.25">
      <c r="A35" s="7">
        <f t="shared" si="23"/>
        <v>44165</v>
      </c>
      <c r="B35">
        <f t="shared" si="9"/>
        <v>24</v>
      </c>
      <c r="C35">
        <f t="shared" si="10"/>
        <v>1.9166666666666665</v>
      </c>
      <c r="D35">
        <f t="shared" si="11"/>
        <v>0</v>
      </c>
      <c r="E35">
        <f t="shared" si="12"/>
        <v>53</v>
      </c>
      <c r="F35">
        <f>IF(C35&gt;=$T$2,0,VLOOKUP($E35,EKM_F05!$A$3:$C$128,2,TRUE))</f>
        <v>4.0861538461538461E-3</v>
      </c>
      <c r="G35">
        <f>F35*'Real assumptions'!$B$3</f>
        <v>1.7051519999999999E-3</v>
      </c>
      <c r="H35">
        <f t="shared" si="24"/>
        <v>1.4220717313362385E-4</v>
      </c>
      <c r="I35">
        <f t="shared" si="25"/>
        <v>1.2510160972726734E-4</v>
      </c>
      <c r="J35">
        <f>IF(B35&gt;$AJ$2,0,HLOOKUP(C35,'Real assumptions'!$B$5:$L$8,4,TRUE))</f>
        <v>9.9000000000000005E-2</v>
      </c>
      <c r="K35">
        <f t="shared" si="0"/>
        <v>1</v>
      </c>
      <c r="L35">
        <f t="shared" si="26"/>
        <v>8.3333333333333329E-2</v>
      </c>
      <c r="M35">
        <f t="shared" si="27"/>
        <v>8.6498744788083837E-3</v>
      </c>
      <c r="N35">
        <f t="shared" si="28"/>
        <v>7.6419235517464273E-3</v>
      </c>
      <c r="O35" s="8">
        <f t="shared" si="13"/>
        <v>0.87576798766223074</v>
      </c>
      <c r="P35">
        <f t="shared" si="14"/>
        <v>21.204840307768904</v>
      </c>
      <c r="Q35">
        <f t="shared" si="29"/>
        <v>0.62550804863633669</v>
      </c>
      <c r="R35" s="89">
        <f t="shared" si="1"/>
        <v>5000</v>
      </c>
      <c r="S35">
        <f t="shared" si="2"/>
        <v>1</v>
      </c>
      <c r="U35">
        <f>O34*AV34*'Real assumptions'!$B$33/12+AX35*'Real assumptions'!$B$34</f>
        <v>9.0388807388569514</v>
      </c>
      <c r="V35">
        <f>IF(P35=0,0,IF(E35&lt;=$C$7,$AN$5*O34,0))*'Real assumptions'!$D$28</f>
        <v>5.3012100769422261</v>
      </c>
      <c r="X35" s="94">
        <f t="shared" si="15"/>
        <v>0</v>
      </c>
      <c r="Y35">
        <f t="shared" si="3"/>
        <v>24</v>
      </c>
      <c r="Z35">
        <f t="shared" si="30"/>
        <v>97</v>
      </c>
      <c r="AA35">
        <f t="shared" si="16"/>
        <v>97</v>
      </c>
      <c r="AB35">
        <f t="shared" si="17"/>
        <v>50.505050505050505</v>
      </c>
      <c r="AC35">
        <f t="shared" si="31"/>
        <v>4898.9898989898993</v>
      </c>
      <c r="AD35">
        <f t="shared" si="18"/>
        <v>80.505050505050505</v>
      </c>
      <c r="AE35">
        <f t="shared" si="32"/>
        <v>101.0101010101007</v>
      </c>
      <c r="AF35" s="94">
        <f t="shared" si="42"/>
        <v>0</v>
      </c>
      <c r="AG35">
        <f t="shared" si="33"/>
        <v>0</v>
      </c>
      <c r="AH35">
        <f t="shared" si="34"/>
        <v>0</v>
      </c>
      <c r="AI35">
        <f>HLOOKUP(AW35,'Real assumptions'!$A$21:$AK$24,2,TRUE)</f>
        <v>1.6095999999999999</v>
      </c>
      <c r="AJ35" s="123">
        <f t="shared" si="35"/>
        <v>1.3315384513001849E-3</v>
      </c>
      <c r="AK35" s="122">
        <f>(1+HLOOKUP(YEAR(A35),'Real assumptions'!$A$21:$AK$24,2,TRUE)/100)^(1/12)-1</f>
        <v>1.3315384513001849E-3</v>
      </c>
      <c r="AL35">
        <f t="shared" si="36"/>
        <v>11.159364769633843</v>
      </c>
      <c r="AM35">
        <f>('Real assumptions'!$B$33/12)*O34*AV34</f>
        <v>9.0388807388569514</v>
      </c>
      <c r="AN35">
        <f t="shared" si="43"/>
        <v>4.81173977426241</v>
      </c>
      <c r="AO35">
        <f t="shared" si="46"/>
        <v>6.4070165270808709E-3</v>
      </c>
      <c r="AP35" s="121">
        <f t="shared" si="37"/>
        <v>7.3881329596656262E-2</v>
      </c>
      <c r="AQ35">
        <f t="shared" si="19"/>
        <v>2.1204840307768911</v>
      </c>
      <c r="AR35">
        <v>0</v>
      </c>
      <c r="AS35">
        <f t="shared" si="4"/>
        <v>2.1204840307768911</v>
      </c>
      <c r="AT35">
        <f t="shared" si="20"/>
        <v>2.1204840307768911</v>
      </c>
      <c r="AU35">
        <f>IFERROR(HLOOKUP(B35,'Real assumptions'!$B$43:$AL$44,2,TRUE)*($W$3/$U$2),0)</f>
        <v>2.4000000000000004</v>
      </c>
      <c r="AV35">
        <f>AV34*(1+'Real assumptions'!$B$35)^(1/12)</f>
        <v>1.0240955471184017</v>
      </c>
      <c r="AW35">
        <f t="shared" si="5"/>
        <v>2020</v>
      </c>
      <c r="AX35">
        <f t="shared" si="40"/>
        <v>0</v>
      </c>
      <c r="AY35">
        <f t="shared" si="38"/>
        <v>3.7185817038034692</v>
      </c>
      <c r="AZ35">
        <f t="shared" si="6"/>
        <v>-14.427496315691327</v>
      </c>
      <c r="BA35">
        <f t="shared" si="41"/>
        <v>5.9267181255785628</v>
      </c>
      <c r="BB35">
        <f t="shared" si="21"/>
        <v>97</v>
      </c>
      <c r="BC35">
        <f t="shared" si="7"/>
        <v>58.199999999999996</v>
      </c>
      <c r="BD35">
        <f t="shared" si="22"/>
        <v>0</v>
      </c>
      <c r="BE35">
        <f t="shared" si="8"/>
        <v>24</v>
      </c>
      <c r="BF35">
        <f t="shared" si="39"/>
        <v>5000</v>
      </c>
      <c r="BU35"/>
      <c r="FD35"/>
      <c r="FE35"/>
    </row>
    <row r="36" spans="1:161" x14ac:dyDescent="0.25">
      <c r="A36" s="7">
        <f t="shared" si="23"/>
        <v>44196</v>
      </c>
      <c r="B36">
        <f t="shared" si="9"/>
        <v>25</v>
      </c>
      <c r="C36">
        <f t="shared" si="10"/>
        <v>2</v>
      </c>
      <c r="D36">
        <f t="shared" si="11"/>
        <v>1</v>
      </c>
      <c r="E36">
        <f t="shared" si="12"/>
        <v>54</v>
      </c>
      <c r="F36">
        <f>IF(C36&gt;=$T$2,0,VLOOKUP($E36,EKM_F05!$A$3:$C$128,2,TRUE))</f>
        <v>4.4902564102564102E-3</v>
      </c>
      <c r="G36">
        <f>F36*'Real assumptions'!$B$3</f>
        <v>1.8737840000000001E-3</v>
      </c>
      <c r="H36">
        <f t="shared" si="24"/>
        <v>1.5628293066016763E-4</v>
      </c>
      <c r="I36">
        <f t="shared" si="25"/>
        <v>1.3642136506800801E-4</v>
      </c>
      <c r="J36">
        <f>IF(B36&gt;$AJ$2,0,HLOOKUP(C36,'Real assumptions'!$B$5:$L$8,4,TRUE))</f>
        <v>7.5499999999999998E-2</v>
      </c>
      <c r="K36">
        <f t="shared" si="0"/>
        <v>1</v>
      </c>
      <c r="L36">
        <f t="shared" si="26"/>
        <v>8.3333333333333329E-2</v>
      </c>
      <c r="M36">
        <f t="shared" si="27"/>
        <v>6.5205010146435205E-3</v>
      </c>
      <c r="N36">
        <f t="shared" si="28"/>
        <v>5.7099998295216869E-3</v>
      </c>
      <c r="O36" s="8">
        <f t="shared" si="13"/>
        <v>0.86992156646764107</v>
      </c>
      <c r="P36">
        <f t="shared" si="14"/>
        <v>21.018431703893537</v>
      </c>
      <c r="Q36">
        <f t="shared" si="29"/>
        <v>0.68210682534004008</v>
      </c>
      <c r="R36" s="89">
        <f t="shared" si="1"/>
        <v>5000</v>
      </c>
      <c r="S36">
        <f t="shared" si="2"/>
        <v>0.91666666666666652</v>
      </c>
      <c r="U36">
        <f>O35*AV35*'Real assumptions'!$B$33/12+AX36*'Real assumptions'!$B$34</f>
        <v>8.968700964737339</v>
      </c>
      <c r="V36">
        <f>IF(P36=0,0,IF(E36&lt;=$C$7,$AN$5*O35,0))*'Real assumptions'!$D$28</f>
        <v>5.2546079259733842</v>
      </c>
      <c r="X36" s="94">
        <f t="shared" si="15"/>
        <v>0</v>
      </c>
      <c r="Y36">
        <f t="shared" si="3"/>
        <v>24</v>
      </c>
      <c r="Z36">
        <f t="shared" si="30"/>
        <v>97</v>
      </c>
      <c r="AA36">
        <f t="shared" si="16"/>
        <v>96.916666666666671</v>
      </c>
      <c r="AB36">
        <f t="shared" si="17"/>
        <v>50.505050505050505</v>
      </c>
      <c r="AC36">
        <f t="shared" si="31"/>
        <v>4894.7811447811455</v>
      </c>
      <c r="AD36">
        <f t="shared" si="18"/>
        <v>80.505050505050505</v>
      </c>
      <c r="AE36">
        <f t="shared" si="32"/>
        <v>105.21885521885451</v>
      </c>
      <c r="AF36" s="94">
        <f t="shared" si="42"/>
        <v>0</v>
      </c>
      <c r="AG36">
        <f t="shared" si="33"/>
        <v>0</v>
      </c>
      <c r="AH36">
        <f t="shared" si="34"/>
        <v>0</v>
      </c>
      <c r="AI36">
        <f>HLOOKUP(AW36,'Real assumptions'!$A$21:$AK$24,2,TRUE)</f>
        <v>1.6095999999999999</v>
      </c>
      <c r="AJ36" s="123">
        <f t="shared" si="35"/>
        <v>1.3315384513001849E-3</v>
      </c>
      <c r="AK36" s="122">
        <f>(1+HLOOKUP(YEAR(A36),'Real assumptions'!$A$21:$AK$24,2,TRUE)/100)^(1/12)-1</f>
        <v>1.3315384513001849E-3</v>
      </c>
      <c r="AL36">
        <f t="shared" si="36"/>
        <v>11.070544135126694</v>
      </c>
      <c r="AM36">
        <f>('Real assumptions'!$B$33/12)*O35*AV35</f>
        <v>8.9687009647373372</v>
      </c>
      <c r="AN36">
        <f t="shared" si="43"/>
        <v>4.7671609723901138</v>
      </c>
      <c r="AO36">
        <f t="shared" si="46"/>
        <v>6.3476581382750155E-3</v>
      </c>
      <c r="AP36" s="121">
        <f t="shared" si="37"/>
        <v>0</v>
      </c>
      <c r="AQ36">
        <f t="shared" si="19"/>
        <v>2.1018431703893543</v>
      </c>
      <c r="AR36">
        <v>0</v>
      </c>
      <c r="AS36">
        <f t="shared" si="4"/>
        <v>2.1018431703893543</v>
      </c>
      <c r="AT36">
        <f t="shared" si="20"/>
        <v>2.1018431703893543</v>
      </c>
      <c r="AU36">
        <f>IFERROR(HLOOKUP(B36,'Real assumptions'!$B$43:$AL$44,2,TRUE)*($W$3/$U$2),0)</f>
        <v>2.4000000000000004</v>
      </c>
      <c r="AV36">
        <f>AV35*(1+'Real assumptions'!$B$35)^(1/12)</f>
        <v>1.02515625</v>
      </c>
      <c r="AW36">
        <f t="shared" si="5"/>
        <v>2020</v>
      </c>
      <c r="AX36">
        <f t="shared" si="40"/>
        <v>0</v>
      </c>
      <c r="AY36">
        <f t="shared" si="38"/>
        <v>3.6858922039656172</v>
      </c>
      <c r="AZ36">
        <f t="shared" si="6"/>
        <v>-10.435534264338241</v>
      </c>
      <c r="BA36">
        <f t="shared" si="41"/>
        <v>5.9367147513134242</v>
      </c>
      <c r="BB36">
        <f t="shared" si="21"/>
        <v>96.916666666666671</v>
      </c>
      <c r="BC36">
        <f t="shared" si="7"/>
        <v>58.150000000000006</v>
      </c>
      <c r="BD36">
        <f t="shared" si="22"/>
        <v>0</v>
      </c>
      <c r="BE36">
        <f t="shared" si="8"/>
        <v>24</v>
      </c>
      <c r="BF36">
        <f t="shared" si="39"/>
        <v>5000</v>
      </c>
      <c r="BU36"/>
      <c r="FD36"/>
      <c r="FE36"/>
    </row>
    <row r="37" spans="1:161" x14ac:dyDescent="0.25">
      <c r="A37" s="7">
        <f t="shared" si="23"/>
        <v>44227</v>
      </c>
      <c r="B37">
        <f t="shared" si="9"/>
        <v>26</v>
      </c>
      <c r="C37">
        <f t="shared" si="10"/>
        <v>2.0833333333333335</v>
      </c>
      <c r="D37">
        <f t="shared" si="11"/>
        <v>0</v>
      </c>
      <c r="E37">
        <f t="shared" si="12"/>
        <v>54</v>
      </c>
      <c r="F37">
        <f>IF(C37&gt;=$T$2,0,VLOOKUP($E37,EKM_F05!$A$3:$C$128,2,TRUE))</f>
        <v>4.4902564102564102E-3</v>
      </c>
      <c r="G37">
        <f>F37*'Real assumptions'!$B$3</f>
        <v>1.8737840000000001E-3</v>
      </c>
      <c r="H37">
        <f t="shared" si="24"/>
        <v>1.5628293066016763E-4</v>
      </c>
      <c r="I37">
        <f t="shared" si="25"/>
        <v>1.3551064810716376E-4</v>
      </c>
      <c r="J37">
        <f>IF(B37&gt;$AJ$2,0,HLOOKUP(C37,'Real assumptions'!$B$5:$L$8,4,TRUE))</f>
        <v>7.5499999999999998E-2</v>
      </c>
      <c r="K37">
        <f t="shared" si="0"/>
        <v>1</v>
      </c>
      <c r="L37">
        <f t="shared" si="26"/>
        <v>8.3333333333333329E-2</v>
      </c>
      <c r="M37">
        <f t="shared" si="27"/>
        <v>6.5205010146435205E-3</v>
      </c>
      <c r="N37">
        <f t="shared" si="28"/>
        <v>5.6718812130676513E-3</v>
      </c>
      <c r="O37" s="8">
        <f t="shared" si="13"/>
        <v>0.86411417460646633</v>
      </c>
      <c r="P37">
        <f t="shared" si="14"/>
        <v>20.878117595223387</v>
      </c>
      <c r="Q37">
        <f t="shared" si="29"/>
        <v>0.67755324053581878</v>
      </c>
      <c r="R37" s="89">
        <f t="shared" si="1"/>
        <v>5000</v>
      </c>
      <c r="S37">
        <f t="shared" si="2"/>
        <v>0.83333333333333348</v>
      </c>
      <c r="U37">
        <f>O36*AV36*'Real assumptions'!$B$33/12+AX37*'Real assumptions'!$B$34</f>
        <v>8.9180553087409269</v>
      </c>
      <c r="V37">
        <f>IF(P37=0,0,IF(E37&lt;=$C$7,$AN$5*O36,0))*'Real assumptions'!$D$28</f>
        <v>5.2195293988058467</v>
      </c>
      <c r="X37" s="94">
        <f t="shared" si="15"/>
        <v>0</v>
      </c>
      <c r="Y37">
        <f t="shared" si="3"/>
        <v>24</v>
      </c>
      <c r="Z37">
        <f t="shared" si="30"/>
        <v>96</v>
      </c>
      <c r="AA37">
        <f t="shared" si="16"/>
        <v>96.833333333333329</v>
      </c>
      <c r="AB37">
        <f t="shared" si="17"/>
        <v>50.505050505050505</v>
      </c>
      <c r="AC37">
        <f t="shared" si="31"/>
        <v>4890.5723905723908</v>
      </c>
      <c r="AD37">
        <f t="shared" si="18"/>
        <v>80.505050505050505</v>
      </c>
      <c r="AE37">
        <f t="shared" si="32"/>
        <v>109.42760942760924</v>
      </c>
      <c r="AF37" s="94">
        <f t="shared" si="42"/>
        <v>0</v>
      </c>
      <c r="AG37">
        <f t="shared" si="33"/>
        <v>0</v>
      </c>
      <c r="AH37">
        <f t="shared" si="34"/>
        <v>0</v>
      </c>
      <c r="AI37">
        <f>HLOOKUP(AW37,'Real assumptions'!$A$21:$AK$24,2,TRUE)</f>
        <v>1.5581</v>
      </c>
      <c r="AJ37" s="123">
        <f t="shared" si="35"/>
        <v>1.2892355606113348E-3</v>
      </c>
      <c r="AK37" s="122">
        <f>(1+HLOOKUP(YEAR(A37),'Real assumptions'!$A$21:$AK$24,2,TRUE)/100)^(1/12)-1</f>
        <v>1.2892355606113348E-3</v>
      </c>
      <c r="AL37">
        <f t="shared" si="36"/>
        <v>11.005867068263266</v>
      </c>
      <c r="AM37">
        <f>('Real assumptions'!$B$33/12)*O36*AV36</f>
        <v>8.9180553087409269</v>
      </c>
      <c r="AN37">
        <f t="shared" si="43"/>
        <v>4.6527211281542744</v>
      </c>
      <c r="AO37">
        <f t="shared" si="46"/>
        <v>5.9984535320241781E-3</v>
      </c>
      <c r="AP37" s="121">
        <f t="shared" si="37"/>
        <v>5.9984535320241781E-3</v>
      </c>
      <c r="AQ37">
        <f t="shared" si="19"/>
        <v>2.0878117595223387</v>
      </c>
      <c r="AR37">
        <v>0</v>
      </c>
      <c r="AS37">
        <f t="shared" si="4"/>
        <v>2.0878117595223387</v>
      </c>
      <c r="AT37">
        <f t="shared" si="20"/>
        <v>2.0878117595223387</v>
      </c>
      <c r="AU37">
        <f>IFERROR(HLOOKUP(B37,'Real assumptions'!$B$43:$AL$44,2,TRUE)*($W$3/$U$2),0)</f>
        <v>2.4000000000000004</v>
      </c>
      <c r="AV37">
        <f>AV36*(1+'Real assumptions'!$B$35)^(1/12)</f>
        <v>1.0262180515003807</v>
      </c>
      <c r="AW37">
        <f t="shared" si="5"/>
        <v>2021</v>
      </c>
      <c r="AX37">
        <f t="shared" si="40"/>
        <v>0</v>
      </c>
      <c r="AY37">
        <f t="shared" si="38"/>
        <v>3.6612860541567382</v>
      </c>
      <c r="AZ37">
        <f t="shared" si="6"/>
        <v>-6.473820238587348</v>
      </c>
      <c r="BA37">
        <f t="shared" si="41"/>
        <v>5.8970826393416651</v>
      </c>
      <c r="BB37">
        <f t="shared" si="21"/>
        <v>96.833333333333329</v>
      </c>
      <c r="BC37">
        <f t="shared" si="7"/>
        <v>58.099999999999994</v>
      </c>
      <c r="BD37">
        <f t="shared" si="22"/>
        <v>0</v>
      </c>
      <c r="BE37">
        <f t="shared" si="8"/>
        <v>24</v>
      </c>
      <c r="BF37">
        <f t="shared" si="39"/>
        <v>5000</v>
      </c>
      <c r="BU37"/>
      <c r="FD37"/>
      <c r="FE37"/>
    </row>
    <row r="38" spans="1:161" x14ac:dyDescent="0.25">
      <c r="A38" s="7">
        <f t="shared" si="23"/>
        <v>44255</v>
      </c>
      <c r="B38">
        <f t="shared" si="9"/>
        <v>27</v>
      </c>
      <c r="C38">
        <f t="shared" si="10"/>
        <v>2.1666666666666665</v>
      </c>
      <c r="D38">
        <f t="shared" si="11"/>
        <v>0</v>
      </c>
      <c r="E38">
        <f t="shared" si="12"/>
        <v>54</v>
      </c>
      <c r="F38">
        <f>IF(C38&gt;=$T$2,0,VLOOKUP($E38,EKM_F05!$A$3:$C$128,2,TRUE))</f>
        <v>4.4902564102564102E-3</v>
      </c>
      <c r="G38">
        <f>F38*'Real assumptions'!$B$3</f>
        <v>1.8737840000000001E-3</v>
      </c>
      <c r="H38">
        <f t="shared" si="24"/>
        <v>1.5628293066016763E-4</v>
      </c>
      <c r="I38">
        <f t="shared" si="25"/>
        <v>1.3460601087864258E-4</v>
      </c>
      <c r="J38">
        <f>IF(B38&gt;$AJ$2,0,HLOOKUP(C38,'Real assumptions'!$B$5:$L$8,4,TRUE))</f>
        <v>7.5499999999999998E-2</v>
      </c>
      <c r="K38">
        <f t="shared" si="0"/>
        <v>1</v>
      </c>
      <c r="L38">
        <f t="shared" si="26"/>
        <v>8.3333333333333329E-2</v>
      </c>
      <c r="M38">
        <f t="shared" si="27"/>
        <v>6.5205010146435205E-3</v>
      </c>
      <c r="N38">
        <f t="shared" si="28"/>
        <v>5.634017067535464E-3</v>
      </c>
      <c r="O38" s="8">
        <f t="shared" si="13"/>
        <v>0.85834555152805225</v>
      </c>
      <c r="P38">
        <f t="shared" si="14"/>
        <v>20.738740190555191</v>
      </c>
      <c r="Q38">
        <f t="shared" si="29"/>
        <v>0.67303005439321295</v>
      </c>
      <c r="R38" s="89">
        <f t="shared" si="1"/>
        <v>5000</v>
      </c>
      <c r="S38">
        <f t="shared" si="2"/>
        <v>0.75</v>
      </c>
      <c r="U38">
        <f>O37*AV37*'Real assumptions'!$B$33/12+AX38*'Real assumptions'!$B$34</f>
        <v>8.8676956453850764</v>
      </c>
      <c r="V38">
        <f>IF(P38=0,0,IF(E38&lt;=$C$7,$AN$5*O37,0))*'Real assumptions'!$D$28</f>
        <v>5.1846850476387978</v>
      </c>
      <c r="X38" s="94">
        <f t="shared" si="15"/>
        <v>0</v>
      </c>
      <c r="Y38">
        <f t="shared" si="3"/>
        <v>24</v>
      </c>
      <c r="Z38">
        <f t="shared" si="30"/>
        <v>96</v>
      </c>
      <c r="AA38">
        <f t="shared" si="16"/>
        <v>96.75</v>
      </c>
      <c r="AB38">
        <f t="shared" si="17"/>
        <v>50.505050505050505</v>
      </c>
      <c r="AC38">
        <f t="shared" si="31"/>
        <v>4886.363636363636</v>
      </c>
      <c r="AD38">
        <f t="shared" si="18"/>
        <v>80.505050505050505</v>
      </c>
      <c r="AE38">
        <f t="shared" si="32"/>
        <v>113.63636363636397</v>
      </c>
      <c r="AF38" s="94">
        <f t="shared" si="42"/>
        <v>0</v>
      </c>
      <c r="AG38">
        <f t="shared" si="33"/>
        <v>0</v>
      </c>
      <c r="AH38">
        <f t="shared" si="34"/>
        <v>0</v>
      </c>
      <c r="AI38">
        <f>HLOOKUP(AW38,'Real assumptions'!$A$21:$AK$24,2,TRUE)</f>
        <v>1.5581</v>
      </c>
      <c r="AJ38" s="123">
        <f t="shared" si="35"/>
        <v>1.2892355606113348E-3</v>
      </c>
      <c r="AK38" s="122">
        <f>(1+HLOOKUP(YEAR(A38),'Real assumptions'!$A$21:$AK$24,2,TRUE)/100)^(1/12)-1</f>
        <v>1.2892355606113348E-3</v>
      </c>
      <c r="AL38">
        <f t="shared" si="36"/>
        <v>10.941569664440596</v>
      </c>
      <c r="AM38">
        <f>('Real assumptions'!$B$33/12)*O37*AV37</f>
        <v>8.8676956453850764</v>
      </c>
      <c r="AN38">
        <f t="shared" si="43"/>
        <v>4.6184839320078197</v>
      </c>
      <c r="AO38">
        <f t="shared" si="46"/>
        <v>5.9543137212565433E-3</v>
      </c>
      <c r="AP38" s="121">
        <f t="shared" si="37"/>
        <v>1.1952767253280722E-2</v>
      </c>
      <c r="AQ38">
        <f t="shared" si="19"/>
        <v>2.0738740190555194</v>
      </c>
      <c r="AR38">
        <v>0</v>
      </c>
      <c r="AS38">
        <f t="shared" si="4"/>
        <v>2.0738740190555194</v>
      </c>
      <c r="AT38">
        <f t="shared" si="20"/>
        <v>2.0738740190555194</v>
      </c>
      <c r="AU38">
        <f>IFERROR(HLOOKUP(B38,'Real assumptions'!$B$43:$AL$44,2,TRUE)*($W$3/$U$2),0)</f>
        <v>2.4000000000000004</v>
      </c>
      <c r="AV38">
        <f>AV37*(1+'Real assumptions'!$B$35)^(1/12)</f>
        <v>1.0272809527574338</v>
      </c>
      <c r="AW38">
        <f t="shared" si="5"/>
        <v>2021</v>
      </c>
      <c r="AX38">
        <f t="shared" si="40"/>
        <v>0</v>
      </c>
      <c r="AY38">
        <f t="shared" si="38"/>
        <v>3.6368441692191342</v>
      </c>
      <c r="AZ38">
        <f t="shared" si="6"/>
        <v>-2.5427110937693573</v>
      </c>
      <c r="BA38">
        <f t="shared" si="41"/>
        <v>5.8577151020320111</v>
      </c>
      <c r="BB38">
        <f t="shared" si="21"/>
        <v>96.75</v>
      </c>
      <c r="BC38">
        <f t="shared" si="7"/>
        <v>58.05</v>
      </c>
      <c r="BD38">
        <f t="shared" si="22"/>
        <v>0</v>
      </c>
      <c r="BE38">
        <f t="shared" si="8"/>
        <v>24</v>
      </c>
      <c r="BF38">
        <f t="shared" si="39"/>
        <v>5000</v>
      </c>
      <c r="BU38"/>
      <c r="FD38"/>
      <c r="FE38"/>
    </row>
    <row r="39" spans="1:161" x14ac:dyDescent="0.25">
      <c r="A39" s="7">
        <f t="shared" si="23"/>
        <v>44286</v>
      </c>
      <c r="B39">
        <f t="shared" si="9"/>
        <v>28</v>
      </c>
      <c r="C39">
        <f t="shared" si="10"/>
        <v>2.25</v>
      </c>
      <c r="D39">
        <f t="shared" si="11"/>
        <v>0</v>
      </c>
      <c r="E39">
        <f t="shared" si="12"/>
        <v>54</v>
      </c>
      <c r="F39">
        <f>IF(C39&gt;=$T$2,0,VLOOKUP($E39,EKM_F05!$A$3:$C$128,2,TRUE))</f>
        <v>4.4902564102564102E-3</v>
      </c>
      <c r="G39">
        <f>F39*'Real assumptions'!$B$3</f>
        <v>1.8737840000000001E-3</v>
      </c>
      <c r="H39">
        <f t="shared" si="24"/>
        <v>1.5628293066016763E-4</v>
      </c>
      <c r="I39">
        <f t="shared" si="25"/>
        <v>1.3370741279558092E-4</v>
      </c>
      <c r="J39">
        <f>IF(B39&gt;$AJ$2,0,HLOOKUP(C39,'Real assumptions'!$B$5:$L$8,4,TRUE))</f>
        <v>7.5499999999999998E-2</v>
      </c>
      <c r="K39">
        <f t="shared" si="0"/>
        <v>1</v>
      </c>
      <c r="L39">
        <f t="shared" si="26"/>
        <v>8.3333333333333329E-2</v>
      </c>
      <c r="M39">
        <f t="shared" si="27"/>
        <v>6.5205010146435205E-3</v>
      </c>
      <c r="N39">
        <f t="shared" si="28"/>
        <v>5.5964056941370756E-3</v>
      </c>
      <c r="O39" s="8">
        <f t="shared" si="13"/>
        <v>0.85261543842111953</v>
      </c>
      <c r="P39">
        <f t="shared" si="14"/>
        <v>20.600293236673252</v>
      </c>
      <c r="Q39">
        <f t="shared" si="29"/>
        <v>0.66853706397790458</v>
      </c>
      <c r="R39" s="89">
        <f t="shared" si="1"/>
        <v>5000</v>
      </c>
      <c r="S39">
        <f t="shared" si="2"/>
        <v>0.66666666666666652</v>
      </c>
      <c r="U39">
        <f>O38*AV38*'Real assumptions'!$B$33/12+AX39*'Real assumptions'!$B$34</f>
        <v>8.8176203596884246</v>
      </c>
      <c r="V39">
        <f>IF(P39=0,0,IF(E39&lt;=$C$7,$AN$5*O38,0))*'Real assumptions'!$D$28</f>
        <v>5.1500733091683131</v>
      </c>
      <c r="X39" s="94">
        <f t="shared" si="15"/>
        <v>0</v>
      </c>
      <c r="Y39">
        <f t="shared" si="3"/>
        <v>24</v>
      </c>
      <c r="Z39">
        <f t="shared" si="30"/>
        <v>96</v>
      </c>
      <c r="AA39">
        <f t="shared" si="16"/>
        <v>96.666666666666671</v>
      </c>
      <c r="AB39">
        <f t="shared" si="17"/>
        <v>50.505050505050505</v>
      </c>
      <c r="AC39">
        <f t="shared" si="31"/>
        <v>4882.1548821548822</v>
      </c>
      <c r="AD39">
        <f t="shared" si="18"/>
        <v>80.505050505050505</v>
      </c>
      <c r="AE39">
        <f t="shared" si="32"/>
        <v>117.84511784511778</v>
      </c>
      <c r="AF39" s="94">
        <f t="shared" si="42"/>
        <v>0</v>
      </c>
      <c r="AG39">
        <f t="shared" si="33"/>
        <v>0</v>
      </c>
      <c r="AH39">
        <f t="shared" si="34"/>
        <v>0</v>
      </c>
      <c r="AI39">
        <f>HLOOKUP(AW39,'Real assumptions'!$A$21:$AK$24,2,TRUE)</f>
        <v>1.5581</v>
      </c>
      <c r="AJ39" s="123">
        <f t="shared" si="35"/>
        <v>1.2892355606113348E-3</v>
      </c>
      <c r="AK39" s="122">
        <f>(1+HLOOKUP(YEAR(A39),'Real assumptions'!$A$21:$AK$24,2,TRUE)/100)^(1/12)-1</f>
        <v>1.2892355606113348E-3</v>
      </c>
      <c r="AL39">
        <f t="shared" si="36"/>
        <v>10.877649683355751</v>
      </c>
      <c r="AM39">
        <f>('Real assumptions'!$B$33/12)*O38*AV38</f>
        <v>8.8176203596884264</v>
      </c>
      <c r="AN39">
        <f t="shared" si="43"/>
        <v>4.5845230114024691</v>
      </c>
      <c r="AO39">
        <f t="shared" si="46"/>
        <v>5.9105300947410273E-3</v>
      </c>
      <c r="AP39" s="121">
        <f t="shared" si="37"/>
        <v>1.7863297348021751E-2</v>
      </c>
      <c r="AQ39">
        <f t="shared" si="19"/>
        <v>2.0600293236673255</v>
      </c>
      <c r="AR39">
        <v>0</v>
      </c>
      <c r="AS39">
        <f t="shared" si="4"/>
        <v>2.0600293236673255</v>
      </c>
      <c r="AT39">
        <f t="shared" si="20"/>
        <v>2.0600293236673255</v>
      </c>
      <c r="AU39">
        <f>IFERROR(HLOOKUP(B39,'Real assumptions'!$B$43:$AL$44,2,TRUE)*($W$3/$U$2),0)</f>
        <v>2.4000000000000004</v>
      </c>
      <c r="AV39">
        <f>AV38*(1+'Real assumptions'!$B$35)^(1/12)</f>
        <v>1.0283449549102279</v>
      </c>
      <c r="AW39">
        <f t="shared" si="5"/>
        <v>2021</v>
      </c>
      <c r="AX39">
        <f t="shared" si="40"/>
        <v>0</v>
      </c>
      <c r="AY39">
        <f t="shared" si="38"/>
        <v>3.6125654525591422</v>
      </c>
      <c r="AZ39">
        <f t="shared" si="6"/>
        <v>1.3580439328394791</v>
      </c>
      <c r="BA39">
        <f t="shared" si="41"/>
        <v>5.8186103731462175</v>
      </c>
      <c r="BB39">
        <f t="shared" si="21"/>
        <v>96.666666666666671</v>
      </c>
      <c r="BC39">
        <f t="shared" si="7"/>
        <v>58</v>
      </c>
      <c r="BD39">
        <f t="shared" si="22"/>
        <v>0</v>
      </c>
      <c r="BE39">
        <f t="shared" si="8"/>
        <v>24</v>
      </c>
      <c r="BF39">
        <f t="shared" si="39"/>
        <v>5000</v>
      </c>
      <c r="BU39"/>
      <c r="FD39"/>
      <c r="FE39"/>
    </row>
    <row r="40" spans="1:161" x14ac:dyDescent="0.25">
      <c r="A40" s="7">
        <f t="shared" si="23"/>
        <v>44316</v>
      </c>
      <c r="B40">
        <f t="shared" si="9"/>
        <v>29</v>
      </c>
      <c r="C40">
        <f t="shared" si="10"/>
        <v>2.3333333333333335</v>
      </c>
      <c r="D40">
        <f t="shared" si="11"/>
        <v>0</v>
      </c>
      <c r="E40">
        <f t="shared" si="12"/>
        <v>54</v>
      </c>
      <c r="F40">
        <f>IF(C40&gt;=$T$2,0,VLOOKUP($E40,EKM_F05!$A$3:$C$128,2,TRUE))</f>
        <v>4.4902564102564102E-3</v>
      </c>
      <c r="G40">
        <f>F40*'Real assumptions'!$B$3</f>
        <v>1.8737840000000001E-3</v>
      </c>
      <c r="H40">
        <f t="shared" si="24"/>
        <v>1.5628293066016763E-4</v>
      </c>
      <c r="I40">
        <f t="shared" si="25"/>
        <v>1.3281481354206342E-4</v>
      </c>
      <c r="J40">
        <f>IF(B40&gt;$AJ$2,0,HLOOKUP(C40,'Real assumptions'!$B$5:$L$8,4,TRUE))</f>
        <v>7.5499999999999998E-2</v>
      </c>
      <c r="K40">
        <f t="shared" si="0"/>
        <v>1</v>
      </c>
      <c r="L40">
        <f t="shared" si="26"/>
        <v>8.3333333333333329E-2</v>
      </c>
      <c r="M40">
        <f t="shared" si="27"/>
        <v>6.5205010146435205E-3</v>
      </c>
      <c r="N40">
        <f t="shared" si="28"/>
        <v>5.5590454054251469E-3</v>
      </c>
      <c r="O40" s="8">
        <f t="shared" si="13"/>
        <v>0.84692357820215225</v>
      </c>
      <c r="P40">
        <f t="shared" si="14"/>
        <v>20.462770522106869</v>
      </c>
      <c r="Q40">
        <f t="shared" si="29"/>
        <v>0.66407406771031707</v>
      </c>
      <c r="R40" s="89">
        <f t="shared" si="1"/>
        <v>5000</v>
      </c>
      <c r="S40">
        <f t="shared" si="2"/>
        <v>0.58333333333333348</v>
      </c>
      <c r="U40">
        <f>O39*AV39*'Real assumptions'!$B$33/12+AX40*'Real assumptions'!$B$34</f>
        <v>8.767827845789304</v>
      </c>
      <c r="V40">
        <f>IF(P40=0,0,IF(E40&lt;=$C$7,$AN$5*O39,0))*'Real assumptions'!$D$28</f>
        <v>5.1156926305267172</v>
      </c>
      <c r="X40" s="94">
        <f t="shared" si="15"/>
        <v>0</v>
      </c>
      <c r="Y40">
        <f t="shared" si="3"/>
        <v>24</v>
      </c>
      <c r="Z40">
        <f t="shared" si="30"/>
        <v>96</v>
      </c>
      <c r="AA40">
        <f t="shared" si="16"/>
        <v>96.583333333333329</v>
      </c>
      <c r="AB40">
        <f t="shared" si="17"/>
        <v>50.505050505050505</v>
      </c>
      <c r="AC40">
        <f t="shared" si="31"/>
        <v>4877.9461279461275</v>
      </c>
      <c r="AD40">
        <f t="shared" si="18"/>
        <v>80.505050505050505</v>
      </c>
      <c r="AE40">
        <f t="shared" si="32"/>
        <v>122.05387205387251</v>
      </c>
      <c r="AF40" s="94">
        <f t="shared" si="42"/>
        <v>0</v>
      </c>
      <c r="AG40">
        <f t="shared" si="33"/>
        <v>0</v>
      </c>
      <c r="AH40">
        <f t="shared" si="34"/>
        <v>0</v>
      </c>
      <c r="AI40">
        <f>HLOOKUP(AW40,'Real assumptions'!$A$21:$AK$24,2,TRUE)</f>
        <v>1.5581</v>
      </c>
      <c r="AJ40" s="123">
        <f t="shared" si="35"/>
        <v>1.2892355606113348E-3</v>
      </c>
      <c r="AK40" s="122">
        <f>(1+HLOOKUP(YEAR(A40),'Real assumptions'!$A$21:$AK$24,2,TRUE)/100)^(1/12)-1</f>
        <v>1.2892355606113348E-3</v>
      </c>
      <c r="AL40">
        <f t="shared" si="36"/>
        <v>10.814104897999991</v>
      </c>
      <c r="AM40">
        <f>('Real assumptions'!$B$33/12)*O39*AV39</f>
        <v>8.767827845789304</v>
      </c>
      <c r="AN40">
        <f t="shared" si="43"/>
        <v>4.5508362909281832</v>
      </c>
      <c r="AO40">
        <f t="shared" si="46"/>
        <v>5.8670999767852037E-3</v>
      </c>
      <c r="AP40" s="121">
        <f t="shared" si="37"/>
        <v>2.3730397324806952E-2</v>
      </c>
      <c r="AQ40">
        <f t="shared" si="19"/>
        <v>2.0462770522106872</v>
      </c>
      <c r="AR40">
        <v>0</v>
      </c>
      <c r="AS40">
        <f t="shared" si="4"/>
        <v>2.0462770522106872</v>
      </c>
      <c r="AT40">
        <f t="shared" si="20"/>
        <v>2.0462770522106872</v>
      </c>
      <c r="AU40">
        <f>IFERROR(HLOOKUP(B40,'Real assumptions'!$B$43:$AL$44,2,TRUE)*($W$3/$U$2),0)</f>
        <v>2.4000000000000004</v>
      </c>
      <c r="AV40">
        <f>AV39*(1+'Real assumptions'!$B$35)^(1/12)</f>
        <v>1.0294100590990114</v>
      </c>
      <c r="AW40">
        <f t="shared" si="5"/>
        <v>2021</v>
      </c>
      <c r="AX40">
        <f t="shared" si="40"/>
        <v>0</v>
      </c>
      <c r="AY40">
        <f t="shared" si="38"/>
        <v>3.5884488149037015</v>
      </c>
      <c r="AZ40">
        <f t="shared" si="6"/>
        <v>5.228693697240411</v>
      </c>
      <c r="BA40">
        <f t="shared" si="41"/>
        <v>5.7797666982370339</v>
      </c>
      <c r="BB40">
        <f t="shared" si="21"/>
        <v>96.583333333333329</v>
      </c>
      <c r="BC40">
        <f t="shared" si="7"/>
        <v>57.949999999999989</v>
      </c>
      <c r="BD40">
        <f t="shared" si="22"/>
        <v>0</v>
      </c>
      <c r="BE40">
        <f t="shared" si="8"/>
        <v>24</v>
      </c>
      <c r="BF40">
        <f t="shared" si="39"/>
        <v>5000</v>
      </c>
      <c r="BU40"/>
      <c r="FD40"/>
      <c r="FE40"/>
    </row>
    <row r="41" spans="1:161" x14ac:dyDescent="0.25">
      <c r="A41" s="7">
        <f t="shared" si="23"/>
        <v>44347</v>
      </c>
      <c r="B41">
        <f t="shared" si="9"/>
        <v>30</v>
      </c>
      <c r="C41">
        <f t="shared" si="10"/>
        <v>2.4166666666666665</v>
      </c>
      <c r="D41">
        <f t="shared" si="11"/>
        <v>0</v>
      </c>
      <c r="E41">
        <f t="shared" si="12"/>
        <v>54</v>
      </c>
      <c r="F41">
        <f>IF(C41&gt;=$T$2,0,VLOOKUP($E41,EKM_F05!$A$3:$C$128,2,TRUE))</f>
        <v>4.4902564102564102E-3</v>
      </c>
      <c r="G41">
        <f>F41*'Real assumptions'!$B$3</f>
        <v>1.8737840000000001E-3</v>
      </c>
      <c r="H41">
        <f t="shared" si="24"/>
        <v>1.5628293066016763E-4</v>
      </c>
      <c r="I41">
        <f t="shared" si="25"/>
        <v>1.3192817307131435E-4</v>
      </c>
      <c r="J41">
        <f>IF(B41&gt;$AJ$2,0,HLOOKUP(C41,'Real assumptions'!$B$5:$L$8,4,TRUE))</f>
        <v>7.5499999999999998E-2</v>
      </c>
      <c r="K41">
        <f t="shared" si="0"/>
        <v>1</v>
      </c>
      <c r="L41">
        <f t="shared" si="26"/>
        <v>8.3333333333333329E-2</v>
      </c>
      <c r="M41">
        <f t="shared" si="27"/>
        <v>6.5205010146435205E-3</v>
      </c>
      <c r="N41">
        <f t="shared" si="28"/>
        <v>5.5219345252173401E-3</v>
      </c>
      <c r="O41" s="8">
        <f t="shared" si="13"/>
        <v>0.84126971550386365</v>
      </c>
      <c r="P41">
        <f t="shared" si="14"/>
        <v>20.326165876851654</v>
      </c>
      <c r="Q41">
        <f t="shared" si="29"/>
        <v>0.65964086535657174</v>
      </c>
      <c r="R41" s="89">
        <f t="shared" si="1"/>
        <v>5000</v>
      </c>
      <c r="S41">
        <f t="shared" si="2"/>
        <v>0.5</v>
      </c>
      <c r="U41">
        <f>O40*AV40*'Real assumptions'!$B$33/12+AX41*'Real assumptions'!$B$34</f>
        <v>8.7183165068942365</v>
      </c>
      <c r="V41">
        <f>IF(P41=0,0,IF(E41&lt;=$C$7,$AN$5*O40,0))*'Real assumptions'!$D$28</f>
        <v>5.0815414692129135</v>
      </c>
      <c r="X41" s="94">
        <f t="shared" si="15"/>
        <v>0</v>
      </c>
      <c r="Y41">
        <f t="shared" si="3"/>
        <v>24</v>
      </c>
      <c r="Z41">
        <f t="shared" si="30"/>
        <v>96</v>
      </c>
      <c r="AA41">
        <f t="shared" si="16"/>
        <v>96.5</v>
      </c>
      <c r="AB41">
        <f t="shared" si="17"/>
        <v>50.505050505050505</v>
      </c>
      <c r="AC41">
        <f t="shared" si="31"/>
        <v>4873.7373737373737</v>
      </c>
      <c r="AD41">
        <f t="shared" si="18"/>
        <v>80.505050505050505</v>
      </c>
      <c r="AE41">
        <f t="shared" si="32"/>
        <v>126.26262626262633</v>
      </c>
      <c r="AF41" s="94">
        <f t="shared" si="42"/>
        <v>0</v>
      </c>
      <c r="AG41">
        <f t="shared" si="33"/>
        <v>0</v>
      </c>
      <c r="AH41">
        <f t="shared" si="34"/>
        <v>0</v>
      </c>
      <c r="AI41">
        <f>HLOOKUP(AW41,'Real assumptions'!$A$21:$AK$24,2,TRUE)</f>
        <v>1.5581</v>
      </c>
      <c r="AJ41" s="123">
        <f t="shared" si="35"/>
        <v>1.2892355606113348E-3</v>
      </c>
      <c r="AK41" s="122">
        <f>(1+HLOOKUP(YEAR(A41),'Real assumptions'!$A$21:$AK$24,2,TRUE)/100)^(1/12)-1</f>
        <v>1.2892355606113348E-3</v>
      </c>
      <c r="AL41">
        <f t="shared" si="36"/>
        <v>10.750933094579402</v>
      </c>
      <c r="AM41">
        <f>('Real assumptions'!$B$33/12)*O40*AV40</f>
        <v>8.7183165068942383</v>
      </c>
      <c r="AN41">
        <f t="shared" si="43"/>
        <v>4.5174217103841467</v>
      </c>
      <c r="AO41">
        <f t="shared" si="46"/>
        <v>5.8240207113049204E-3</v>
      </c>
      <c r="AP41" s="121">
        <f t="shared" si="37"/>
        <v>2.9554418036111873E-2</v>
      </c>
      <c r="AQ41">
        <f t="shared" si="19"/>
        <v>2.0326165876851658</v>
      </c>
      <c r="AR41">
        <v>0</v>
      </c>
      <c r="AS41">
        <f t="shared" si="4"/>
        <v>2.0326165876851658</v>
      </c>
      <c r="AT41">
        <f t="shared" si="20"/>
        <v>2.0326165876851658</v>
      </c>
      <c r="AU41">
        <f>IFERROR(HLOOKUP(B41,'Real assumptions'!$B$43:$AL$44,2,TRUE)*($W$3/$U$2),0)</f>
        <v>2.4000000000000004</v>
      </c>
      <c r="AV41">
        <f>AV40*(1+'Real assumptions'!$B$35)^(1/12)</f>
        <v>1.0304762664652136</v>
      </c>
      <c r="AW41">
        <f t="shared" si="5"/>
        <v>2021</v>
      </c>
      <c r="AX41">
        <f t="shared" si="40"/>
        <v>0</v>
      </c>
      <c r="AY41">
        <f t="shared" si="38"/>
        <v>3.5644931742514823</v>
      </c>
      <c r="AZ41">
        <f t="shared" si="6"/>
        <v>9.0694851627932049</v>
      </c>
      <c r="BA41">
        <f t="shared" si="41"/>
        <v>5.7411823345694852</v>
      </c>
      <c r="BB41">
        <f t="shared" si="21"/>
        <v>96.5</v>
      </c>
      <c r="BC41">
        <f t="shared" si="7"/>
        <v>57.9</v>
      </c>
      <c r="BD41">
        <f t="shared" si="22"/>
        <v>0</v>
      </c>
      <c r="BE41">
        <f t="shared" si="8"/>
        <v>24</v>
      </c>
      <c r="BF41">
        <f t="shared" si="39"/>
        <v>5000</v>
      </c>
      <c r="BU41"/>
      <c r="FD41"/>
      <c r="FE41"/>
    </row>
    <row r="42" spans="1:161" x14ac:dyDescent="0.25">
      <c r="A42" s="7">
        <f t="shared" si="23"/>
        <v>44377</v>
      </c>
      <c r="B42">
        <f t="shared" si="9"/>
        <v>31</v>
      </c>
      <c r="C42">
        <f t="shared" si="10"/>
        <v>2.5</v>
      </c>
      <c r="D42">
        <f t="shared" si="11"/>
        <v>0</v>
      </c>
      <c r="E42">
        <f t="shared" si="12"/>
        <v>54</v>
      </c>
      <c r="F42">
        <f>IF(C42&gt;=$T$2,0,VLOOKUP($E42,EKM_F05!$A$3:$C$128,2,TRUE))</f>
        <v>4.4902564102564102E-3</v>
      </c>
      <c r="G42">
        <f>F42*'Real assumptions'!$B$3</f>
        <v>1.8737840000000001E-3</v>
      </c>
      <c r="H42">
        <f t="shared" si="24"/>
        <v>1.5628293066016763E-4</v>
      </c>
      <c r="I42">
        <f t="shared" si="25"/>
        <v>1.3104745160390086E-4</v>
      </c>
      <c r="J42">
        <f>IF(B42&gt;$AJ$2,0,HLOOKUP(C42,'Real assumptions'!$B$5:$L$8,4,TRUE))</f>
        <v>7.5499999999999998E-2</v>
      </c>
      <c r="K42">
        <f t="shared" si="0"/>
        <v>1</v>
      </c>
      <c r="L42">
        <f t="shared" si="26"/>
        <v>8.3333333333333329E-2</v>
      </c>
      <c r="M42">
        <f t="shared" si="27"/>
        <v>6.5205010146435205E-3</v>
      </c>
      <c r="N42">
        <f t="shared" si="28"/>
        <v>5.48507138852112E-3</v>
      </c>
      <c r="O42" s="8">
        <f t="shared" si="13"/>
        <v>0.83565359666373862</v>
      </c>
      <c r="P42">
        <f t="shared" si="14"/>
        <v>20.190473172092727</v>
      </c>
      <c r="Q42">
        <f t="shared" si="29"/>
        <v>0.65523725801950428</v>
      </c>
      <c r="R42" s="89">
        <f t="shared" si="1"/>
        <v>5000</v>
      </c>
      <c r="S42">
        <f t="shared" si="2"/>
        <v>0.41666666666666652</v>
      </c>
      <c r="U42">
        <f>O41*AV41*'Real assumptions'!$B$33/12+AX42*'Real assumptions'!$B$34</f>
        <v>8.6690847552267378</v>
      </c>
      <c r="V42">
        <f>IF(P42=0,0,IF(E42&lt;=$C$7,$AN$5*O41,0))*'Real assumptions'!$D$28</f>
        <v>5.0476182930231817</v>
      </c>
      <c r="X42" s="94">
        <f t="shared" si="15"/>
        <v>0</v>
      </c>
      <c r="Y42">
        <f t="shared" si="3"/>
        <v>24</v>
      </c>
      <c r="Z42">
        <f t="shared" si="30"/>
        <v>96</v>
      </c>
      <c r="AA42">
        <f t="shared" si="16"/>
        <v>96.416666666666671</v>
      </c>
      <c r="AB42">
        <f t="shared" si="17"/>
        <v>50.505050505050505</v>
      </c>
      <c r="AC42">
        <f t="shared" si="31"/>
        <v>4869.5286195286199</v>
      </c>
      <c r="AD42">
        <f t="shared" si="18"/>
        <v>80.505050505050505</v>
      </c>
      <c r="AE42">
        <f t="shared" si="32"/>
        <v>130.47138047138014</v>
      </c>
      <c r="AF42" s="94">
        <f t="shared" si="42"/>
        <v>0</v>
      </c>
      <c r="AG42">
        <f t="shared" si="33"/>
        <v>0</v>
      </c>
      <c r="AH42">
        <f t="shared" si="34"/>
        <v>0</v>
      </c>
      <c r="AI42">
        <f>HLOOKUP(AW42,'Real assumptions'!$A$21:$AK$24,2,TRUE)</f>
        <v>1.5581</v>
      </c>
      <c r="AJ42" s="123">
        <f t="shared" si="35"/>
        <v>1.2892355606113348E-3</v>
      </c>
      <c r="AK42" s="122">
        <f>(1+HLOOKUP(YEAR(A42),'Real assumptions'!$A$21:$AK$24,2,TRUE)/100)^(1/12)-1</f>
        <v>1.2892355606113348E-3</v>
      </c>
      <c r="AL42">
        <f t="shared" si="36"/>
        <v>10.68813207243601</v>
      </c>
      <c r="AM42">
        <f>('Real assumptions'!$B$33/12)*O41*AV41</f>
        <v>8.6690847552267378</v>
      </c>
      <c r="AN42">
        <f t="shared" si="43"/>
        <v>4.4842772246696487</v>
      </c>
      <c r="AO42">
        <f t="shared" si="46"/>
        <v>5.7812896616836152E-3</v>
      </c>
      <c r="AP42" s="121">
        <f t="shared" si="37"/>
        <v>3.5335707697795489E-2</v>
      </c>
      <c r="AQ42">
        <f t="shared" si="19"/>
        <v>2.0190473172092731</v>
      </c>
      <c r="AR42">
        <v>0</v>
      </c>
      <c r="AS42">
        <f t="shared" si="4"/>
        <v>2.0190473172092731</v>
      </c>
      <c r="AT42">
        <f t="shared" si="20"/>
        <v>2.0190473172092731</v>
      </c>
      <c r="AU42">
        <f>IFERROR(HLOOKUP(B42,'Real assumptions'!$B$43:$AL$44,2,TRUE)*($W$3/$U$2),0)</f>
        <v>2.4000000000000004</v>
      </c>
      <c r="AV42">
        <f>AV41*(1+'Real assumptions'!$B$35)^(1/12)</f>
        <v>1.0315435781514461</v>
      </c>
      <c r="AW42">
        <f t="shared" si="5"/>
        <v>2021</v>
      </c>
      <c r="AX42">
        <f t="shared" si="40"/>
        <v>0</v>
      </c>
      <c r="AY42">
        <f t="shared" si="38"/>
        <v>3.5406974558243416</v>
      </c>
      <c r="AZ42">
        <f t="shared" si="6"/>
        <v>12.880663414195546</v>
      </c>
      <c r="BA42">
        <f t="shared" si="41"/>
        <v>5.7028555510426857</v>
      </c>
      <c r="BB42">
        <f t="shared" si="21"/>
        <v>96.416666666666671</v>
      </c>
      <c r="BC42">
        <f t="shared" si="7"/>
        <v>57.849999999999994</v>
      </c>
      <c r="BD42">
        <f t="shared" si="22"/>
        <v>0</v>
      </c>
      <c r="BE42">
        <f t="shared" si="8"/>
        <v>24</v>
      </c>
      <c r="BF42">
        <f t="shared" si="39"/>
        <v>5000</v>
      </c>
      <c r="BU42"/>
      <c r="FD42"/>
      <c r="FE42"/>
    </row>
    <row r="43" spans="1:161" x14ac:dyDescent="0.25">
      <c r="A43" s="7">
        <f t="shared" si="23"/>
        <v>44408</v>
      </c>
      <c r="B43">
        <f t="shared" si="9"/>
        <v>32</v>
      </c>
      <c r="C43">
        <f t="shared" si="10"/>
        <v>2.5833333333333335</v>
      </c>
      <c r="D43">
        <f t="shared" si="11"/>
        <v>0</v>
      </c>
      <c r="E43">
        <f t="shared" si="12"/>
        <v>54</v>
      </c>
      <c r="F43">
        <f>IF(C43&gt;=$T$2,0,VLOOKUP($E43,EKM_F05!$A$3:$C$128,2,TRUE))</f>
        <v>4.4902564102564102E-3</v>
      </c>
      <c r="G43">
        <f>F43*'Real assumptions'!$B$3</f>
        <v>1.8737840000000001E-3</v>
      </c>
      <c r="H43">
        <f t="shared" si="24"/>
        <v>1.5628293066016763E-4</v>
      </c>
      <c r="I43">
        <f t="shared" si="25"/>
        <v>1.3017260962594823E-4</v>
      </c>
      <c r="J43">
        <f>IF(B43&gt;$AJ$2,0,HLOOKUP(C43,'Real assumptions'!$B$5:$L$8,4,TRUE))</f>
        <v>7.5499999999999998E-2</v>
      </c>
      <c r="K43">
        <f t="shared" si="0"/>
        <v>1</v>
      </c>
      <c r="L43">
        <f t="shared" si="26"/>
        <v>8.3333333333333329E-2</v>
      </c>
      <c r="M43">
        <f t="shared" si="27"/>
        <v>6.5205010146435205E-3</v>
      </c>
      <c r="N43">
        <f t="shared" si="28"/>
        <v>5.4484543414590443E-3</v>
      </c>
      <c r="O43" s="8">
        <f t="shared" si="13"/>
        <v>0.8300749697126536</v>
      </c>
      <c r="P43">
        <f t="shared" si="14"/>
        <v>20.055686319929727</v>
      </c>
      <c r="Q43">
        <f t="shared" si="29"/>
        <v>0.65086304812974116</v>
      </c>
      <c r="R43" s="89">
        <f t="shared" si="1"/>
        <v>5000</v>
      </c>
      <c r="S43">
        <f t="shared" si="2"/>
        <v>0.33333333333333348</v>
      </c>
      <c r="U43">
        <f>O42*AV42*'Real assumptions'!$B$33/12+AX43*'Real assumptions'!$B$34</f>
        <v>8.6201310119763832</v>
      </c>
      <c r="V43">
        <f>IF(P43=0,0,IF(E43&lt;=$C$7,$AN$5*O42,0))*'Real assumptions'!$D$28</f>
        <v>5.0139215799824317</v>
      </c>
      <c r="X43" s="94">
        <f t="shared" si="15"/>
        <v>0</v>
      </c>
      <c r="Y43">
        <f t="shared" si="3"/>
        <v>24</v>
      </c>
      <c r="Z43">
        <f t="shared" si="30"/>
        <v>96</v>
      </c>
      <c r="AA43">
        <f t="shared" si="16"/>
        <v>96.333333333333329</v>
      </c>
      <c r="AB43">
        <f t="shared" si="17"/>
        <v>50.505050505050505</v>
      </c>
      <c r="AC43">
        <f t="shared" si="31"/>
        <v>4865.3198653198651</v>
      </c>
      <c r="AD43">
        <f t="shared" si="18"/>
        <v>80.505050505050505</v>
      </c>
      <c r="AE43">
        <f t="shared" si="32"/>
        <v>134.68013468013487</v>
      </c>
      <c r="AF43" s="94">
        <f t="shared" si="42"/>
        <v>0</v>
      </c>
      <c r="AG43">
        <f t="shared" si="33"/>
        <v>0</v>
      </c>
      <c r="AH43">
        <f t="shared" si="34"/>
        <v>0</v>
      </c>
      <c r="AI43">
        <f>HLOOKUP(AW43,'Real assumptions'!$A$21:$AK$24,2,TRUE)</f>
        <v>1.5581</v>
      </c>
      <c r="AJ43" s="123">
        <f t="shared" si="35"/>
        <v>1.2892355606113348E-3</v>
      </c>
      <c r="AK43" s="122">
        <f>(1+HLOOKUP(YEAR(A43),'Real assumptions'!$A$21:$AK$24,2,TRUE)/100)^(1/12)-1</f>
        <v>1.2892355606113348E-3</v>
      </c>
      <c r="AL43">
        <f t="shared" si="36"/>
        <v>10.625699643969355</v>
      </c>
      <c r="AM43">
        <f>('Real assumptions'!$B$33/12)*O42*AV42</f>
        <v>8.6201310119763832</v>
      </c>
      <c r="AN43">
        <f t="shared" si="43"/>
        <v>4.4514008036757371</v>
      </c>
      <c r="AO43">
        <f t="shared" si="46"/>
        <v>5.738904210632635E-3</v>
      </c>
      <c r="AP43" s="121">
        <f t="shared" si="37"/>
        <v>4.1074611908428121E-2</v>
      </c>
      <c r="AQ43">
        <f t="shared" si="19"/>
        <v>2.0055686319929729</v>
      </c>
      <c r="AR43">
        <v>0</v>
      </c>
      <c r="AS43">
        <f t="shared" si="4"/>
        <v>2.0055686319929729</v>
      </c>
      <c r="AT43">
        <f t="shared" si="20"/>
        <v>2.0055686319929729</v>
      </c>
      <c r="AU43">
        <f>IFERROR(HLOOKUP(B43,'Real assumptions'!$B$43:$AL$44,2,TRUE)*($W$3/$U$2),0)</f>
        <v>2.4000000000000004</v>
      </c>
      <c r="AV43">
        <f>AV42*(1+'Real assumptions'!$B$35)^(1/12)</f>
        <v>1.0326119953015043</v>
      </c>
      <c r="AW43">
        <f t="shared" si="5"/>
        <v>2021</v>
      </c>
      <c r="AX43">
        <f t="shared" si="40"/>
        <v>0</v>
      </c>
      <c r="AY43">
        <f t="shared" si="38"/>
        <v>3.5170605920191016</v>
      </c>
      <c r="AZ43">
        <f t="shared" si="6"/>
        <v>16.66247167136159</v>
      </c>
      <c r="BA43">
        <f t="shared" si="41"/>
        <v>5.664784628112173</v>
      </c>
      <c r="BB43">
        <f t="shared" si="21"/>
        <v>96.333333333333329</v>
      </c>
      <c r="BC43">
        <f t="shared" si="7"/>
        <v>57.8</v>
      </c>
      <c r="BD43">
        <f t="shared" si="22"/>
        <v>0</v>
      </c>
      <c r="BE43">
        <f t="shared" si="8"/>
        <v>24</v>
      </c>
      <c r="BF43">
        <f t="shared" si="39"/>
        <v>5000</v>
      </c>
      <c r="BU43"/>
      <c r="FD43"/>
      <c r="FE43"/>
    </row>
    <row r="44" spans="1:161" x14ac:dyDescent="0.25">
      <c r="A44" s="7">
        <f t="shared" si="23"/>
        <v>44439</v>
      </c>
      <c r="B44">
        <f t="shared" si="9"/>
        <v>33</v>
      </c>
      <c r="C44">
        <f t="shared" si="10"/>
        <v>2.6666666666666665</v>
      </c>
      <c r="D44">
        <f t="shared" si="11"/>
        <v>0</v>
      </c>
      <c r="E44">
        <f t="shared" si="12"/>
        <v>54</v>
      </c>
      <c r="F44">
        <f>IF(C44&gt;=$T$2,0,VLOOKUP($E44,EKM_F05!$A$3:$C$128,2,TRUE))</f>
        <v>4.4902564102564102E-3</v>
      </c>
      <c r="G44">
        <f>F44*'Real assumptions'!$B$3</f>
        <v>1.8737840000000001E-3</v>
      </c>
      <c r="H44">
        <f t="shared" si="24"/>
        <v>1.5628293066016763E-4</v>
      </c>
      <c r="I44">
        <f t="shared" si="25"/>
        <v>1.2930360788736709E-4</v>
      </c>
      <c r="J44">
        <f>IF(B44&gt;$AJ$2,0,HLOOKUP(C44,'Real assumptions'!$B$5:$L$8,4,TRUE))</f>
        <v>7.5499999999999998E-2</v>
      </c>
      <c r="K44">
        <f t="shared" si="0"/>
        <v>1</v>
      </c>
      <c r="L44">
        <f t="shared" si="26"/>
        <v>8.3333333333333329E-2</v>
      </c>
      <c r="M44">
        <f t="shared" si="27"/>
        <v>6.5205010146435205E-3</v>
      </c>
      <c r="N44">
        <f t="shared" si="28"/>
        <v>5.412081741194571E-3</v>
      </c>
      <c r="O44" s="8">
        <f t="shared" si="13"/>
        <v>0.82453358436357171</v>
      </c>
      <c r="P44">
        <f t="shared" si="14"/>
        <v>19.921799273103687</v>
      </c>
      <c r="Q44">
        <f t="shared" si="29"/>
        <v>0.6465180394368355</v>
      </c>
      <c r="R44" s="89">
        <f t="shared" si="1"/>
        <v>5000</v>
      </c>
      <c r="S44">
        <f t="shared" si="2"/>
        <v>0.25</v>
      </c>
      <c r="U44">
        <f>O43*AV43*'Real assumptions'!$B$33/12+AX44*'Real assumptions'!$B$34</f>
        <v>8.5714537072481907</v>
      </c>
      <c r="V44">
        <f>IF(P44=0,0,IF(E44&lt;=$C$7,$AN$5*O43,0))*'Real assumptions'!$D$28</f>
        <v>4.9804498182759218</v>
      </c>
      <c r="X44" s="94">
        <f t="shared" si="15"/>
        <v>0</v>
      </c>
      <c r="Y44">
        <f t="shared" si="3"/>
        <v>24</v>
      </c>
      <c r="Z44">
        <f t="shared" si="30"/>
        <v>96</v>
      </c>
      <c r="AA44">
        <f t="shared" si="16"/>
        <v>96.25</v>
      </c>
      <c r="AB44">
        <f t="shared" si="17"/>
        <v>50.505050505050505</v>
      </c>
      <c r="AC44">
        <f t="shared" si="31"/>
        <v>4861.1111111111113</v>
      </c>
      <c r="AD44">
        <f t="shared" si="18"/>
        <v>80.505050505050505</v>
      </c>
      <c r="AE44">
        <f t="shared" si="32"/>
        <v>138.88888888888869</v>
      </c>
      <c r="AF44" s="94">
        <f t="shared" si="42"/>
        <v>0</v>
      </c>
      <c r="AG44">
        <f t="shared" si="33"/>
        <v>0</v>
      </c>
      <c r="AH44">
        <f t="shared" si="34"/>
        <v>0</v>
      </c>
      <c r="AI44">
        <f>HLOOKUP(AW44,'Real assumptions'!$A$21:$AK$24,2,TRUE)</f>
        <v>1.5581</v>
      </c>
      <c r="AJ44" s="123">
        <f t="shared" si="35"/>
        <v>1.2892355606113348E-3</v>
      </c>
      <c r="AK44" s="122">
        <f>(1+HLOOKUP(YEAR(A44),'Real assumptions'!$A$21:$AK$24,2,TRUE)/100)^(1/12)-1</f>
        <v>1.2892355606113348E-3</v>
      </c>
      <c r="AL44">
        <f t="shared" si="36"/>
        <v>10.56363363455856</v>
      </c>
      <c r="AM44">
        <f>('Real assumptions'!$B$33/12)*O43*AV43</f>
        <v>8.5714537072481889</v>
      </c>
      <c r="AN44">
        <f t="shared" si="43"/>
        <v>4.4187904321776337</v>
      </c>
      <c r="AO44">
        <f t="shared" si="46"/>
        <v>5.696861760052534E-3</v>
      </c>
      <c r="AP44" s="121">
        <f t="shared" si="37"/>
        <v>4.6771473668480654E-2</v>
      </c>
      <c r="AQ44">
        <f t="shared" si="19"/>
        <v>1.9921799273103689</v>
      </c>
      <c r="AR44">
        <v>0</v>
      </c>
      <c r="AS44">
        <f t="shared" si="4"/>
        <v>1.9921799273103689</v>
      </c>
      <c r="AT44">
        <f t="shared" si="20"/>
        <v>1.9921799273103689</v>
      </c>
      <c r="AU44">
        <f>IFERROR(HLOOKUP(B44,'Real assumptions'!$B$43:$AL$44,2,TRUE)*($W$3/$U$2),0)</f>
        <v>2.4000000000000004</v>
      </c>
      <c r="AV44">
        <f>AV43*(1+'Real assumptions'!$B$35)^(1/12)</f>
        <v>1.0336815190603674</v>
      </c>
      <c r="AW44">
        <f t="shared" ref="AW44:AW75" si="47">YEAR(A44)</f>
        <v>2021</v>
      </c>
      <c r="AX44">
        <f t="shared" si="40"/>
        <v>0</v>
      </c>
      <c r="AY44">
        <f t="shared" si="38"/>
        <v>3.4935815223596531</v>
      </c>
      <c r="AZ44">
        <f t="shared" si="6"/>
        <v>20.415151303200361</v>
      </c>
      <c r="BA44">
        <f t="shared" si="41"/>
        <v>5.6269678577127573</v>
      </c>
      <c r="BB44">
        <f t="shared" si="21"/>
        <v>96.25</v>
      </c>
      <c r="BC44">
        <f t="shared" si="7"/>
        <v>57.75</v>
      </c>
      <c r="BD44">
        <f t="shared" si="22"/>
        <v>0</v>
      </c>
      <c r="BE44">
        <f t="shared" si="8"/>
        <v>24</v>
      </c>
      <c r="BF44">
        <f t="shared" si="39"/>
        <v>5000</v>
      </c>
      <c r="BU44"/>
      <c r="FD44"/>
      <c r="FE44"/>
    </row>
    <row r="45" spans="1:161" x14ac:dyDescent="0.25">
      <c r="A45" s="7">
        <f t="shared" si="23"/>
        <v>44469</v>
      </c>
      <c r="B45">
        <f t="shared" si="9"/>
        <v>34</v>
      </c>
      <c r="C45">
        <f t="shared" si="10"/>
        <v>2.75</v>
      </c>
      <c r="D45">
        <f t="shared" si="11"/>
        <v>0</v>
      </c>
      <c r="E45">
        <f t="shared" si="12"/>
        <v>54</v>
      </c>
      <c r="F45">
        <f>IF(C45&gt;=$T$2,0,VLOOKUP($E45,EKM_F05!$A$3:$C$128,2,TRUE))</f>
        <v>4.4902564102564102E-3</v>
      </c>
      <c r="G45">
        <f>F45*'Real assumptions'!$B$3</f>
        <v>1.8737840000000001E-3</v>
      </c>
      <c r="H45">
        <f t="shared" si="24"/>
        <v>1.5628293066016763E-4</v>
      </c>
      <c r="I45">
        <f t="shared" si="25"/>
        <v>1.284404074000924E-4</v>
      </c>
      <c r="J45">
        <f>IF(B45&gt;$AJ$2,0,HLOOKUP(C45,'Real assumptions'!$B$5:$L$8,4,TRUE))</f>
        <v>7.5499999999999998E-2</v>
      </c>
      <c r="K45">
        <f t="shared" si="0"/>
        <v>1</v>
      </c>
      <c r="L45">
        <f t="shared" si="26"/>
        <v>8.3333333333333329E-2</v>
      </c>
      <c r="M45">
        <f t="shared" si="27"/>
        <v>6.5205010146435205E-3</v>
      </c>
      <c r="N45">
        <f t="shared" si="28"/>
        <v>5.3759519558583485E-3</v>
      </c>
      <c r="O45" s="8">
        <f t="shared" si="13"/>
        <v>0.81902919200031321</v>
      </c>
      <c r="P45">
        <f t="shared" si="14"/>
        <v>19.788806024725723</v>
      </c>
      <c r="Q45">
        <f t="shared" si="29"/>
        <v>0.64220203700046197</v>
      </c>
      <c r="R45" s="89">
        <f t="shared" si="1"/>
        <v>5000</v>
      </c>
      <c r="S45">
        <f t="shared" si="2"/>
        <v>0.16666666666666652</v>
      </c>
      <c r="U45">
        <f>O44*AV44*'Real assumptions'!$B$33/12+AX45*'Real assumptions'!$B$34</f>
        <v>8.5230512800122629</v>
      </c>
      <c r="V45">
        <f>IF(P45=0,0,IF(E45&lt;=$C$7,$AN$5*O44,0))*'Real assumptions'!$D$28</f>
        <v>4.9472015061814307</v>
      </c>
      <c r="X45" s="94">
        <f t="shared" si="15"/>
        <v>0</v>
      </c>
      <c r="Y45">
        <f t="shared" si="3"/>
        <v>24</v>
      </c>
      <c r="Z45">
        <f t="shared" si="30"/>
        <v>96</v>
      </c>
      <c r="AA45">
        <f t="shared" si="16"/>
        <v>96.166666666666671</v>
      </c>
      <c r="AB45">
        <f t="shared" si="17"/>
        <v>50.505050505050505</v>
      </c>
      <c r="AC45">
        <f t="shared" si="31"/>
        <v>4856.9023569023575</v>
      </c>
      <c r="AD45">
        <f t="shared" si="18"/>
        <v>80.505050505050505</v>
      </c>
      <c r="AE45">
        <f t="shared" si="32"/>
        <v>143.0976430976425</v>
      </c>
      <c r="AF45" s="94">
        <f t="shared" si="42"/>
        <v>0</v>
      </c>
      <c r="AG45">
        <f t="shared" si="33"/>
        <v>0</v>
      </c>
      <c r="AH45">
        <f t="shared" si="34"/>
        <v>0</v>
      </c>
      <c r="AI45">
        <f>HLOOKUP(AW45,'Real assumptions'!$A$21:$AK$24,2,TRUE)</f>
        <v>1.5581</v>
      </c>
      <c r="AJ45" s="123">
        <f t="shared" si="35"/>
        <v>1.2892355606113348E-3</v>
      </c>
      <c r="AK45" s="122">
        <f>(1+HLOOKUP(YEAR(A45),'Real assumptions'!$A$21:$AK$24,2,TRUE)/100)^(1/12)-1</f>
        <v>1.2892355606113348E-3</v>
      </c>
      <c r="AL45">
        <f t="shared" si="36"/>
        <v>10.501931882484836</v>
      </c>
      <c r="AM45">
        <f>('Real assumptions'!$B$33/12)*O44*AV44</f>
        <v>8.5230512800122646</v>
      </c>
      <c r="AN45">
        <f t="shared" si="43"/>
        <v>4.3864441097279379</v>
      </c>
      <c r="AO45">
        <f t="shared" si="46"/>
        <v>5.6551597308953858E-3</v>
      </c>
      <c r="AP45" s="121">
        <f t="shared" si="37"/>
        <v>5.2426633399376039E-2</v>
      </c>
      <c r="AQ45">
        <f t="shared" si="19"/>
        <v>1.9788806024725725</v>
      </c>
      <c r="AR45">
        <v>0</v>
      </c>
      <c r="AS45">
        <f t="shared" si="4"/>
        <v>1.9788806024725725</v>
      </c>
      <c r="AT45">
        <f t="shared" si="20"/>
        <v>1.9788806024725725</v>
      </c>
      <c r="AU45">
        <f>IFERROR(HLOOKUP(B45,'Real assumptions'!$B$43:$AL$44,2,TRUE)*($W$3/$U$2),0)</f>
        <v>2.4000000000000004</v>
      </c>
      <c r="AV45">
        <f>AV44*(1+'Real assumptions'!$B$35)^(1/12)</f>
        <v>1.0347521505742014</v>
      </c>
      <c r="AW45">
        <f t="shared" si="47"/>
        <v>2021</v>
      </c>
      <c r="AX45">
        <f t="shared" si="40"/>
        <v>0</v>
      </c>
      <c r="AY45">
        <f t="shared" si="38"/>
        <v>3.4702591934493756</v>
      </c>
      <c r="AZ45">
        <f t="shared" si="6"/>
        <v>24.138941841294702</v>
      </c>
      <c r="BA45">
        <f t="shared" si="41"/>
        <v>5.5894035431818931</v>
      </c>
      <c r="BB45">
        <f t="shared" si="21"/>
        <v>96.166666666666671</v>
      </c>
      <c r="BC45">
        <f t="shared" si="7"/>
        <v>57.7</v>
      </c>
      <c r="BD45">
        <f t="shared" si="22"/>
        <v>0</v>
      </c>
      <c r="BE45">
        <f t="shared" si="8"/>
        <v>24</v>
      </c>
      <c r="BF45">
        <f t="shared" si="39"/>
        <v>5000</v>
      </c>
      <c r="BU45"/>
      <c r="FD45"/>
      <c r="FE45"/>
    </row>
    <row r="46" spans="1:161" x14ac:dyDescent="0.25">
      <c r="A46" s="7">
        <f t="shared" si="23"/>
        <v>44500</v>
      </c>
      <c r="B46">
        <f t="shared" si="9"/>
        <v>35</v>
      </c>
      <c r="C46">
        <f t="shared" si="10"/>
        <v>2.8333333333333335</v>
      </c>
      <c r="D46">
        <f t="shared" si="11"/>
        <v>0</v>
      </c>
      <c r="E46">
        <f t="shared" si="12"/>
        <v>54</v>
      </c>
      <c r="F46">
        <f>IF(C46&gt;=$T$2,0,VLOOKUP($E46,EKM_F05!$A$3:$C$128,2,TRUE))</f>
        <v>4.4902564102564102E-3</v>
      </c>
      <c r="G46">
        <f>F46*'Real assumptions'!$B$3</f>
        <v>1.8737840000000001E-3</v>
      </c>
      <c r="H46">
        <f t="shared" si="24"/>
        <v>1.5628293066016763E-4</v>
      </c>
      <c r="I46">
        <f t="shared" si="25"/>
        <v>1.2758296943633427E-4</v>
      </c>
      <c r="J46">
        <f>IF(B46&gt;$AJ$2,0,HLOOKUP(C46,'Real assumptions'!$B$5:$L$8,4,TRUE))</f>
        <v>7.5499999999999998E-2</v>
      </c>
      <c r="K46">
        <f t="shared" si="0"/>
        <v>1</v>
      </c>
      <c r="L46">
        <f t="shared" si="26"/>
        <v>8.3333333333333329E-2</v>
      </c>
      <c r="M46">
        <f t="shared" si="27"/>
        <v>6.5205010146435205E-3</v>
      </c>
      <c r="N46">
        <f t="shared" si="28"/>
        <v>5.3400633644750013E-3</v>
      </c>
      <c r="O46" s="8">
        <f t="shared" si="13"/>
        <v>0.81356154566640182</v>
      </c>
      <c r="P46">
        <f t="shared" si="14"/>
        <v>19.656700608007519</v>
      </c>
      <c r="Q46">
        <f t="shared" si="29"/>
        <v>0.63791484718167135</v>
      </c>
      <c r="R46" s="89">
        <f t="shared" si="1"/>
        <v>5000</v>
      </c>
      <c r="S46">
        <f t="shared" si="2"/>
        <v>8.3333333333333481E-2</v>
      </c>
      <c r="U46">
        <f>O45*AV45*'Real assumptions'!$B$33/12+AX46*'Real assumptions'!$B$34</f>
        <v>8.4749221780537471</v>
      </c>
      <c r="V46">
        <f>IF(P46=0,0,IF(E46&lt;=$C$7,$AN$5*O45,0))*'Real assumptions'!$D$28</f>
        <v>4.9141751520018797</v>
      </c>
      <c r="X46" s="94">
        <f t="shared" si="15"/>
        <v>0</v>
      </c>
      <c r="Y46">
        <f t="shared" si="3"/>
        <v>24</v>
      </c>
      <c r="Z46">
        <f t="shared" si="30"/>
        <v>96</v>
      </c>
      <c r="AA46">
        <f t="shared" si="16"/>
        <v>96.083333333333329</v>
      </c>
      <c r="AB46">
        <f t="shared" si="17"/>
        <v>50.505050505050505</v>
      </c>
      <c r="AC46">
        <f t="shared" si="31"/>
        <v>4852.6936026936028</v>
      </c>
      <c r="AD46">
        <f t="shared" si="18"/>
        <v>80.505050505050505</v>
      </c>
      <c r="AE46">
        <f t="shared" si="32"/>
        <v>147.30639730639723</v>
      </c>
      <c r="AF46" s="94">
        <f t="shared" si="42"/>
        <v>0</v>
      </c>
      <c r="AG46">
        <f>IF(B46&lt;=$C$8,0,AF46*N46)</f>
        <v>0</v>
      </c>
      <c r="AH46">
        <f t="shared" si="34"/>
        <v>0</v>
      </c>
      <c r="AI46">
        <f>HLOOKUP(AW46,'Real assumptions'!$A$21:$AK$24,2,TRUE)</f>
        <v>1.5581</v>
      </c>
      <c r="AJ46" s="123">
        <f t="shared" si="35"/>
        <v>1.2892355606113348E-3</v>
      </c>
      <c r="AK46" s="122">
        <f>(1+HLOOKUP(YEAR(A46),'Real assumptions'!$A$21:$AK$24,2,TRUE)/100)^(1/12)-1</f>
        <v>1.2892355606113348E-3</v>
      </c>
      <c r="AL46">
        <f t="shared" si="36"/>
        <v>10.440592238854499</v>
      </c>
      <c r="AM46">
        <f>('Real assumptions'!$B$33/12)*O45*AV45</f>
        <v>8.4749221780537454</v>
      </c>
      <c r="AN46">
        <f t="shared" si="43"/>
        <v>4.3543598505505141</v>
      </c>
      <c r="AO46">
        <f t="shared" si="46"/>
        <v>5.6137955630279806E-3</v>
      </c>
      <c r="AP46" s="121">
        <f t="shared" si="37"/>
        <v>5.8040428962404023E-2</v>
      </c>
      <c r="AQ46">
        <f t="shared" si="19"/>
        <v>1.965670060800752</v>
      </c>
      <c r="AR46">
        <v>0</v>
      </c>
      <c r="AS46">
        <f t="shared" si="4"/>
        <v>1.965670060800752</v>
      </c>
      <c r="AT46">
        <f t="shared" si="20"/>
        <v>1.965670060800752</v>
      </c>
      <c r="AU46">
        <f>IFERROR(HLOOKUP(B46,'Real assumptions'!$B$43:$AL$44,2,TRUE)*($W$3/$U$2),0)</f>
        <v>2.4000000000000004</v>
      </c>
      <c r="AV46">
        <f>AV45*(1+'Real assumptions'!$B$35)^(1/12)</f>
        <v>1.0358238909903592</v>
      </c>
      <c r="AW46">
        <f t="shared" si="47"/>
        <v>2021</v>
      </c>
      <c r="AX46">
        <f t="shared" si="40"/>
        <v>0</v>
      </c>
      <c r="AY46">
        <f t="shared" si="38"/>
        <v>3.447092558923877</v>
      </c>
      <c r="AZ46">
        <f t="shared" si="6"/>
        <v>27.8340809934815</v>
      </c>
      <c r="BA46">
        <f t="shared" si="41"/>
        <v>5.5520899991835506</v>
      </c>
      <c r="BB46">
        <f t="shared" si="21"/>
        <v>96.083333333333329</v>
      </c>
      <c r="BC46">
        <f t="shared" si="7"/>
        <v>57.649999999999991</v>
      </c>
      <c r="BD46">
        <f t="shared" si="22"/>
        <v>0</v>
      </c>
      <c r="BE46">
        <f t="shared" si="8"/>
        <v>24</v>
      </c>
      <c r="BF46">
        <f t="shared" si="39"/>
        <v>5000</v>
      </c>
      <c r="BU46"/>
      <c r="FD46"/>
      <c r="FE46"/>
    </row>
    <row r="47" spans="1:161" x14ac:dyDescent="0.25">
      <c r="A47" s="7">
        <f t="shared" si="23"/>
        <v>44530</v>
      </c>
      <c r="B47">
        <f t="shared" si="9"/>
        <v>36</v>
      </c>
      <c r="C47">
        <f t="shared" si="10"/>
        <v>2.9166666666666665</v>
      </c>
      <c r="D47">
        <f t="shared" si="11"/>
        <v>0</v>
      </c>
      <c r="E47">
        <f t="shared" si="12"/>
        <v>54</v>
      </c>
      <c r="F47">
        <f>IF(C47&gt;=$T$2,0,VLOOKUP($E47,EKM_F05!$A$3:$C$128,2,TRUE))</f>
        <v>4.4902564102564102E-3</v>
      </c>
      <c r="G47">
        <f>F47*'Real assumptions'!$B$3</f>
        <v>1.8737840000000001E-3</v>
      </c>
      <c r="H47">
        <f t="shared" si="24"/>
        <v>1.5628293066016763E-4</v>
      </c>
      <c r="I47">
        <f t="shared" si="25"/>
        <v>1.2673125552684054E-4</v>
      </c>
      <c r="J47">
        <f>IF(B47&gt;$AJ$2,0,HLOOKUP(C47,'Real assumptions'!$B$5:$L$8,4,TRUE))</f>
        <v>7.5499999999999998E-2</v>
      </c>
      <c r="K47">
        <f t="shared" si="0"/>
        <v>1</v>
      </c>
      <c r="L47">
        <f t="shared" si="26"/>
        <v>8.3333333333333329E-2</v>
      </c>
      <c r="M47">
        <f t="shared" si="27"/>
        <v>6.5205010146435205E-3</v>
      </c>
      <c r="N47">
        <f t="shared" si="28"/>
        <v>5.304414356890403E-3</v>
      </c>
      <c r="O47" s="8">
        <f t="shared" si="13"/>
        <v>0.80813040005398451</v>
      </c>
      <c r="P47">
        <f t="shared" si="14"/>
        <v>19.525477095993644</v>
      </c>
      <c r="Q47">
        <f t="shared" si="29"/>
        <v>0.63365627763420262</v>
      </c>
      <c r="R47" s="89">
        <f t="shared" si="1"/>
        <v>5000</v>
      </c>
      <c r="S47">
        <f t="shared" si="2"/>
        <v>1</v>
      </c>
      <c r="U47">
        <f>O46*AV46*'Real assumptions'!$B$33/12+AX47*'Real assumptions'!$B$34</f>
        <v>8.4270648579230301</v>
      </c>
      <c r="V47">
        <f>IF(P47=0,0,IF(E47&lt;=$C$7,$AN$5*O46,0))*'Real assumptions'!$D$28</f>
        <v>4.8813692739984109</v>
      </c>
      <c r="X47" s="94">
        <f t="shared" si="15"/>
        <v>0</v>
      </c>
      <c r="Y47">
        <f t="shared" si="3"/>
        <v>24</v>
      </c>
      <c r="Z47">
        <f t="shared" si="30"/>
        <v>96</v>
      </c>
      <c r="AA47">
        <f t="shared" si="16"/>
        <v>96</v>
      </c>
      <c r="AB47">
        <f t="shared" si="17"/>
        <v>50.505050505050505</v>
      </c>
      <c r="AC47">
        <f t="shared" si="31"/>
        <v>4848.484848484848</v>
      </c>
      <c r="AD47">
        <f t="shared" si="18"/>
        <v>80.505050505050505</v>
      </c>
      <c r="AE47">
        <f t="shared" si="32"/>
        <v>151.51515151515196</v>
      </c>
      <c r="AF47" s="94">
        <f t="shared" si="42"/>
        <v>0</v>
      </c>
      <c r="AG47">
        <f t="shared" si="33"/>
        <v>0</v>
      </c>
      <c r="AH47">
        <f t="shared" si="34"/>
        <v>0</v>
      </c>
      <c r="AI47">
        <f>HLOOKUP(AW47,'Real assumptions'!$A$21:$AK$24,2,TRUE)</f>
        <v>1.5581</v>
      </c>
      <c r="AJ47" s="123">
        <f t="shared" si="35"/>
        <v>1.2892355606113348E-3</v>
      </c>
      <c r="AK47" s="122">
        <f>(1+HLOOKUP(YEAR(A47),'Real assumptions'!$A$21:$AK$24,2,TRUE)/100)^(1/12)-1</f>
        <v>1.2892355606113348E-3</v>
      </c>
      <c r="AL47">
        <f t="shared" si="36"/>
        <v>10.379612567522395</v>
      </c>
      <c r="AM47">
        <f>('Real assumptions'!$B$33/12)*O46*AV46</f>
        <v>8.4270648579230318</v>
      </c>
      <c r="AN47">
        <f t="shared" si="43"/>
        <v>4.3225356834352411</v>
      </c>
      <c r="AO47">
        <f t="shared" si="46"/>
        <v>5.5727667150961323E-3</v>
      </c>
      <c r="AP47" s="121">
        <f t="shared" si="37"/>
        <v>6.3613195677500151E-2</v>
      </c>
      <c r="AQ47">
        <f t="shared" si="19"/>
        <v>1.9525477095993646</v>
      </c>
      <c r="AR47">
        <v>0</v>
      </c>
      <c r="AS47">
        <f t="shared" si="4"/>
        <v>1.9525477095993646</v>
      </c>
      <c r="AT47">
        <f t="shared" si="20"/>
        <v>1.9525477095993646</v>
      </c>
      <c r="AU47">
        <f>IFERROR(HLOOKUP(B47,'Real assumptions'!$B$43:$AL$44,2,TRUE)*($W$3/$U$2),0)</f>
        <v>2.4000000000000004</v>
      </c>
      <c r="AV47">
        <f>AV46*(1+'Real assumptions'!$B$35)^(1/12)</f>
        <v>1.0368967414573818</v>
      </c>
      <c r="AW47">
        <f t="shared" si="47"/>
        <v>2021</v>
      </c>
      <c r="AX47">
        <f t="shared" si="40"/>
        <v>0</v>
      </c>
      <c r="AY47">
        <f t="shared" si="38"/>
        <v>3.4240805794040479</v>
      </c>
      <c r="AZ47">
        <f t="shared" si="6"/>
        <v>31.50080465733387</v>
      </c>
      <c r="BA47">
        <f t="shared" si="41"/>
        <v>5.5150255516326139</v>
      </c>
      <c r="BB47">
        <f t="shared" si="21"/>
        <v>96</v>
      </c>
      <c r="BC47">
        <f t="shared" si="7"/>
        <v>57.599999999999994</v>
      </c>
      <c r="BD47">
        <f t="shared" si="22"/>
        <v>0</v>
      </c>
      <c r="BE47">
        <f t="shared" si="8"/>
        <v>24</v>
      </c>
      <c r="BF47">
        <f t="shared" si="39"/>
        <v>5000</v>
      </c>
      <c r="BU47"/>
      <c r="FD47"/>
      <c r="FE47"/>
    </row>
    <row r="48" spans="1:161" x14ac:dyDescent="0.25">
      <c r="A48" s="7">
        <f t="shared" si="23"/>
        <v>44561</v>
      </c>
      <c r="B48">
        <f t="shared" si="9"/>
        <v>37</v>
      </c>
      <c r="C48">
        <f t="shared" si="10"/>
        <v>3</v>
      </c>
      <c r="D48">
        <f t="shared" si="11"/>
        <v>1</v>
      </c>
      <c r="E48">
        <f t="shared" si="12"/>
        <v>55</v>
      </c>
      <c r="F48">
        <f>IF(C48&gt;=$T$2,0,VLOOKUP($E48,EKM_F05!$A$3:$C$128,2,TRUE))</f>
        <v>4.930128205128205E-3</v>
      </c>
      <c r="G48">
        <f>F48*'Real assumptions'!$B$3</f>
        <v>2.0573424999999999E-3</v>
      </c>
      <c r="H48">
        <f t="shared" si="24"/>
        <v>1.7160708517294232E-4</v>
      </c>
      <c r="I48">
        <f t="shared" si="25"/>
        <v>1.3830161496208428E-4</v>
      </c>
      <c r="J48">
        <f>IF(B48&gt;$AJ$2,0,HLOOKUP(C48,'Real assumptions'!$B$5:$L$8,4,TRUE))</f>
        <v>6.3700000000000007E-2</v>
      </c>
      <c r="K48">
        <f t="shared" si="0"/>
        <v>1</v>
      </c>
      <c r="L48">
        <f t="shared" si="26"/>
        <v>8.3333333333333329E-2</v>
      </c>
      <c r="M48">
        <f t="shared" si="27"/>
        <v>5.4699302395537774E-3</v>
      </c>
      <c r="N48">
        <f t="shared" si="28"/>
        <v>4.4200376253271572E-3</v>
      </c>
      <c r="O48" s="8">
        <f t="shared" si="13"/>
        <v>0.80357206081369525</v>
      </c>
      <c r="P48">
        <f t="shared" si="14"/>
        <v>19.395129601295629</v>
      </c>
      <c r="Q48">
        <f t="shared" si="29"/>
        <v>0.69150807481042142</v>
      </c>
      <c r="R48" s="89">
        <f t="shared" si="1"/>
        <v>5000</v>
      </c>
      <c r="S48">
        <f t="shared" si="2"/>
        <v>0.91666666666666652</v>
      </c>
      <c r="U48">
        <f>O47*AV47*'Real assumptions'!$B$33/12+AX48*'Real assumptions'!$B$34</f>
        <v>8.3794777848862694</v>
      </c>
      <c r="V48">
        <f>IF(P48=0,0,IF(E48&lt;=$C$7,$AN$5*O47,0))*'Real assumptions'!$D$28</f>
        <v>4.8487824003239073</v>
      </c>
      <c r="X48" s="94">
        <f t="shared" si="15"/>
        <v>0</v>
      </c>
      <c r="Y48">
        <f t="shared" si="3"/>
        <v>24</v>
      </c>
      <c r="Z48">
        <f t="shared" si="30"/>
        <v>96</v>
      </c>
      <c r="AA48">
        <f t="shared" si="16"/>
        <v>95.916666666666671</v>
      </c>
      <c r="AB48">
        <f t="shared" si="17"/>
        <v>50.505050505050505</v>
      </c>
      <c r="AC48">
        <f t="shared" si="31"/>
        <v>4844.2760942760942</v>
      </c>
      <c r="AD48">
        <f t="shared" si="18"/>
        <v>80.505050505050505</v>
      </c>
      <c r="AE48">
        <f t="shared" si="32"/>
        <v>155.72390572390577</v>
      </c>
      <c r="AF48" s="94">
        <f t="shared" si="42"/>
        <v>0</v>
      </c>
      <c r="AG48">
        <f t="shared" si="33"/>
        <v>0</v>
      </c>
      <c r="AH48">
        <f t="shared" si="34"/>
        <v>0</v>
      </c>
      <c r="AI48">
        <f>HLOOKUP(AW48,'Real assumptions'!$A$21:$AK$24,2,TRUE)</f>
        <v>1.5581</v>
      </c>
      <c r="AJ48" s="123">
        <f t="shared" si="35"/>
        <v>1.2892355606113348E-3</v>
      </c>
      <c r="AK48" s="122">
        <f>(1+HLOOKUP(YEAR(A48),'Real assumptions'!$A$21:$AK$24,2,TRUE)/100)^(1/12)-1</f>
        <v>1.2892355606113348E-3</v>
      </c>
      <c r="AL48">
        <f t="shared" si="36"/>
        <v>8.3794777848862694</v>
      </c>
      <c r="AM48">
        <f>('Real assumptions'!$B$33/12)*O47*AV47</f>
        <v>8.3794777848862676</v>
      </c>
      <c r="AN48">
        <f t="shared" si="43"/>
        <v>6.2304826117629535</v>
      </c>
      <c r="AO48">
        <f t="shared" si="46"/>
        <v>8.0325597428553847E-3</v>
      </c>
      <c r="AP48" s="121">
        <f t="shared" si="37"/>
        <v>0</v>
      </c>
      <c r="AQ48">
        <f t="shared" si="19"/>
        <v>0</v>
      </c>
      <c r="AR48">
        <v>0</v>
      </c>
      <c r="AS48">
        <f t="shared" si="4"/>
        <v>0</v>
      </c>
      <c r="AT48">
        <f t="shared" si="20"/>
        <v>0</v>
      </c>
      <c r="AU48">
        <f>IFERROR(HLOOKUP(B48,'Real assumptions'!$B$43:$AL$44,2,TRUE)*($W$3/$U$2),0)</f>
        <v>0</v>
      </c>
      <c r="AV48">
        <f>AV47*(1+'Real assumptions'!$B$35)^(1/12)</f>
        <v>1.0379707031250001</v>
      </c>
      <c r="AW48">
        <f t="shared" si="47"/>
        <v>2021</v>
      </c>
      <c r="AX48">
        <f t="shared" si="40"/>
        <v>0</v>
      </c>
      <c r="AY48">
        <f t="shared" si="38"/>
        <v>3.4012222224494297</v>
      </c>
      <c r="AZ48">
        <f t="shared" si="6"/>
        <v>37.016777956161008</v>
      </c>
      <c r="BA48">
        <f t="shared" si="41"/>
        <v>5.5402904751343289</v>
      </c>
      <c r="BB48">
        <f t="shared" si="21"/>
        <v>95.916666666666671</v>
      </c>
      <c r="BC48">
        <f t="shared" si="7"/>
        <v>57.55</v>
      </c>
      <c r="BD48">
        <f t="shared" si="22"/>
        <v>0</v>
      </c>
      <c r="BE48">
        <f t="shared" si="8"/>
        <v>24</v>
      </c>
      <c r="BF48">
        <f t="shared" si="39"/>
        <v>5000</v>
      </c>
      <c r="BU48"/>
      <c r="FD48"/>
      <c r="FE48"/>
    </row>
    <row r="49" spans="1:161" x14ac:dyDescent="0.25">
      <c r="A49" s="7">
        <f t="shared" si="23"/>
        <v>44592</v>
      </c>
      <c r="B49">
        <f t="shared" si="9"/>
        <v>38</v>
      </c>
      <c r="C49">
        <f t="shared" si="10"/>
        <v>3.083333333333333</v>
      </c>
      <c r="D49">
        <f t="shared" si="11"/>
        <v>0</v>
      </c>
      <c r="E49">
        <f t="shared" si="12"/>
        <v>55</v>
      </c>
      <c r="F49">
        <f>IF(C49&gt;=$T$2,0,VLOOKUP($E49,EKM_F05!$A$3:$C$128,2,TRUE))</f>
        <v>4.930128205128205E-3</v>
      </c>
      <c r="G49">
        <f>F49*'Real assumptions'!$B$3</f>
        <v>2.0573424999999999E-3</v>
      </c>
      <c r="H49">
        <f t="shared" si="24"/>
        <v>1.7160708517294232E-4</v>
      </c>
      <c r="I49">
        <f t="shared" si="25"/>
        <v>1.3752151105999753E-4</v>
      </c>
      <c r="J49">
        <f>IF(B49&gt;$AJ$2,0,HLOOKUP(C49,'Real assumptions'!$B$5:$L$8,4,TRUE))</f>
        <v>6.3700000000000007E-2</v>
      </c>
      <c r="K49">
        <f t="shared" si="0"/>
        <v>1</v>
      </c>
      <c r="L49">
        <f t="shared" si="26"/>
        <v>8.3333333333333329E-2</v>
      </c>
      <c r="M49">
        <f t="shared" si="27"/>
        <v>5.4699302395537774E-3</v>
      </c>
      <c r="N49">
        <f t="shared" si="28"/>
        <v>4.3951059670827236E-3</v>
      </c>
      <c r="O49" s="8">
        <f t="shared" si="13"/>
        <v>0.79903943333555261</v>
      </c>
      <c r="P49">
        <f t="shared" si="14"/>
        <v>19.285729459528685</v>
      </c>
      <c r="Q49">
        <f t="shared" si="29"/>
        <v>0.68760755529998763</v>
      </c>
      <c r="R49" s="89">
        <f t="shared" si="1"/>
        <v>5000</v>
      </c>
      <c r="S49">
        <f t="shared" si="2"/>
        <v>0.83333333333333348</v>
      </c>
      <c r="U49">
        <f>O48*AV48*'Real assumptions'!$B$33/12+AX49*'Real assumptions'!$B$34</f>
        <v>8.3408425697439661</v>
      </c>
      <c r="V49">
        <f>IF(P49=0,0,IF(E49&lt;=$C$7,$AN$5*O48,0))*'Real assumptions'!$D$28</f>
        <v>4.8214323648821713</v>
      </c>
      <c r="X49" s="94">
        <f t="shared" si="15"/>
        <v>0</v>
      </c>
      <c r="Y49">
        <f t="shared" si="3"/>
        <v>24</v>
      </c>
      <c r="Z49">
        <f t="shared" si="30"/>
        <v>95</v>
      </c>
      <c r="AA49">
        <f t="shared" si="16"/>
        <v>95.833333333333329</v>
      </c>
      <c r="AB49">
        <f t="shared" si="17"/>
        <v>50.505050505050505</v>
      </c>
      <c r="AC49">
        <f t="shared" si="31"/>
        <v>4840.0673400673395</v>
      </c>
      <c r="AD49">
        <f t="shared" si="18"/>
        <v>80.505050505050505</v>
      </c>
      <c r="AE49">
        <f t="shared" si="32"/>
        <v>159.9326599326605</v>
      </c>
      <c r="AF49" s="94">
        <f t="shared" si="42"/>
        <v>0</v>
      </c>
      <c r="AG49">
        <f t="shared" si="33"/>
        <v>0</v>
      </c>
      <c r="AH49">
        <f t="shared" si="34"/>
        <v>0</v>
      </c>
      <c r="AI49">
        <f>HLOOKUP(AW49,'Real assumptions'!$A$21:$AK$24,2,TRUE)</f>
        <v>1.5793999999999999</v>
      </c>
      <c r="AJ49" s="123">
        <f t="shared" si="35"/>
        <v>1.3067340917001236E-3</v>
      </c>
      <c r="AK49" s="122">
        <f>(1+HLOOKUP(YEAR(A49),'Real assumptions'!$A$21:$AK$24,2,TRUE)/100)^(1/12)-1</f>
        <v>1.3067340917001236E-3</v>
      </c>
      <c r="AL49">
        <f t="shared" si="36"/>
        <v>8.3408425697439661</v>
      </c>
      <c r="AM49">
        <f>('Real assumptions'!$B$33/12)*O48*AV48</f>
        <v>8.3408425697439643</v>
      </c>
      <c r="AN49">
        <f t="shared" si="43"/>
        <v>6.1234545249025487</v>
      </c>
      <c r="AO49">
        <f t="shared" si="46"/>
        <v>8.0017267866655441E-3</v>
      </c>
      <c r="AP49" s="121">
        <f t="shared" si="37"/>
        <v>8.0017267866655441E-3</v>
      </c>
      <c r="AQ49">
        <f t="shared" si="19"/>
        <v>0</v>
      </c>
      <c r="AR49">
        <v>0</v>
      </c>
      <c r="AS49">
        <f t="shared" si="4"/>
        <v>0</v>
      </c>
      <c r="AT49">
        <f t="shared" si="20"/>
        <v>0</v>
      </c>
      <c r="AU49">
        <f>IFERROR(HLOOKUP(B49,'Real assumptions'!$B$43:$AL$44,2,TRUE)*($W$3/$U$2),0)</f>
        <v>0</v>
      </c>
      <c r="AV49">
        <f>AV48*(1+'Real assumptions'!$B$35)^(1/12)</f>
        <v>1.0390457771441355</v>
      </c>
      <c r="AW49">
        <f t="shared" si="47"/>
        <v>2022</v>
      </c>
      <c r="AX49">
        <f t="shared" si="40"/>
        <v>0</v>
      </c>
      <c r="AY49">
        <f t="shared" si="38"/>
        <v>3.3820372929869325</v>
      </c>
      <c r="AZ49">
        <f t="shared" si="6"/>
        <v>42.500996011483778</v>
      </c>
      <c r="BA49">
        <f t="shared" si="41"/>
        <v>5.5090399201821594</v>
      </c>
      <c r="BB49">
        <f t="shared" si="21"/>
        <v>95.833333333333329</v>
      </c>
      <c r="BC49">
        <f t="shared" si="7"/>
        <v>57.5</v>
      </c>
      <c r="BD49">
        <f t="shared" si="22"/>
        <v>0</v>
      </c>
      <c r="BE49">
        <f t="shared" si="8"/>
        <v>24</v>
      </c>
      <c r="BF49">
        <f t="shared" si="39"/>
        <v>5000</v>
      </c>
      <c r="BU49"/>
      <c r="FD49"/>
      <c r="FE49"/>
    </row>
    <row r="50" spans="1:161" x14ac:dyDescent="0.25">
      <c r="A50" s="7">
        <f t="shared" si="23"/>
        <v>44620</v>
      </c>
      <c r="B50">
        <f t="shared" si="9"/>
        <v>39</v>
      </c>
      <c r="C50">
        <f t="shared" si="10"/>
        <v>3.166666666666667</v>
      </c>
      <c r="D50">
        <f t="shared" si="11"/>
        <v>0</v>
      </c>
      <c r="E50">
        <f t="shared" si="12"/>
        <v>55</v>
      </c>
      <c r="F50">
        <f>IF(C50&gt;=$T$2,0,VLOOKUP($E50,EKM_F05!$A$3:$C$128,2,TRUE))</f>
        <v>4.930128205128205E-3</v>
      </c>
      <c r="G50">
        <f>F50*'Real assumptions'!$B$3</f>
        <v>2.0573424999999999E-3</v>
      </c>
      <c r="H50">
        <f t="shared" si="24"/>
        <v>1.7160708517294232E-4</v>
      </c>
      <c r="I50">
        <f t="shared" si="25"/>
        <v>1.3674580741092457E-4</v>
      </c>
      <c r="J50">
        <f>IF(B50&gt;$AJ$2,0,HLOOKUP(C50,'Real assumptions'!$B$5:$L$8,4,TRUE))</f>
        <v>6.3700000000000007E-2</v>
      </c>
      <c r="K50">
        <f t="shared" si="0"/>
        <v>1</v>
      </c>
      <c r="L50">
        <f t="shared" si="26"/>
        <v>8.3333333333333329E-2</v>
      </c>
      <c r="M50">
        <f t="shared" si="27"/>
        <v>5.4699302395537774E-3</v>
      </c>
      <c r="N50">
        <f t="shared" si="28"/>
        <v>4.3703149383160248E-3</v>
      </c>
      <c r="O50" s="8">
        <f t="shared" si="13"/>
        <v>0.79453237258982556</v>
      </c>
      <c r="P50">
        <f t="shared" si="14"/>
        <v>19.176946400053261</v>
      </c>
      <c r="Q50">
        <f t="shared" si="29"/>
        <v>0.68372903705462285</v>
      </c>
      <c r="R50" s="89">
        <f t="shared" si="1"/>
        <v>5000</v>
      </c>
      <c r="S50">
        <f t="shared" si="2"/>
        <v>0.75</v>
      </c>
      <c r="U50">
        <f>O49*AV49*'Real assumptions'!$B$33/12+AX50*'Real assumptions'!$B$34</f>
        <v>8.3023854897894882</v>
      </c>
      <c r="V50">
        <f>IF(P50=0,0,IF(E50&lt;=$C$7,$AN$5*O49,0))*'Real assumptions'!$D$28</f>
        <v>4.7942366000133152</v>
      </c>
      <c r="X50" s="94">
        <f t="shared" si="15"/>
        <v>0</v>
      </c>
      <c r="Y50">
        <f t="shared" si="3"/>
        <v>24</v>
      </c>
      <c r="Z50">
        <f t="shared" si="30"/>
        <v>95</v>
      </c>
      <c r="AA50">
        <f t="shared" si="16"/>
        <v>95.75</v>
      </c>
      <c r="AB50">
        <f t="shared" si="17"/>
        <v>50.505050505050505</v>
      </c>
      <c r="AC50">
        <f t="shared" si="31"/>
        <v>4835.8585858585857</v>
      </c>
      <c r="AD50">
        <f t="shared" si="18"/>
        <v>80.505050505050505</v>
      </c>
      <c r="AE50">
        <f t="shared" si="32"/>
        <v>164.14141414141432</v>
      </c>
      <c r="AF50" s="94">
        <f t="shared" si="42"/>
        <v>0</v>
      </c>
      <c r="AG50">
        <f t="shared" si="33"/>
        <v>0</v>
      </c>
      <c r="AH50">
        <f t="shared" si="34"/>
        <v>0</v>
      </c>
      <c r="AI50">
        <f>HLOOKUP(AW50,'Real assumptions'!$A$21:$AK$24,2,TRUE)</f>
        <v>1.5793999999999999</v>
      </c>
      <c r="AJ50" s="123">
        <f t="shared" si="35"/>
        <v>1.3067340917001236E-3</v>
      </c>
      <c r="AK50" s="122">
        <f>(1+HLOOKUP(YEAR(A50),'Real assumptions'!$A$21:$AK$24,2,TRUE)/100)^(1/12)-1</f>
        <v>1.3067340917001236E-3</v>
      </c>
      <c r="AL50">
        <f t="shared" si="36"/>
        <v>8.3023854897894882</v>
      </c>
      <c r="AM50">
        <f>('Real assumptions'!$B$33/12)*O49*AV49</f>
        <v>8.30238548978949</v>
      </c>
      <c r="AN50">
        <f t="shared" si="43"/>
        <v>6.0883260370371239</v>
      </c>
      <c r="AO50">
        <f t="shared" si="46"/>
        <v>7.9558231939819198E-3</v>
      </c>
      <c r="AP50" s="121">
        <f t="shared" si="37"/>
        <v>1.5957549980647464E-2</v>
      </c>
      <c r="AQ50">
        <f t="shared" si="19"/>
        <v>0</v>
      </c>
      <c r="AR50">
        <v>0</v>
      </c>
      <c r="AS50">
        <f t="shared" si="4"/>
        <v>0</v>
      </c>
      <c r="AT50">
        <f t="shared" si="20"/>
        <v>0</v>
      </c>
      <c r="AU50">
        <f>IFERROR(HLOOKUP(B50,'Real assumptions'!$B$43:$AL$44,2,TRUE)*($W$3/$U$2),0)</f>
        <v>0</v>
      </c>
      <c r="AV50">
        <f>AV49*(1+'Real assumptions'!$B$35)^(1/12)</f>
        <v>1.0401219646669018</v>
      </c>
      <c r="AW50">
        <f t="shared" si="47"/>
        <v>2022</v>
      </c>
      <c r="AX50">
        <f t="shared" si="40"/>
        <v>0</v>
      </c>
      <c r="AY50">
        <f t="shared" si="38"/>
        <v>3.362960578011585</v>
      </c>
      <c r="AZ50">
        <f t="shared" si="6"/>
        <v>47.953128785099032</v>
      </c>
      <c r="BA50">
        <f t="shared" si="41"/>
        <v>5.4779656370679382</v>
      </c>
      <c r="BB50">
        <f t="shared" si="21"/>
        <v>95.75</v>
      </c>
      <c r="BC50">
        <f t="shared" si="7"/>
        <v>57.449999999999996</v>
      </c>
      <c r="BD50">
        <f t="shared" si="22"/>
        <v>0</v>
      </c>
      <c r="BE50">
        <f t="shared" si="8"/>
        <v>24</v>
      </c>
      <c r="BF50">
        <f t="shared" si="39"/>
        <v>5000</v>
      </c>
      <c r="BU50"/>
      <c r="FD50"/>
      <c r="FE50"/>
    </row>
    <row r="51" spans="1:161" x14ac:dyDescent="0.25">
      <c r="A51" s="7">
        <f t="shared" si="23"/>
        <v>44651</v>
      </c>
      <c r="B51">
        <f t="shared" si="9"/>
        <v>40</v>
      </c>
      <c r="C51">
        <f t="shared" si="10"/>
        <v>3.25</v>
      </c>
      <c r="D51">
        <f t="shared" si="11"/>
        <v>0</v>
      </c>
      <c r="E51">
        <f t="shared" si="12"/>
        <v>55</v>
      </c>
      <c r="F51">
        <f>IF(C51&gt;=$T$2,0,VLOOKUP($E51,EKM_F05!$A$3:$C$128,2,TRUE))</f>
        <v>4.930128205128205E-3</v>
      </c>
      <c r="G51">
        <f>F51*'Real assumptions'!$B$3</f>
        <v>2.0573424999999999E-3</v>
      </c>
      <c r="H51">
        <f t="shared" si="24"/>
        <v>1.7160708517294232E-4</v>
      </c>
      <c r="I51">
        <f t="shared" si="25"/>
        <v>1.3597447919480425E-4</v>
      </c>
      <c r="J51">
        <f>IF(B51&gt;$AJ$2,0,HLOOKUP(C51,'Real assumptions'!$B$5:$L$8,4,TRUE))</f>
        <v>6.3700000000000007E-2</v>
      </c>
      <c r="K51">
        <f t="shared" si="0"/>
        <v>1</v>
      </c>
      <c r="L51">
        <f t="shared" si="26"/>
        <v>8.3333333333333329E-2</v>
      </c>
      <c r="M51">
        <f t="shared" si="27"/>
        <v>5.4699302395537774E-3</v>
      </c>
      <c r="N51">
        <f t="shared" si="28"/>
        <v>4.3456637457926174E-3</v>
      </c>
      <c r="O51" s="8">
        <f t="shared" si="13"/>
        <v>0.79005073436483819</v>
      </c>
      <c r="P51">
        <f t="shared" si="14"/>
        <v>19.068776942155814</v>
      </c>
      <c r="Q51">
        <f t="shared" si="29"/>
        <v>0.67987239597402127</v>
      </c>
      <c r="R51" s="89">
        <f t="shared" si="1"/>
        <v>5000</v>
      </c>
      <c r="S51">
        <f t="shared" si="2"/>
        <v>0.66666666666666652</v>
      </c>
      <c r="U51">
        <f>O50*AV50*'Real assumptions'!$B$33/12+AX51*'Real assumptions'!$B$34</f>
        <v>8.2641057236958417</v>
      </c>
      <c r="V51">
        <f>IF(P51=0,0,IF(E51&lt;=$C$7,$AN$5*O50,0))*'Real assumptions'!$D$28</f>
        <v>4.7671942355389536</v>
      </c>
      <c r="X51" s="94">
        <f t="shared" si="15"/>
        <v>0</v>
      </c>
      <c r="Y51">
        <f t="shared" si="3"/>
        <v>24</v>
      </c>
      <c r="Z51">
        <f t="shared" si="30"/>
        <v>95</v>
      </c>
      <c r="AA51">
        <f t="shared" si="16"/>
        <v>95.666666666666671</v>
      </c>
      <c r="AB51">
        <f t="shared" si="17"/>
        <v>50.505050505050505</v>
      </c>
      <c r="AC51">
        <f t="shared" si="31"/>
        <v>4831.6498316498319</v>
      </c>
      <c r="AD51">
        <f t="shared" si="18"/>
        <v>80.505050505050505</v>
      </c>
      <c r="AE51">
        <f t="shared" si="32"/>
        <v>168.35016835016813</v>
      </c>
      <c r="AF51" s="94">
        <f t="shared" si="42"/>
        <v>0</v>
      </c>
      <c r="AG51">
        <f t="shared" si="33"/>
        <v>0</v>
      </c>
      <c r="AH51">
        <f t="shared" si="34"/>
        <v>0</v>
      </c>
      <c r="AI51">
        <f>HLOOKUP(AW51,'Real assumptions'!$A$21:$AK$24,2,TRUE)</f>
        <v>1.5793999999999999</v>
      </c>
      <c r="AJ51" s="123">
        <f t="shared" si="35"/>
        <v>1.3067340917001236E-3</v>
      </c>
      <c r="AK51" s="122">
        <f>(1+HLOOKUP(YEAR(A51),'Real assumptions'!$A$21:$AK$24,2,TRUE)/100)^(1/12)-1</f>
        <v>1.3067340917001236E-3</v>
      </c>
      <c r="AL51">
        <f t="shared" si="36"/>
        <v>8.2641057236958417</v>
      </c>
      <c r="AM51">
        <f>('Real assumptions'!$B$33/12)*O50*AV50</f>
        <v>8.2641057236958417</v>
      </c>
      <c r="AN51">
        <f t="shared" si="43"/>
        <v>6.053434532901667</v>
      </c>
      <c r="AO51">
        <f t="shared" si="46"/>
        <v>7.910229276017422E-3</v>
      </c>
      <c r="AP51" s="121">
        <f t="shared" si="37"/>
        <v>2.3867779256664886E-2</v>
      </c>
      <c r="AQ51">
        <f t="shared" si="19"/>
        <v>0</v>
      </c>
      <c r="AR51">
        <v>0</v>
      </c>
      <c r="AS51">
        <f t="shared" si="4"/>
        <v>0</v>
      </c>
      <c r="AT51">
        <f t="shared" si="20"/>
        <v>0</v>
      </c>
      <c r="AU51">
        <f>IFERROR(HLOOKUP(B51,'Real assumptions'!$B$43:$AL$44,2,TRUE)*($W$3/$U$2),0)</f>
        <v>0</v>
      </c>
      <c r="AV51">
        <f>AV50*(1+'Real assumptions'!$B$35)^(1/12)</f>
        <v>1.0411992668466057</v>
      </c>
      <c r="AW51">
        <f t="shared" si="47"/>
        <v>2022</v>
      </c>
      <c r="AX51">
        <f t="shared" si="40"/>
        <v>0</v>
      </c>
      <c r="AY51">
        <f t="shared" si="38"/>
        <v>3.3439914671288951</v>
      </c>
      <c r="AZ51">
        <f t="shared" si="6"/>
        <v>53.373395360233204</v>
      </c>
      <c r="BA51">
        <f t="shared" si="41"/>
        <v>5.4470666315129748</v>
      </c>
      <c r="BB51">
        <f t="shared" si="21"/>
        <v>95.666666666666671</v>
      </c>
      <c r="BC51">
        <f t="shared" si="7"/>
        <v>57.400000000000006</v>
      </c>
      <c r="BD51">
        <f t="shared" si="22"/>
        <v>0</v>
      </c>
      <c r="BE51">
        <f t="shared" si="8"/>
        <v>24</v>
      </c>
      <c r="BF51">
        <f t="shared" si="39"/>
        <v>5000</v>
      </c>
      <c r="BU51"/>
      <c r="FD51"/>
      <c r="FE51"/>
    </row>
    <row r="52" spans="1:161" x14ac:dyDescent="0.25">
      <c r="A52" s="7">
        <f t="shared" si="23"/>
        <v>44681</v>
      </c>
      <c r="B52">
        <f t="shared" si="9"/>
        <v>41</v>
      </c>
      <c r="C52">
        <f t="shared" si="10"/>
        <v>3.333333333333333</v>
      </c>
      <c r="D52">
        <f t="shared" si="11"/>
        <v>0</v>
      </c>
      <c r="E52">
        <f t="shared" si="12"/>
        <v>55</v>
      </c>
      <c r="F52">
        <f>IF(C52&gt;=$T$2,0,VLOOKUP($E52,EKM_F05!$A$3:$C$128,2,TRUE))</f>
        <v>4.930128205128205E-3</v>
      </c>
      <c r="G52">
        <f>F52*'Real assumptions'!$B$3</f>
        <v>2.0573424999999999E-3</v>
      </c>
      <c r="H52">
        <f t="shared" si="24"/>
        <v>1.7160708517294232E-4</v>
      </c>
      <c r="I52">
        <f t="shared" si="25"/>
        <v>1.3520750173157535E-4</v>
      </c>
      <c r="J52">
        <f>IF(B52&gt;$AJ$2,0,HLOOKUP(C52,'Real assumptions'!$B$5:$L$8,4,TRUE))</f>
        <v>6.3700000000000007E-2</v>
      </c>
      <c r="K52">
        <f t="shared" si="0"/>
        <v>1</v>
      </c>
      <c r="L52">
        <f t="shared" si="26"/>
        <v>8.3333333333333329E-2</v>
      </c>
      <c r="M52">
        <f t="shared" si="27"/>
        <v>5.4699302395537774E-3</v>
      </c>
      <c r="N52">
        <f t="shared" si="28"/>
        <v>4.3211516007523798E-3</v>
      </c>
      <c r="O52" s="8">
        <f t="shared" si="13"/>
        <v>0.78559437526235421</v>
      </c>
      <c r="P52">
        <f t="shared" si="14"/>
        <v>18.961217624756117</v>
      </c>
      <c r="Q52">
        <f t="shared" si="29"/>
        <v>0.67603750865787671</v>
      </c>
      <c r="R52" s="89">
        <f t="shared" si="1"/>
        <v>5000</v>
      </c>
      <c r="S52">
        <f t="shared" si="2"/>
        <v>0.58333333333333348</v>
      </c>
      <c r="U52">
        <f>O51*AV51*'Real assumptions'!$B$33/12+AX52*'Real assumptions'!$B$34</f>
        <v>8.2260024539229182</v>
      </c>
      <c r="V52">
        <f>IF(P52=0,0,IF(E52&lt;=$C$7,$AN$5*O51,0))*'Real assumptions'!$D$28</f>
        <v>4.7403044061890292</v>
      </c>
      <c r="X52" s="94">
        <f t="shared" si="15"/>
        <v>0</v>
      </c>
      <c r="Y52">
        <f t="shared" si="3"/>
        <v>24</v>
      </c>
      <c r="Z52">
        <f t="shared" si="30"/>
        <v>95</v>
      </c>
      <c r="AA52">
        <f t="shared" si="16"/>
        <v>95.583333333333329</v>
      </c>
      <c r="AB52">
        <f t="shared" si="17"/>
        <v>50.505050505050505</v>
      </c>
      <c r="AC52">
        <f t="shared" si="31"/>
        <v>4827.4410774410771</v>
      </c>
      <c r="AD52">
        <f t="shared" si="18"/>
        <v>80.505050505050505</v>
      </c>
      <c r="AE52">
        <f t="shared" si="32"/>
        <v>172.55892255892286</v>
      </c>
      <c r="AF52" s="94">
        <f t="shared" si="42"/>
        <v>0</v>
      </c>
      <c r="AG52">
        <f t="shared" si="33"/>
        <v>0</v>
      </c>
      <c r="AH52">
        <f t="shared" si="34"/>
        <v>0</v>
      </c>
      <c r="AI52">
        <f>HLOOKUP(AW52,'Real assumptions'!$A$21:$AK$24,2,TRUE)</f>
        <v>1.5793999999999999</v>
      </c>
      <c r="AJ52" s="123">
        <f t="shared" si="35"/>
        <v>1.3067340917001236E-3</v>
      </c>
      <c r="AK52" s="122">
        <f>(1+HLOOKUP(YEAR(A52),'Real assumptions'!$A$21:$AK$24,2,TRUE)/100)^(1/12)-1</f>
        <v>1.3067340917001236E-3</v>
      </c>
      <c r="AL52">
        <f t="shared" si="36"/>
        <v>8.2260024539229182</v>
      </c>
      <c r="AM52">
        <f>('Real assumptions'!$B$33/12)*O51*AV51</f>
        <v>8.22600245392292</v>
      </c>
      <c r="AN52">
        <f t="shared" si="43"/>
        <v>6.0187785439008348</v>
      </c>
      <c r="AO52">
        <f t="shared" si="46"/>
        <v>7.8649431137084499E-3</v>
      </c>
      <c r="AP52" s="121">
        <f t="shared" si="37"/>
        <v>3.1732722370373334E-2</v>
      </c>
      <c r="AQ52">
        <f t="shared" si="19"/>
        <v>0</v>
      </c>
      <c r="AR52">
        <v>0</v>
      </c>
      <c r="AS52">
        <f t="shared" si="4"/>
        <v>0</v>
      </c>
      <c r="AT52">
        <f t="shared" si="20"/>
        <v>0</v>
      </c>
      <c r="AU52">
        <f>IFERROR(HLOOKUP(B52,'Real assumptions'!$B$43:$AL$44,2,TRUE)*($W$3/$U$2),0)</f>
        <v>0</v>
      </c>
      <c r="AV52">
        <f>AV51*(1+'Real assumptions'!$B$35)^(1/12)</f>
        <v>1.0422776848377489</v>
      </c>
      <c r="AW52">
        <f t="shared" si="47"/>
        <v>2022</v>
      </c>
      <c r="AX52">
        <f t="shared" si="40"/>
        <v>0</v>
      </c>
      <c r="AY52">
        <f t="shared" si="38"/>
        <v>3.325129353387366</v>
      </c>
      <c r="AZ52">
        <f t="shared" si="6"/>
        <v>58.762013451526499</v>
      </c>
      <c r="BA52">
        <f t="shared" si="41"/>
        <v>5.4163419148469059</v>
      </c>
      <c r="BB52">
        <f t="shared" si="21"/>
        <v>95.583333333333329</v>
      </c>
      <c r="BC52">
        <f t="shared" si="7"/>
        <v>57.349999999999994</v>
      </c>
      <c r="BD52">
        <f t="shared" si="22"/>
        <v>0</v>
      </c>
      <c r="BE52">
        <f t="shared" si="8"/>
        <v>24</v>
      </c>
      <c r="BF52">
        <f t="shared" si="39"/>
        <v>5000</v>
      </c>
      <c r="BU52"/>
      <c r="FD52"/>
      <c r="FE52"/>
    </row>
    <row r="53" spans="1:161" x14ac:dyDescent="0.25">
      <c r="A53" s="7">
        <f t="shared" si="23"/>
        <v>44712</v>
      </c>
      <c r="B53">
        <f t="shared" si="9"/>
        <v>42</v>
      </c>
      <c r="C53">
        <f t="shared" si="10"/>
        <v>3.416666666666667</v>
      </c>
      <c r="D53">
        <f t="shared" si="11"/>
        <v>0</v>
      </c>
      <c r="E53">
        <f t="shared" si="12"/>
        <v>55</v>
      </c>
      <c r="F53">
        <f>IF(C53&gt;=$T$2,0,VLOOKUP($E53,EKM_F05!$A$3:$C$128,2,TRUE))</f>
        <v>4.930128205128205E-3</v>
      </c>
      <c r="G53">
        <f>F53*'Real assumptions'!$B$3</f>
        <v>2.0573424999999999E-3</v>
      </c>
      <c r="H53">
        <f t="shared" si="24"/>
        <v>1.7160708517294232E-4</v>
      </c>
      <c r="I53">
        <f t="shared" si="25"/>
        <v>1.3444485048038696E-4</v>
      </c>
      <c r="J53">
        <f>IF(B53&gt;$AJ$2,0,HLOOKUP(C53,'Real assumptions'!$B$5:$L$8,4,TRUE))</f>
        <v>6.3700000000000007E-2</v>
      </c>
      <c r="K53">
        <f t="shared" si="0"/>
        <v>1</v>
      </c>
      <c r="L53">
        <f t="shared" si="26"/>
        <v>8.3333333333333329E-2</v>
      </c>
      <c r="M53">
        <f t="shared" si="27"/>
        <v>5.4699302395537774E-3</v>
      </c>
      <c r="N53">
        <f t="shared" si="28"/>
        <v>4.2967777188842654E-3</v>
      </c>
      <c r="O53" s="8">
        <f t="shared" si="13"/>
        <v>0.78116315269298953</v>
      </c>
      <c r="P53">
        <f t="shared" si="14"/>
        <v>18.854265006296501</v>
      </c>
      <c r="Q53">
        <f t="shared" si="29"/>
        <v>0.67222425240193484</v>
      </c>
      <c r="R53" s="89">
        <f t="shared" si="1"/>
        <v>5000</v>
      </c>
      <c r="S53">
        <f t="shared" si="2"/>
        <v>0.5</v>
      </c>
      <c r="U53">
        <f>O52*AV52*'Real assumptions'!$B$33/12+AX53*'Real assumptions'!$B$34</f>
        <v>8.1880748667000436</v>
      </c>
      <c r="V53">
        <f>IF(P53=0,0,IF(E53&lt;=$C$7,$AN$5*O52,0))*'Real assumptions'!$D$28</f>
        <v>4.7135662515741252</v>
      </c>
      <c r="X53" s="94">
        <f t="shared" si="15"/>
        <v>0</v>
      </c>
      <c r="Y53">
        <f t="shared" si="3"/>
        <v>24</v>
      </c>
      <c r="Z53">
        <f t="shared" si="30"/>
        <v>95</v>
      </c>
      <c r="AA53">
        <f t="shared" si="16"/>
        <v>95.5</v>
      </c>
      <c r="AB53">
        <f t="shared" si="17"/>
        <v>50.505050505050505</v>
      </c>
      <c r="AC53">
        <f t="shared" si="31"/>
        <v>4823.2323232323233</v>
      </c>
      <c r="AD53">
        <f t="shared" si="18"/>
        <v>80.505050505050505</v>
      </c>
      <c r="AE53">
        <f t="shared" si="32"/>
        <v>176.76767676767668</v>
      </c>
      <c r="AF53" s="94">
        <f t="shared" si="42"/>
        <v>0</v>
      </c>
      <c r="AG53">
        <f t="shared" si="33"/>
        <v>0</v>
      </c>
      <c r="AH53">
        <f t="shared" si="34"/>
        <v>0</v>
      </c>
      <c r="AI53">
        <f>HLOOKUP(AW53,'Real assumptions'!$A$21:$AK$24,2,TRUE)</f>
        <v>1.5793999999999999</v>
      </c>
      <c r="AJ53" s="123">
        <f t="shared" si="35"/>
        <v>1.3067340917001236E-3</v>
      </c>
      <c r="AK53" s="122">
        <f>(1+HLOOKUP(YEAR(A53),'Real assumptions'!$A$21:$AK$24,2,TRUE)/100)^(1/12)-1</f>
        <v>1.3067340917001236E-3</v>
      </c>
      <c r="AL53">
        <f t="shared" si="36"/>
        <v>8.1880748667000436</v>
      </c>
      <c r="AM53">
        <f>('Real assumptions'!$B$33/12)*O52*AV52</f>
        <v>8.1880748667000418</v>
      </c>
      <c r="AN53">
        <f t="shared" si="43"/>
        <v>5.9843566103927071</v>
      </c>
      <c r="AO53">
        <f t="shared" si="46"/>
        <v>7.8199627996911446E-3</v>
      </c>
      <c r="AP53" s="121">
        <f t="shared" si="37"/>
        <v>3.955268517006448E-2</v>
      </c>
      <c r="AQ53">
        <f t="shared" si="19"/>
        <v>0</v>
      </c>
      <c r="AR53">
        <v>0</v>
      </c>
      <c r="AS53">
        <f t="shared" si="4"/>
        <v>0</v>
      </c>
      <c r="AT53">
        <f t="shared" si="20"/>
        <v>0</v>
      </c>
      <c r="AU53">
        <f>IFERROR(HLOOKUP(B53,'Real assumptions'!$B$43:$AL$44,2,TRUE)*($W$3/$U$2),0)</f>
        <v>0</v>
      </c>
      <c r="AV53">
        <f>AV52*(1+'Real assumptions'!$B$35)^(1/12)</f>
        <v>1.0433572197960286</v>
      </c>
      <c r="AW53">
        <f t="shared" si="47"/>
        <v>2022</v>
      </c>
      <c r="AX53">
        <f t="shared" si="40"/>
        <v>0</v>
      </c>
      <c r="AY53">
        <f t="shared" si="38"/>
        <v>3.3063736332590663</v>
      </c>
      <c r="AZ53">
        <f t="shared" si="6"/>
        <v>64.119199413420958</v>
      </c>
      <c r="BA53">
        <f t="shared" si="41"/>
        <v>5.3857905039760601</v>
      </c>
      <c r="BB53">
        <f t="shared" si="21"/>
        <v>95.5</v>
      </c>
      <c r="BC53">
        <f t="shared" si="7"/>
        <v>57.3</v>
      </c>
      <c r="BD53">
        <f t="shared" si="22"/>
        <v>0</v>
      </c>
      <c r="BE53">
        <f t="shared" si="8"/>
        <v>24</v>
      </c>
      <c r="BF53">
        <f t="shared" si="39"/>
        <v>5000</v>
      </c>
      <c r="BU53"/>
      <c r="FD53"/>
      <c r="FE53"/>
    </row>
    <row r="54" spans="1:161" x14ac:dyDescent="0.25">
      <c r="A54" s="7">
        <f t="shared" si="23"/>
        <v>44742</v>
      </c>
      <c r="B54">
        <f t="shared" si="9"/>
        <v>43</v>
      </c>
      <c r="C54">
        <f t="shared" si="10"/>
        <v>3.5</v>
      </c>
      <c r="D54">
        <f t="shared" si="11"/>
        <v>0</v>
      </c>
      <c r="E54">
        <f t="shared" si="12"/>
        <v>55</v>
      </c>
      <c r="F54">
        <f>IF(C54&gt;=$T$2,0,VLOOKUP($E54,EKM_F05!$A$3:$C$128,2,TRUE))</f>
        <v>4.930128205128205E-3</v>
      </c>
      <c r="G54">
        <f>F54*'Real assumptions'!$B$3</f>
        <v>2.0573424999999999E-3</v>
      </c>
      <c r="H54">
        <f t="shared" si="24"/>
        <v>1.7160708517294232E-4</v>
      </c>
      <c r="I54">
        <f t="shared" si="25"/>
        <v>1.3368650103881341E-4</v>
      </c>
      <c r="J54">
        <f>IF(B54&gt;$AJ$2,0,HLOOKUP(C54,'Real assumptions'!$B$5:$L$8,4,TRUE))</f>
        <v>6.3700000000000007E-2</v>
      </c>
      <c r="K54">
        <f t="shared" si="0"/>
        <v>1</v>
      </c>
      <c r="L54">
        <f t="shared" si="26"/>
        <v>8.3333333333333329E-2</v>
      </c>
      <c r="M54">
        <f t="shared" si="27"/>
        <v>5.4699302395537774E-3</v>
      </c>
      <c r="N54">
        <f t="shared" si="28"/>
        <v>4.2725413203012113E-3</v>
      </c>
      <c r="O54" s="8">
        <f t="shared" si="13"/>
        <v>0.77675692487164949</v>
      </c>
      <c r="P54">
        <f t="shared" si="14"/>
        <v>18.747915664631748</v>
      </c>
      <c r="Q54">
        <f t="shared" si="29"/>
        <v>0.66843250519406705</v>
      </c>
      <c r="R54" s="89">
        <f t="shared" si="1"/>
        <v>5000</v>
      </c>
      <c r="S54">
        <f t="shared" si="2"/>
        <v>0.41666666666666652</v>
      </c>
      <c r="U54">
        <f>O53*AV53*'Real assumptions'!$B$33/12+AX54*'Real assumptions'!$B$34</f>
        <v>8.1503221520085809</v>
      </c>
      <c r="V54">
        <f>IF(P54=0,0,IF(E54&lt;=$C$7,$AN$5*O53,0))*'Real assumptions'!$D$28</f>
        <v>4.6869789161579369</v>
      </c>
      <c r="X54" s="94">
        <f t="shared" si="15"/>
        <v>0</v>
      </c>
      <c r="Y54">
        <f t="shared" si="3"/>
        <v>24</v>
      </c>
      <c r="Z54">
        <f t="shared" si="30"/>
        <v>95</v>
      </c>
      <c r="AA54">
        <f t="shared" si="16"/>
        <v>95.416666666666671</v>
      </c>
      <c r="AB54">
        <f t="shared" si="17"/>
        <v>50.505050505050505</v>
      </c>
      <c r="AC54">
        <f t="shared" si="31"/>
        <v>4819.0235690235695</v>
      </c>
      <c r="AD54">
        <f t="shared" si="18"/>
        <v>80.505050505050505</v>
      </c>
      <c r="AE54">
        <f t="shared" si="32"/>
        <v>180.97643097643049</v>
      </c>
      <c r="AF54" s="94">
        <f t="shared" si="42"/>
        <v>0</v>
      </c>
      <c r="AG54">
        <f t="shared" si="33"/>
        <v>0</v>
      </c>
      <c r="AH54">
        <f t="shared" si="34"/>
        <v>0</v>
      </c>
      <c r="AI54">
        <f>HLOOKUP(AW54,'Real assumptions'!$A$21:$AK$24,2,TRUE)</f>
        <v>1.5793999999999999</v>
      </c>
      <c r="AJ54" s="123">
        <f t="shared" si="35"/>
        <v>1.3067340917001236E-3</v>
      </c>
      <c r="AK54" s="122">
        <f>(1+HLOOKUP(YEAR(A54),'Real assumptions'!$A$21:$AK$24,2,TRUE)/100)^(1/12)-1</f>
        <v>1.3067340917001236E-3</v>
      </c>
      <c r="AL54">
        <f t="shared" si="36"/>
        <v>8.1503221520085809</v>
      </c>
      <c r="AM54">
        <f>('Real assumptions'!$B$33/12)*O53*AV53</f>
        <v>8.1503221520085809</v>
      </c>
      <c r="AN54">
        <f t="shared" si="43"/>
        <v>5.9501672816352951</v>
      </c>
      <c r="AO54">
        <f t="shared" si="46"/>
        <v>7.7752864382314903E-3</v>
      </c>
      <c r="AP54" s="121">
        <f t="shared" si="37"/>
        <v>4.7327971608295973E-2</v>
      </c>
      <c r="AQ54">
        <f t="shared" si="19"/>
        <v>0</v>
      </c>
      <c r="AR54">
        <v>0</v>
      </c>
      <c r="AS54">
        <f t="shared" si="4"/>
        <v>0</v>
      </c>
      <c r="AT54">
        <f t="shared" si="20"/>
        <v>0</v>
      </c>
      <c r="AU54">
        <f>IFERROR(HLOOKUP(B54,'Real assumptions'!$B$43:$AL$44,2,TRUE)*($W$3/$U$2),0)</f>
        <v>0</v>
      </c>
      <c r="AV54">
        <f>AV53*(1+'Real assumptions'!$B$35)^(1/12)</f>
        <v>1.044437872878339</v>
      </c>
      <c r="AW54">
        <f t="shared" si="47"/>
        <v>2022</v>
      </c>
      <c r="AX54">
        <f t="shared" si="40"/>
        <v>0</v>
      </c>
      <c r="AY54">
        <f t="shared" si="38"/>
        <v>3.287723706620326</v>
      </c>
      <c r="AZ54">
        <f t="shared" si="6"/>
        <v>69.445168248498149</v>
      </c>
      <c r="BA54">
        <f t="shared" si="41"/>
        <v>5.3554114213520041</v>
      </c>
      <c r="BB54">
        <f t="shared" si="21"/>
        <v>95.416666666666671</v>
      </c>
      <c r="BC54">
        <f t="shared" si="7"/>
        <v>57.25</v>
      </c>
      <c r="BD54">
        <f t="shared" si="22"/>
        <v>0</v>
      </c>
      <c r="BE54">
        <f t="shared" si="8"/>
        <v>24</v>
      </c>
      <c r="BF54">
        <f t="shared" si="39"/>
        <v>5000</v>
      </c>
      <c r="BU54"/>
      <c r="FD54"/>
      <c r="FE54"/>
    </row>
    <row r="55" spans="1:161" x14ac:dyDescent="0.25">
      <c r="A55" s="7">
        <f t="shared" si="23"/>
        <v>44773</v>
      </c>
      <c r="B55">
        <f t="shared" si="9"/>
        <v>44</v>
      </c>
      <c r="C55">
        <f t="shared" si="10"/>
        <v>3.583333333333333</v>
      </c>
      <c r="D55">
        <f t="shared" si="11"/>
        <v>0</v>
      </c>
      <c r="E55">
        <f t="shared" si="12"/>
        <v>55</v>
      </c>
      <c r="F55">
        <f>IF(C55&gt;=$T$2,0,VLOOKUP($E55,EKM_F05!$A$3:$C$128,2,TRUE))</f>
        <v>4.930128205128205E-3</v>
      </c>
      <c r="G55">
        <f>F55*'Real assumptions'!$B$3</f>
        <v>2.0573424999999999E-3</v>
      </c>
      <c r="H55">
        <f t="shared" si="24"/>
        <v>1.7160708517294232E-4</v>
      </c>
      <c r="I55">
        <f t="shared" si="25"/>
        <v>1.3293242914207311E-4</v>
      </c>
      <c r="J55">
        <f>IF(B55&gt;$AJ$2,0,HLOOKUP(C55,'Real assumptions'!$B$5:$L$8,4,TRUE))</f>
        <v>6.3700000000000007E-2</v>
      </c>
      <c r="K55">
        <f t="shared" si="0"/>
        <v>1</v>
      </c>
      <c r="L55">
        <f t="shared" si="26"/>
        <v>8.3333333333333329E-2</v>
      </c>
      <c r="M55">
        <f t="shared" si="27"/>
        <v>5.4699302395537774E-3</v>
      </c>
      <c r="N55">
        <f t="shared" si="28"/>
        <v>4.2484416295151886E-3</v>
      </c>
      <c r="O55" s="8">
        <f t="shared" si="13"/>
        <v>0.77237555081299225</v>
      </c>
      <c r="P55">
        <f t="shared" si="14"/>
        <v>18.64216619691959</v>
      </c>
      <c r="Q55">
        <f t="shared" si="29"/>
        <v>0.66466214571036553</v>
      </c>
      <c r="R55" s="89">
        <f t="shared" si="1"/>
        <v>5000</v>
      </c>
      <c r="S55">
        <f t="shared" si="2"/>
        <v>0.33333333333333348</v>
      </c>
      <c r="U55">
        <f>O54*AV54*'Real assumptions'!$B$33/12+AX55*'Real assumptions'!$B$34</f>
        <v>8.1127435035646531</v>
      </c>
      <c r="V55">
        <f>IF(P55=0,0,IF(E55&lt;=$C$7,$AN$5*O54,0))*'Real assumptions'!$D$28</f>
        <v>4.6605415492298974</v>
      </c>
      <c r="X55" s="94">
        <f t="shared" si="15"/>
        <v>0</v>
      </c>
      <c r="Y55">
        <f t="shared" si="3"/>
        <v>24</v>
      </c>
      <c r="Z55">
        <f t="shared" si="30"/>
        <v>95</v>
      </c>
      <c r="AA55">
        <f t="shared" si="16"/>
        <v>95.333333333333329</v>
      </c>
      <c r="AB55">
        <f t="shared" si="17"/>
        <v>50.505050505050505</v>
      </c>
      <c r="AC55">
        <f t="shared" si="31"/>
        <v>4814.8148148148148</v>
      </c>
      <c r="AD55">
        <f t="shared" si="18"/>
        <v>80.505050505050505</v>
      </c>
      <c r="AE55">
        <f t="shared" si="32"/>
        <v>185.18518518518522</v>
      </c>
      <c r="AF55" s="94">
        <f t="shared" si="42"/>
        <v>0</v>
      </c>
      <c r="AG55">
        <f t="shared" si="33"/>
        <v>0</v>
      </c>
      <c r="AH55">
        <f t="shared" si="34"/>
        <v>0</v>
      </c>
      <c r="AI55">
        <f>HLOOKUP(AW55,'Real assumptions'!$A$21:$AK$24,2,TRUE)</f>
        <v>1.5793999999999999</v>
      </c>
      <c r="AJ55" s="123">
        <f t="shared" si="35"/>
        <v>1.3067340917001236E-3</v>
      </c>
      <c r="AK55" s="122">
        <f>(1+HLOOKUP(YEAR(A55),'Real assumptions'!$A$21:$AK$24,2,TRUE)/100)^(1/12)-1</f>
        <v>1.3067340917001236E-3</v>
      </c>
      <c r="AL55">
        <f t="shared" si="36"/>
        <v>8.1127435035646531</v>
      </c>
      <c r="AM55">
        <f>('Real assumptions'!$B$33/12)*O54*AV54</f>
        <v>8.1127435035646531</v>
      </c>
      <c r="AN55">
        <f t="shared" si="43"/>
        <v>5.9162091157333361</v>
      </c>
      <c r="AO55">
        <f t="shared" si="46"/>
        <v>7.7309121451557923E-3</v>
      </c>
      <c r="AP55" s="121">
        <f t="shared" si="37"/>
        <v>5.5058883753451762E-2</v>
      </c>
      <c r="AQ55">
        <f t="shared" si="19"/>
        <v>0</v>
      </c>
      <c r="AR55">
        <v>0</v>
      </c>
      <c r="AS55">
        <f t="shared" si="4"/>
        <v>0</v>
      </c>
      <c r="AT55">
        <f t="shared" si="20"/>
        <v>0</v>
      </c>
      <c r="AU55">
        <f>IFERROR(HLOOKUP(B55,'Real assumptions'!$B$43:$AL$44,2,TRUE)*($W$3/$U$2),0)</f>
        <v>0</v>
      </c>
      <c r="AV55">
        <f>AV54*(1+'Real assumptions'!$B$35)^(1/12)</f>
        <v>1.0455196452427729</v>
      </c>
      <c r="AW55">
        <f t="shared" si="47"/>
        <v>2022</v>
      </c>
      <c r="AX55">
        <f t="shared" si="40"/>
        <v>0</v>
      </c>
      <c r="AY55">
        <f t="shared" si="38"/>
        <v>3.2691789767325314</v>
      </c>
      <c r="AZ55">
        <f t="shared" si="6"/>
        <v>74.740133615766993</v>
      </c>
      <c r="BA55">
        <f t="shared" si="41"/>
        <v>5.3252036949402628</v>
      </c>
      <c r="BB55">
        <f t="shared" si="21"/>
        <v>95.333333333333329</v>
      </c>
      <c r="BC55">
        <f t="shared" si="7"/>
        <v>57.199999999999989</v>
      </c>
      <c r="BD55">
        <f t="shared" si="22"/>
        <v>0</v>
      </c>
      <c r="BE55">
        <f t="shared" si="8"/>
        <v>24</v>
      </c>
      <c r="BF55">
        <f t="shared" si="39"/>
        <v>5000</v>
      </c>
      <c r="BU55"/>
      <c r="FD55"/>
      <c r="FE55"/>
    </row>
    <row r="56" spans="1:161" x14ac:dyDescent="0.25">
      <c r="A56" s="7">
        <f t="shared" si="23"/>
        <v>44804</v>
      </c>
      <c r="B56">
        <f t="shared" si="9"/>
        <v>45</v>
      </c>
      <c r="C56">
        <f t="shared" si="10"/>
        <v>3.666666666666667</v>
      </c>
      <c r="D56">
        <f t="shared" si="11"/>
        <v>0</v>
      </c>
      <c r="E56">
        <f t="shared" si="12"/>
        <v>55</v>
      </c>
      <c r="F56">
        <f>IF(C56&gt;=$T$2,0,VLOOKUP($E56,EKM_F05!$A$3:$C$128,2,TRUE))</f>
        <v>4.930128205128205E-3</v>
      </c>
      <c r="G56">
        <f>F56*'Real assumptions'!$B$3</f>
        <v>2.0573424999999999E-3</v>
      </c>
      <c r="H56">
        <f t="shared" si="24"/>
        <v>1.7160708517294232E-4</v>
      </c>
      <c r="I56">
        <f t="shared" si="25"/>
        <v>1.3218261066225251E-4</v>
      </c>
      <c r="J56">
        <f>IF(B56&gt;$AJ$2,0,HLOOKUP(C56,'Real assumptions'!$B$5:$L$8,4,TRUE))</f>
        <v>6.3700000000000007E-2</v>
      </c>
      <c r="K56">
        <f t="shared" si="0"/>
        <v>1</v>
      </c>
      <c r="L56">
        <f t="shared" si="26"/>
        <v>8.3333333333333329E-2</v>
      </c>
      <c r="M56">
        <f t="shared" si="27"/>
        <v>5.4699302395537774E-3</v>
      </c>
      <c r="N56">
        <f t="shared" si="28"/>
        <v>4.2244778754123805E-3</v>
      </c>
      <c r="O56" s="8">
        <f t="shared" si="13"/>
        <v>0.76801889032691761</v>
      </c>
      <c r="P56">
        <f t="shared" si="14"/>
        <v>18.537013219511813</v>
      </c>
      <c r="Q56">
        <f t="shared" si="29"/>
        <v>0.6609130533112626</v>
      </c>
      <c r="R56" s="89">
        <f t="shared" si="1"/>
        <v>5000</v>
      </c>
      <c r="S56">
        <f t="shared" si="2"/>
        <v>0.25</v>
      </c>
      <c r="U56">
        <f>O55*AV55*'Real assumptions'!$B$33/12+AX56*'Real assumptions'!$B$34</f>
        <v>8.0753381188019091</v>
      </c>
      <c r="V56">
        <f>IF(P56=0,0,IF(E56&lt;=$C$7,$AN$5*O55,0))*'Real assumptions'!$D$28</f>
        <v>4.6342533048779533</v>
      </c>
      <c r="X56" s="94">
        <f t="shared" si="15"/>
        <v>0</v>
      </c>
      <c r="Y56">
        <f t="shared" si="3"/>
        <v>24</v>
      </c>
      <c r="Z56">
        <f t="shared" si="30"/>
        <v>95</v>
      </c>
      <c r="AA56">
        <f t="shared" si="16"/>
        <v>95.25</v>
      </c>
      <c r="AB56">
        <f t="shared" si="17"/>
        <v>50.505050505050505</v>
      </c>
      <c r="AC56">
        <f t="shared" si="31"/>
        <v>4810.606060606061</v>
      </c>
      <c r="AD56">
        <f t="shared" si="18"/>
        <v>80.505050505050505</v>
      </c>
      <c r="AE56">
        <f t="shared" si="32"/>
        <v>189.39393939393904</v>
      </c>
      <c r="AF56" s="94">
        <f t="shared" si="42"/>
        <v>0</v>
      </c>
      <c r="AG56">
        <f t="shared" si="33"/>
        <v>0</v>
      </c>
      <c r="AH56">
        <f t="shared" si="34"/>
        <v>0</v>
      </c>
      <c r="AI56">
        <f>HLOOKUP(AW56,'Real assumptions'!$A$21:$AK$24,2,TRUE)</f>
        <v>1.5793999999999999</v>
      </c>
      <c r="AJ56" s="123">
        <f t="shared" si="35"/>
        <v>1.3067340917001236E-3</v>
      </c>
      <c r="AK56" s="122">
        <f>(1+HLOOKUP(YEAR(A56),'Real assumptions'!$A$21:$AK$24,2,TRUE)/100)^(1/12)-1</f>
        <v>1.3067340917001236E-3</v>
      </c>
      <c r="AL56">
        <f t="shared" si="36"/>
        <v>8.0753381188019091</v>
      </c>
      <c r="AM56">
        <f>('Real assumptions'!$B$33/12)*O55*AV55</f>
        <v>8.0753381188019091</v>
      </c>
      <c r="AN56">
        <f t="shared" si="43"/>
        <v>5.8824806795854041</v>
      </c>
      <c r="AO56">
        <f t="shared" si="46"/>
        <v>7.6868380477815587E-3</v>
      </c>
      <c r="AP56" s="121">
        <f t="shared" si="37"/>
        <v>6.274572180123332E-2</v>
      </c>
      <c r="AQ56">
        <f t="shared" si="19"/>
        <v>0</v>
      </c>
      <c r="AR56">
        <v>0</v>
      </c>
      <c r="AS56">
        <f t="shared" si="4"/>
        <v>0</v>
      </c>
      <c r="AT56">
        <f t="shared" si="20"/>
        <v>0</v>
      </c>
      <c r="AU56">
        <f>IFERROR(HLOOKUP(B56,'Real assumptions'!$B$43:$AL$44,2,TRUE)*($W$3/$U$2),0)</f>
        <v>0</v>
      </c>
      <c r="AV56">
        <f>AV55*(1+'Real assumptions'!$B$35)^(1/12)</f>
        <v>1.0466025380486219</v>
      </c>
      <c r="AW56">
        <f t="shared" si="47"/>
        <v>2022</v>
      </c>
      <c r="AX56">
        <f t="shared" si="40"/>
        <v>0</v>
      </c>
      <c r="AY56">
        <f t="shared" si="38"/>
        <v>3.2507388502230312</v>
      </c>
      <c r="AZ56">
        <f t="shared" si="6"/>
        <v>80.00430783890161</v>
      </c>
      <c r="BA56">
        <f t="shared" si="41"/>
        <v>5.2951663581892161</v>
      </c>
      <c r="BB56">
        <f t="shared" si="21"/>
        <v>95.25</v>
      </c>
      <c r="BC56">
        <f t="shared" si="7"/>
        <v>57.15</v>
      </c>
      <c r="BD56">
        <f t="shared" si="22"/>
        <v>0</v>
      </c>
      <c r="BE56">
        <f t="shared" si="8"/>
        <v>24</v>
      </c>
      <c r="BF56">
        <f t="shared" si="39"/>
        <v>5000</v>
      </c>
      <c r="BU56"/>
      <c r="FD56"/>
      <c r="FE56"/>
    </row>
    <row r="57" spans="1:161" x14ac:dyDescent="0.25">
      <c r="A57" s="7">
        <f t="shared" si="23"/>
        <v>44834</v>
      </c>
      <c r="B57">
        <f t="shared" si="9"/>
        <v>46</v>
      </c>
      <c r="C57">
        <f t="shared" si="10"/>
        <v>3.75</v>
      </c>
      <c r="D57">
        <f t="shared" si="11"/>
        <v>0</v>
      </c>
      <c r="E57">
        <f t="shared" si="12"/>
        <v>55</v>
      </c>
      <c r="F57">
        <f>IF(C57&gt;=$T$2,0,VLOOKUP($E57,EKM_F05!$A$3:$C$128,2,TRUE))</f>
        <v>4.930128205128205E-3</v>
      </c>
      <c r="G57">
        <f>F57*'Real assumptions'!$B$3</f>
        <v>2.0573424999999999E-3</v>
      </c>
      <c r="H57">
        <f t="shared" si="24"/>
        <v>1.7160708517294232E-4</v>
      </c>
      <c r="I57">
        <f t="shared" si="25"/>
        <v>1.3143702160753391E-4</v>
      </c>
      <c r="J57">
        <f>IF(B57&gt;$AJ$2,0,HLOOKUP(C57,'Real assumptions'!$B$5:$L$8,4,TRUE))</f>
        <v>6.3700000000000007E-2</v>
      </c>
      <c r="K57">
        <f t="shared" si="0"/>
        <v>1</v>
      </c>
      <c r="L57">
        <f t="shared" si="26"/>
        <v>8.3333333333333329E-2</v>
      </c>
      <c r="M57">
        <f t="shared" si="27"/>
        <v>5.4699302395537774E-3</v>
      </c>
      <c r="N57">
        <f t="shared" si="28"/>
        <v>4.2006492912285169E-3</v>
      </c>
      <c r="O57" s="8">
        <f t="shared" si="13"/>
        <v>0.76368680401408151</v>
      </c>
      <c r="P57">
        <f t="shared" si="14"/>
        <v>18.432453367846023</v>
      </c>
      <c r="Q57">
        <f t="shared" si="29"/>
        <v>0.65718510803766961</v>
      </c>
      <c r="R57" s="89">
        <f t="shared" si="1"/>
        <v>5000</v>
      </c>
      <c r="S57">
        <f t="shared" si="2"/>
        <v>0.16666666666666652</v>
      </c>
      <c r="U57">
        <f>O56*AV56*'Real assumptions'!$B$33/12+AX57*'Real assumptions'!$B$34</f>
        <v>8.0381051988543817</v>
      </c>
      <c r="V57">
        <f>IF(P57=0,0,IF(E57&lt;=$C$7,$AN$5*O56,0))*'Real assumptions'!$D$28</f>
        <v>4.6081133419615057</v>
      </c>
      <c r="X57" s="94">
        <f t="shared" si="15"/>
        <v>0</v>
      </c>
      <c r="Y57">
        <f t="shared" si="3"/>
        <v>24</v>
      </c>
      <c r="Z57">
        <f t="shared" si="30"/>
        <v>95</v>
      </c>
      <c r="AA57">
        <f t="shared" si="16"/>
        <v>95.166666666666671</v>
      </c>
      <c r="AB57">
        <f t="shared" si="17"/>
        <v>50.505050505050505</v>
      </c>
      <c r="AC57">
        <f t="shared" si="31"/>
        <v>4806.3973063973062</v>
      </c>
      <c r="AD57">
        <f t="shared" si="18"/>
        <v>80.505050505050505</v>
      </c>
      <c r="AE57">
        <f t="shared" si="32"/>
        <v>193.60269360269376</v>
      </c>
      <c r="AF57" s="94">
        <f t="shared" si="42"/>
        <v>0</v>
      </c>
      <c r="AG57">
        <f t="shared" si="33"/>
        <v>0</v>
      </c>
      <c r="AH57">
        <f t="shared" si="34"/>
        <v>0</v>
      </c>
      <c r="AI57">
        <f>HLOOKUP(AW57,'Real assumptions'!$A$21:$AK$24,2,TRUE)</f>
        <v>1.5793999999999999</v>
      </c>
      <c r="AJ57" s="123">
        <f t="shared" si="35"/>
        <v>1.3067340917001236E-3</v>
      </c>
      <c r="AK57" s="122">
        <f>(1+HLOOKUP(YEAR(A57),'Real assumptions'!$A$21:$AK$24,2,TRUE)/100)^(1/12)-1</f>
        <v>1.3067340917001236E-3</v>
      </c>
      <c r="AL57">
        <f t="shared" si="36"/>
        <v>8.0381051988543817</v>
      </c>
      <c r="AM57">
        <f>('Real assumptions'!$B$33/12)*O56*AV56</f>
        <v>8.0381051988543817</v>
      </c>
      <c r="AN57">
        <f t="shared" si="43"/>
        <v>5.8489805488313671</v>
      </c>
      <c r="AO57">
        <f t="shared" si="46"/>
        <v>7.6430622848488467E-3</v>
      </c>
      <c r="AP57" s="121">
        <f t="shared" si="37"/>
        <v>7.0388784086082165E-2</v>
      </c>
      <c r="AQ57">
        <f t="shared" si="19"/>
        <v>0</v>
      </c>
      <c r="AR57">
        <v>0</v>
      </c>
      <c r="AS57">
        <f t="shared" si="4"/>
        <v>0</v>
      </c>
      <c r="AT57">
        <f t="shared" si="20"/>
        <v>0</v>
      </c>
      <c r="AU57">
        <f>IFERROR(HLOOKUP(B57,'Real assumptions'!$B$43:$AL$44,2,TRUE)*($W$3/$U$2),0)</f>
        <v>0</v>
      </c>
      <c r="AV57">
        <f>AV56*(1+'Real assumptions'!$B$35)^(1/12)</f>
        <v>1.047686552456379</v>
      </c>
      <c r="AW57">
        <f t="shared" si="47"/>
        <v>2022</v>
      </c>
      <c r="AX57">
        <f t="shared" si="40"/>
        <v>0</v>
      </c>
      <c r="AY57">
        <f t="shared" si="38"/>
        <v>3.2324027370661512</v>
      </c>
      <c r="AZ57">
        <f t="shared" si="6"/>
        <v>85.23790191443004</v>
      </c>
      <c r="BA57">
        <f t="shared" si="41"/>
        <v>5.2652984499991753</v>
      </c>
      <c r="BB57">
        <f t="shared" si="21"/>
        <v>95.166666666666671</v>
      </c>
      <c r="BC57">
        <f t="shared" si="7"/>
        <v>57.099999999999994</v>
      </c>
      <c r="BD57">
        <f t="shared" si="22"/>
        <v>0</v>
      </c>
      <c r="BE57">
        <f t="shared" si="8"/>
        <v>24</v>
      </c>
      <c r="BF57">
        <f t="shared" si="39"/>
        <v>5000</v>
      </c>
      <c r="BU57"/>
      <c r="FD57"/>
      <c r="FE57"/>
    </row>
    <row r="58" spans="1:161" x14ac:dyDescent="0.25">
      <c r="A58" s="7">
        <f t="shared" si="23"/>
        <v>44865</v>
      </c>
      <c r="B58">
        <f t="shared" si="9"/>
        <v>47</v>
      </c>
      <c r="C58">
        <f t="shared" si="10"/>
        <v>3.833333333333333</v>
      </c>
      <c r="D58">
        <f t="shared" si="11"/>
        <v>0</v>
      </c>
      <c r="E58">
        <f t="shared" si="12"/>
        <v>55</v>
      </c>
      <c r="F58">
        <f>IF(C58&gt;=$T$2,0,VLOOKUP($E58,EKM_F05!$A$3:$C$128,2,TRUE))</f>
        <v>4.930128205128205E-3</v>
      </c>
      <c r="G58">
        <f>F58*'Real assumptions'!$B$3</f>
        <v>2.0573424999999999E-3</v>
      </c>
      <c r="H58">
        <f t="shared" si="24"/>
        <v>1.7160708517294232E-4</v>
      </c>
      <c r="I58">
        <f t="shared" si="25"/>
        <v>1.3069563812142778E-4</v>
      </c>
      <c r="J58">
        <f>IF(B58&gt;$AJ$2,0,HLOOKUP(C58,'Real assumptions'!$B$5:$L$8,4,TRUE))</f>
        <v>6.3700000000000007E-2</v>
      </c>
      <c r="K58">
        <f t="shared" si="0"/>
        <v>1</v>
      </c>
      <c r="L58">
        <f t="shared" si="26"/>
        <v>8.3333333333333329E-2</v>
      </c>
      <c r="M58">
        <f t="shared" si="27"/>
        <v>5.4699302395537774E-3</v>
      </c>
      <c r="N58">
        <f t="shared" si="28"/>
        <v>4.1769551145243349E-3</v>
      </c>
      <c r="O58" s="8">
        <f t="shared" si="13"/>
        <v>0.75937915326143579</v>
      </c>
      <c r="P58">
        <f t="shared" si="14"/>
        <v>18.328483296337957</v>
      </c>
      <c r="Q58">
        <f t="shared" si="29"/>
        <v>0.65347819060713885</v>
      </c>
      <c r="R58" s="89">
        <f t="shared" si="1"/>
        <v>5000</v>
      </c>
      <c r="S58">
        <f t="shared" si="2"/>
        <v>8.3333333333333481E-2</v>
      </c>
      <c r="U58">
        <f>O57*AV57*'Real assumptions'!$B$33/12+AX58*'Real assumptions'!$B$34</f>
        <v>8.0010439485394347</v>
      </c>
      <c r="V58">
        <f>IF(P58=0,0,IF(E58&lt;=$C$7,$AN$5*O57,0))*'Real assumptions'!$D$28</f>
        <v>4.5821208240844893</v>
      </c>
      <c r="X58" s="94">
        <f t="shared" si="15"/>
        <v>0</v>
      </c>
      <c r="Y58">
        <f t="shared" si="3"/>
        <v>24</v>
      </c>
      <c r="Z58">
        <f t="shared" si="30"/>
        <v>95</v>
      </c>
      <c r="AA58">
        <f t="shared" si="16"/>
        <v>95.083333333333329</v>
      </c>
      <c r="AB58">
        <f t="shared" si="17"/>
        <v>50.505050505050505</v>
      </c>
      <c r="AC58">
        <f t="shared" si="31"/>
        <v>4802.1885521885515</v>
      </c>
      <c r="AD58">
        <f t="shared" si="18"/>
        <v>80.505050505050505</v>
      </c>
      <c r="AE58">
        <f t="shared" si="32"/>
        <v>197.81144781144849</v>
      </c>
      <c r="AF58" s="94">
        <f t="shared" si="42"/>
        <v>0</v>
      </c>
      <c r="AG58">
        <f t="shared" si="33"/>
        <v>0</v>
      </c>
      <c r="AH58">
        <f t="shared" si="34"/>
        <v>0</v>
      </c>
      <c r="AI58">
        <f>HLOOKUP(AW58,'Real assumptions'!$A$21:$AK$24,2,TRUE)</f>
        <v>1.5793999999999999</v>
      </c>
      <c r="AJ58" s="123">
        <f t="shared" si="35"/>
        <v>1.3067340917001236E-3</v>
      </c>
      <c r="AK58" s="122">
        <f>(1+HLOOKUP(YEAR(A58),'Real assumptions'!$A$21:$AK$24,2,TRUE)/100)^(1/12)-1</f>
        <v>1.3067340917001236E-3</v>
      </c>
      <c r="AL58">
        <f t="shared" si="36"/>
        <v>8.0010439485394347</v>
      </c>
      <c r="AM58">
        <f>('Real assumptions'!$B$33/12)*O57*AV57</f>
        <v>8.0010439485394347</v>
      </c>
      <c r="AN58">
        <f t="shared" si="43"/>
        <v>5.815707307800114</v>
      </c>
      <c r="AO58">
        <f t="shared" si="46"/>
        <v>7.5995830064519527E-3</v>
      </c>
      <c r="AP58" s="121">
        <f t="shared" si="37"/>
        <v>7.7988367092534122E-2</v>
      </c>
      <c r="AQ58">
        <f t="shared" si="19"/>
        <v>0</v>
      </c>
      <c r="AR58">
        <v>0</v>
      </c>
      <c r="AS58">
        <f t="shared" si="4"/>
        <v>0</v>
      </c>
      <c r="AT58">
        <f t="shared" si="20"/>
        <v>0</v>
      </c>
      <c r="AU58">
        <f>IFERROR(HLOOKUP(B58,'Real assumptions'!$B$43:$AL$44,2,TRUE)*($W$3/$U$2),0)</f>
        <v>0</v>
      </c>
      <c r="AV58">
        <f>AV57*(1+'Real assumptions'!$B$35)^(1/12)</f>
        <v>1.0487716896277388</v>
      </c>
      <c r="AW58">
        <f t="shared" si="47"/>
        <v>2022</v>
      </c>
      <c r="AX58">
        <f t="shared" si="40"/>
        <v>0</v>
      </c>
      <c r="AY58">
        <f t="shared" si="38"/>
        <v>3.214170050564316</v>
      </c>
      <c r="AZ58">
        <f t="shared" si="6"/>
        <v>90.441125519873523</v>
      </c>
      <c r="BA58">
        <f t="shared" si="41"/>
        <v>5.235599014691628</v>
      </c>
      <c r="BB58">
        <f t="shared" si="21"/>
        <v>95.083333333333329</v>
      </c>
      <c r="BC58">
        <f t="shared" si="7"/>
        <v>57.05</v>
      </c>
      <c r="BD58">
        <f t="shared" si="22"/>
        <v>0</v>
      </c>
      <c r="BE58">
        <f t="shared" si="8"/>
        <v>24</v>
      </c>
      <c r="BF58">
        <f t="shared" si="39"/>
        <v>5000</v>
      </c>
      <c r="BU58"/>
      <c r="FD58"/>
      <c r="FE58"/>
    </row>
    <row r="59" spans="1:161" x14ac:dyDescent="0.25">
      <c r="A59" s="7">
        <f t="shared" si="23"/>
        <v>44895</v>
      </c>
      <c r="B59">
        <f t="shared" si="9"/>
        <v>48</v>
      </c>
      <c r="C59">
        <f t="shared" si="10"/>
        <v>3.916666666666667</v>
      </c>
      <c r="D59">
        <f t="shared" si="11"/>
        <v>0</v>
      </c>
      <c r="E59">
        <f t="shared" si="12"/>
        <v>55</v>
      </c>
      <c r="F59">
        <f>IF(C59&gt;=$T$2,0,VLOOKUP($E59,EKM_F05!$A$3:$C$128,2,TRUE))</f>
        <v>4.930128205128205E-3</v>
      </c>
      <c r="G59">
        <f>F59*'Real assumptions'!$B$3</f>
        <v>2.0573424999999999E-3</v>
      </c>
      <c r="H59">
        <f t="shared" si="24"/>
        <v>1.7160708517294232E-4</v>
      </c>
      <c r="I59">
        <f t="shared" si="25"/>
        <v>1.299584364820095E-4</v>
      </c>
      <c r="J59">
        <f>IF(B59&gt;$AJ$2,0,HLOOKUP(C59,'Real assumptions'!$B$5:$L$8,4,TRUE))</f>
        <v>6.3700000000000007E-2</v>
      </c>
      <c r="K59">
        <f t="shared" si="0"/>
        <v>1</v>
      </c>
      <c r="L59">
        <f t="shared" si="26"/>
        <v>8.3333333333333329E-2</v>
      </c>
      <c r="M59">
        <f t="shared" si="27"/>
        <v>5.4699302395537774E-3</v>
      </c>
      <c r="N59">
        <f t="shared" si="28"/>
        <v>4.1533945871611881E-3</v>
      </c>
      <c r="O59" s="8">
        <f t="shared" si="13"/>
        <v>0.75509580023779255</v>
      </c>
      <c r="P59">
        <f t="shared" si="14"/>
        <v>18.225099678274461</v>
      </c>
      <c r="Q59">
        <f t="shared" si="29"/>
        <v>0.64979218241004755</v>
      </c>
      <c r="R59" s="89">
        <f t="shared" si="1"/>
        <v>5000</v>
      </c>
      <c r="S59">
        <f t="shared" si="2"/>
        <v>1</v>
      </c>
      <c r="U59">
        <f>O58*AV58*'Real assumptions'!$B$33/12+AX59*'Real assumptions'!$B$34</f>
        <v>7.9641535763407765</v>
      </c>
      <c r="V59">
        <f>IF(P59=0,0,IF(E59&lt;=$C$7,$AN$5*O58,0))*'Real assumptions'!$D$28</f>
        <v>4.5562749195686152</v>
      </c>
      <c r="X59" s="94">
        <f t="shared" si="15"/>
        <v>0</v>
      </c>
      <c r="Y59">
        <f t="shared" si="3"/>
        <v>24</v>
      </c>
      <c r="Z59">
        <f t="shared" si="30"/>
        <v>95</v>
      </c>
      <c r="AA59">
        <f t="shared" si="16"/>
        <v>95</v>
      </c>
      <c r="AB59">
        <f t="shared" si="17"/>
        <v>50.505050505050505</v>
      </c>
      <c r="AC59">
        <f t="shared" si="31"/>
        <v>4797.9797979797977</v>
      </c>
      <c r="AD59">
        <f t="shared" si="18"/>
        <v>80.505050505050505</v>
      </c>
      <c r="AE59">
        <f t="shared" si="32"/>
        <v>202.0202020202023</v>
      </c>
      <c r="AF59" s="94">
        <f t="shared" si="42"/>
        <v>0</v>
      </c>
      <c r="AG59">
        <f t="shared" si="33"/>
        <v>0</v>
      </c>
      <c r="AH59">
        <f t="shared" si="34"/>
        <v>0</v>
      </c>
      <c r="AI59">
        <f>HLOOKUP(AW59,'Real assumptions'!$A$21:$AK$24,2,TRUE)</f>
        <v>1.5793999999999999</v>
      </c>
      <c r="AJ59" s="123">
        <f t="shared" si="35"/>
        <v>1.3067340917001236E-3</v>
      </c>
      <c r="AK59" s="122">
        <f>(1+HLOOKUP(YEAR(A59),'Real assumptions'!$A$21:$AK$24,2,TRUE)/100)^(1/12)-1</f>
        <v>1.3067340917001236E-3</v>
      </c>
      <c r="AL59">
        <f t="shared" si="36"/>
        <v>7.9641535763407765</v>
      </c>
      <c r="AM59">
        <f>('Real assumptions'!$B$33/12)*O58*AV58</f>
        <v>7.9641535763407756</v>
      </c>
      <c r="AN59">
        <f t="shared" si="43"/>
        <v>5.7826595494576027</v>
      </c>
      <c r="AO59">
        <f t="shared" si="46"/>
        <v>7.5563983739715262E-3</v>
      </c>
      <c r="AP59" s="121">
        <f t="shared" si="37"/>
        <v>8.5544765466505648E-2</v>
      </c>
      <c r="AQ59">
        <f t="shared" si="19"/>
        <v>0</v>
      </c>
      <c r="AR59">
        <v>0</v>
      </c>
      <c r="AS59">
        <f t="shared" si="4"/>
        <v>0</v>
      </c>
      <c r="AT59">
        <f t="shared" si="20"/>
        <v>0</v>
      </c>
      <c r="AU59">
        <f>IFERROR(HLOOKUP(B59,'Real assumptions'!$B$43:$AL$44,2,TRUE)*($W$3/$U$2),0)</f>
        <v>0</v>
      </c>
      <c r="AV59">
        <f>AV58*(1+'Real assumptions'!$B$35)^(1/12)</f>
        <v>1.0498579507255992</v>
      </c>
      <c r="AW59">
        <f t="shared" si="47"/>
        <v>2022</v>
      </c>
      <c r="AX59">
        <f t="shared" si="40"/>
        <v>0</v>
      </c>
      <c r="AY59">
        <f t="shared" si="38"/>
        <v>3.1960402073292751</v>
      </c>
      <c r="AZ59">
        <f t="shared" si="6"/>
        <v>95.614187021837097</v>
      </c>
      <c r="BA59">
        <f t="shared" si="41"/>
        <v>5.2060671019786628</v>
      </c>
      <c r="BB59">
        <f t="shared" si="21"/>
        <v>95</v>
      </c>
      <c r="BC59">
        <f t="shared" si="7"/>
        <v>57</v>
      </c>
      <c r="BD59">
        <f t="shared" si="22"/>
        <v>0</v>
      </c>
      <c r="BE59">
        <f t="shared" si="8"/>
        <v>24</v>
      </c>
      <c r="BF59">
        <f t="shared" si="39"/>
        <v>5000</v>
      </c>
      <c r="BU59"/>
      <c r="FD59"/>
      <c r="FE59"/>
    </row>
    <row r="60" spans="1:161" x14ac:dyDescent="0.25">
      <c r="A60" s="7">
        <f t="shared" si="23"/>
        <v>44926</v>
      </c>
      <c r="B60">
        <f t="shared" si="9"/>
        <v>49</v>
      </c>
      <c r="C60">
        <f t="shared" si="10"/>
        <v>4</v>
      </c>
      <c r="D60">
        <f t="shared" si="11"/>
        <v>1</v>
      </c>
      <c r="E60">
        <f t="shared" si="12"/>
        <v>56</v>
      </c>
      <c r="F60">
        <f>IF(C60&gt;=$T$2,0,VLOOKUP($E60,EKM_F05!$A$3:$C$128,2,TRUE))</f>
        <v>5.4173076923076926E-3</v>
      </c>
      <c r="G60">
        <f>F60*'Real assumptions'!$B$3</f>
        <v>2.2606424999999999E-3</v>
      </c>
      <c r="H60">
        <f t="shared" si="24"/>
        <v>1.8858235026320003E-4</v>
      </c>
      <c r="I60">
        <f t="shared" si="25"/>
        <v>1.4201584607475372E-4</v>
      </c>
      <c r="J60">
        <f>IF(B60&gt;$AJ$2,0,HLOOKUP(C60,'Real assumptions'!$B$5:$L$8,4,TRUE))</f>
        <v>6.25E-2</v>
      </c>
      <c r="K60">
        <f t="shared" si="0"/>
        <v>1</v>
      </c>
      <c r="L60">
        <f t="shared" si="26"/>
        <v>8.3333333333333329E-2</v>
      </c>
      <c r="M60">
        <f t="shared" si="27"/>
        <v>5.3637734156456451E-3</v>
      </c>
      <c r="N60">
        <f>M60*O59*(1-H60/2)</f>
        <v>4.0497808849731852E-3</v>
      </c>
      <c r="O60" s="8">
        <f t="shared" si="13"/>
        <v>0.75090400350674458</v>
      </c>
      <c r="P60">
        <f t="shared" si="14"/>
        <v>18.122299205707023</v>
      </c>
      <c r="Q60">
        <f t="shared" si="29"/>
        <v>0.71007923037376863</v>
      </c>
      <c r="R60" s="89">
        <f t="shared" si="1"/>
        <v>5000</v>
      </c>
      <c r="S60">
        <f t="shared" si="2"/>
        <v>0.91666666666666696</v>
      </c>
      <c r="U60">
        <f>O59*AV59*'Real assumptions'!$B$33/12+AX60*'Real assumptions'!$B$34</f>
        <v>7.9274332943915526</v>
      </c>
      <c r="V60">
        <f>IF(P60=0,0,IF(E60&lt;=$C$7,$AN$5*O59,0))*'Real assumptions'!$D$28</f>
        <v>4.5305748014267557</v>
      </c>
      <c r="X60" s="94">
        <f t="shared" si="15"/>
        <v>0</v>
      </c>
      <c r="Y60">
        <f t="shared" si="3"/>
        <v>24</v>
      </c>
      <c r="Z60">
        <f t="shared" si="30"/>
        <v>95</v>
      </c>
      <c r="AA60">
        <f t="shared" si="16"/>
        <v>94.916666666666671</v>
      </c>
      <c r="AB60">
        <f t="shared" si="17"/>
        <v>50.505050505050505</v>
      </c>
      <c r="AC60">
        <f t="shared" si="31"/>
        <v>4793.7710437710439</v>
      </c>
      <c r="AD60">
        <f t="shared" si="18"/>
        <v>80.505050505050505</v>
      </c>
      <c r="AE60">
        <f t="shared" si="32"/>
        <v>206.22895622895612</v>
      </c>
      <c r="AF60" s="94">
        <f t="shared" si="42"/>
        <v>0</v>
      </c>
      <c r="AG60">
        <f t="shared" si="33"/>
        <v>0</v>
      </c>
      <c r="AH60">
        <f t="shared" si="34"/>
        <v>0</v>
      </c>
      <c r="AI60">
        <f>HLOOKUP(AW60,'Real assumptions'!$A$21:$AK$24,2,TRUE)</f>
        <v>1.5793999999999999</v>
      </c>
      <c r="AJ60" s="123">
        <f t="shared" si="35"/>
        <v>1.3067340917001236E-3</v>
      </c>
      <c r="AK60" s="122">
        <f>(1+HLOOKUP(YEAR(A60),'Real assumptions'!$A$21:$AK$24,2,TRUE)/100)^(1/12)-1</f>
        <v>1.3067340917001236E-3</v>
      </c>
      <c r="AL60">
        <f t="shared" si="36"/>
        <v>7.9274332943915526</v>
      </c>
      <c r="AM60">
        <f>('Real assumptions'!$B$33/12)*O59*AV59</f>
        <v>7.9274332943915526</v>
      </c>
      <c r="AN60">
        <f t="shared" si="43"/>
        <v>5.7498358753552195</v>
      </c>
      <c r="AO60">
        <f t="shared" si="46"/>
        <v>7.5135065600070872E-3</v>
      </c>
      <c r="AP60" s="121">
        <f t="shared" si="37"/>
        <v>0</v>
      </c>
      <c r="AQ60">
        <f t="shared" si="19"/>
        <v>0</v>
      </c>
      <c r="AR60">
        <v>0</v>
      </c>
      <c r="AS60">
        <f t="shared" si="4"/>
        <v>0</v>
      </c>
      <c r="AT60">
        <f t="shared" si="20"/>
        <v>0</v>
      </c>
      <c r="AU60">
        <f>IFERROR(HLOOKUP(B60,'Real assumptions'!$B$43:$AL$44,2,TRUE)*($W$3/$U$2),0)</f>
        <v>0</v>
      </c>
      <c r="AV60">
        <f>AV59*(1+'Real assumptions'!$B$35)^(1/12)</f>
        <v>1.0509453369140627</v>
      </c>
      <c r="AW60">
        <f t="shared" si="47"/>
        <v>2022</v>
      </c>
      <c r="AX60">
        <f t="shared" si="40"/>
        <v>0</v>
      </c>
      <c r="AY60">
        <f t="shared" si="38"/>
        <v>3.1780126272634366</v>
      </c>
      <c r="AZ60">
        <f t="shared" si="6"/>
        <v>100.69334121918368</v>
      </c>
      <c r="BA60">
        <f t="shared" si="41"/>
        <v>5.2406540318005241</v>
      </c>
      <c r="BB60">
        <f t="shared" si="21"/>
        <v>94.916666666666671</v>
      </c>
      <c r="BC60">
        <f t="shared" si="7"/>
        <v>56.95</v>
      </c>
      <c r="BD60">
        <f t="shared" si="22"/>
        <v>0</v>
      </c>
      <c r="BE60">
        <f t="shared" si="8"/>
        <v>24</v>
      </c>
      <c r="BF60">
        <f t="shared" si="39"/>
        <v>5000</v>
      </c>
      <c r="BU60"/>
      <c r="FD60"/>
      <c r="FE60"/>
    </row>
    <row r="61" spans="1:161" x14ac:dyDescent="0.25">
      <c r="A61" s="7">
        <f t="shared" si="23"/>
        <v>44957</v>
      </c>
      <c r="B61">
        <f t="shared" si="9"/>
        <v>50</v>
      </c>
      <c r="C61">
        <f t="shared" si="10"/>
        <v>4.083333333333333</v>
      </c>
      <c r="D61">
        <f t="shared" si="11"/>
        <v>0</v>
      </c>
      <c r="E61">
        <f t="shared" si="12"/>
        <v>56</v>
      </c>
      <c r="F61">
        <f>IF(C61&gt;=$T$2,0,VLOOKUP($E61,EKM_F05!$A$3:$C$128,2,TRUE))</f>
        <v>5.4173076923076926E-3</v>
      </c>
      <c r="G61">
        <f>F61*'Real assumptions'!$B$3</f>
        <v>2.2606424999999999E-3</v>
      </c>
      <c r="H61">
        <f t="shared" si="24"/>
        <v>1.8858235026320003E-4</v>
      </c>
      <c r="I61">
        <f t="shared" si="25"/>
        <v>1.4122746722382423E-4</v>
      </c>
      <c r="J61">
        <f>IF(B61&gt;$AJ$2,0,HLOOKUP(C61,'Real assumptions'!$B$5:$L$8,4,TRUE))</f>
        <v>6.25E-2</v>
      </c>
      <c r="K61">
        <f t="shared" si="0"/>
        <v>1</v>
      </c>
      <c r="L61">
        <f t="shared" si="26"/>
        <v>8.3333333333333329E-2</v>
      </c>
      <c r="M61">
        <f t="shared" si="27"/>
        <v>5.3637734156456451E-3</v>
      </c>
      <c r="N61">
        <f t="shared" si="28"/>
        <v>4.0272991571318369E-3</v>
      </c>
      <c r="O61" s="8">
        <f t="shared" si="13"/>
        <v>0.74673547688238895</v>
      </c>
      <c r="P61">
        <f t="shared" si="14"/>
        <v>18.021696084161871</v>
      </c>
      <c r="Q61">
        <f t="shared" si="29"/>
        <v>0.70613733611912111</v>
      </c>
      <c r="R61" s="89">
        <f t="shared" si="1"/>
        <v>5000</v>
      </c>
      <c r="S61">
        <f t="shared" si="2"/>
        <v>0.83333333333333304</v>
      </c>
      <c r="U61">
        <f>O60*AV60*'Real assumptions'!$B$33/12+AX61*'Real assumptions'!$B$34</f>
        <v>7.8915906095551414</v>
      </c>
      <c r="V61">
        <f>IF(P61=0,0,IF(E61&lt;=$C$7,$AN$5*O60,0))*'Real assumptions'!$D$28</f>
        <v>4.5054240210404677</v>
      </c>
      <c r="X61" s="94">
        <f t="shared" si="15"/>
        <v>0</v>
      </c>
      <c r="Y61">
        <f t="shared" si="3"/>
        <v>24</v>
      </c>
      <c r="Z61">
        <f t="shared" si="30"/>
        <v>94</v>
      </c>
      <c r="AA61">
        <f t="shared" si="16"/>
        <v>94.833333333333329</v>
      </c>
      <c r="AB61">
        <f t="shared" si="17"/>
        <v>50.505050505050505</v>
      </c>
      <c r="AC61">
        <f t="shared" si="31"/>
        <v>4789.5622895622892</v>
      </c>
      <c r="AD61">
        <f t="shared" si="18"/>
        <v>80.505050505050505</v>
      </c>
      <c r="AE61">
        <f t="shared" si="32"/>
        <v>210.43771043771085</v>
      </c>
      <c r="AF61" s="94">
        <f t="shared" si="42"/>
        <v>0</v>
      </c>
      <c r="AG61">
        <f t="shared" si="33"/>
        <v>0</v>
      </c>
      <c r="AH61">
        <f t="shared" si="34"/>
        <v>0</v>
      </c>
      <c r="AI61">
        <f>HLOOKUP(AW61,'Real assumptions'!$A$21:$AK$24,2,TRUE)</f>
        <v>1.6083000000000001</v>
      </c>
      <c r="AJ61" s="123">
        <f t="shared" si="35"/>
        <v>1.3304708531651777E-3</v>
      </c>
      <c r="AK61" s="122">
        <f>(1+HLOOKUP(YEAR(A61),'Real assumptions'!$A$21:$AK$24,2,TRUE)/100)^(1/12)-1</f>
        <v>1.3304708531651777E-3</v>
      </c>
      <c r="AL61">
        <f t="shared" si="36"/>
        <v>7.8915906095551414</v>
      </c>
      <c r="AM61">
        <f>('Real assumptions'!$B$33/12)*O60*AV60</f>
        <v>7.8915906095551414</v>
      </c>
      <c r="AN61">
        <f t="shared" si="43"/>
        <v>5.6246814535662608</v>
      </c>
      <c r="AO61">
        <f t="shared" si="46"/>
        <v>7.4834747323086542E-3</v>
      </c>
      <c r="AP61" s="121">
        <f t="shared" si="37"/>
        <v>7.4834747323086542E-3</v>
      </c>
      <c r="AQ61">
        <f t="shared" si="19"/>
        <v>0</v>
      </c>
      <c r="AR61">
        <v>0</v>
      </c>
      <c r="AS61">
        <f t="shared" si="4"/>
        <v>0</v>
      </c>
      <c r="AT61">
        <f t="shared" si="20"/>
        <v>0</v>
      </c>
      <c r="AU61">
        <f>IFERROR(HLOOKUP(B61,'Real assumptions'!$B$43:$AL$44,2,TRUE)*($W$3/$U$2),0)</f>
        <v>0</v>
      </c>
      <c r="AV61">
        <f>AV60*(1+'Real assumptions'!$B$35)^(1/12)</f>
        <v>1.0520338493584371</v>
      </c>
      <c r="AW61">
        <f t="shared" si="47"/>
        <v>2023</v>
      </c>
      <c r="AX61">
        <f t="shared" si="40"/>
        <v>0</v>
      </c>
      <c r="AY61">
        <f t="shared" si="38"/>
        <v>3.1603703851293963</v>
      </c>
      <c r="AZ61">
        <f t="shared" si="6"/>
        <v>105.74585489223075</v>
      </c>
      <c r="BA61">
        <f t="shared" si="41"/>
        <v>5.2115613571595887</v>
      </c>
      <c r="BB61">
        <f t="shared" si="21"/>
        <v>94.833333333333329</v>
      </c>
      <c r="BC61">
        <f t="shared" si="7"/>
        <v>56.899999999999991</v>
      </c>
      <c r="BD61">
        <f t="shared" si="22"/>
        <v>0</v>
      </c>
      <c r="BE61">
        <f t="shared" si="8"/>
        <v>24</v>
      </c>
      <c r="BF61">
        <f t="shared" si="39"/>
        <v>5000</v>
      </c>
      <c r="BU61"/>
      <c r="FD61"/>
      <c r="FE61"/>
    </row>
    <row r="62" spans="1:161" x14ac:dyDescent="0.25">
      <c r="A62" s="7">
        <f t="shared" si="23"/>
        <v>44985</v>
      </c>
      <c r="B62">
        <f t="shared" si="9"/>
        <v>51</v>
      </c>
      <c r="C62">
        <f t="shared" si="10"/>
        <v>4.166666666666667</v>
      </c>
      <c r="D62">
        <f t="shared" si="11"/>
        <v>0</v>
      </c>
      <c r="E62">
        <f t="shared" si="12"/>
        <v>56</v>
      </c>
      <c r="F62">
        <f>IF(C62&gt;=$T$2,0,VLOOKUP($E62,EKM_F05!$A$3:$C$128,2,TRUE))</f>
        <v>5.4173076923076926E-3</v>
      </c>
      <c r="G62">
        <f>F62*'Real assumptions'!$B$3</f>
        <v>2.2606424999999999E-3</v>
      </c>
      <c r="H62">
        <f t="shared" si="24"/>
        <v>1.8858235026320003E-4</v>
      </c>
      <c r="I62">
        <f t="shared" si="25"/>
        <v>1.4044346493529797E-4</v>
      </c>
      <c r="J62">
        <f>IF(B62&gt;$AJ$2,0,HLOOKUP(C62,'Real assumptions'!$B$5:$L$8,4,TRUE))</f>
        <v>6.25E-2</v>
      </c>
      <c r="K62">
        <f t="shared" si="0"/>
        <v>1</v>
      </c>
      <c r="L62">
        <f t="shared" si="26"/>
        <v>8.3333333333333329E-2</v>
      </c>
      <c r="M62">
        <f t="shared" si="27"/>
        <v>5.3637734156456451E-3</v>
      </c>
      <c r="N62">
        <f t="shared" si="28"/>
        <v>4.0049422331011365E-3</v>
      </c>
      <c r="O62" s="8">
        <f t="shared" si="13"/>
        <v>0.7425900911843526</v>
      </c>
      <c r="P62">
        <f t="shared" si="14"/>
        <v>17.921651445177336</v>
      </c>
      <c r="Q62">
        <f t="shared" si="29"/>
        <v>0.70221732467648978</v>
      </c>
      <c r="R62" s="89">
        <f t="shared" si="1"/>
        <v>5000</v>
      </c>
      <c r="S62">
        <f t="shared" si="2"/>
        <v>0.75</v>
      </c>
      <c r="U62">
        <f>O61*AV61*'Real assumptions'!$B$33/12+AX62*'Real assumptions'!$B$34</f>
        <v>7.8559099819708784</v>
      </c>
      <c r="V62">
        <f>IF(P62=0,0,IF(E62&lt;=$C$7,$AN$5*O61,0))*'Real assumptions'!$D$28</f>
        <v>4.4804128612943339</v>
      </c>
      <c r="X62" s="94">
        <f t="shared" si="15"/>
        <v>0</v>
      </c>
      <c r="Y62">
        <f t="shared" si="3"/>
        <v>24</v>
      </c>
      <c r="Z62">
        <f t="shared" si="30"/>
        <v>94</v>
      </c>
      <c r="AA62">
        <f t="shared" si="16"/>
        <v>94.75</v>
      </c>
      <c r="AB62">
        <f t="shared" si="17"/>
        <v>50.505050505050505</v>
      </c>
      <c r="AC62">
        <f t="shared" si="31"/>
        <v>4785.3535353535353</v>
      </c>
      <c r="AD62">
        <f t="shared" si="18"/>
        <v>80.505050505050505</v>
      </c>
      <c r="AE62">
        <f t="shared" si="32"/>
        <v>214.64646464646466</v>
      </c>
      <c r="AF62" s="94">
        <f t="shared" si="42"/>
        <v>0</v>
      </c>
      <c r="AG62">
        <f t="shared" si="33"/>
        <v>0</v>
      </c>
      <c r="AH62">
        <f t="shared" si="34"/>
        <v>0</v>
      </c>
      <c r="AI62">
        <f>HLOOKUP(AW62,'Real assumptions'!$A$21:$AK$24,2,TRUE)</f>
        <v>1.6083000000000001</v>
      </c>
      <c r="AJ62" s="123">
        <f t="shared" si="35"/>
        <v>1.3304708531651777E-3</v>
      </c>
      <c r="AK62" s="122">
        <f>(1+HLOOKUP(YEAR(A62),'Real assumptions'!$A$21:$AK$24,2,TRUE)/100)^(1/12)-1</f>
        <v>1.3304708531651777E-3</v>
      </c>
      <c r="AL62">
        <f t="shared" si="36"/>
        <v>7.8559099819708784</v>
      </c>
      <c r="AM62">
        <f>('Real assumptions'!$B$33/12)*O61*AV61</f>
        <v>7.8559099819708784</v>
      </c>
      <c r="AN62">
        <f t="shared" si="43"/>
        <v>5.5928120766444316</v>
      </c>
      <c r="AO62">
        <f t="shared" si="46"/>
        <v>7.4410734552056261E-3</v>
      </c>
      <c r="AP62" s="121">
        <f t="shared" si="37"/>
        <v>1.4924548187514281E-2</v>
      </c>
      <c r="AQ62">
        <f t="shared" si="19"/>
        <v>0</v>
      </c>
      <c r="AR62">
        <v>0</v>
      </c>
      <c r="AS62">
        <f t="shared" si="4"/>
        <v>0</v>
      </c>
      <c r="AT62">
        <f t="shared" si="20"/>
        <v>0</v>
      </c>
      <c r="AU62">
        <f>IFERROR(HLOOKUP(B62,'Real assumptions'!$B$43:$AL$44,2,TRUE)*($W$3/$U$2),0)</f>
        <v>0</v>
      </c>
      <c r="AV62">
        <f>AV61*(1+'Real assumptions'!$B$35)^(1/12)</f>
        <v>1.0531234892252379</v>
      </c>
      <c r="AW62">
        <f t="shared" si="47"/>
        <v>2023</v>
      </c>
      <c r="AX62">
        <f t="shared" si="40"/>
        <v>0</v>
      </c>
      <c r="AY62">
        <f t="shared" si="38"/>
        <v>3.1428260811548356</v>
      </c>
      <c r="AZ62">
        <f t="shared" si="6"/>
        <v>110.76965794724353</v>
      </c>
      <c r="BA62">
        <f t="shared" si="41"/>
        <v>5.1826301859708241</v>
      </c>
      <c r="BB62">
        <f t="shared" si="21"/>
        <v>94.75</v>
      </c>
      <c r="BC62">
        <f t="shared" si="7"/>
        <v>56.85</v>
      </c>
      <c r="BD62">
        <f t="shared" si="22"/>
        <v>0</v>
      </c>
      <c r="BE62">
        <f t="shared" si="8"/>
        <v>24</v>
      </c>
      <c r="BF62">
        <f t="shared" si="39"/>
        <v>5000</v>
      </c>
      <c r="BU62"/>
      <c r="FD62"/>
      <c r="FE62"/>
    </row>
    <row r="63" spans="1:161" x14ac:dyDescent="0.25">
      <c r="A63" s="7">
        <f t="shared" si="23"/>
        <v>45016</v>
      </c>
      <c r="B63">
        <f t="shared" si="9"/>
        <v>52</v>
      </c>
      <c r="C63">
        <f t="shared" si="10"/>
        <v>4.25</v>
      </c>
      <c r="D63">
        <f t="shared" si="11"/>
        <v>0</v>
      </c>
      <c r="E63">
        <f t="shared" si="12"/>
        <v>56</v>
      </c>
      <c r="F63">
        <f>IF(C63&gt;=$T$2,0,VLOOKUP($E63,EKM_F05!$A$3:$C$128,2,TRUE))</f>
        <v>5.4173076923076926E-3</v>
      </c>
      <c r="G63">
        <f>F63*'Real assumptions'!$B$3</f>
        <v>2.2606424999999999E-3</v>
      </c>
      <c r="H63">
        <f t="shared" si="24"/>
        <v>1.8858235026320003E-4</v>
      </c>
      <c r="I63">
        <f t="shared" si="25"/>
        <v>1.3966381491337039E-4</v>
      </c>
      <c r="J63">
        <f>IF(B63&gt;$AJ$2,0,HLOOKUP(C63,'Real assumptions'!$B$5:$L$8,4,TRUE))</f>
        <v>6.25E-2</v>
      </c>
      <c r="K63">
        <f t="shared" si="0"/>
        <v>1</v>
      </c>
      <c r="L63">
        <f t="shared" si="26"/>
        <v>8.3333333333333329E-2</v>
      </c>
      <c r="M63">
        <f t="shared" si="27"/>
        <v>5.3637734156456451E-3</v>
      </c>
      <c r="N63">
        <f t="shared" si="28"/>
        <v>3.9827094200521676E-3</v>
      </c>
      <c r="O63" s="8">
        <f t="shared" si="13"/>
        <v>0.73846771794938704</v>
      </c>
      <c r="P63">
        <f t="shared" si="14"/>
        <v>17.822162188424464</v>
      </c>
      <c r="Q63">
        <f t="shared" si="29"/>
        <v>0.69831907456685194</v>
      </c>
      <c r="R63" s="89">
        <f t="shared" si="1"/>
        <v>5000</v>
      </c>
      <c r="S63">
        <f t="shared" si="2"/>
        <v>0.66666666666666696</v>
      </c>
      <c r="U63">
        <f>O62*AV62*'Real assumptions'!$B$33/12+AX63*'Real assumptions'!$B$34</f>
        <v>7.8203906789215294</v>
      </c>
      <c r="V63">
        <f>IF(P63=0,0,IF(E63&lt;=$C$7,$AN$5*O62,0))*'Real assumptions'!$D$28</f>
        <v>4.455540547106116</v>
      </c>
      <c r="X63" s="94">
        <f t="shared" si="15"/>
        <v>0</v>
      </c>
      <c r="Y63">
        <f t="shared" si="3"/>
        <v>24</v>
      </c>
      <c r="Z63">
        <f t="shared" si="30"/>
        <v>94</v>
      </c>
      <c r="AA63">
        <f t="shared" si="16"/>
        <v>94.666666666666671</v>
      </c>
      <c r="AB63">
        <f t="shared" si="17"/>
        <v>50.505050505050505</v>
      </c>
      <c r="AC63">
        <f t="shared" si="31"/>
        <v>4781.1447811447815</v>
      </c>
      <c r="AD63">
        <f t="shared" si="18"/>
        <v>80.505050505050505</v>
      </c>
      <c r="AE63">
        <f t="shared" si="32"/>
        <v>218.85521885521848</v>
      </c>
      <c r="AF63" s="94">
        <f t="shared" si="42"/>
        <v>0</v>
      </c>
      <c r="AG63">
        <f t="shared" si="33"/>
        <v>0</v>
      </c>
      <c r="AH63">
        <f t="shared" si="34"/>
        <v>0</v>
      </c>
      <c r="AI63">
        <f>HLOOKUP(AW63,'Real assumptions'!$A$21:$AK$24,2,TRUE)</f>
        <v>1.6083000000000001</v>
      </c>
      <c r="AJ63" s="123">
        <f t="shared" si="35"/>
        <v>1.3304708531651777E-3</v>
      </c>
      <c r="AK63" s="122">
        <f>(1+HLOOKUP(YEAR(A63),'Real assumptions'!$A$21:$AK$24,2,TRUE)/100)^(1/12)-1</f>
        <v>1.3304708531651777E-3</v>
      </c>
      <c r="AL63">
        <f t="shared" si="36"/>
        <v>7.8203906789215294</v>
      </c>
      <c r="AM63">
        <f>('Real assumptions'!$B$33/12)*O62*AV62</f>
        <v>7.8203906789215294</v>
      </c>
      <c r="AN63">
        <f t="shared" si="43"/>
        <v>5.5611555105843342</v>
      </c>
      <c r="AO63">
        <f t="shared" si="46"/>
        <v>7.3989553167513687E-3</v>
      </c>
      <c r="AP63" s="121">
        <f t="shared" si="37"/>
        <v>2.2323503504265652E-2</v>
      </c>
      <c r="AQ63">
        <f t="shared" si="19"/>
        <v>0</v>
      </c>
      <c r="AR63">
        <v>0</v>
      </c>
      <c r="AS63">
        <f t="shared" si="4"/>
        <v>0</v>
      </c>
      <c r="AT63">
        <f t="shared" si="20"/>
        <v>0</v>
      </c>
      <c r="AU63">
        <f>IFERROR(HLOOKUP(B63,'Real assumptions'!$B$43:$AL$44,2,TRUE)*($W$3/$U$2),0)</f>
        <v>0</v>
      </c>
      <c r="AV63">
        <f>AV62*(1+'Real assumptions'!$B$35)^(1/12)</f>
        <v>1.0542142576821882</v>
      </c>
      <c r="AW63">
        <f t="shared" si="47"/>
        <v>2023</v>
      </c>
      <c r="AX63">
        <f t="shared" si="40"/>
        <v>0</v>
      </c>
      <c r="AY63">
        <f t="shared" si="38"/>
        <v>3.1253791716513155</v>
      </c>
      <c r="AZ63">
        <f t="shared" si="6"/>
        <v>115.7649456363874</v>
      </c>
      <c r="BA63">
        <f t="shared" si="41"/>
        <v>5.153859621672968</v>
      </c>
      <c r="BB63">
        <f t="shared" si="21"/>
        <v>94.666666666666671</v>
      </c>
      <c r="BC63">
        <f t="shared" si="7"/>
        <v>56.8</v>
      </c>
      <c r="BD63">
        <f t="shared" si="22"/>
        <v>0</v>
      </c>
      <c r="BE63">
        <f t="shared" si="8"/>
        <v>24</v>
      </c>
      <c r="BF63">
        <f t="shared" si="39"/>
        <v>5000</v>
      </c>
      <c r="BU63"/>
      <c r="FD63"/>
      <c r="FE63"/>
    </row>
    <row r="64" spans="1:161" x14ac:dyDescent="0.25">
      <c r="A64" s="7">
        <f t="shared" si="23"/>
        <v>45046</v>
      </c>
      <c r="B64">
        <f t="shared" si="9"/>
        <v>53</v>
      </c>
      <c r="C64">
        <f t="shared" si="10"/>
        <v>4.333333333333333</v>
      </c>
      <c r="D64">
        <f t="shared" si="11"/>
        <v>0</v>
      </c>
      <c r="E64">
        <f t="shared" si="12"/>
        <v>56</v>
      </c>
      <c r="F64">
        <f>IF(C64&gt;=$T$2,0,VLOOKUP($E64,EKM_F05!$A$3:$C$128,2,TRUE))</f>
        <v>5.4173076923076926E-3</v>
      </c>
      <c r="G64">
        <f>F64*'Real assumptions'!$B$3</f>
        <v>2.2606424999999999E-3</v>
      </c>
      <c r="H64">
        <f t="shared" si="24"/>
        <v>1.8858235026320003E-4</v>
      </c>
      <c r="I64">
        <f t="shared" si="25"/>
        <v>1.388884929971113E-4</v>
      </c>
      <c r="J64">
        <f>IF(B64&gt;$AJ$2,0,HLOOKUP(C64,'Real assumptions'!$B$5:$L$8,4,TRUE))</f>
        <v>6.25E-2</v>
      </c>
      <c r="K64">
        <f t="shared" si="0"/>
        <v>1</v>
      </c>
      <c r="L64">
        <f t="shared" si="26"/>
        <v>8.3333333333333329E-2</v>
      </c>
      <c r="M64">
        <f t="shared" si="27"/>
        <v>5.3637734156456451E-3</v>
      </c>
      <c r="N64">
        <f t="shared" si="28"/>
        <v>3.9606000290021426E-3</v>
      </c>
      <c r="O64" s="8">
        <f t="shared" si="13"/>
        <v>0.73436822942738778</v>
      </c>
      <c r="P64">
        <f t="shared" si="14"/>
        <v>17.723225230785289</v>
      </c>
      <c r="Q64">
        <f t="shared" si="29"/>
        <v>0.69444246498555651</v>
      </c>
      <c r="R64" s="89">
        <f t="shared" si="1"/>
        <v>5000</v>
      </c>
      <c r="S64">
        <f t="shared" si="2"/>
        <v>0.58333333333333304</v>
      </c>
      <c r="U64">
        <f>O63*AV63*'Real assumptions'!$B$33/12+AX64*'Real assumptions'!$B$34</f>
        <v>7.7850319710027263</v>
      </c>
      <c r="V64">
        <f>IF(P64=0,0,IF(E64&lt;=$C$7,$AN$5*O63,0))*'Real assumptions'!$D$28</f>
        <v>4.4308063076963222</v>
      </c>
      <c r="X64" s="94">
        <f t="shared" si="15"/>
        <v>0</v>
      </c>
      <c r="Y64">
        <f t="shared" si="3"/>
        <v>24</v>
      </c>
      <c r="Z64">
        <f t="shared" si="30"/>
        <v>94</v>
      </c>
      <c r="AA64">
        <f t="shared" si="16"/>
        <v>94.583333333333329</v>
      </c>
      <c r="AB64">
        <f t="shared" si="17"/>
        <v>50.505050505050505</v>
      </c>
      <c r="AC64">
        <f t="shared" si="31"/>
        <v>4776.9360269360268</v>
      </c>
      <c r="AD64">
        <f t="shared" si="18"/>
        <v>80.505050505050505</v>
      </c>
      <c r="AE64">
        <f t="shared" si="32"/>
        <v>223.06397306397321</v>
      </c>
      <c r="AF64" s="94">
        <f t="shared" si="42"/>
        <v>0</v>
      </c>
      <c r="AG64">
        <f t="shared" si="33"/>
        <v>0</v>
      </c>
      <c r="AH64">
        <f t="shared" si="34"/>
        <v>0</v>
      </c>
      <c r="AI64">
        <f>HLOOKUP(AW64,'Real assumptions'!$A$21:$AK$24,2,TRUE)</f>
        <v>1.6083000000000001</v>
      </c>
      <c r="AJ64" s="123">
        <f t="shared" si="35"/>
        <v>1.3304708531651777E-3</v>
      </c>
      <c r="AK64" s="122">
        <f>(1+HLOOKUP(YEAR(A64),'Real assumptions'!$A$21:$AK$24,2,TRUE)/100)^(1/12)-1</f>
        <v>1.3304708531651777E-3</v>
      </c>
      <c r="AL64">
        <f t="shared" si="36"/>
        <v>7.7850319710027263</v>
      </c>
      <c r="AM64">
        <f>('Real assumptions'!$B$33/12)*O63*AV63</f>
        <v>7.7850319710027263</v>
      </c>
      <c r="AN64">
        <f t="shared" si="43"/>
        <v>5.5297104555905046</v>
      </c>
      <c r="AO64">
        <f t="shared" si="46"/>
        <v>7.3571185876059016E-3</v>
      </c>
      <c r="AP64" s="121">
        <f t="shared" si="37"/>
        <v>2.9680622091871552E-2</v>
      </c>
      <c r="AQ64">
        <f t="shared" si="19"/>
        <v>0</v>
      </c>
      <c r="AR64">
        <v>0</v>
      </c>
      <c r="AS64">
        <f t="shared" si="4"/>
        <v>0</v>
      </c>
      <c r="AT64">
        <f t="shared" si="20"/>
        <v>0</v>
      </c>
      <c r="AU64">
        <f>IFERROR(HLOOKUP(B64,'Real assumptions'!$B$43:$AL$44,2,TRUE)*($W$3/$U$2),0)</f>
        <v>0</v>
      </c>
      <c r="AV64">
        <f>AV63*(1+'Real assumptions'!$B$35)^(1/12)</f>
        <v>1.0553061558982209</v>
      </c>
      <c r="AW64">
        <f t="shared" si="47"/>
        <v>2023</v>
      </c>
      <c r="AX64">
        <f t="shared" si="40"/>
        <v>0</v>
      </c>
      <c r="AY64">
        <f t="shared" si="38"/>
        <v>3.1080291159485984</v>
      </c>
      <c r="AZ64">
        <f t="shared" si="6"/>
        <v>120.73191200947555</v>
      </c>
      <c r="BA64">
        <f t="shared" si="41"/>
        <v>5.1252487726818785</v>
      </c>
      <c r="BB64">
        <f t="shared" si="21"/>
        <v>94.583333333333329</v>
      </c>
      <c r="BC64">
        <f t="shared" si="7"/>
        <v>56.75</v>
      </c>
      <c r="BD64">
        <f t="shared" si="22"/>
        <v>0</v>
      </c>
      <c r="BE64">
        <f t="shared" si="8"/>
        <v>24</v>
      </c>
      <c r="BF64">
        <f t="shared" si="39"/>
        <v>5000</v>
      </c>
      <c r="BU64"/>
      <c r="FD64"/>
      <c r="FE64"/>
    </row>
    <row r="65" spans="1:161" x14ac:dyDescent="0.25">
      <c r="A65" s="7">
        <f t="shared" si="23"/>
        <v>45077</v>
      </c>
      <c r="B65">
        <f t="shared" si="9"/>
        <v>54</v>
      </c>
      <c r="C65">
        <f t="shared" si="10"/>
        <v>4.416666666666667</v>
      </c>
      <c r="D65">
        <f t="shared" si="11"/>
        <v>0</v>
      </c>
      <c r="E65">
        <f t="shared" si="12"/>
        <v>56</v>
      </c>
      <c r="F65">
        <f>IF(C65&gt;=$T$2,0,VLOOKUP($E65,EKM_F05!$A$3:$C$128,2,TRUE))</f>
        <v>5.4173076923076926E-3</v>
      </c>
      <c r="G65">
        <f>F65*'Real assumptions'!$B$3</f>
        <v>2.2606424999999999E-3</v>
      </c>
      <c r="H65">
        <f t="shared" si="24"/>
        <v>1.8858235026320003E-4</v>
      </c>
      <c r="I65">
        <f t="shared" si="25"/>
        <v>1.381174751597162E-4</v>
      </c>
      <c r="J65">
        <f>IF(B65&gt;$AJ$2,0,HLOOKUP(C65,'Real assumptions'!$B$5:$L$8,4,TRUE))</f>
        <v>6.25E-2</v>
      </c>
      <c r="K65">
        <f t="shared" si="0"/>
        <v>1</v>
      </c>
      <c r="L65">
        <f t="shared" si="26"/>
        <v>8.3333333333333329E-2</v>
      </c>
      <c r="M65">
        <f t="shared" si="27"/>
        <v>5.3637734156456451E-3</v>
      </c>
      <c r="N65">
        <f t="shared" si="28"/>
        <v>3.9386133747930591E-3</v>
      </c>
      <c r="O65" s="8">
        <f t="shared" si="13"/>
        <v>0.73029149857743503</v>
      </c>
      <c r="P65">
        <f t="shared" si="14"/>
        <v>17.624837506257307</v>
      </c>
      <c r="Q65">
        <f t="shared" si="29"/>
        <v>0.69058737579858098</v>
      </c>
      <c r="R65" s="89">
        <f t="shared" si="1"/>
        <v>5000</v>
      </c>
      <c r="S65">
        <f t="shared" si="2"/>
        <v>0.5</v>
      </c>
      <c r="U65">
        <f>O64*AV64*'Real assumptions'!$B$33/12+AX65*'Real assumptions'!$B$34</f>
        <v>7.7498331321079919</v>
      </c>
      <c r="V65">
        <f>IF(P65=0,0,IF(E65&lt;=$C$7,$AN$5*O64,0))*'Real assumptions'!$D$28</f>
        <v>4.4062093765643269</v>
      </c>
      <c r="X65" s="94">
        <f t="shared" si="15"/>
        <v>0</v>
      </c>
      <c r="Y65">
        <f t="shared" si="3"/>
        <v>24</v>
      </c>
      <c r="Z65">
        <f t="shared" si="30"/>
        <v>94</v>
      </c>
      <c r="AA65">
        <f t="shared" si="16"/>
        <v>94.5</v>
      </c>
      <c r="AB65">
        <f t="shared" si="17"/>
        <v>50.505050505050505</v>
      </c>
      <c r="AC65">
        <f t="shared" si="31"/>
        <v>4772.727272727273</v>
      </c>
      <c r="AD65">
        <f t="shared" si="18"/>
        <v>80.505050505050505</v>
      </c>
      <c r="AE65">
        <f t="shared" si="32"/>
        <v>227.27272727272702</v>
      </c>
      <c r="AF65" s="94">
        <f t="shared" si="42"/>
        <v>0</v>
      </c>
      <c r="AG65">
        <f t="shared" si="33"/>
        <v>0</v>
      </c>
      <c r="AH65">
        <f t="shared" si="34"/>
        <v>0</v>
      </c>
      <c r="AI65">
        <f>HLOOKUP(AW65,'Real assumptions'!$A$21:$AK$24,2,TRUE)</f>
        <v>1.6083000000000001</v>
      </c>
      <c r="AJ65" s="123">
        <f t="shared" si="35"/>
        <v>1.3304708531651777E-3</v>
      </c>
      <c r="AK65" s="122">
        <f>(1+HLOOKUP(YEAR(A65),'Real assumptions'!$A$21:$AK$24,2,TRUE)/100)^(1/12)-1</f>
        <v>1.3304708531651777E-3</v>
      </c>
      <c r="AL65">
        <f t="shared" si="36"/>
        <v>7.7498331321079919</v>
      </c>
      <c r="AM65">
        <f>('Real assumptions'!$B$33/12)*O64*AV64</f>
        <v>7.7498331321079927</v>
      </c>
      <c r="AN65">
        <f t="shared" si="43"/>
        <v>5.4984756196768592</v>
      </c>
      <c r="AO65">
        <f t="shared" si="46"/>
        <v>7.3155615488193996E-3</v>
      </c>
      <c r="AP65" s="121">
        <f t="shared" si="37"/>
        <v>3.6996183640690954E-2</v>
      </c>
      <c r="AQ65">
        <f t="shared" si="19"/>
        <v>0</v>
      </c>
      <c r="AR65">
        <v>0</v>
      </c>
      <c r="AS65">
        <f t="shared" si="4"/>
        <v>0</v>
      </c>
      <c r="AT65">
        <f t="shared" si="20"/>
        <v>0</v>
      </c>
      <c r="AU65">
        <f>IFERROR(HLOOKUP(B65,'Real assumptions'!$B$43:$AL$44,2,TRUE)*($W$3/$U$2),0)</f>
        <v>0</v>
      </c>
      <c r="AV65">
        <f>AV64*(1+'Real assumptions'!$B$35)^(1/12)</f>
        <v>1.0563991850434791</v>
      </c>
      <c r="AW65">
        <f t="shared" si="47"/>
        <v>2023</v>
      </c>
      <c r="AX65">
        <f t="shared" si="40"/>
        <v>0</v>
      </c>
      <c r="AY65">
        <f t="shared" si="38"/>
        <v>3.0907753763778945</v>
      </c>
      <c r="AZ65">
        <f t="shared" si="6"/>
        <v>125.67074992123746</v>
      </c>
      <c r="BA65">
        <f t="shared" si="41"/>
        <v>5.0967967523629074</v>
      </c>
      <c r="BB65">
        <f t="shared" si="21"/>
        <v>94.5</v>
      </c>
      <c r="BC65">
        <f t="shared" si="7"/>
        <v>56.699999999999996</v>
      </c>
      <c r="BD65">
        <f t="shared" si="22"/>
        <v>0</v>
      </c>
      <c r="BE65">
        <f t="shared" si="8"/>
        <v>24</v>
      </c>
      <c r="BF65">
        <f t="shared" si="39"/>
        <v>5000</v>
      </c>
      <c r="BU65"/>
      <c r="FD65"/>
      <c r="FE65"/>
    </row>
    <row r="66" spans="1:161" x14ac:dyDescent="0.25">
      <c r="A66" s="7">
        <f t="shared" si="23"/>
        <v>45107</v>
      </c>
      <c r="B66">
        <f t="shared" si="9"/>
        <v>55</v>
      </c>
      <c r="C66">
        <f t="shared" si="10"/>
        <v>4.5</v>
      </c>
      <c r="D66">
        <f t="shared" si="11"/>
        <v>0</v>
      </c>
      <c r="E66">
        <f t="shared" si="12"/>
        <v>56</v>
      </c>
      <c r="F66">
        <f>IF(C66&gt;=$T$2,0,VLOOKUP($E66,EKM_F05!$A$3:$C$128,2,TRUE))</f>
        <v>5.4173076923076926E-3</v>
      </c>
      <c r="G66">
        <f>F66*'Real assumptions'!$B$3</f>
        <v>2.2606424999999999E-3</v>
      </c>
      <c r="H66">
        <f t="shared" si="24"/>
        <v>1.8858235026320003E-4</v>
      </c>
      <c r="I66">
        <f t="shared" si="25"/>
        <v>1.373507375077616E-4</v>
      </c>
      <c r="J66">
        <f>IF(B66&gt;$AJ$2,0,HLOOKUP(C66,'Real assumptions'!$B$5:$L$8,4,TRUE))</f>
        <v>6.25E-2</v>
      </c>
      <c r="K66">
        <f t="shared" si="0"/>
        <v>1</v>
      </c>
      <c r="L66">
        <f t="shared" si="26"/>
        <v>8.3333333333333329E-2</v>
      </c>
      <c r="M66">
        <f t="shared" si="27"/>
        <v>5.3637734156456451E-3</v>
      </c>
      <c r="N66">
        <f t="shared" si="28"/>
        <v>3.9167487760704599E-3</v>
      </c>
      <c r="O66" s="8">
        <f t="shared" si="13"/>
        <v>0.72623739906385676</v>
      </c>
      <c r="P66">
        <f t="shared" si="14"/>
        <v>17.52699596585844</v>
      </c>
      <c r="Q66">
        <f t="shared" si="29"/>
        <v>0.68675368753880794</v>
      </c>
      <c r="R66" s="89">
        <f t="shared" si="1"/>
        <v>5000</v>
      </c>
      <c r="S66">
        <f t="shared" si="2"/>
        <v>0.41666666666666696</v>
      </c>
      <c r="U66">
        <f>O65*AV65*'Real assumptions'!$B$33/12+AX66*'Real assumptions'!$B$34</f>
        <v>7.7147934394138344</v>
      </c>
      <c r="V66">
        <f>IF(P66=0,0,IF(E66&lt;=$C$7,$AN$5*O65,0))*'Real assumptions'!$D$28</f>
        <v>4.3817489914646099</v>
      </c>
      <c r="X66" s="94">
        <f t="shared" si="15"/>
        <v>0</v>
      </c>
      <c r="Y66">
        <f t="shared" si="3"/>
        <v>24</v>
      </c>
      <c r="Z66">
        <f t="shared" si="30"/>
        <v>94</v>
      </c>
      <c r="AA66">
        <f t="shared" si="16"/>
        <v>94.416666666666671</v>
      </c>
      <c r="AB66">
        <f t="shared" si="17"/>
        <v>50.505050505050505</v>
      </c>
      <c r="AC66">
        <f t="shared" si="31"/>
        <v>4768.5185185185192</v>
      </c>
      <c r="AD66">
        <f t="shared" si="18"/>
        <v>80.505050505050505</v>
      </c>
      <c r="AE66">
        <f t="shared" si="32"/>
        <v>231.48148148148084</v>
      </c>
      <c r="AF66" s="94">
        <f t="shared" si="42"/>
        <v>0</v>
      </c>
      <c r="AG66">
        <f t="shared" si="33"/>
        <v>0</v>
      </c>
      <c r="AH66">
        <f t="shared" si="34"/>
        <v>0</v>
      </c>
      <c r="AI66">
        <f>HLOOKUP(AW66,'Real assumptions'!$A$21:$AK$24,2,TRUE)</f>
        <v>1.6083000000000001</v>
      </c>
      <c r="AJ66" s="123">
        <f t="shared" si="35"/>
        <v>1.3304708531651777E-3</v>
      </c>
      <c r="AK66" s="122">
        <f>(1+HLOOKUP(YEAR(A66),'Real assumptions'!$A$21:$AK$24,2,TRUE)/100)^(1/12)-1</f>
        <v>1.3304708531651777E-3</v>
      </c>
      <c r="AL66">
        <f t="shared" si="36"/>
        <v>7.7147934394138344</v>
      </c>
      <c r="AM66">
        <f>('Real assumptions'!$B$33/12)*O65*AV65</f>
        <v>7.7147934394138344</v>
      </c>
      <c r="AN66">
        <f t="shared" si="43"/>
        <v>5.4674497186206876</v>
      </c>
      <c r="AO66">
        <f t="shared" si="46"/>
        <v>7.2742824917709772E-3</v>
      </c>
      <c r="AP66" s="121">
        <f t="shared" si="37"/>
        <v>4.4270466132461932E-2</v>
      </c>
      <c r="AQ66">
        <f t="shared" si="19"/>
        <v>0</v>
      </c>
      <c r="AR66">
        <v>0</v>
      </c>
      <c r="AS66">
        <f t="shared" si="4"/>
        <v>0</v>
      </c>
      <c r="AT66">
        <f t="shared" si="20"/>
        <v>0</v>
      </c>
      <c r="AU66">
        <f>IFERROR(HLOOKUP(B66,'Real assumptions'!$B$43:$AL$44,2,TRUE)*($W$3/$U$2),0)</f>
        <v>0</v>
      </c>
      <c r="AV66">
        <f>AV65*(1+'Real assumptions'!$B$35)^(1/12)</f>
        <v>1.0574933462893183</v>
      </c>
      <c r="AW66">
        <f t="shared" si="47"/>
        <v>2023</v>
      </c>
      <c r="AX66">
        <f t="shared" si="40"/>
        <v>0</v>
      </c>
      <c r="AY66">
        <f t="shared" si="38"/>
        <v>3.0736174182551976</v>
      </c>
      <c r="AZ66">
        <f t="shared" si="6"/>
        <v>130.58165103854427</v>
      </c>
      <c r="BA66">
        <f t="shared" si="41"/>
        <v>5.0685026790034176</v>
      </c>
      <c r="BB66">
        <f t="shared" si="21"/>
        <v>94.416666666666671</v>
      </c>
      <c r="BC66">
        <f t="shared" si="7"/>
        <v>56.650000000000006</v>
      </c>
      <c r="BD66">
        <f t="shared" si="22"/>
        <v>0</v>
      </c>
      <c r="BE66">
        <f t="shared" si="8"/>
        <v>24</v>
      </c>
      <c r="BF66">
        <f t="shared" si="39"/>
        <v>5000</v>
      </c>
      <c r="BU66"/>
      <c r="FD66"/>
      <c r="FE66"/>
    </row>
    <row r="67" spans="1:161" x14ac:dyDescent="0.25">
      <c r="A67" s="7">
        <f t="shared" si="23"/>
        <v>45138</v>
      </c>
      <c r="B67">
        <f t="shared" si="9"/>
        <v>56</v>
      </c>
      <c r="C67">
        <f t="shared" si="10"/>
        <v>4.583333333333333</v>
      </c>
      <c r="D67">
        <f t="shared" si="11"/>
        <v>0</v>
      </c>
      <c r="E67">
        <f t="shared" si="12"/>
        <v>56</v>
      </c>
      <c r="F67">
        <f>IF(C67&gt;=$T$2,0,VLOOKUP($E67,EKM_F05!$A$3:$C$128,2,TRUE))</f>
        <v>5.4173076923076926E-3</v>
      </c>
      <c r="G67">
        <f>F67*'Real assumptions'!$B$3</f>
        <v>2.2606424999999999E-3</v>
      </c>
      <c r="H67">
        <f t="shared" si="24"/>
        <v>1.8858235026320003E-4</v>
      </c>
      <c r="I67">
        <f t="shared" si="25"/>
        <v>1.3658825628046469E-4</v>
      </c>
      <c r="J67">
        <f>IF(B67&gt;$AJ$2,0,HLOOKUP(C67,'Real assumptions'!$B$5:$L$8,4,TRUE))</f>
        <v>6.25E-2</v>
      </c>
      <c r="K67">
        <f t="shared" si="0"/>
        <v>1</v>
      </c>
      <c r="L67">
        <f t="shared" si="26"/>
        <v>8.3333333333333329E-2</v>
      </c>
      <c r="M67">
        <f t="shared" si="27"/>
        <v>5.3637734156456451E-3</v>
      </c>
      <c r="N67">
        <f t="shared" si="28"/>
        <v>3.8950055552623214E-3</v>
      </c>
      <c r="O67" s="8">
        <f t="shared" si="13"/>
        <v>0.72220580525231393</v>
      </c>
      <c r="P67">
        <f t="shared" si="14"/>
        <v>17.429697577532561</v>
      </c>
      <c r="Q67">
        <f t="shared" si="29"/>
        <v>0.68294128140232346</v>
      </c>
      <c r="R67" s="89">
        <f t="shared" si="1"/>
        <v>5000</v>
      </c>
      <c r="S67">
        <f t="shared" si="2"/>
        <v>0.33333333333333304</v>
      </c>
      <c r="U67">
        <f>O66*AV66*'Real assumptions'!$B$33/12+AX67*'Real assumptions'!$B$34</f>
        <v>7.6799121733648903</v>
      </c>
      <c r="V67">
        <f>IF(P67=0,0,IF(E67&lt;=$C$7,$AN$5*O66,0))*'Real assumptions'!$D$28</f>
        <v>4.3574243943831403</v>
      </c>
      <c r="X67" s="94">
        <f t="shared" si="15"/>
        <v>0</v>
      </c>
      <c r="Y67">
        <f t="shared" si="3"/>
        <v>24</v>
      </c>
      <c r="Z67">
        <f t="shared" si="30"/>
        <v>94</v>
      </c>
      <c r="AA67">
        <f t="shared" si="16"/>
        <v>94.333333333333329</v>
      </c>
      <c r="AB67">
        <f t="shared" si="17"/>
        <v>50.505050505050505</v>
      </c>
      <c r="AC67">
        <f t="shared" si="31"/>
        <v>4764.3097643097644</v>
      </c>
      <c r="AD67">
        <f t="shared" si="18"/>
        <v>80.505050505050505</v>
      </c>
      <c r="AE67">
        <f t="shared" si="32"/>
        <v>235.69023569023557</v>
      </c>
      <c r="AF67" s="94">
        <f t="shared" si="42"/>
        <v>0</v>
      </c>
      <c r="AG67">
        <f t="shared" si="33"/>
        <v>0</v>
      </c>
      <c r="AH67">
        <f t="shared" si="34"/>
        <v>0</v>
      </c>
      <c r="AI67">
        <f>HLOOKUP(AW67,'Real assumptions'!$A$21:$AK$24,2,TRUE)</f>
        <v>1.6083000000000001</v>
      </c>
      <c r="AJ67" s="123">
        <f t="shared" si="35"/>
        <v>1.3304708531651777E-3</v>
      </c>
      <c r="AK67" s="122">
        <f>(1+HLOOKUP(YEAR(A67),'Real assumptions'!$A$21:$AK$24,2,TRUE)/100)^(1/12)-1</f>
        <v>1.3304708531651777E-3</v>
      </c>
      <c r="AL67">
        <f t="shared" si="36"/>
        <v>7.6799121733648903</v>
      </c>
      <c r="AM67">
        <f>('Real assumptions'!$B$33/12)*O66*AV66</f>
        <v>7.6799121733648894</v>
      </c>
      <c r="AN67">
        <f t="shared" si="43"/>
        <v>5.4366314759169931</v>
      </c>
      <c r="AO67">
        <f t="shared" si="46"/>
        <v>7.2332797181079407E-3</v>
      </c>
      <c r="AP67" s="121">
        <f t="shared" si="37"/>
        <v>5.1503745850569875E-2</v>
      </c>
      <c r="AQ67">
        <f t="shared" si="19"/>
        <v>0</v>
      </c>
      <c r="AR67">
        <v>0</v>
      </c>
      <c r="AS67">
        <f t="shared" si="4"/>
        <v>0</v>
      </c>
      <c r="AT67">
        <f t="shared" si="20"/>
        <v>0</v>
      </c>
      <c r="AU67">
        <f>IFERROR(HLOOKUP(B67,'Real assumptions'!$B$43:$AL$44,2,TRUE)*($W$3/$U$2),0)</f>
        <v>0</v>
      </c>
      <c r="AV67">
        <f>AV66*(1+'Real assumptions'!$B$35)^(1/12)</f>
        <v>1.0585886408083076</v>
      </c>
      <c r="AW67">
        <f t="shared" si="47"/>
        <v>2023</v>
      </c>
      <c r="AX67">
        <f t="shared" si="40"/>
        <v>0</v>
      </c>
      <c r="AY67">
        <f t="shared" si="38"/>
        <v>3.056554709864717</v>
      </c>
      <c r="AZ67">
        <f t="shared" si="6"/>
        <v>135.46480584759146</v>
      </c>
      <c r="BA67">
        <f t="shared" si="41"/>
        <v>5.0403656757854636</v>
      </c>
      <c r="BB67">
        <f t="shared" si="21"/>
        <v>94.333333333333329</v>
      </c>
      <c r="BC67">
        <f t="shared" si="7"/>
        <v>56.599999999999994</v>
      </c>
      <c r="BD67">
        <f t="shared" si="22"/>
        <v>0</v>
      </c>
      <c r="BE67">
        <f t="shared" si="8"/>
        <v>24</v>
      </c>
      <c r="BF67">
        <f t="shared" si="39"/>
        <v>5000</v>
      </c>
      <c r="BU67"/>
      <c r="FD67"/>
      <c r="FE67"/>
    </row>
    <row r="68" spans="1:161" x14ac:dyDescent="0.25">
      <c r="A68" s="7">
        <f t="shared" si="23"/>
        <v>45169</v>
      </c>
      <c r="B68">
        <f t="shared" si="9"/>
        <v>57</v>
      </c>
      <c r="C68">
        <f t="shared" si="10"/>
        <v>4.666666666666667</v>
      </c>
      <c r="D68">
        <f t="shared" si="11"/>
        <v>0</v>
      </c>
      <c r="E68">
        <f t="shared" si="12"/>
        <v>56</v>
      </c>
      <c r="F68">
        <f>IF(C68&gt;=$T$2,0,VLOOKUP($E68,EKM_F05!$A$3:$C$128,2,TRUE))</f>
        <v>5.4173076923076926E-3</v>
      </c>
      <c r="G68">
        <f>F68*'Real assumptions'!$B$3</f>
        <v>2.2606424999999999E-3</v>
      </c>
      <c r="H68">
        <f t="shared" si="24"/>
        <v>1.8858235026320003E-4</v>
      </c>
      <c r="I68">
        <f t="shared" si="25"/>
        <v>1.3583000784894687E-4</v>
      </c>
      <c r="J68">
        <f>IF(B68&gt;$AJ$2,0,HLOOKUP(C68,'Real assumptions'!$B$5:$L$8,4,TRUE))</f>
        <v>6.25E-2</v>
      </c>
      <c r="K68">
        <f t="shared" si="0"/>
        <v>1</v>
      </c>
      <c r="L68">
        <f t="shared" si="26"/>
        <v>8.3333333333333329E-2</v>
      </c>
      <c r="M68">
        <f t="shared" si="27"/>
        <v>5.3637734156456451E-3</v>
      </c>
      <c r="N68">
        <f t="shared" si="28"/>
        <v>3.8733830385580563E-3</v>
      </c>
      <c r="O68" s="8">
        <f t="shared" si="13"/>
        <v>0.71819659220590693</v>
      </c>
      <c r="P68">
        <f t="shared" si="14"/>
        <v>17.332939326055534</v>
      </c>
      <c r="Q68">
        <f t="shared" si="29"/>
        <v>0.67915003924473438</v>
      </c>
      <c r="R68" s="89">
        <f t="shared" si="1"/>
        <v>5000</v>
      </c>
      <c r="S68">
        <f t="shared" si="2"/>
        <v>0.25</v>
      </c>
      <c r="U68">
        <f>O67*AV67*'Real assumptions'!$B$33/12+AX68*'Real assumptions'!$B$34</f>
        <v>7.645188617659163</v>
      </c>
      <c r="V68">
        <f>IF(P68=0,0,IF(E68&lt;=$C$7,$AN$5*O67,0))*'Real assumptions'!$D$28</f>
        <v>4.3332348315138836</v>
      </c>
      <c r="X68" s="94">
        <f t="shared" si="15"/>
        <v>0</v>
      </c>
      <c r="Y68">
        <f t="shared" si="3"/>
        <v>24</v>
      </c>
      <c r="Z68">
        <f t="shared" si="30"/>
        <v>94</v>
      </c>
      <c r="AA68">
        <f t="shared" si="16"/>
        <v>94.25</v>
      </c>
      <c r="AB68">
        <f t="shared" si="17"/>
        <v>50.505050505050505</v>
      </c>
      <c r="AC68">
        <f t="shared" si="31"/>
        <v>4760.1010101010097</v>
      </c>
      <c r="AD68">
        <f t="shared" si="18"/>
        <v>80.505050505050505</v>
      </c>
      <c r="AE68">
        <f t="shared" si="32"/>
        <v>239.89898989899029</v>
      </c>
      <c r="AF68" s="94">
        <f t="shared" si="42"/>
        <v>0</v>
      </c>
      <c r="AG68">
        <f t="shared" si="33"/>
        <v>0</v>
      </c>
      <c r="AH68">
        <f t="shared" si="34"/>
        <v>0</v>
      </c>
      <c r="AI68">
        <f>HLOOKUP(AW68,'Real assumptions'!$A$21:$AK$24,2,TRUE)</f>
        <v>1.6083000000000001</v>
      </c>
      <c r="AJ68" s="123">
        <f t="shared" si="35"/>
        <v>1.3304708531651777E-3</v>
      </c>
      <c r="AK68" s="122">
        <f>(1+HLOOKUP(YEAR(A68),'Real assumptions'!$A$21:$AK$24,2,TRUE)/100)^(1/12)-1</f>
        <v>1.3304708531651777E-3</v>
      </c>
      <c r="AL68">
        <f t="shared" si="36"/>
        <v>7.645188617659163</v>
      </c>
      <c r="AM68">
        <f>('Real assumptions'!$B$33/12)*O67*AV67</f>
        <v>7.645188617659163</v>
      </c>
      <c r="AN68">
        <f t="shared" si="43"/>
        <v>5.4060196227330577</v>
      </c>
      <c r="AO68">
        <f t="shared" si="46"/>
        <v>7.1925515396853434E-3</v>
      </c>
      <c r="AP68" s="121">
        <f t="shared" si="37"/>
        <v>5.8696297390255218E-2</v>
      </c>
      <c r="AQ68">
        <f t="shared" si="19"/>
        <v>0</v>
      </c>
      <c r="AR68">
        <v>0</v>
      </c>
      <c r="AS68">
        <f t="shared" si="4"/>
        <v>0</v>
      </c>
      <c r="AT68">
        <f t="shared" si="20"/>
        <v>0</v>
      </c>
      <c r="AU68">
        <f>IFERROR(HLOOKUP(B68,'Real assumptions'!$B$43:$AL$44,2,TRUE)*($W$3/$U$2),0)</f>
        <v>0</v>
      </c>
      <c r="AV68">
        <f>AV67*(1+'Real assumptions'!$B$35)^(1/12)</f>
        <v>1.0596850697742297</v>
      </c>
      <c r="AW68">
        <f t="shared" si="47"/>
        <v>2023</v>
      </c>
      <c r="AX68">
        <f t="shared" si="40"/>
        <v>0</v>
      </c>
      <c r="AY68">
        <f t="shared" si="38"/>
        <v>3.0395867224423987</v>
      </c>
      <c r="AZ68">
        <f t="shared" si="6"/>
        <v>140.32040366103914</v>
      </c>
      <c r="BA68">
        <f t="shared" si="41"/>
        <v>5.012384870758618</v>
      </c>
      <c r="BB68">
        <f t="shared" si="21"/>
        <v>94.25</v>
      </c>
      <c r="BC68">
        <f t="shared" si="7"/>
        <v>56.55</v>
      </c>
      <c r="BD68">
        <f t="shared" si="22"/>
        <v>0</v>
      </c>
      <c r="BE68">
        <f t="shared" si="8"/>
        <v>24</v>
      </c>
      <c r="BF68">
        <f t="shared" si="39"/>
        <v>5000</v>
      </c>
      <c r="BU68"/>
      <c r="FD68"/>
      <c r="FE68"/>
    </row>
    <row r="69" spans="1:161" x14ac:dyDescent="0.25">
      <c r="A69" s="7">
        <f t="shared" si="23"/>
        <v>45199</v>
      </c>
      <c r="B69">
        <f t="shared" si="9"/>
        <v>58</v>
      </c>
      <c r="C69">
        <f t="shared" si="10"/>
        <v>4.75</v>
      </c>
      <c r="D69">
        <f t="shared" si="11"/>
        <v>0</v>
      </c>
      <c r="E69">
        <f t="shared" si="12"/>
        <v>56</v>
      </c>
      <c r="F69">
        <f>IF(C69&gt;=$T$2,0,VLOOKUP($E69,EKM_F05!$A$3:$C$128,2,TRUE))</f>
        <v>5.4173076923076926E-3</v>
      </c>
      <c r="G69">
        <f>F69*'Real assumptions'!$B$3</f>
        <v>2.2606424999999999E-3</v>
      </c>
      <c r="H69">
        <f t="shared" si="24"/>
        <v>1.8858235026320003E-4</v>
      </c>
      <c r="I69">
        <f t="shared" si="25"/>
        <v>1.3507596871550166E-4</v>
      </c>
      <c r="J69">
        <f>IF(B69&gt;$AJ$2,0,HLOOKUP(C69,'Real assumptions'!$B$5:$L$8,4,TRUE))</f>
        <v>6.25E-2</v>
      </c>
      <c r="K69">
        <f t="shared" si="0"/>
        <v>1</v>
      </c>
      <c r="L69">
        <f t="shared" si="26"/>
        <v>8.3333333333333329E-2</v>
      </c>
      <c r="M69">
        <f t="shared" si="27"/>
        <v>5.3637734156456451E-3</v>
      </c>
      <c r="N69">
        <f t="shared" si="28"/>
        <v>3.8518805558876309E-3</v>
      </c>
      <c r="O69" s="8">
        <f t="shared" si="13"/>
        <v>0.7142096356813038</v>
      </c>
      <c r="P69">
        <f t="shared" si="14"/>
        <v>17.236718212941767</v>
      </c>
      <c r="Q69">
        <f t="shared" si="29"/>
        <v>0.67537984357750824</v>
      </c>
      <c r="R69" s="89">
        <f t="shared" si="1"/>
        <v>5000</v>
      </c>
      <c r="S69">
        <f t="shared" si="2"/>
        <v>0.16666666666666696</v>
      </c>
      <c r="U69">
        <f>O68*AV68*'Real assumptions'!$B$33/12+AX69*'Real assumptions'!$B$34</f>
        <v>7.6106220592333047</v>
      </c>
      <c r="V69">
        <f>IF(P69=0,0,IF(E69&lt;=$C$7,$AN$5*O68,0))*'Real assumptions'!$D$28</f>
        <v>4.3091795532354418</v>
      </c>
      <c r="X69" s="94">
        <f t="shared" si="15"/>
        <v>0</v>
      </c>
      <c r="Y69">
        <f t="shared" si="3"/>
        <v>24</v>
      </c>
      <c r="Z69">
        <f t="shared" si="30"/>
        <v>94</v>
      </c>
      <c r="AA69">
        <f t="shared" si="16"/>
        <v>94.166666666666671</v>
      </c>
      <c r="AB69">
        <f t="shared" si="17"/>
        <v>50.505050505050505</v>
      </c>
      <c r="AC69">
        <f t="shared" si="31"/>
        <v>4755.8922558922559</v>
      </c>
      <c r="AD69">
        <f t="shared" si="18"/>
        <v>80.505050505050505</v>
      </c>
      <c r="AE69">
        <f t="shared" si="32"/>
        <v>244.10774410774411</v>
      </c>
      <c r="AF69" s="94">
        <f t="shared" si="42"/>
        <v>0</v>
      </c>
      <c r="AG69">
        <f t="shared" si="33"/>
        <v>0</v>
      </c>
      <c r="AH69">
        <f t="shared" si="34"/>
        <v>0</v>
      </c>
      <c r="AI69">
        <f>HLOOKUP(AW69,'Real assumptions'!$A$21:$AK$24,2,TRUE)</f>
        <v>1.6083000000000001</v>
      </c>
      <c r="AJ69" s="123">
        <f t="shared" si="35"/>
        <v>1.3304708531651777E-3</v>
      </c>
      <c r="AK69" s="122">
        <f>(1+HLOOKUP(YEAR(A69),'Real assumptions'!$A$21:$AK$24,2,TRUE)/100)^(1/12)-1</f>
        <v>1.3304708531651777E-3</v>
      </c>
      <c r="AL69">
        <f t="shared" si="36"/>
        <v>7.6106220592333047</v>
      </c>
      <c r="AM69">
        <f>('Real assumptions'!$B$33/12)*O68*AV68</f>
        <v>7.6106220592333047</v>
      </c>
      <c r="AN69">
        <f t="shared" si="43"/>
        <v>5.3756128978632765</v>
      </c>
      <c r="AO69">
        <f t="shared" si="46"/>
        <v>7.152096278505886E-3</v>
      </c>
      <c r="AP69" s="121">
        <f t="shared" si="37"/>
        <v>6.5848393668761107E-2</v>
      </c>
      <c r="AQ69">
        <f t="shared" si="19"/>
        <v>0</v>
      </c>
      <c r="AR69">
        <v>0</v>
      </c>
      <c r="AS69">
        <f t="shared" si="4"/>
        <v>0</v>
      </c>
      <c r="AT69">
        <f t="shared" si="20"/>
        <v>0</v>
      </c>
      <c r="AU69">
        <f>IFERROR(HLOOKUP(B69,'Real assumptions'!$B$43:$AL$44,2,TRUE)*($W$3/$U$2),0)</f>
        <v>0</v>
      </c>
      <c r="AV69">
        <f>AV68*(1+'Real assumptions'!$B$35)^(1/12)</f>
        <v>1.0607826343620836</v>
      </c>
      <c r="AW69">
        <f t="shared" si="47"/>
        <v>2023</v>
      </c>
      <c r="AX69">
        <f t="shared" si="40"/>
        <v>0</v>
      </c>
      <c r="AY69">
        <f t="shared" si="38"/>
        <v>3.0227129301595408</v>
      </c>
      <c r="AZ69">
        <f t="shared" si="6"/>
        <v>145.14863262511005</v>
      </c>
      <c r="BA69">
        <f t="shared" si="41"/>
        <v>4.9845593968129496</v>
      </c>
      <c r="BB69">
        <f t="shared" si="21"/>
        <v>94.166666666666671</v>
      </c>
      <c r="BC69">
        <f t="shared" si="7"/>
        <v>56.5</v>
      </c>
      <c r="BD69">
        <f t="shared" si="22"/>
        <v>0</v>
      </c>
      <c r="BE69">
        <f t="shared" si="8"/>
        <v>24</v>
      </c>
      <c r="BF69">
        <f t="shared" si="39"/>
        <v>5000</v>
      </c>
      <c r="BU69"/>
      <c r="FD69"/>
      <c r="FE69"/>
    </row>
    <row r="70" spans="1:161" x14ac:dyDescent="0.25">
      <c r="A70" s="7">
        <f t="shared" si="23"/>
        <v>45230</v>
      </c>
      <c r="B70">
        <f t="shared" si="9"/>
        <v>59</v>
      </c>
      <c r="C70">
        <f t="shared" si="10"/>
        <v>4.833333333333333</v>
      </c>
      <c r="D70">
        <f t="shared" si="11"/>
        <v>0</v>
      </c>
      <c r="E70">
        <f t="shared" si="12"/>
        <v>56</v>
      </c>
      <c r="F70">
        <f>IF(C70&gt;=$T$2,0,VLOOKUP($E70,EKM_F05!$A$3:$C$128,2,TRUE))</f>
        <v>5.4173076923076926E-3</v>
      </c>
      <c r="G70">
        <f>F70*'Real assumptions'!$B$3</f>
        <v>2.2606424999999999E-3</v>
      </c>
      <c r="H70">
        <f t="shared" si="24"/>
        <v>1.8858235026320003E-4</v>
      </c>
      <c r="I70">
        <f t="shared" si="25"/>
        <v>1.3432611551286635E-4</v>
      </c>
      <c r="J70">
        <f>IF(B70&gt;$AJ$2,0,HLOOKUP(C70,'Real assumptions'!$B$5:$L$8,4,TRUE))</f>
        <v>6.25E-2</v>
      </c>
      <c r="K70">
        <f t="shared" si="0"/>
        <v>1</v>
      </c>
      <c r="L70">
        <f t="shared" si="26"/>
        <v>8.3333333333333329E-2</v>
      </c>
      <c r="M70">
        <f t="shared" si="27"/>
        <v>5.3637734156456451E-3</v>
      </c>
      <c r="N70">
        <f t="shared" si="28"/>
        <v>3.8304974409008011E-3</v>
      </c>
      <c r="O70" s="8">
        <f t="shared" si="13"/>
        <v>0.7102448121248901</v>
      </c>
      <c r="P70">
        <f t="shared" si="14"/>
        <v>17.14103125635129</v>
      </c>
      <c r="Q70">
        <f t="shared" si="29"/>
        <v>0.67163057756433175</v>
      </c>
      <c r="R70" s="89">
        <f t="shared" si="1"/>
        <v>5000</v>
      </c>
      <c r="S70">
        <f t="shared" si="2"/>
        <v>8.3333333333333037E-2</v>
      </c>
      <c r="U70">
        <f>O69*AV69*'Real assumptions'!$B$33/12+AX70*'Real assumptions'!$B$34</f>
        <v>7.5762117882479743</v>
      </c>
      <c r="V70">
        <f>IF(P70=0,0,IF(E70&lt;=$C$7,$AN$5*O69,0))*'Real assumptions'!$D$28</f>
        <v>4.2852578140878226</v>
      </c>
      <c r="X70" s="94">
        <f t="shared" si="15"/>
        <v>0</v>
      </c>
      <c r="Y70">
        <f t="shared" si="3"/>
        <v>24</v>
      </c>
      <c r="Z70">
        <f t="shared" si="30"/>
        <v>94</v>
      </c>
      <c r="AA70">
        <f t="shared" si="16"/>
        <v>94.083333333333329</v>
      </c>
      <c r="AB70">
        <f t="shared" si="17"/>
        <v>50.505050505050505</v>
      </c>
      <c r="AC70">
        <f t="shared" si="31"/>
        <v>4751.6835016835012</v>
      </c>
      <c r="AD70">
        <f t="shared" si="18"/>
        <v>80.505050505050505</v>
      </c>
      <c r="AE70">
        <f t="shared" si="32"/>
        <v>248.31649831649884</v>
      </c>
      <c r="AF70" s="94">
        <f t="shared" si="42"/>
        <v>0</v>
      </c>
      <c r="AG70">
        <f t="shared" si="33"/>
        <v>0</v>
      </c>
      <c r="AH70">
        <f t="shared" si="34"/>
        <v>0</v>
      </c>
      <c r="AI70">
        <f>HLOOKUP(AW70,'Real assumptions'!$A$21:$AK$24,2,TRUE)</f>
        <v>1.6083000000000001</v>
      </c>
      <c r="AJ70" s="123">
        <f t="shared" si="35"/>
        <v>1.3304708531651777E-3</v>
      </c>
      <c r="AK70" s="122">
        <f>(1+HLOOKUP(YEAR(A70),'Real assumptions'!$A$21:$AK$24,2,TRUE)/100)^(1/12)-1</f>
        <v>1.3304708531651777E-3</v>
      </c>
      <c r="AL70">
        <f t="shared" si="36"/>
        <v>7.5762117882479743</v>
      </c>
      <c r="AM70">
        <f>('Real assumptions'!$B$33/12)*O69*AV69</f>
        <v>7.5762117882479751</v>
      </c>
      <c r="AN70">
        <f t="shared" si="43"/>
        <v>5.3454100476842559</v>
      </c>
      <c r="AO70">
        <f t="shared" si="46"/>
        <v>7.111912266660185E-3</v>
      </c>
      <c r="AP70" s="121">
        <f t="shared" si="37"/>
        <v>7.2960305935421299E-2</v>
      </c>
      <c r="AQ70">
        <f t="shared" si="19"/>
        <v>0</v>
      </c>
      <c r="AR70">
        <v>0</v>
      </c>
      <c r="AS70">
        <f t="shared" si="4"/>
        <v>0</v>
      </c>
      <c r="AT70">
        <f t="shared" si="20"/>
        <v>0</v>
      </c>
      <c r="AU70">
        <f>IFERROR(HLOOKUP(B70,'Real assumptions'!$B$43:$AL$44,2,TRUE)*($W$3/$U$2),0)</f>
        <v>0</v>
      </c>
      <c r="AV70">
        <f>AV69*(1+'Real assumptions'!$B$35)^(1/12)</f>
        <v>1.0618813357480854</v>
      </c>
      <c r="AW70">
        <f t="shared" si="47"/>
        <v>2023</v>
      </c>
      <c r="AX70">
        <f t="shared" si="40"/>
        <v>0</v>
      </c>
      <c r="AY70">
        <f t="shared" si="38"/>
        <v>3.0059328101064975</v>
      </c>
      <c r="AZ70">
        <f t="shared" si="6"/>
        <v>149.94967972664571</v>
      </c>
      <c r="BA70">
        <f t="shared" si="41"/>
        <v>4.9568883916521544</v>
      </c>
      <c r="BB70">
        <f t="shared" si="21"/>
        <v>94.083333333333329</v>
      </c>
      <c r="BC70">
        <f t="shared" si="7"/>
        <v>56.449999999999989</v>
      </c>
      <c r="BD70">
        <f t="shared" si="22"/>
        <v>0</v>
      </c>
      <c r="BE70">
        <f t="shared" si="8"/>
        <v>24</v>
      </c>
      <c r="BF70">
        <f t="shared" si="39"/>
        <v>5000</v>
      </c>
      <c r="BU70"/>
      <c r="FD70"/>
      <c r="FE70"/>
    </row>
    <row r="71" spans="1:161" x14ac:dyDescent="0.25">
      <c r="A71" s="7">
        <f t="shared" si="23"/>
        <v>45260</v>
      </c>
      <c r="B71">
        <f t="shared" si="9"/>
        <v>60</v>
      </c>
      <c r="C71">
        <f t="shared" si="10"/>
        <v>4.916666666666667</v>
      </c>
      <c r="D71">
        <f t="shared" si="11"/>
        <v>0</v>
      </c>
      <c r="E71">
        <f t="shared" si="12"/>
        <v>56</v>
      </c>
      <c r="F71">
        <f>IF(C71&gt;=$T$2,0,VLOOKUP($E71,EKM_F05!$A$3:$C$128,2,TRUE))</f>
        <v>5.4173076923076926E-3</v>
      </c>
      <c r="G71">
        <f>F71*'Real assumptions'!$B$3</f>
        <v>2.2606424999999999E-3</v>
      </c>
      <c r="H71">
        <f t="shared" si="24"/>
        <v>1.8858235026320003E-4</v>
      </c>
      <c r="I71">
        <f t="shared" si="25"/>
        <v>1.3358042500349803E-4</v>
      </c>
      <c r="J71">
        <f>IF(B71&gt;$AJ$2,0,HLOOKUP(C71,'Real assumptions'!$B$5:$L$8,4,TRUE))</f>
        <v>6.25E-2</v>
      </c>
      <c r="K71">
        <f t="shared" si="0"/>
        <v>1</v>
      </c>
      <c r="L71">
        <f t="shared" si="26"/>
        <v>8.3333333333333329E-2</v>
      </c>
      <c r="M71">
        <f t="shared" si="27"/>
        <v>5.3637734156456451E-3</v>
      </c>
      <c r="N71">
        <f t="shared" si="28"/>
        <v>3.8092330309464628E-3</v>
      </c>
      <c r="O71" s="8">
        <f t="shared" si="13"/>
        <v>0.70630199866894017</v>
      </c>
      <c r="P71">
        <f t="shared" si="14"/>
        <v>17.045875490997361</v>
      </c>
      <c r="Q71">
        <f t="shared" si="29"/>
        <v>0.66790212501749013</v>
      </c>
      <c r="R71" s="89">
        <f t="shared" si="1"/>
        <v>5000</v>
      </c>
      <c r="S71">
        <f t="shared" si="2"/>
        <v>1</v>
      </c>
      <c r="U71">
        <f>O70*AV70*'Real assumptions'!$B$33/12+AX71*'Real assumptions'!$B$34</f>
        <v>7.5419570980732624</v>
      </c>
      <c r="V71">
        <f>IF(P71=0,0,IF(E71&lt;=$C$7,$AN$5*O70,0))*'Real assumptions'!$D$28</f>
        <v>4.2614688727493402</v>
      </c>
      <c r="X71" s="94">
        <f t="shared" si="15"/>
        <v>0</v>
      </c>
      <c r="Y71">
        <f t="shared" si="3"/>
        <v>24</v>
      </c>
      <c r="Z71">
        <f t="shared" si="30"/>
        <v>94</v>
      </c>
      <c r="AA71">
        <f t="shared" si="16"/>
        <v>94</v>
      </c>
      <c r="AB71">
        <f t="shared" si="17"/>
        <v>50.505050505050505</v>
      </c>
      <c r="AC71">
        <f t="shared" si="31"/>
        <v>4747.4747474747473</v>
      </c>
      <c r="AD71">
        <f t="shared" si="18"/>
        <v>80.505050505050505</v>
      </c>
      <c r="AE71">
        <f t="shared" si="32"/>
        <v>252.52525252525265</v>
      </c>
      <c r="AF71" s="94">
        <f t="shared" si="42"/>
        <v>0</v>
      </c>
      <c r="AG71">
        <f t="shared" si="33"/>
        <v>0</v>
      </c>
      <c r="AH71">
        <f t="shared" si="34"/>
        <v>0</v>
      </c>
      <c r="AI71">
        <f>HLOOKUP(AW71,'Real assumptions'!$A$21:$AK$24,2,TRUE)</f>
        <v>1.6083000000000001</v>
      </c>
      <c r="AJ71" s="123">
        <f t="shared" si="35"/>
        <v>1.3304708531651777E-3</v>
      </c>
      <c r="AK71" s="122">
        <f>(1+HLOOKUP(YEAR(A71),'Real assumptions'!$A$21:$AK$24,2,TRUE)/100)^(1/12)-1</f>
        <v>1.3304708531651777E-3</v>
      </c>
      <c r="AL71">
        <f t="shared" si="36"/>
        <v>7.5419570980732624</v>
      </c>
      <c r="AM71">
        <f>('Real assumptions'!$B$33/12)*O70*AV70</f>
        <v>7.5419570980732633</v>
      </c>
      <c r="AN71">
        <f t="shared" si="43"/>
        <v>5.3154098261101792</v>
      </c>
      <c r="AO71">
        <f t="shared" si="46"/>
        <v>7.0719978462673791E-3</v>
      </c>
      <c r="AP71" s="121">
        <f t="shared" si="37"/>
        <v>8.0032303781688685E-2</v>
      </c>
      <c r="AQ71">
        <f t="shared" si="19"/>
        <v>0</v>
      </c>
      <c r="AR71">
        <v>0</v>
      </c>
      <c r="AS71">
        <f t="shared" si="4"/>
        <v>0</v>
      </c>
      <c r="AT71">
        <f t="shared" si="20"/>
        <v>0</v>
      </c>
      <c r="AU71">
        <f>IFERROR(HLOOKUP(B71,'Real assumptions'!$B$43:$AL$44,2,TRUE)*($W$3/$U$2),0)</f>
        <v>0</v>
      </c>
      <c r="AV71">
        <f>AV70*(1+'Real assumptions'!$B$35)^(1/12)</f>
        <v>1.0629811751096692</v>
      </c>
      <c r="AW71">
        <f t="shared" si="47"/>
        <v>2023</v>
      </c>
      <c r="AX71">
        <f t="shared" si="40"/>
        <v>0</v>
      </c>
      <c r="AY71">
        <f t="shared" si="38"/>
        <v>2.9892458422764734</v>
      </c>
      <c r="AZ71">
        <f t="shared" si="6"/>
        <v>154.72373080012076</v>
      </c>
      <c r="BA71">
        <f t="shared" si="41"/>
        <v>4.9293709977668305</v>
      </c>
      <c r="BB71">
        <f t="shared" si="21"/>
        <v>94</v>
      </c>
      <c r="BC71">
        <f t="shared" si="7"/>
        <v>56.4</v>
      </c>
      <c r="BD71">
        <f t="shared" si="22"/>
        <v>0</v>
      </c>
      <c r="BE71">
        <f t="shared" si="8"/>
        <v>24</v>
      </c>
      <c r="BF71">
        <f t="shared" si="39"/>
        <v>5000</v>
      </c>
      <c r="BU71"/>
      <c r="FD71"/>
      <c r="FE71"/>
    </row>
    <row r="72" spans="1:161" x14ac:dyDescent="0.25">
      <c r="A72" s="7">
        <f t="shared" si="23"/>
        <v>45291</v>
      </c>
      <c r="B72">
        <f t="shared" si="9"/>
        <v>61</v>
      </c>
      <c r="C72">
        <f t="shared" si="10"/>
        <v>5</v>
      </c>
      <c r="D72">
        <f t="shared" si="11"/>
        <v>1</v>
      </c>
      <c r="E72">
        <f t="shared" si="12"/>
        <v>57</v>
      </c>
      <c r="F72">
        <f>IF(C72&gt;=$T$2,0,VLOOKUP($E72,EKM_F05!$A$3:$C$128,2,TRUE))</f>
        <v>5.9537179487179487E-3</v>
      </c>
      <c r="G72">
        <f>F72*'Real assumptions'!$B$3</f>
        <v>2.4844864999999999E-3</v>
      </c>
      <c r="H72">
        <f t="shared" si="24"/>
        <v>2.0727667839559594E-4</v>
      </c>
      <c r="I72">
        <f t="shared" si="25"/>
        <v>1.4604730801727147E-4</v>
      </c>
      <c r="J72">
        <f>IF(B72&gt;$AJ$2,0,HLOOKUP(C72,'Real assumptions'!$B$5:$L$8,4,TRUE))</f>
        <v>5.6299999999999996E-2</v>
      </c>
      <c r="K72">
        <f t="shared" si="0"/>
        <v>1</v>
      </c>
      <c r="L72">
        <f t="shared" si="26"/>
        <v>8.3333333333333329E-2</v>
      </c>
      <c r="M72">
        <f t="shared" si="27"/>
        <v>4.8172728720562441E-3</v>
      </c>
      <c r="N72">
        <f t="shared" si="28"/>
        <v>3.4020968334559937E-3</v>
      </c>
      <c r="O72" s="8">
        <f t="shared" si="13"/>
        <v>0.70275385452746686</v>
      </c>
      <c r="P72">
        <f t="shared" si="14"/>
        <v>16.951247968054563</v>
      </c>
      <c r="Q72">
        <f t="shared" si="29"/>
        <v>0.73023654008635741</v>
      </c>
      <c r="R72" s="89">
        <f t="shared" si="1"/>
        <v>5000</v>
      </c>
      <c r="S72">
        <f t="shared" si="2"/>
        <v>0.91666666666666696</v>
      </c>
      <c r="U72">
        <f>O71*AV71*'Real assumptions'!$B$33/12+AX72*'Real assumptions'!$B$34</f>
        <v>7.5078572852741798</v>
      </c>
      <c r="V72">
        <f>IF(P72=0,0,IF(E72&lt;=$C$7,$AN$5*O71,0))*'Real assumptions'!$D$28</f>
        <v>4.2378119920136408</v>
      </c>
      <c r="X72" s="94">
        <f t="shared" si="15"/>
        <v>0</v>
      </c>
      <c r="Y72">
        <f t="shared" si="3"/>
        <v>24</v>
      </c>
      <c r="Z72">
        <f t="shared" si="30"/>
        <v>94</v>
      </c>
      <c r="AA72">
        <f t="shared" si="16"/>
        <v>93.916666666666671</v>
      </c>
      <c r="AB72">
        <f t="shared" si="17"/>
        <v>50.505050505050505</v>
      </c>
      <c r="AC72">
        <f t="shared" si="31"/>
        <v>4743.2659932659935</v>
      </c>
      <c r="AD72">
        <f t="shared" si="18"/>
        <v>80.505050505050505</v>
      </c>
      <c r="AE72">
        <f t="shared" si="32"/>
        <v>256.73400673400647</v>
      </c>
      <c r="AF72" s="94">
        <f t="shared" si="42"/>
        <v>0</v>
      </c>
      <c r="AG72">
        <f t="shared" si="33"/>
        <v>0</v>
      </c>
      <c r="AH72">
        <f t="shared" si="34"/>
        <v>0</v>
      </c>
      <c r="AI72">
        <f>HLOOKUP(AW72,'Real assumptions'!$A$21:$AK$24,2,TRUE)</f>
        <v>1.6083000000000001</v>
      </c>
      <c r="AJ72" s="123">
        <f t="shared" si="35"/>
        <v>1.3304708531651777E-3</v>
      </c>
      <c r="AK72" s="122">
        <f>(1+HLOOKUP(YEAR(A72),'Real assumptions'!$A$21:$AK$24,2,TRUE)/100)^(1/12)-1</f>
        <v>1.3304708531651777E-3</v>
      </c>
      <c r="AL72">
        <f t="shared" si="36"/>
        <v>7.5078572852741798</v>
      </c>
      <c r="AM72">
        <f>('Real assumptions'!$B$33/12)*O71*AV71</f>
        <v>7.5078572852741798</v>
      </c>
      <c r="AN72">
        <f t="shared" si="43"/>
        <v>5.2856109945484322</v>
      </c>
      <c r="AO72">
        <f t="shared" si="46"/>
        <v>7.0323513694160959E-3</v>
      </c>
      <c r="AP72" s="121">
        <f t="shared" si="37"/>
        <v>0</v>
      </c>
      <c r="AQ72">
        <f t="shared" si="19"/>
        <v>0</v>
      </c>
      <c r="AR72">
        <v>0</v>
      </c>
      <c r="AS72">
        <f t="shared" si="4"/>
        <v>0</v>
      </c>
      <c r="AT72">
        <f t="shared" si="20"/>
        <v>0</v>
      </c>
      <c r="AU72">
        <f>IFERROR(HLOOKUP(B72,'Real assumptions'!$B$43:$AL$44,2,TRUE)*($W$3/$U$2),0)</f>
        <v>0</v>
      </c>
      <c r="AV72">
        <f>AV71*(1+'Real assumptions'!$B$35)^(1/12)</f>
        <v>1.0640821536254883</v>
      </c>
      <c r="AW72">
        <f t="shared" si="47"/>
        <v>2023</v>
      </c>
      <c r="AX72">
        <f t="shared" si="40"/>
        <v>0</v>
      </c>
      <c r="AY72">
        <f t="shared" si="38"/>
        <v>2.9726515095494115</v>
      </c>
      <c r="AZ72">
        <f t="shared" si="6"/>
        <v>159.40492836492368</v>
      </c>
      <c r="BA72">
        <f t="shared" si="41"/>
        <v>4.9680485320999983</v>
      </c>
      <c r="BB72">
        <f t="shared" si="21"/>
        <v>93.916666666666671</v>
      </c>
      <c r="BC72">
        <f t="shared" si="7"/>
        <v>56.349999999999994</v>
      </c>
      <c r="BD72">
        <f t="shared" si="22"/>
        <v>0</v>
      </c>
      <c r="BE72">
        <f t="shared" si="8"/>
        <v>24</v>
      </c>
      <c r="BF72">
        <f t="shared" si="39"/>
        <v>5000</v>
      </c>
      <c r="BU72"/>
      <c r="FD72"/>
      <c r="FE72"/>
    </row>
    <row r="73" spans="1:161" x14ac:dyDescent="0.25">
      <c r="A73" s="7">
        <f t="shared" si="23"/>
        <v>45322</v>
      </c>
      <c r="B73">
        <f t="shared" si="9"/>
        <v>62</v>
      </c>
      <c r="C73">
        <f t="shared" si="10"/>
        <v>5.083333333333333</v>
      </c>
      <c r="D73">
        <f t="shared" si="11"/>
        <v>0</v>
      </c>
      <c r="E73">
        <f t="shared" si="12"/>
        <v>57</v>
      </c>
      <c r="F73">
        <f>IF(C73&gt;=$T$2,0,VLOOKUP($E73,EKM_F05!$A$3:$C$128,2,TRUE))</f>
        <v>5.9537179487179487E-3</v>
      </c>
      <c r="G73">
        <f>F73*'Real assumptions'!$B$3</f>
        <v>2.4844864999999999E-3</v>
      </c>
      <c r="H73">
        <f t="shared" si="24"/>
        <v>2.0727667839559594E-4</v>
      </c>
      <c r="I73">
        <f t="shared" si="25"/>
        <v>1.4531363191088077E-4</v>
      </c>
      <c r="J73">
        <f>IF(B73&gt;$AJ$2,0,HLOOKUP(C73,'Real assumptions'!$B$5:$L$8,4,TRUE))</f>
        <v>5.6299999999999996E-2</v>
      </c>
      <c r="K73">
        <f t="shared" si="0"/>
        <v>1</v>
      </c>
      <c r="L73">
        <f t="shared" si="26"/>
        <v>8.3333333333333329E-2</v>
      </c>
      <c r="M73">
        <f t="shared" si="27"/>
        <v>4.8172728720562441E-3</v>
      </c>
      <c r="N73">
        <f t="shared" si="28"/>
        <v>3.3850062263628519E-3</v>
      </c>
      <c r="O73" s="8">
        <f t="shared" si="13"/>
        <v>0.69922353466919318</v>
      </c>
      <c r="P73">
        <f t="shared" si="14"/>
        <v>16.866092508659204</v>
      </c>
      <c r="Q73">
        <f t="shared" si="29"/>
        <v>0.72656815955440379</v>
      </c>
      <c r="R73" s="89">
        <f t="shared" si="1"/>
        <v>5000</v>
      </c>
      <c r="S73">
        <f t="shared" si="2"/>
        <v>0.83333333333333304</v>
      </c>
      <c r="U73">
        <f>O72*AV72*'Real assumptions'!$B$33/12+AX73*'Real assumptions'!$B$34</f>
        <v>7.4778783499420003</v>
      </c>
      <c r="V73">
        <f>IF(P73=0,0,IF(E73&lt;=$C$7,$AN$5*O72,0))*'Real assumptions'!$D$28</f>
        <v>4.2165231271648009</v>
      </c>
      <c r="X73" s="94">
        <f t="shared" si="15"/>
        <v>0</v>
      </c>
      <c r="Y73">
        <f t="shared" si="3"/>
        <v>24</v>
      </c>
      <c r="Z73">
        <f t="shared" si="30"/>
        <v>93</v>
      </c>
      <c r="AA73">
        <f t="shared" si="16"/>
        <v>93.833333333333329</v>
      </c>
      <c r="AB73">
        <f t="shared" si="17"/>
        <v>50.505050505050505</v>
      </c>
      <c r="AC73">
        <f t="shared" si="31"/>
        <v>4739.0572390572388</v>
      </c>
      <c r="AD73">
        <f t="shared" si="18"/>
        <v>80.505050505050505</v>
      </c>
      <c r="AE73">
        <f t="shared" si="32"/>
        <v>260.9427609427612</v>
      </c>
      <c r="AF73" s="94">
        <f t="shared" si="42"/>
        <v>0</v>
      </c>
      <c r="AG73">
        <f t="shared" si="33"/>
        <v>0</v>
      </c>
      <c r="AH73">
        <f t="shared" si="34"/>
        <v>0</v>
      </c>
      <c r="AI73">
        <f>HLOOKUP(AW73,'Real assumptions'!$A$21:$AK$24,2,TRUE)</f>
        <v>1.6029</v>
      </c>
      <c r="AJ73" s="123">
        <f t="shared" si="35"/>
        <v>1.3260360807296756E-3</v>
      </c>
      <c r="AK73" s="122">
        <f>(1+HLOOKUP(YEAR(A73),'Real assumptions'!$A$21:$AK$24,2,TRUE)/100)^(1/12)-1</f>
        <v>1.3260360807296756E-3</v>
      </c>
      <c r="AL73">
        <f t="shared" si="36"/>
        <v>7.4778783499420003</v>
      </c>
      <c r="AM73">
        <f>('Real assumptions'!$B$33/12)*O72*AV72</f>
        <v>7.4778783499420003</v>
      </c>
      <c r="AN73">
        <f t="shared" si="43"/>
        <v>5.1716910315524016</v>
      </c>
      <c r="AO73">
        <f t="shared" si="46"/>
        <v>6.8578489062245595E-3</v>
      </c>
      <c r="AP73" s="121">
        <f t="shared" si="37"/>
        <v>6.8578489062245595E-3</v>
      </c>
      <c r="AQ73">
        <f t="shared" si="19"/>
        <v>0</v>
      </c>
      <c r="AR73">
        <v>0</v>
      </c>
      <c r="AS73">
        <f t="shared" si="4"/>
        <v>0</v>
      </c>
      <c r="AT73">
        <f t="shared" si="20"/>
        <v>0</v>
      </c>
      <c r="AU73">
        <f>IFERROR(HLOOKUP(B73,'Real assumptions'!$B$43:$AL$44,2,TRUE)*($W$3/$U$2),0)</f>
        <v>0</v>
      </c>
      <c r="AV73">
        <f>AV72*(1+'Real assumptions'!$B$35)^(1/12)</f>
        <v>1.0651842724754175</v>
      </c>
      <c r="AW73">
        <f t="shared" si="47"/>
        <v>2024</v>
      </c>
      <c r="AX73">
        <f t="shared" si="40"/>
        <v>0</v>
      </c>
      <c r="AY73">
        <f t="shared" si="38"/>
        <v>2.9577182429607189</v>
      </c>
      <c r="AZ73">
        <f t="shared" si="6"/>
        <v>164.06142792337968</v>
      </c>
      <c r="BA73">
        <f t="shared" si="41"/>
        <v>4.9430912867192047</v>
      </c>
      <c r="BB73">
        <f t="shared" si="21"/>
        <v>93.833333333333329</v>
      </c>
      <c r="BC73">
        <f t="shared" si="7"/>
        <v>56.3</v>
      </c>
      <c r="BD73">
        <f t="shared" si="22"/>
        <v>0</v>
      </c>
      <c r="BE73">
        <f t="shared" si="8"/>
        <v>24</v>
      </c>
      <c r="BF73">
        <f t="shared" si="39"/>
        <v>5000</v>
      </c>
      <c r="BU73"/>
      <c r="FD73"/>
      <c r="FE73"/>
    </row>
    <row r="74" spans="1:161" x14ac:dyDescent="0.25">
      <c r="A74" s="7">
        <f t="shared" si="23"/>
        <v>45351</v>
      </c>
      <c r="B74">
        <f t="shared" si="9"/>
        <v>63</v>
      </c>
      <c r="C74">
        <f t="shared" si="10"/>
        <v>5.166666666666667</v>
      </c>
      <c r="D74">
        <f t="shared" si="11"/>
        <v>0</v>
      </c>
      <c r="E74">
        <f t="shared" si="12"/>
        <v>57</v>
      </c>
      <c r="F74">
        <f>IF(C74&gt;=$T$2,0,VLOOKUP($E74,EKM_F05!$A$3:$C$128,2,TRUE))</f>
        <v>5.9537179487179487E-3</v>
      </c>
      <c r="G74">
        <f>F74*'Real assumptions'!$B$3</f>
        <v>2.4844864999999999E-3</v>
      </c>
      <c r="H74">
        <f t="shared" si="24"/>
        <v>2.0727667839559594E-4</v>
      </c>
      <c r="I74">
        <f t="shared" si="25"/>
        <v>1.4458364146385889E-4</v>
      </c>
      <c r="J74">
        <f>IF(B74&gt;$AJ$2,0,HLOOKUP(C74,'Real assumptions'!$B$5:$L$8,4,TRUE))</f>
        <v>5.6299999999999996E-2</v>
      </c>
      <c r="K74">
        <f t="shared" si="0"/>
        <v>1</v>
      </c>
      <c r="L74">
        <f t="shared" si="26"/>
        <v>8.3333333333333329E-2</v>
      </c>
      <c r="M74">
        <f t="shared" si="27"/>
        <v>4.8172728720562441E-3</v>
      </c>
      <c r="N74">
        <f t="shared" si="28"/>
        <v>3.3680014748067835E-3</v>
      </c>
      <c r="O74" s="8">
        <f t="shared" si="13"/>
        <v>0.69571094955292256</v>
      </c>
      <c r="P74">
        <f t="shared" si="14"/>
        <v>16.781364832060635</v>
      </c>
      <c r="Q74">
        <f t="shared" si="29"/>
        <v>0.72291820731929446</v>
      </c>
      <c r="R74" s="89">
        <f t="shared" si="1"/>
        <v>5000</v>
      </c>
      <c r="S74">
        <f t="shared" si="2"/>
        <v>0.75</v>
      </c>
      <c r="U74">
        <f>O73*AV73*'Real assumptions'!$B$33/12+AX74*'Real assumptions'!$B$34</f>
        <v>7.448019120742944</v>
      </c>
      <c r="V74">
        <f>IF(P74=0,0,IF(E74&lt;=$C$7,$AN$5*O73,0))*'Real assumptions'!$D$28</f>
        <v>4.1953412080151589</v>
      </c>
      <c r="X74" s="94">
        <f t="shared" si="15"/>
        <v>0</v>
      </c>
      <c r="Y74">
        <f t="shared" si="3"/>
        <v>24</v>
      </c>
      <c r="Z74">
        <f t="shared" si="30"/>
        <v>93</v>
      </c>
      <c r="AA74">
        <f t="shared" si="16"/>
        <v>93.75</v>
      </c>
      <c r="AB74">
        <f t="shared" si="17"/>
        <v>50.505050505050505</v>
      </c>
      <c r="AC74">
        <f t="shared" si="31"/>
        <v>4734.848484848485</v>
      </c>
      <c r="AD74">
        <f t="shared" si="18"/>
        <v>80.505050505050505</v>
      </c>
      <c r="AE74">
        <f t="shared" si="32"/>
        <v>265.15151515151501</v>
      </c>
      <c r="AF74" s="94">
        <f t="shared" si="42"/>
        <v>0</v>
      </c>
      <c r="AG74">
        <f t="shared" si="33"/>
        <v>0</v>
      </c>
      <c r="AH74">
        <f t="shared" si="34"/>
        <v>0</v>
      </c>
      <c r="AI74">
        <f>HLOOKUP(AW74,'Real assumptions'!$A$21:$AK$24,2,TRUE)</f>
        <v>1.6029</v>
      </c>
      <c r="AJ74" s="123">
        <f t="shared" si="35"/>
        <v>1.3260360807296756E-3</v>
      </c>
      <c r="AK74" s="122">
        <f>(1+HLOOKUP(YEAR(A74),'Real assumptions'!$A$21:$AK$24,2,TRUE)/100)^(1/12)-1</f>
        <v>1.3260360807296756E-3</v>
      </c>
      <c r="AL74">
        <f t="shared" si="36"/>
        <v>7.448019120742944</v>
      </c>
      <c r="AM74">
        <f>('Real assumptions'!$B$33/12)*O73*AV73</f>
        <v>7.448019120742944</v>
      </c>
      <c r="AN74">
        <f t="shared" si="43"/>
        <v>5.1448623522087589</v>
      </c>
      <c r="AO74">
        <f t="shared" si="46"/>
        <v>6.8222731094165628E-3</v>
      </c>
      <c r="AP74" s="121">
        <f t="shared" si="37"/>
        <v>1.3680122015641123E-2</v>
      </c>
      <c r="AQ74">
        <f t="shared" si="19"/>
        <v>0</v>
      </c>
      <c r="AR74">
        <v>0</v>
      </c>
      <c r="AS74">
        <f t="shared" si="4"/>
        <v>0</v>
      </c>
      <c r="AT74">
        <f t="shared" si="20"/>
        <v>0</v>
      </c>
      <c r="AU74">
        <f>IFERROR(HLOOKUP(B74,'Real assumptions'!$B$43:$AL$44,2,TRUE)*($W$3/$U$2),0)</f>
        <v>0</v>
      </c>
      <c r="AV74">
        <f>AV73*(1+'Real assumptions'!$B$35)^(1/12)</f>
        <v>1.0662875328405532</v>
      </c>
      <c r="AW74">
        <f t="shared" si="47"/>
        <v>2024</v>
      </c>
      <c r="AX74">
        <f t="shared" si="40"/>
        <v>0</v>
      </c>
      <c r="AY74">
        <f t="shared" si="38"/>
        <v>2.9428599943989608</v>
      </c>
      <c r="AZ74">
        <f t="shared" si="6"/>
        <v>168.69406559224535</v>
      </c>
      <c r="BA74">
        <f t="shared" si="41"/>
        <v>4.918259415334453</v>
      </c>
      <c r="BB74">
        <f t="shared" si="21"/>
        <v>93.75</v>
      </c>
      <c r="BC74">
        <f t="shared" si="7"/>
        <v>56.25</v>
      </c>
      <c r="BD74">
        <f t="shared" si="22"/>
        <v>0</v>
      </c>
      <c r="BE74">
        <f t="shared" si="8"/>
        <v>24</v>
      </c>
      <c r="BF74">
        <f t="shared" si="39"/>
        <v>5000</v>
      </c>
      <c r="BU74"/>
      <c r="FD74"/>
      <c r="FE74"/>
    </row>
    <row r="75" spans="1:161" x14ac:dyDescent="0.25">
      <c r="A75" s="7">
        <f t="shared" si="23"/>
        <v>45382</v>
      </c>
      <c r="B75">
        <f t="shared" si="9"/>
        <v>64</v>
      </c>
      <c r="C75">
        <f t="shared" si="10"/>
        <v>5.25</v>
      </c>
      <c r="D75">
        <f t="shared" si="11"/>
        <v>0</v>
      </c>
      <c r="E75">
        <f t="shared" si="12"/>
        <v>57</v>
      </c>
      <c r="F75">
        <f>IF(C75&gt;=$T$2,0,VLOOKUP($E75,EKM_F05!$A$3:$C$128,2,TRUE))</f>
        <v>5.9537179487179487E-3</v>
      </c>
      <c r="G75">
        <f>F75*'Real assumptions'!$B$3</f>
        <v>2.4844864999999999E-3</v>
      </c>
      <c r="H75">
        <f t="shared" si="24"/>
        <v>2.0727667839559594E-4</v>
      </c>
      <c r="I75">
        <f t="shared" si="25"/>
        <v>1.4385731816110787E-4</v>
      </c>
      <c r="J75">
        <f>IF(B75&gt;$AJ$2,0,HLOOKUP(C75,'Real assumptions'!$B$5:$L$8,4,TRUE))</f>
        <v>5.6299999999999996E-2</v>
      </c>
      <c r="K75">
        <f t="shared" si="0"/>
        <v>1</v>
      </c>
      <c r="L75">
        <f t="shared" si="26"/>
        <v>8.3333333333333329E-2</v>
      </c>
      <c r="M75">
        <f t="shared" si="27"/>
        <v>4.8172728720562441E-3</v>
      </c>
      <c r="N75">
        <f t="shared" si="28"/>
        <v>3.3510821474881159E-3</v>
      </c>
      <c r="O75" s="8">
        <f t="shared" si="13"/>
        <v>0.69221601008727329</v>
      </c>
      <c r="P75">
        <f t="shared" si="14"/>
        <v>16.697062789270142</v>
      </c>
      <c r="Q75">
        <f t="shared" si="29"/>
        <v>0.71928659080553936</v>
      </c>
      <c r="R75" s="89">
        <f t="shared" si="1"/>
        <v>5000</v>
      </c>
      <c r="S75">
        <f t="shared" si="2"/>
        <v>0.66666666666666696</v>
      </c>
      <c r="U75">
        <f>O74*AV74*'Real assumptions'!$B$33/12+AX75*'Real assumptions'!$B$34</f>
        <v>7.4182791196894442</v>
      </c>
      <c r="V75">
        <f>IF(P75=0,0,IF(E75&lt;=$C$7,$AN$5*O74,0))*'Real assumptions'!$D$28</f>
        <v>4.1742656973175354</v>
      </c>
      <c r="X75" s="94">
        <f t="shared" si="15"/>
        <v>0</v>
      </c>
      <c r="Y75">
        <f t="shared" si="3"/>
        <v>24</v>
      </c>
      <c r="Z75">
        <f t="shared" si="30"/>
        <v>93</v>
      </c>
      <c r="AA75">
        <f t="shared" si="16"/>
        <v>93.666666666666671</v>
      </c>
      <c r="AB75">
        <f t="shared" si="17"/>
        <v>50.505050505050505</v>
      </c>
      <c r="AC75">
        <f t="shared" si="31"/>
        <v>4730.6397306397312</v>
      </c>
      <c r="AD75">
        <f t="shared" si="18"/>
        <v>80.505050505050505</v>
      </c>
      <c r="AE75">
        <f t="shared" si="32"/>
        <v>269.36026936026883</v>
      </c>
      <c r="AF75" s="94">
        <f t="shared" si="42"/>
        <v>0</v>
      </c>
      <c r="AG75">
        <f t="shared" si="33"/>
        <v>0</v>
      </c>
      <c r="AH75">
        <f t="shared" si="34"/>
        <v>0</v>
      </c>
      <c r="AI75">
        <f>HLOOKUP(AW75,'Real assumptions'!$A$21:$AK$24,2,TRUE)</f>
        <v>1.6029</v>
      </c>
      <c r="AJ75" s="123">
        <f t="shared" si="35"/>
        <v>1.3260360807296756E-3</v>
      </c>
      <c r="AK75" s="122">
        <f>(1+HLOOKUP(YEAR(A75),'Real assumptions'!$A$21:$AK$24,2,TRUE)/100)^(1/12)-1</f>
        <v>1.3260360807296756E-3</v>
      </c>
      <c r="AL75">
        <f t="shared" si="36"/>
        <v>7.4182791196894442</v>
      </c>
      <c r="AM75">
        <f>('Real assumptions'!$B$33/12)*O74*AV74</f>
        <v>7.4182791196894442</v>
      </c>
      <c r="AN75">
        <f t="shared" si="43"/>
        <v>5.1181980942788048</v>
      </c>
      <c r="AO75">
        <f t="shared" si="46"/>
        <v>6.7869153413355606E-3</v>
      </c>
      <c r="AP75" s="121">
        <f t="shared" si="37"/>
        <v>2.0467037356976685E-2</v>
      </c>
      <c r="AQ75">
        <f t="shared" si="19"/>
        <v>0</v>
      </c>
      <c r="AR75">
        <v>0</v>
      </c>
      <c r="AS75">
        <f t="shared" si="4"/>
        <v>0</v>
      </c>
      <c r="AT75">
        <f t="shared" si="20"/>
        <v>0</v>
      </c>
      <c r="AU75">
        <f>IFERROR(HLOOKUP(B75,'Real assumptions'!$B$43:$AL$44,2,TRUE)*($W$3/$U$2),0)</f>
        <v>0</v>
      </c>
      <c r="AV75">
        <f>AV74*(1+'Real assumptions'!$B$35)^(1/12)</f>
        <v>1.0673919359032153</v>
      </c>
      <c r="AW75">
        <f t="shared" si="47"/>
        <v>2024</v>
      </c>
      <c r="AX75">
        <f t="shared" si="40"/>
        <v>0</v>
      </c>
      <c r="AY75">
        <f t="shared" si="38"/>
        <v>2.9280763870072497</v>
      </c>
      <c r="AZ75">
        <f t="shared" si="6"/>
        <v>173.30299139128329</v>
      </c>
      <c r="BA75">
        <f t="shared" si="41"/>
        <v>4.8935522881230744</v>
      </c>
      <c r="BB75">
        <f t="shared" si="21"/>
        <v>93.666666666666671</v>
      </c>
      <c r="BC75">
        <f t="shared" si="7"/>
        <v>56.2</v>
      </c>
      <c r="BD75">
        <f t="shared" si="22"/>
        <v>0</v>
      </c>
      <c r="BE75">
        <f t="shared" si="8"/>
        <v>24</v>
      </c>
      <c r="BF75">
        <f t="shared" si="39"/>
        <v>5000</v>
      </c>
      <c r="BU75"/>
      <c r="FD75"/>
      <c r="FE75"/>
    </row>
    <row r="76" spans="1:161" x14ac:dyDescent="0.25">
      <c r="A76" s="7">
        <f t="shared" si="23"/>
        <v>45412</v>
      </c>
      <c r="B76">
        <f t="shared" si="9"/>
        <v>65</v>
      </c>
      <c r="C76">
        <f t="shared" si="10"/>
        <v>5.333333333333333</v>
      </c>
      <c r="D76">
        <f t="shared" si="11"/>
        <v>0</v>
      </c>
      <c r="E76">
        <f t="shared" si="12"/>
        <v>57</v>
      </c>
      <c r="F76">
        <f>IF(C76&gt;=$T$2,0,VLOOKUP($E76,EKM_F05!$A$3:$C$128,2,TRUE))</f>
        <v>5.9537179487179487E-3</v>
      </c>
      <c r="G76">
        <f>F76*'Real assumptions'!$B$3</f>
        <v>2.4844864999999999E-3</v>
      </c>
      <c r="H76">
        <f t="shared" si="24"/>
        <v>2.0727667839559594E-4</v>
      </c>
      <c r="I76">
        <f t="shared" si="25"/>
        <v>1.4313464358054132E-4</v>
      </c>
      <c r="J76">
        <f>IF(B76&gt;$AJ$2,0,HLOOKUP(C76,'Real assumptions'!$B$5:$L$8,4,TRUE))</f>
        <v>5.6299999999999996E-2</v>
      </c>
      <c r="K76">
        <f t="shared" ref="K76:K139" si="48">IF(B76&gt;$AJ$2,0,IF(($U$2*(B76+11))/12-INT(($U$2*(B76+11))/12)=0,1,0))</f>
        <v>1</v>
      </c>
      <c r="L76">
        <f t="shared" si="26"/>
        <v>8.3333333333333329E-2</v>
      </c>
      <c r="M76">
        <f t="shared" si="27"/>
        <v>4.8172728720562441E-3</v>
      </c>
      <c r="N76">
        <f t="shared" si="28"/>
        <v>3.3342478152738318E-3</v>
      </c>
      <c r="O76" s="8">
        <f t="shared" si="13"/>
        <v>0.68873862762841898</v>
      </c>
      <c r="P76">
        <f t="shared" si="14"/>
        <v>16.613184242094558</v>
      </c>
      <c r="Q76">
        <f t="shared" si="29"/>
        <v>0.71567321790270655</v>
      </c>
      <c r="R76" s="89">
        <f t="shared" ref="R76:R139" si="49">$AI$2</f>
        <v>5000</v>
      </c>
      <c r="S76">
        <f t="shared" ref="S76:S139" si="50">INT(B76/12)+1-B76/12</f>
        <v>0.58333333333333304</v>
      </c>
      <c r="U76">
        <f>O75*AV75*'Real assumptions'!$B$33/12+AX76*'Real assumptions'!$B$34</f>
        <v>7.3886578707025423</v>
      </c>
      <c r="V76">
        <f>IF(P76=0,0,IF(E76&lt;=$C$7,$AN$5*O75,0))*'Real assumptions'!$D$28</f>
        <v>4.1532960605236395</v>
      </c>
      <c r="X76" s="94">
        <f t="shared" si="15"/>
        <v>0</v>
      </c>
      <c r="Y76">
        <f t="shared" ref="Y76:Y139" si="51">IF(P76=0,0,$AN$5)</f>
        <v>24</v>
      </c>
      <c r="Z76">
        <f t="shared" si="30"/>
        <v>93</v>
      </c>
      <c r="AA76">
        <f t="shared" ref="AA76:AA139" si="52">99-(B76/12)</f>
        <v>93.583333333333329</v>
      </c>
      <c r="AB76">
        <f t="shared" si="17"/>
        <v>50.505050505050505</v>
      </c>
      <c r="AC76">
        <f t="shared" si="31"/>
        <v>4726.4309764309764</v>
      </c>
      <c r="AD76">
        <f t="shared" si="18"/>
        <v>80.505050505050505</v>
      </c>
      <c r="AE76">
        <f t="shared" si="32"/>
        <v>273.56902356902356</v>
      </c>
      <c r="AF76" s="94">
        <f t="shared" si="42"/>
        <v>0</v>
      </c>
      <c r="AG76">
        <f t="shared" si="33"/>
        <v>0</v>
      </c>
      <c r="AH76">
        <f t="shared" si="34"/>
        <v>0</v>
      </c>
      <c r="AI76">
        <f>HLOOKUP(AW76,'Real assumptions'!$A$21:$AK$24,2,TRUE)</f>
        <v>1.6029</v>
      </c>
      <c r="AJ76" s="123">
        <f t="shared" si="35"/>
        <v>1.3260360807296756E-3</v>
      </c>
      <c r="AK76" s="122">
        <f>(1+HLOOKUP(YEAR(A76),'Real assumptions'!$A$21:$AK$24,2,TRUE)/100)^(1/12)-1</f>
        <v>1.3260360807296756E-3</v>
      </c>
      <c r="AL76">
        <f t="shared" si="36"/>
        <v>7.3886578707025423</v>
      </c>
      <c r="AM76">
        <f>('Real assumptions'!$B$33/12)*O75*AV75</f>
        <v>7.3886578707025432</v>
      </c>
      <c r="AN76">
        <f t="shared" si="43"/>
        <v>5.0916973482253516</v>
      </c>
      <c r="AO76">
        <f t="shared" si="46"/>
        <v>6.7517743959024275E-3</v>
      </c>
      <c r="AP76" s="121">
        <f t="shared" si="37"/>
        <v>2.7218811752879112E-2</v>
      </c>
      <c r="AQ76">
        <f t="shared" si="19"/>
        <v>0</v>
      </c>
      <c r="AR76">
        <v>0</v>
      </c>
      <c r="AS76">
        <f t="shared" ref="AS76:AS139" si="53">IF(B76&gt;$B$12,IF(B76&lt;=$AJ$2,AT76,0),0)</f>
        <v>0</v>
      </c>
      <c r="AT76">
        <f t="shared" si="20"/>
        <v>0</v>
      </c>
      <c r="AU76">
        <f>IFERROR(HLOOKUP(B76,'Real assumptions'!$B$43:$AL$44,2,TRUE)*($W$3/$U$2),0)</f>
        <v>0</v>
      </c>
      <c r="AV76">
        <f>AV75*(1+'Real assumptions'!$B$35)^(1/12)</f>
        <v>1.0684974828469482</v>
      </c>
      <c r="AW76">
        <f t="shared" ref="AW76:AW139" si="54">YEAR(A76)</f>
        <v>2024</v>
      </c>
      <c r="AX76">
        <f t="shared" si="40"/>
        <v>0</v>
      </c>
      <c r="AY76">
        <f t="shared" si="38"/>
        <v>2.913367045821857</v>
      </c>
      <c r="AZ76">
        <f t="shared" ref="AZ76:AZ139" si="55">(AZ77+BA77-P77+U77+AQ77)/((1+AJ77))</f>
        <v>177.88835450373219</v>
      </c>
      <c r="BA76">
        <f t="shared" si="41"/>
        <v>4.8689692784263459</v>
      </c>
      <c r="BB76">
        <f t="shared" si="21"/>
        <v>93.583333333333329</v>
      </c>
      <c r="BC76">
        <f t="shared" ref="BC76:BC139" si="56">$AQ$5*BB76+IF($W$3=0,0,$AP$5*AA76)</f>
        <v>56.149999999999991</v>
      </c>
      <c r="BD76">
        <f t="shared" si="22"/>
        <v>0</v>
      </c>
      <c r="BE76">
        <f t="shared" ref="BE76:BE139" si="57">IF(B76=1,$AR$5,IF(P76=0,0,$W$3/$U$2))</f>
        <v>24</v>
      </c>
      <c r="BF76">
        <f t="shared" si="39"/>
        <v>5000</v>
      </c>
      <c r="BU76"/>
      <c r="FD76"/>
      <c r="FE76"/>
    </row>
    <row r="77" spans="1:161" x14ac:dyDescent="0.25">
      <c r="A77" s="7">
        <f t="shared" si="23"/>
        <v>45443</v>
      </c>
      <c r="B77">
        <f t="shared" ref="B77:B140" si="58">B76+1</f>
        <v>66</v>
      </c>
      <c r="C77">
        <f t="shared" ref="C77:C140" si="59">(B77+11)/12-1</f>
        <v>5.416666666666667</v>
      </c>
      <c r="D77">
        <f t="shared" ref="D77:D140" si="60">IF(C77-INT(C77)=0,1,0)</f>
        <v>0</v>
      </c>
      <c r="E77">
        <f t="shared" ref="E77:E140" si="61">$C$2+INT($C77)</f>
        <v>57</v>
      </c>
      <c r="F77">
        <f>IF(C77&gt;=$T$2,0,VLOOKUP($E77,EKM_F05!$A$3:$C$128,2,TRUE))</f>
        <v>5.9537179487179487E-3</v>
      </c>
      <c r="G77">
        <f>F77*'Real assumptions'!$B$3</f>
        <v>2.4844864999999999E-3</v>
      </c>
      <c r="H77">
        <f t="shared" si="24"/>
        <v>2.0727667839559594E-4</v>
      </c>
      <c r="I77">
        <f t="shared" si="25"/>
        <v>1.4241559939261709E-4</v>
      </c>
      <c r="J77">
        <f>IF(B77&gt;$AJ$2,0,HLOOKUP(C77,'Real assumptions'!$B$5:$L$8,4,TRUE))</f>
        <v>5.6299999999999996E-2</v>
      </c>
      <c r="K77">
        <f t="shared" si="48"/>
        <v>1</v>
      </c>
      <c r="L77">
        <f t="shared" si="26"/>
        <v>8.3333333333333329E-2</v>
      </c>
      <c r="M77">
        <f t="shared" si="27"/>
        <v>4.8172728720562441E-3</v>
      </c>
      <c r="N77">
        <f t="shared" si="28"/>
        <v>3.3174980511866872E-3</v>
      </c>
      <c r="O77" s="8">
        <f t="shared" ref="O77:O140" si="62">IF(E78&gt;$C$5,0,IF(B77&gt;$AJ$2,0,O76-I77-N77))</f>
        <v>0.68527871397783968</v>
      </c>
      <c r="P77">
        <f t="shared" ref="P77:P140" si="63">IF($U$2=0,0,$W$3/$U$2*K77*O76)</f>
        <v>16.529727063082056</v>
      </c>
      <c r="Q77">
        <f t="shared" si="29"/>
        <v>0.71207799696308549</v>
      </c>
      <c r="R77" s="89">
        <f t="shared" si="49"/>
        <v>5000</v>
      </c>
      <c r="S77">
        <f t="shared" si="50"/>
        <v>0.5</v>
      </c>
      <c r="U77">
        <f>O76*AV76*'Real assumptions'!$B$33/12+AX77*'Real assumptions'!$B$34</f>
        <v>7.359154899604273</v>
      </c>
      <c r="V77">
        <f>IF(P77=0,0,IF(E77&lt;=$C$7,$AN$5*O76,0))*'Real assumptions'!$D$28</f>
        <v>4.1324317657705141</v>
      </c>
      <c r="X77" s="94">
        <f t="shared" ref="X77:X140" si="64">IF($U$2=12,0,IF($AM$2&lt;&gt;0,0,X76+Y77-($AN$5*($U$2/12))))</f>
        <v>0</v>
      </c>
      <c r="Y77">
        <f t="shared" si="51"/>
        <v>24</v>
      </c>
      <c r="Z77">
        <f t="shared" si="30"/>
        <v>93</v>
      </c>
      <c r="AA77">
        <f t="shared" si="52"/>
        <v>93.5</v>
      </c>
      <c r="AB77">
        <f t="shared" ref="AB77:AB140" si="65">IF($AM$2&lt;&gt;0,0,R77/99)</f>
        <v>50.505050505050505</v>
      </c>
      <c r="AC77">
        <f t="shared" si="31"/>
        <v>4722.2222222222226</v>
      </c>
      <c r="AD77">
        <f t="shared" ref="AD77:AD140" si="66">IF($AM$2&lt;&gt;0,0,AB77+$Q$4*$AI$2+$Q$5*$AI$2)</f>
        <v>80.505050505050505</v>
      </c>
      <c r="AE77">
        <f t="shared" ref="AE77:AE140" si="67">MIN($C$6*AD77*AA77,$AI$2-AC77+BD77)</f>
        <v>277.77777777777737</v>
      </c>
      <c r="AF77" s="94">
        <f t="shared" ref="AF77:AF140" si="68">MAX(($AI$2+$Y$2-AC77-AE77+X77+BD77),0)</f>
        <v>0</v>
      </c>
      <c r="AG77">
        <f t="shared" si="33"/>
        <v>0</v>
      </c>
      <c r="AH77">
        <f t="shared" ref="AH77:AH140" si="69">AF77*O77</f>
        <v>0</v>
      </c>
      <c r="AI77">
        <f>HLOOKUP(AW77,'Real assumptions'!$A$21:$AK$24,2,TRUE)</f>
        <v>1.6029</v>
      </c>
      <c r="AJ77" s="123">
        <f t="shared" si="35"/>
        <v>1.3260360807296756E-3</v>
      </c>
      <c r="AK77" s="122">
        <f>(1+HLOOKUP(YEAR(A77),'Real assumptions'!$A$21:$AK$24,2,TRUE)/100)^(1/12)-1</f>
        <v>1.3260360807296756E-3</v>
      </c>
      <c r="AL77">
        <f t="shared" si="36"/>
        <v>7.359154899604273</v>
      </c>
      <c r="AM77">
        <f>('Real assumptions'!$B$33/12)*O76*AV76</f>
        <v>7.3591548996042722</v>
      </c>
      <c r="AN77">
        <f t="shared" ref="AN77:AN140" si="70">AP76+P77+AH76-V77-AL77</f>
        <v>5.0653592094601469</v>
      </c>
      <c r="AO77">
        <f t="shared" si="46"/>
        <v>6.7168490736005011E-3</v>
      </c>
      <c r="AP77" s="121">
        <f t="shared" ref="AP77:AP140" si="71">IF(MONTH(A77)=12,0,AP76+AO77)</f>
        <v>3.3935660826479613E-2</v>
      </c>
      <c r="AQ77">
        <f t="shared" ref="AQ77:AQ140" si="72">IF(P77=0,0,AR77+AS77)</f>
        <v>0</v>
      </c>
      <c r="AR77">
        <v>0</v>
      </c>
      <c r="AS77">
        <f t="shared" si="53"/>
        <v>0</v>
      </c>
      <c r="AT77">
        <f t="shared" ref="AT77:AT140" si="73">IF(OR(B77&lt;=$B$12,B77&gt;$AJ$2),0,AU77*O76)</f>
        <v>0</v>
      </c>
      <c r="AU77">
        <f>IFERROR(HLOOKUP(B77,'Real assumptions'!$B$43:$AL$44,2,TRUE)*($W$3/$U$2),0)</f>
        <v>0</v>
      </c>
      <c r="AV77">
        <f>AV76*(1+'Real assumptions'!$B$35)^(1/12)</f>
        <v>1.0696041748565221</v>
      </c>
      <c r="AW77">
        <f t="shared" si="54"/>
        <v>2024</v>
      </c>
      <c r="AX77">
        <f t="shared" si="40"/>
        <v>0</v>
      </c>
      <c r="AY77">
        <f t="shared" si="38"/>
        <v>2.8987315977627057</v>
      </c>
      <c r="AZ77">
        <f t="shared" si="55"/>
        <v>182.45030328088995</v>
      </c>
      <c r="BA77">
        <f t="shared" ref="BA77:BA140" si="74">AG77+V77+Q77</f>
        <v>4.8445097627335993</v>
      </c>
      <c r="BB77">
        <f t="shared" ref="BB77:BB140" si="75">Z78+IF(S77=1,0,S77)</f>
        <v>93.5</v>
      </c>
      <c r="BC77">
        <f t="shared" si="56"/>
        <v>56.1</v>
      </c>
      <c r="BD77">
        <f t="shared" ref="BD77:BD140" si="76">(BC77/100)*($AI$2+$Y$2)-AA77*(AD77-AB77)</f>
        <v>0</v>
      </c>
      <c r="BE77">
        <f t="shared" si="57"/>
        <v>24</v>
      </c>
      <c r="BF77">
        <f t="shared" si="39"/>
        <v>5000</v>
      </c>
      <c r="BU77"/>
      <c r="FD77"/>
      <c r="FE77"/>
    </row>
    <row r="78" spans="1:161" x14ac:dyDescent="0.25">
      <c r="A78" s="7">
        <f t="shared" ref="A78:A141" si="77">DATE(YEAR(A77),MONTH(A77)+2,1)-1</f>
        <v>45473</v>
      </c>
      <c r="B78">
        <f t="shared" si="58"/>
        <v>67</v>
      </c>
      <c r="C78">
        <f t="shared" si="59"/>
        <v>5.5</v>
      </c>
      <c r="D78">
        <f t="shared" si="60"/>
        <v>0</v>
      </c>
      <c r="E78">
        <f t="shared" si="61"/>
        <v>57</v>
      </c>
      <c r="F78">
        <f>IF(C78&gt;=$T$2,0,VLOOKUP($E78,EKM_F05!$A$3:$C$128,2,TRUE))</f>
        <v>5.9537179487179487E-3</v>
      </c>
      <c r="G78">
        <f>F78*'Real assumptions'!$B$3</f>
        <v>2.4844864999999999E-3</v>
      </c>
      <c r="H78">
        <f t="shared" ref="H78:H141" si="78">(1-(1-G78)^(1/12))</f>
        <v>2.0727667839559594E-4</v>
      </c>
      <c r="I78">
        <f t="shared" ref="I78:I141" si="79">H78*O77*(1-M78/2)</f>
        <v>1.4170016735987246E-4</v>
      </c>
      <c r="J78">
        <f>IF(B78&gt;$AJ$2,0,HLOOKUP(C78,'Real assumptions'!$B$5:$L$8,4,TRUE))</f>
        <v>5.6299999999999996E-2</v>
      </c>
      <c r="K78">
        <f t="shared" si="48"/>
        <v>1</v>
      </c>
      <c r="L78">
        <f t="shared" ref="L78:L141" si="80">IF(B78&gt;$AJ$2,0,1/12)</f>
        <v>8.3333333333333329E-2</v>
      </c>
      <c r="M78">
        <f t="shared" ref="M78:M141" si="81">(1-(1-J78)^L78)</f>
        <v>4.8172728720562441E-3</v>
      </c>
      <c r="N78">
        <f t="shared" ref="N78:N141" si="82">M78*O77*(1-H78/2)</f>
        <v>3.3008324303943773E-3</v>
      </c>
      <c r="O78" s="8">
        <f t="shared" si="62"/>
        <v>0.68183618138008539</v>
      </c>
      <c r="P78">
        <f t="shared" si="63"/>
        <v>16.446689135468151</v>
      </c>
      <c r="Q78">
        <f t="shared" ref="Q78:Q141" si="83">BF78*I78</f>
        <v>0.70850083679936227</v>
      </c>
      <c r="R78" s="89">
        <f t="shared" si="49"/>
        <v>5000</v>
      </c>
      <c r="S78">
        <f t="shared" si="50"/>
        <v>0.41666666666666696</v>
      </c>
      <c r="U78">
        <f>O77*AV77*'Real assumptions'!$B$33/12+AX78*'Real assumptions'!$B$34</f>
        <v>7.3297697341100587</v>
      </c>
      <c r="V78">
        <f>IF(P78=0,0,IF(E78&lt;=$C$7,$AN$5*O77,0))*'Real assumptions'!$D$28</f>
        <v>4.1116722838670379</v>
      </c>
      <c r="X78" s="94">
        <f t="shared" si="64"/>
        <v>0</v>
      </c>
      <c r="Y78">
        <f t="shared" si="51"/>
        <v>24</v>
      </c>
      <c r="Z78">
        <f t="shared" ref="Z78:Z141" si="84">IF(S76=1,Z77-1,Z77)</f>
        <v>93</v>
      </c>
      <c r="AA78">
        <f t="shared" si="52"/>
        <v>93.416666666666671</v>
      </c>
      <c r="AB78">
        <f t="shared" si="65"/>
        <v>50.505050505050505</v>
      </c>
      <c r="AC78">
        <f t="shared" ref="AC78:AC141" si="85">AB78*AA78</f>
        <v>4718.0134680134679</v>
      </c>
      <c r="AD78">
        <f t="shared" si="66"/>
        <v>80.505050505050505</v>
      </c>
      <c r="AE78">
        <f t="shared" si="67"/>
        <v>281.9865319865321</v>
      </c>
      <c r="AF78" s="94">
        <f t="shared" si="68"/>
        <v>0</v>
      </c>
      <c r="AG78">
        <f t="shared" ref="AG78:AG141" si="86">IF(B78&lt;=$C$8,0,AF78*N78)</f>
        <v>0</v>
      </c>
      <c r="AH78">
        <f t="shared" si="69"/>
        <v>0</v>
      </c>
      <c r="AI78">
        <f>HLOOKUP(AW78,'Real assumptions'!$A$21:$AK$24,2,TRUE)</f>
        <v>1.6029</v>
      </c>
      <c r="AJ78" s="123">
        <f t="shared" ref="AJ78:AJ141" si="87">((1+AI78/100)^(1/12))-1</f>
        <v>1.3260360807296756E-3</v>
      </c>
      <c r="AK78" s="122">
        <f>(1+HLOOKUP(YEAR(A78),'Real assumptions'!$A$21:$AK$24,2,TRUE)/100)^(1/12)-1</f>
        <v>1.3260360807296756E-3</v>
      </c>
      <c r="AL78">
        <f t="shared" ref="AL78:AL141" si="88">AQ78+U78</f>
        <v>7.3297697341100587</v>
      </c>
      <c r="AM78">
        <f>('Real assumptions'!$B$33/12)*O77*AV77</f>
        <v>7.3297697341100587</v>
      </c>
      <c r="AN78">
        <f t="shared" si="70"/>
        <v>5.0391827783175351</v>
      </c>
      <c r="AO78">
        <f t="shared" si="46"/>
        <v>6.6821381814406618E-3</v>
      </c>
      <c r="AP78" s="121">
        <f t="shared" si="71"/>
        <v>4.0617799007920272E-2</v>
      </c>
      <c r="AQ78">
        <f t="shared" si="72"/>
        <v>0</v>
      </c>
      <c r="AR78">
        <v>0</v>
      </c>
      <c r="AS78">
        <f t="shared" si="53"/>
        <v>0</v>
      </c>
      <c r="AT78">
        <f t="shared" si="73"/>
        <v>0</v>
      </c>
      <c r="AU78">
        <f>IFERROR(HLOOKUP(B78,'Real assumptions'!$B$43:$AL$44,2,TRUE)*($W$3/$U$2),0)</f>
        <v>0</v>
      </c>
      <c r="AV78">
        <f>AV77*(1+'Real assumptions'!$B$35)^(1/12)</f>
        <v>1.0707120131179346</v>
      </c>
      <c r="AW78">
        <f t="shared" si="54"/>
        <v>2024</v>
      </c>
      <c r="AX78">
        <f t="shared" ref="AX78:AX141" si="89">MAX(0,AH77+AP77-V78+AY78)</f>
        <v>0</v>
      </c>
      <c r="AY78">
        <f t="shared" ref="AY78:AY141" si="90">IF(P78=0,0,(AB78/$U$2)*O77)</f>
        <v>2.884169671623904</v>
      </c>
      <c r="AZ78">
        <f t="shared" si="55"/>
        <v>186.9889852466722</v>
      </c>
      <c r="BA78">
        <f t="shared" si="74"/>
        <v>4.8201731206664</v>
      </c>
      <c r="BB78">
        <f t="shared" si="75"/>
        <v>93.416666666666671</v>
      </c>
      <c r="BC78">
        <f t="shared" si="56"/>
        <v>56.05</v>
      </c>
      <c r="BD78">
        <f t="shared" si="76"/>
        <v>0</v>
      </c>
      <c r="BE78">
        <f t="shared" si="57"/>
        <v>24</v>
      </c>
      <c r="BF78">
        <f t="shared" ref="BF78:BF141" si="91">((IF(B78&lt;13,BF77+BE78,$AI$2+$Y$2)))</f>
        <v>5000</v>
      </c>
      <c r="BU78"/>
      <c r="FD78"/>
      <c r="FE78"/>
    </row>
    <row r="79" spans="1:161" x14ac:dyDescent="0.25">
      <c r="A79" s="7">
        <f t="shared" si="77"/>
        <v>45504</v>
      </c>
      <c r="B79">
        <f t="shared" si="58"/>
        <v>68</v>
      </c>
      <c r="C79">
        <f t="shared" si="59"/>
        <v>5.583333333333333</v>
      </c>
      <c r="D79">
        <f t="shared" si="60"/>
        <v>0</v>
      </c>
      <c r="E79">
        <f t="shared" si="61"/>
        <v>57</v>
      </c>
      <c r="F79">
        <f>IF(C79&gt;=$T$2,0,VLOOKUP($E79,EKM_F05!$A$3:$C$128,2,TRUE))</f>
        <v>5.9537179487179487E-3</v>
      </c>
      <c r="G79">
        <f>F79*'Real assumptions'!$B$3</f>
        <v>2.4844864999999999E-3</v>
      </c>
      <c r="H79">
        <f t="shared" si="78"/>
        <v>2.0727667839559594E-4</v>
      </c>
      <c r="I79">
        <f t="shared" si="79"/>
        <v>1.4098832933646149E-4</v>
      </c>
      <c r="J79">
        <f>IF(B79&gt;$AJ$2,0,HLOOKUP(C79,'Real assumptions'!$B$5:$L$8,4,TRUE))</f>
        <v>5.6299999999999996E-2</v>
      </c>
      <c r="K79">
        <f t="shared" si="48"/>
        <v>1</v>
      </c>
      <c r="L79">
        <f t="shared" si="80"/>
        <v>8.3333333333333329E-2</v>
      </c>
      <c r="M79">
        <f t="shared" si="81"/>
        <v>4.8172728720562441E-3</v>
      </c>
      <c r="N79">
        <f t="shared" si="82"/>
        <v>3.2842505301987667E-3</v>
      </c>
      <c r="O79" s="8">
        <f t="shared" si="62"/>
        <v>0.67841094252055012</v>
      </c>
      <c r="P79">
        <f t="shared" si="63"/>
        <v>16.36406835312205</v>
      </c>
      <c r="Q79">
        <f t="shared" si="83"/>
        <v>0.70494164668230741</v>
      </c>
      <c r="R79" s="89">
        <f t="shared" si="49"/>
        <v>5000</v>
      </c>
      <c r="S79">
        <f t="shared" si="50"/>
        <v>0.33333333333333304</v>
      </c>
      <c r="U79">
        <f>O78*AV78*'Real assumptions'!$B$33/12+AX79*'Real assumptions'!$B$34</f>
        <v>7.3005019038211652</v>
      </c>
      <c r="V79">
        <f>IF(P79=0,0,IF(E79&lt;=$C$7,$AN$5*O78,0))*'Real assumptions'!$D$28</f>
        <v>4.0910170882805126</v>
      </c>
      <c r="X79" s="94">
        <f t="shared" si="64"/>
        <v>0</v>
      </c>
      <c r="Y79">
        <f t="shared" si="51"/>
        <v>24</v>
      </c>
      <c r="Z79">
        <f t="shared" si="84"/>
        <v>93</v>
      </c>
      <c r="AA79">
        <f t="shared" si="52"/>
        <v>93.333333333333329</v>
      </c>
      <c r="AB79">
        <f t="shared" si="65"/>
        <v>50.505050505050505</v>
      </c>
      <c r="AC79">
        <f t="shared" si="85"/>
        <v>4713.8047138047132</v>
      </c>
      <c r="AD79">
        <f t="shared" si="66"/>
        <v>80.505050505050505</v>
      </c>
      <c r="AE79">
        <f t="shared" si="67"/>
        <v>286.19528619528683</v>
      </c>
      <c r="AF79" s="94">
        <f t="shared" si="68"/>
        <v>0</v>
      </c>
      <c r="AG79">
        <f>IF(B79&lt;=$C$8,0,AF79*N79)</f>
        <v>0</v>
      </c>
      <c r="AH79">
        <f t="shared" si="69"/>
        <v>0</v>
      </c>
      <c r="AI79">
        <f>HLOOKUP(AW79,'Real assumptions'!$A$21:$AK$24,2,TRUE)</f>
        <v>1.6029</v>
      </c>
      <c r="AJ79" s="123">
        <f t="shared" si="87"/>
        <v>1.3260360807296756E-3</v>
      </c>
      <c r="AK79" s="122">
        <f>(1+HLOOKUP(YEAR(A79),'Real assumptions'!$A$21:$AK$24,2,TRUE)/100)^(1/12)-1</f>
        <v>1.3260360807296756E-3</v>
      </c>
      <c r="AL79">
        <f t="shared" si="88"/>
        <v>7.3005019038211652</v>
      </c>
      <c r="AM79">
        <f>('Real assumptions'!$B$33/12)*O78*AV78</f>
        <v>7.3005019038211643</v>
      </c>
      <c r="AN79">
        <f t="shared" si="70"/>
        <v>5.0131671600282912</v>
      </c>
      <c r="AO79">
        <f t="shared" si="46"/>
        <v>6.647640532926634E-3</v>
      </c>
      <c r="AP79" s="121">
        <f t="shared" si="71"/>
        <v>4.7265439540846908E-2</v>
      </c>
      <c r="AQ79">
        <f t="shared" si="72"/>
        <v>0</v>
      </c>
      <c r="AR79">
        <v>0</v>
      </c>
      <c r="AS79">
        <f t="shared" si="53"/>
        <v>0</v>
      </c>
      <c r="AT79">
        <f t="shared" si="73"/>
        <v>0</v>
      </c>
      <c r="AU79">
        <f>IFERROR(HLOOKUP(B79,'Real assumptions'!$B$43:$AL$44,2,TRUE)*($W$3/$U$2),0)</f>
        <v>0</v>
      </c>
      <c r="AV79">
        <f>AV78*(1+'Real assumptions'!$B$35)^(1/12)</f>
        <v>1.0718209988184111</v>
      </c>
      <c r="AW79">
        <f t="shared" si="54"/>
        <v>2024</v>
      </c>
      <c r="AX79">
        <f t="shared" si="89"/>
        <v>0</v>
      </c>
      <c r="AY79">
        <f t="shared" si="90"/>
        <v>2.8696808980643325</v>
      </c>
      <c r="AZ79">
        <f t="shared" si="55"/>
        <v>191.50454710214638</v>
      </c>
      <c r="BA79">
        <f t="shared" si="74"/>
        <v>4.7959587349628201</v>
      </c>
      <c r="BB79">
        <f t="shared" si="75"/>
        <v>93.333333333333329</v>
      </c>
      <c r="BC79">
        <f t="shared" si="56"/>
        <v>56</v>
      </c>
      <c r="BD79">
        <f t="shared" si="76"/>
        <v>0</v>
      </c>
      <c r="BE79">
        <f t="shared" si="57"/>
        <v>24</v>
      </c>
      <c r="BF79">
        <f t="shared" si="91"/>
        <v>5000</v>
      </c>
      <c r="BU79"/>
      <c r="FD79"/>
      <c r="FE79"/>
    </row>
    <row r="80" spans="1:161" x14ac:dyDescent="0.25">
      <c r="A80" s="7">
        <f t="shared" si="77"/>
        <v>45535</v>
      </c>
      <c r="B80">
        <f t="shared" si="58"/>
        <v>69</v>
      </c>
      <c r="C80">
        <f t="shared" si="59"/>
        <v>5.666666666666667</v>
      </c>
      <c r="D80">
        <f t="shared" si="60"/>
        <v>0</v>
      </c>
      <c r="E80">
        <f t="shared" si="61"/>
        <v>57</v>
      </c>
      <c r="F80">
        <f>IF(C80&gt;=$T$2,0,VLOOKUP($E80,EKM_F05!$A$3:$C$128,2,TRUE))</f>
        <v>5.9537179487179487E-3</v>
      </c>
      <c r="G80">
        <f>F80*'Real assumptions'!$B$3</f>
        <v>2.4844864999999999E-3</v>
      </c>
      <c r="H80">
        <f t="shared" si="78"/>
        <v>2.0727667839559594E-4</v>
      </c>
      <c r="I80">
        <f t="shared" si="79"/>
        <v>1.4028006726769486E-4</v>
      </c>
      <c r="J80">
        <f>IF(B80&gt;$AJ$2,0,HLOOKUP(C80,'Real assumptions'!$B$5:$L$8,4,TRUE))</f>
        <v>5.6299999999999996E-2</v>
      </c>
      <c r="K80">
        <f t="shared" si="48"/>
        <v>1</v>
      </c>
      <c r="L80">
        <f t="shared" si="80"/>
        <v>8.3333333333333329E-2</v>
      </c>
      <c r="M80">
        <f t="shared" si="81"/>
        <v>4.8172728720562441E-3</v>
      </c>
      <c r="N80">
        <f t="shared" si="82"/>
        <v>3.2677519300251638E-3</v>
      </c>
      <c r="O80" s="8">
        <f t="shared" si="62"/>
        <v>0.67500291052325723</v>
      </c>
      <c r="P80">
        <f t="shared" si="63"/>
        <v>16.281862620493204</v>
      </c>
      <c r="Q80">
        <f t="shared" si="83"/>
        <v>0.70140033633847432</v>
      </c>
      <c r="R80" s="89">
        <f t="shared" si="49"/>
        <v>5000</v>
      </c>
      <c r="S80">
        <f t="shared" si="50"/>
        <v>0.25</v>
      </c>
      <c r="U80">
        <f>O79*AV79*'Real assumptions'!$B$33/12+AX80*'Real assumptions'!$B$34</f>
        <v>7.2713509402171574</v>
      </c>
      <c r="V80">
        <f>IF(P80=0,0,IF(E80&lt;=$C$7,$AN$5*O79,0))*'Real assumptions'!$D$28</f>
        <v>4.0704656551233009</v>
      </c>
      <c r="X80" s="94">
        <f t="shared" si="64"/>
        <v>0</v>
      </c>
      <c r="Y80">
        <f t="shared" si="51"/>
        <v>24</v>
      </c>
      <c r="Z80">
        <f t="shared" si="84"/>
        <v>93</v>
      </c>
      <c r="AA80">
        <f t="shared" si="52"/>
        <v>93.25</v>
      </c>
      <c r="AB80">
        <f t="shared" si="65"/>
        <v>50.505050505050505</v>
      </c>
      <c r="AC80">
        <f t="shared" si="85"/>
        <v>4709.5959595959594</v>
      </c>
      <c r="AD80">
        <f t="shared" si="66"/>
        <v>80.505050505050505</v>
      </c>
      <c r="AE80">
        <f t="shared" si="67"/>
        <v>290.40404040404064</v>
      </c>
      <c r="AF80" s="94">
        <f t="shared" si="68"/>
        <v>0</v>
      </c>
      <c r="AG80">
        <f t="shared" si="86"/>
        <v>0</v>
      </c>
      <c r="AH80">
        <f t="shared" si="69"/>
        <v>0</v>
      </c>
      <c r="AI80">
        <f>HLOOKUP(AW80,'Real assumptions'!$A$21:$AK$24,2,TRUE)</f>
        <v>1.6029</v>
      </c>
      <c r="AJ80" s="123">
        <f t="shared" si="87"/>
        <v>1.3260360807296756E-3</v>
      </c>
      <c r="AK80" s="122">
        <f>(1+HLOOKUP(YEAR(A80),'Real assumptions'!$A$21:$AK$24,2,TRUE)/100)^(1/12)-1</f>
        <v>1.3260360807296756E-3</v>
      </c>
      <c r="AL80">
        <f t="shared" si="88"/>
        <v>7.2713509402171574</v>
      </c>
      <c r="AM80">
        <f>('Real assumptions'!$B$33/12)*O79*AV79</f>
        <v>7.2713509402171566</v>
      </c>
      <c r="AN80">
        <f t="shared" si="70"/>
        <v>4.9873114646935939</v>
      </c>
      <c r="AO80">
        <f t="shared" si="46"/>
        <v>6.6133549480204713E-3</v>
      </c>
      <c r="AP80" s="121">
        <f t="shared" si="71"/>
        <v>5.3878794488867378E-2</v>
      </c>
      <c r="AQ80">
        <f t="shared" si="72"/>
        <v>0</v>
      </c>
      <c r="AR80">
        <v>0</v>
      </c>
      <c r="AS80">
        <f t="shared" si="53"/>
        <v>0</v>
      </c>
      <c r="AT80">
        <f t="shared" si="73"/>
        <v>0</v>
      </c>
      <c r="AU80">
        <f>IFERROR(HLOOKUP(B80,'Real assumptions'!$B$43:$AL$44,2,TRUE)*($W$3/$U$2),0)</f>
        <v>0</v>
      </c>
      <c r="AV80">
        <f>AV79*(1+'Real assumptions'!$B$35)^(1/12)</f>
        <v>1.0729311331464073</v>
      </c>
      <c r="AW80">
        <f t="shared" si="54"/>
        <v>2024</v>
      </c>
      <c r="AX80">
        <f t="shared" si="89"/>
        <v>0</v>
      </c>
      <c r="AY80">
        <f t="shared" si="90"/>
        <v>2.8552649095982745</v>
      </c>
      <c r="AZ80">
        <f t="shared" si="55"/>
        <v>195.99713473004189</v>
      </c>
      <c r="BA80">
        <f t="shared" si="74"/>
        <v>4.7718659914617749</v>
      </c>
      <c r="BB80">
        <f t="shared" si="75"/>
        <v>93.25</v>
      </c>
      <c r="BC80">
        <f t="shared" si="56"/>
        <v>55.949999999999996</v>
      </c>
      <c r="BD80">
        <f t="shared" si="76"/>
        <v>0</v>
      </c>
      <c r="BE80">
        <f t="shared" si="57"/>
        <v>24</v>
      </c>
      <c r="BF80">
        <f t="shared" si="91"/>
        <v>5000</v>
      </c>
      <c r="BU80"/>
      <c r="FD80"/>
      <c r="FE80"/>
    </row>
    <row r="81" spans="1:161" x14ac:dyDescent="0.25">
      <c r="A81" s="7">
        <f t="shared" si="77"/>
        <v>45565</v>
      </c>
      <c r="B81">
        <f t="shared" si="58"/>
        <v>70</v>
      </c>
      <c r="C81">
        <f t="shared" si="59"/>
        <v>5.75</v>
      </c>
      <c r="D81">
        <f t="shared" si="60"/>
        <v>0</v>
      </c>
      <c r="E81">
        <f t="shared" si="61"/>
        <v>57</v>
      </c>
      <c r="F81">
        <f>IF(C81&gt;=$T$2,0,VLOOKUP($E81,EKM_F05!$A$3:$C$128,2,TRUE))</f>
        <v>5.9537179487179487E-3</v>
      </c>
      <c r="G81">
        <f>F81*'Real assumptions'!$B$3</f>
        <v>2.4844864999999999E-3</v>
      </c>
      <c r="H81">
        <f t="shared" si="78"/>
        <v>2.0727667839559594E-4</v>
      </c>
      <c r="I81">
        <f t="shared" si="79"/>
        <v>1.3957536318958186E-4</v>
      </c>
      <c r="J81">
        <f>IF(B81&gt;$AJ$2,0,HLOOKUP(C81,'Real assumptions'!$B$5:$L$8,4,TRUE))</f>
        <v>5.6299999999999996E-2</v>
      </c>
      <c r="K81">
        <f t="shared" si="48"/>
        <v>1</v>
      </c>
      <c r="L81">
        <f t="shared" si="80"/>
        <v>8.3333333333333329E-2</v>
      </c>
      <c r="M81">
        <f t="shared" si="81"/>
        <v>4.8172728720562441E-3</v>
      </c>
      <c r="N81">
        <f t="shared" si="82"/>
        <v>3.2513362114116569E-3</v>
      </c>
      <c r="O81" s="8">
        <f t="shared" si="62"/>
        <v>0.67161199894865609</v>
      </c>
      <c r="P81">
        <f t="shared" si="63"/>
        <v>16.200069852558173</v>
      </c>
      <c r="Q81">
        <f t="shared" si="83"/>
        <v>0.69787681594790929</v>
      </c>
      <c r="R81" s="89">
        <f t="shared" si="49"/>
        <v>5000</v>
      </c>
      <c r="S81">
        <f t="shared" si="50"/>
        <v>0.16666666666666696</v>
      </c>
      <c r="U81">
        <f>O80*AV80*'Real assumptions'!$B$33/12+AX81*'Real assumptions'!$B$34</f>
        <v>7.2423163766484135</v>
      </c>
      <c r="V81">
        <f>IF(P81=0,0,IF(E81&lt;=$C$7,$AN$5*O80,0))*'Real assumptions'!$D$28</f>
        <v>4.0500174631395431</v>
      </c>
      <c r="X81" s="94">
        <f t="shared" si="64"/>
        <v>0</v>
      </c>
      <c r="Y81">
        <f t="shared" si="51"/>
        <v>24</v>
      </c>
      <c r="Z81">
        <f t="shared" si="84"/>
        <v>93</v>
      </c>
      <c r="AA81">
        <f t="shared" si="52"/>
        <v>93.166666666666671</v>
      </c>
      <c r="AB81">
        <f t="shared" si="65"/>
        <v>50.505050505050505</v>
      </c>
      <c r="AC81">
        <f t="shared" si="85"/>
        <v>4705.3872053872055</v>
      </c>
      <c r="AD81">
        <f t="shared" si="66"/>
        <v>80.505050505050505</v>
      </c>
      <c r="AE81">
        <f t="shared" si="67"/>
        <v>294.61279461279446</v>
      </c>
      <c r="AF81" s="94">
        <f t="shared" si="68"/>
        <v>0</v>
      </c>
      <c r="AG81">
        <f t="shared" si="86"/>
        <v>0</v>
      </c>
      <c r="AH81">
        <f t="shared" si="69"/>
        <v>0</v>
      </c>
      <c r="AI81">
        <f>HLOOKUP(AW81,'Real assumptions'!$A$21:$AK$24,2,TRUE)</f>
        <v>1.6029</v>
      </c>
      <c r="AJ81" s="123">
        <f t="shared" si="87"/>
        <v>1.3260360807296756E-3</v>
      </c>
      <c r="AK81" s="122">
        <f>(1+HLOOKUP(YEAR(A81),'Real assumptions'!$A$21:$AK$24,2,TRUE)/100)^(1/12)-1</f>
        <v>1.3260360807296756E-3</v>
      </c>
      <c r="AL81">
        <f t="shared" si="88"/>
        <v>7.2423163766484135</v>
      </c>
      <c r="AM81">
        <f>('Real assumptions'!$B$33/12)*O80*AV80</f>
        <v>7.2423163766484135</v>
      </c>
      <c r="AN81">
        <f t="shared" si="70"/>
        <v>4.9616148072590827</v>
      </c>
      <c r="AO81">
        <f t="shared" si="46"/>
        <v>6.5792802531081584E-3</v>
      </c>
      <c r="AP81" s="121">
        <f t="shared" si="71"/>
        <v>6.0458074741975537E-2</v>
      </c>
      <c r="AQ81">
        <f t="shared" si="72"/>
        <v>0</v>
      </c>
      <c r="AR81">
        <v>0</v>
      </c>
      <c r="AS81">
        <f t="shared" si="53"/>
        <v>0</v>
      </c>
      <c r="AT81">
        <f t="shared" si="73"/>
        <v>0</v>
      </c>
      <c r="AU81">
        <f>IFERROR(HLOOKUP(B81,'Real assumptions'!$B$43:$AL$44,2,TRUE)*($W$3/$U$2),0)</f>
        <v>0</v>
      </c>
      <c r="AV81">
        <f>AV80*(1+'Real assumptions'!$B$35)^(1/12)</f>
        <v>1.0740424172916094</v>
      </c>
      <c r="AW81">
        <f t="shared" si="54"/>
        <v>2024</v>
      </c>
      <c r="AX81">
        <f t="shared" si="89"/>
        <v>0</v>
      </c>
      <c r="AY81">
        <f t="shared" si="90"/>
        <v>2.8409213405860991</v>
      </c>
      <c r="AZ81">
        <f t="shared" si="55"/>
        <v>200.46689319923587</v>
      </c>
      <c r="BA81">
        <f t="shared" si="74"/>
        <v>4.7478942790874523</v>
      </c>
      <c r="BB81">
        <f t="shared" si="75"/>
        <v>93.166666666666671</v>
      </c>
      <c r="BC81">
        <f t="shared" si="56"/>
        <v>55.900000000000006</v>
      </c>
      <c r="BD81">
        <f t="shared" si="76"/>
        <v>0</v>
      </c>
      <c r="BE81">
        <f t="shared" si="57"/>
        <v>24</v>
      </c>
      <c r="BF81">
        <f t="shared" si="91"/>
        <v>5000</v>
      </c>
      <c r="BU81"/>
      <c r="FD81"/>
      <c r="FE81"/>
    </row>
    <row r="82" spans="1:161" x14ac:dyDescent="0.25">
      <c r="A82" s="7">
        <f t="shared" si="77"/>
        <v>45596</v>
      </c>
      <c r="B82">
        <f t="shared" si="58"/>
        <v>71</v>
      </c>
      <c r="C82">
        <f t="shared" si="59"/>
        <v>5.833333333333333</v>
      </c>
      <c r="D82">
        <f t="shared" si="60"/>
        <v>0</v>
      </c>
      <c r="E82">
        <f t="shared" si="61"/>
        <v>57</v>
      </c>
      <c r="F82">
        <f>IF(C82&gt;=$T$2,0,VLOOKUP($E82,EKM_F05!$A$3:$C$128,2,TRUE))</f>
        <v>5.9537179487179487E-3</v>
      </c>
      <c r="G82">
        <f>F82*'Real assumptions'!$B$3</f>
        <v>2.4844864999999999E-3</v>
      </c>
      <c r="H82">
        <f t="shared" si="78"/>
        <v>2.0727667839559594E-4</v>
      </c>
      <c r="I82">
        <f t="shared" si="79"/>
        <v>1.3887419922837491E-4</v>
      </c>
      <c r="J82">
        <f>IF(B82&gt;$AJ$2,0,HLOOKUP(C82,'Real assumptions'!$B$5:$L$8,4,TRUE))</f>
        <v>5.6299999999999996E-2</v>
      </c>
      <c r="K82">
        <f t="shared" si="48"/>
        <v>1</v>
      </c>
      <c r="L82">
        <f t="shared" si="80"/>
        <v>8.3333333333333329E-2</v>
      </c>
      <c r="M82">
        <f t="shared" si="81"/>
        <v>4.8172728720562441E-3</v>
      </c>
      <c r="N82">
        <f t="shared" si="82"/>
        <v>3.2350029579984985E-3</v>
      </c>
      <c r="O82" s="8">
        <f t="shared" si="62"/>
        <v>0.66823812179142916</v>
      </c>
      <c r="P82">
        <f t="shared" si="63"/>
        <v>16.118687974767745</v>
      </c>
      <c r="Q82">
        <f t="shared" si="83"/>
        <v>0.69437099614187459</v>
      </c>
      <c r="R82" s="89">
        <f t="shared" si="49"/>
        <v>5000</v>
      </c>
      <c r="S82">
        <f t="shared" si="50"/>
        <v>8.3333333333333037E-2</v>
      </c>
      <c r="U82">
        <f>O81*AV81*'Real assumptions'!$B$33/12+AX82*'Real assumptions'!$B$34</f>
        <v>7.2133977483286449</v>
      </c>
      <c r="V82">
        <f>IF(P82=0,0,IF(E82&lt;=$C$7,$AN$5*O81,0))*'Real assumptions'!$D$28</f>
        <v>4.0296719936919363</v>
      </c>
      <c r="X82" s="94">
        <f t="shared" si="64"/>
        <v>0</v>
      </c>
      <c r="Y82">
        <f t="shared" si="51"/>
        <v>24</v>
      </c>
      <c r="Z82">
        <f t="shared" si="84"/>
        <v>93</v>
      </c>
      <c r="AA82">
        <f t="shared" si="52"/>
        <v>93.083333333333329</v>
      </c>
      <c r="AB82">
        <f t="shared" si="65"/>
        <v>50.505050505050505</v>
      </c>
      <c r="AC82">
        <f t="shared" si="85"/>
        <v>4701.1784511784508</v>
      </c>
      <c r="AD82">
        <f t="shared" si="66"/>
        <v>80.505050505050505</v>
      </c>
      <c r="AE82">
        <f t="shared" si="67"/>
        <v>298.82154882154919</v>
      </c>
      <c r="AF82" s="94">
        <f t="shared" si="68"/>
        <v>0</v>
      </c>
      <c r="AG82">
        <f t="shared" si="86"/>
        <v>0</v>
      </c>
      <c r="AH82">
        <f t="shared" si="69"/>
        <v>0</v>
      </c>
      <c r="AI82">
        <f>HLOOKUP(AW82,'Real assumptions'!$A$21:$AK$24,2,TRUE)</f>
        <v>1.6029</v>
      </c>
      <c r="AJ82" s="123">
        <f t="shared" si="87"/>
        <v>1.3260360807296756E-3</v>
      </c>
      <c r="AK82" s="122">
        <f>(1+HLOOKUP(YEAR(A82),'Real assumptions'!$A$21:$AK$24,2,TRUE)/100)^(1/12)-1</f>
        <v>1.3260360807296756E-3</v>
      </c>
      <c r="AL82">
        <f t="shared" si="88"/>
        <v>7.2133977483286449</v>
      </c>
      <c r="AM82">
        <f>('Real assumptions'!$B$33/12)*O81*AV81</f>
        <v>7.2133977483286449</v>
      </c>
      <c r="AN82">
        <f t="shared" si="70"/>
        <v>4.9360763074891407</v>
      </c>
      <c r="AO82">
        <f t="shared" si="46"/>
        <v>6.5454152809655093E-3</v>
      </c>
      <c r="AP82" s="121">
        <f t="shared" si="71"/>
        <v>6.7003490022941051E-2</v>
      </c>
      <c r="AQ82">
        <f t="shared" si="72"/>
        <v>0</v>
      </c>
      <c r="AR82">
        <v>0</v>
      </c>
      <c r="AS82">
        <f t="shared" si="53"/>
        <v>0</v>
      </c>
      <c r="AT82">
        <f t="shared" si="73"/>
        <v>0</v>
      </c>
      <c r="AU82">
        <f>IFERROR(HLOOKUP(B82,'Real assumptions'!$B$43:$AL$44,2,TRUE)*($W$3/$U$2),0)</f>
        <v>0</v>
      </c>
      <c r="AV82">
        <f>AV81*(1+'Real assumptions'!$B$35)^(1/12)</f>
        <v>1.0751548524449361</v>
      </c>
      <c r="AW82">
        <f t="shared" si="54"/>
        <v>2024</v>
      </c>
      <c r="AX82">
        <f t="shared" si="89"/>
        <v>0</v>
      </c>
      <c r="AY82">
        <f t="shared" si="90"/>
        <v>2.8266498272249834</v>
      </c>
      <c r="AZ82">
        <f t="shared" si="55"/>
        <v>204.91396676921514</v>
      </c>
      <c r="BA82">
        <f t="shared" si="74"/>
        <v>4.7240429898338112</v>
      </c>
      <c r="BB82">
        <f t="shared" si="75"/>
        <v>93.083333333333329</v>
      </c>
      <c r="BC82">
        <f t="shared" si="56"/>
        <v>55.849999999999994</v>
      </c>
      <c r="BD82">
        <f t="shared" si="76"/>
        <v>0</v>
      </c>
      <c r="BE82">
        <f t="shared" si="57"/>
        <v>24</v>
      </c>
      <c r="BF82">
        <f t="shared" si="91"/>
        <v>5000</v>
      </c>
      <c r="BU82"/>
      <c r="FD82"/>
      <c r="FE82"/>
    </row>
    <row r="83" spans="1:161" x14ac:dyDescent="0.25">
      <c r="A83" s="7">
        <f t="shared" si="77"/>
        <v>45626</v>
      </c>
      <c r="B83">
        <f t="shared" si="58"/>
        <v>72</v>
      </c>
      <c r="C83">
        <f t="shared" si="59"/>
        <v>5.916666666666667</v>
      </c>
      <c r="D83">
        <f t="shared" si="60"/>
        <v>0</v>
      </c>
      <c r="E83">
        <f t="shared" si="61"/>
        <v>57</v>
      </c>
      <c r="F83">
        <f>IF(C83&gt;=$T$2,0,VLOOKUP($E83,EKM_F05!$A$3:$C$128,2,TRUE))</f>
        <v>5.9537179487179487E-3</v>
      </c>
      <c r="G83">
        <f>F83*'Real assumptions'!$B$3</f>
        <v>2.4844864999999999E-3</v>
      </c>
      <c r="H83">
        <f t="shared" si="78"/>
        <v>2.0727667839559594E-4</v>
      </c>
      <c r="I83">
        <f t="shared" si="79"/>
        <v>1.3817655760011598E-4</v>
      </c>
      <c r="J83">
        <f>IF(B83&gt;$AJ$2,0,HLOOKUP(C83,'Real assumptions'!$B$5:$L$8,4,TRUE))</f>
        <v>5.6299999999999996E-2</v>
      </c>
      <c r="K83">
        <f t="shared" si="48"/>
        <v>1</v>
      </c>
      <c r="L83">
        <f t="shared" si="80"/>
        <v>8.3333333333333329E-2</v>
      </c>
      <c r="M83">
        <f t="shared" si="81"/>
        <v>4.8172728720562441E-3</v>
      </c>
      <c r="N83">
        <f t="shared" si="82"/>
        <v>3.218751755517545E-3</v>
      </c>
      <c r="O83" s="8">
        <f t="shared" si="62"/>
        <v>0.66488119347831154</v>
      </c>
      <c r="P83">
        <f t="shared" si="63"/>
        <v>16.037714922994301</v>
      </c>
      <c r="Q83">
        <f t="shared" si="83"/>
        <v>0.69088278800057989</v>
      </c>
      <c r="R83" s="89">
        <f t="shared" si="49"/>
        <v>5000</v>
      </c>
      <c r="S83">
        <f t="shared" si="50"/>
        <v>1</v>
      </c>
      <c r="U83">
        <f>O82*AV82*'Real assumptions'!$B$33/12+AX83*'Real assumptions'!$B$34</f>
        <v>7.1845945923274526</v>
      </c>
      <c r="V83">
        <f>IF(P83=0,0,IF(E83&lt;=$C$7,$AN$5*O82,0))*'Real assumptions'!$D$28</f>
        <v>4.0094287307485752</v>
      </c>
      <c r="X83" s="94">
        <f t="shared" si="64"/>
        <v>0</v>
      </c>
      <c r="Y83">
        <f t="shared" si="51"/>
        <v>24</v>
      </c>
      <c r="Z83">
        <f t="shared" si="84"/>
        <v>93</v>
      </c>
      <c r="AA83">
        <f t="shared" si="52"/>
        <v>93</v>
      </c>
      <c r="AB83">
        <f t="shared" si="65"/>
        <v>50.505050505050505</v>
      </c>
      <c r="AC83">
        <f t="shared" si="85"/>
        <v>4696.969696969697</v>
      </c>
      <c r="AD83">
        <f t="shared" si="66"/>
        <v>80.505050505050505</v>
      </c>
      <c r="AE83">
        <f t="shared" si="67"/>
        <v>303.030303030303</v>
      </c>
      <c r="AF83" s="94">
        <f t="shared" si="68"/>
        <v>0</v>
      </c>
      <c r="AG83">
        <f t="shared" si="86"/>
        <v>0</v>
      </c>
      <c r="AH83">
        <f t="shared" si="69"/>
        <v>0</v>
      </c>
      <c r="AI83">
        <f>HLOOKUP(AW83,'Real assumptions'!$A$21:$AK$24,2,TRUE)</f>
        <v>1.6029</v>
      </c>
      <c r="AJ83" s="123">
        <f t="shared" si="87"/>
        <v>1.3260360807296756E-3</v>
      </c>
      <c r="AK83" s="122">
        <f>(1+HLOOKUP(YEAR(A83),'Real assumptions'!$A$21:$AK$24,2,TRUE)/100)^(1/12)-1</f>
        <v>1.3260360807296756E-3</v>
      </c>
      <c r="AL83">
        <f t="shared" si="88"/>
        <v>7.1845945923274526</v>
      </c>
      <c r="AM83">
        <f>('Real assumptions'!$B$33/12)*O82*AV82</f>
        <v>7.1845945923274526</v>
      </c>
      <c r="AN83">
        <f t="shared" si="70"/>
        <v>4.910695089941215</v>
      </c>
      <c r="AO83">
        <f t="shared" si="46"/>
        <v>6.5117588707241103E-3</v>
      </c>
      <c r="AP83" s="121">
        <f t="shared" si="71"/>
        <v>7.3515248893665161E-2</v>
      </c>
      <c r="AQ83">
        <f t="shared" si="72"/>
        <v>0</v>
      </c>
      <c r="AR83">
        <v>0</v>
      </c>
      <c r="AS83">
        <f t="shared" si="53"/>
        <v>0</v>
      </c>
      <c r="AT83">
        <f t="shared" si="73"/>
        <v>0</v>
      </c>
      <c r="AU83">
        <f>IFERROR(HLOOKUP(B83,'Real assumptions'!$B$43:$AL$44,2,TRUE)*($W$3/$U$2),0)</f>
        <v>0</v>
      </c>
      <c r="AV83">
        <f>AV82*(1+'Real assumptions'!$B$35)^(1/12)</f>
        <v>1.0762684397985396</v>
      </c>
      <c r="AW83">
        <f t="shared" si="54"/>
        <v>2024</v>
      </c>
      <c r="AX83">
        <f t="shared" si="89"/>
        <v>0</v>
      </c>
      <c r="AY83">
        <f t="shared" si="90"/>
        <v>2.812450007539685</v>
      </c>
      <c r="AZ83">
        <f t="shared" si="55"/>
        <v>209.33849889451426</v>
      </c>
      <c r="BA83">
        <f t="shared" si="74"/>
        <v>4.7003115187491549</v>
      </c>
      <c r="BB83">
        <f t="shared" si="75"/>
        <v>93</v>
      </c>
      <c r="BC83">
        <f t="shared" si="56"/>
        <v>55.8</v>
      </c>
      <c r="BD83">
        <f t="shared" si="76"/>
        <v>0</v>
      </c>
      <c r="BE83">
        <f t="shared" si="57"/>
        <v>24</v>
      </c>
      <c r="BF83">
        <f t="shared" si="91"/>
        <v>5000</v>
      </c>
      <c r="BU83"/>
      <c r="FD83"/>
      <c r="FE83"/>
    </row>
    <row r="84" spans="1:161" x14ac:dyDescent="0.25">
      <c r="A84" s="7">
        <f t="shared" si="77"/>
        <v>45657</v>
      </c>
      <c r="B84">
        <f t="shared" si="58"/>
        <v>73</v>
      </c>
      <c r="C84">
        <f t="shared" si="59"/>
        <v>6</v>
      </c>
      <c r="D84">
        <f t="shared" si="60"/>
        <v>1</v>
      </c>
      <c r="E84">
        <f t="shared" si="61"/>
        <v>58</v>
      </c>
      <c r="F84">
        <f>IF(C84&gt;=$T$2,0,VLOOKUP($E84,EKM_F05!$A$3:$C$128,2,TRUE))</f>
        <v>6.5284615384615377E-3</v>
      </c>
      <c r="G84">
        <f>F84*'Real assumptions'!$B$3</f>
        <v>2.7243269999999999E-3</v>
      </c>
      <c r="H84">
        <f t="shared" si="78"/>
        <v>2.2731122193420106E-4</v>
      </c>
      <c r="I84">
        <f t="shared" si="79"/>
        <v>1.5072962969961808E-4</v>
      </c>
      <c r="J84">
        <f>IF(B84&gt;$AJ$2,0,HLOOKUP(C84,'Real assumptions'!$B$5:$L$8,4,TRUE))</f>
        <v>6.25E-2</v>
      </c>
      <c r="K84">
        <f t="shared" si="48"/>
        <v>1</v>
      </c>
      <c r="L84">
        <f t="shared" si="80"/>
        <v>8.3333333333333329E-2</v>
      </c>
      <c r="M84">
        <f t="shared" si="81"/>
        <v>5.3637734156456451E-3</v>
      </c>
      <c r="N84">
        <f t="shared" si="82"/>
        <v>3.5658667433107094E-3</v>
      </c>
      <c r="O84" s="8">
        <f t="shared" si="62"/>
        <v>0.66116459710530118</v>
      </c>
      <c r="P84">
        <f t="shared" si="63"/>
        <v>15.957148643479478</v>
      </c>
      <c r="Q84">
        <f t="shared" si="83"/>
        <v>0.75364814849809036</v>
      </c>
      <c r="R84" s="89">
        <f t="shared" si="49"/>
        <v>5000</v>
      </c>
      <c r="S84">
        <f t="shared" si="50"/>
        <v>0.91666666666666696</v>
      </c>
      <c r="U84">
        <f>O83*AV83*'Real assumptions'!$B$33/12+AX84*'Real assumptions'!$B$34</f>
        <v>7.1559064475629333</v>
      </c>
      <c r="V84">
        <f>IF(P84=0,0,IF(E84&lt;=$C$7,$AN$5*O83,0))*'Real assumptions'!$D$28</f>
        <v>3.9892871608698695</v>
      </c>
      <c r="X84" s="94">
        <f t="shared" si="64"/>
        <v>0</v>
      </c>
      <c r="Y84">
        <f t="shared" si="51"/>
        <v>24</v>
      </c>
      <c r="Z84">
        <f t="shared" si="84"/>
        <v>93</v>
      </c>
      <c r="AA84">
        <f t="shared" si="52"/>
        <v>92.916666666666671</v>
      </c>
      <c r="AB84">
        <f t="shared" si="65"/>
        <v>50.505050505050505</v>
      </c>
      <c r="AC84">
        <f t="shared" si="85"/>
        <v>4692.7609427609432</v>
      </c>
      <c r="AD84">
        <f t="shared" si="66"/>
        <v>80.505050505050505</v>
      </c>
      <c r="AE84">
        <f t="shared" si="67"/>
        <v>307.23905723905682</v>
      </c>
      <c r="AF84" s="94">
        <f t="shared" si="68"/>
        <v>0</v>
      </c>
      <c r="AG84">
        <f t="shared" si="86"/>
        <v>0</v>
      </c>
      <c r="AH84">
        <f t="shared" si="69"/>
        <v>0</v>
      </c>
      <c r="AI84">
        <f>HLOOKUP(AW84,'Real assumptions'!$A$21:$AK$24,2,TRUE)</f>
        <v>1.6029</v>
      </c>
      <c r="AJ84" s="123">
        <f t="shared" si="87"/>
        <v>1.3260360807296756E-3</v>
      </c>
      <c r="AK84" s="122">
        <f>(1+HLOOKUP(YEAR(A84),'Real assumptions'!$A$21:$AK$24,2,TRUE)/100)^(1/12)-1</f>
        <v>1.3260360807296756E-3</v>
      </c>
      <c r="AL84">
        <f t="shared" si="88"/>
        <v>7.1559064475629333</v>
      </c>
      <c r="AM84">
        <f>('Real assumptions'!$B$33/12)*O83*AV83</f>
        <v>7.1559064475629324</v>
      </c>
      <c r="AN84">
        <f t="shared" si="70"/>
        <v>4.8854702839403386</v>
      </c>
      <c r="AO84">
        <f t="shared" si="46"/>
        <v>6.4783098678375421E-3</v>
      </c>
      <c r="AP84" s="121">
        <f t="shared" si="71"/>
        <v>0</v>
      </c>
      <c r="AQ84">
        <f t="shared" si="72"/>
        <v>0</v>
      </c>
      <c r="AR84">
        <v>0</v>
      </c>
      <c r="AS84">
        <f t="shared" si="53"/>
        <v>0</v>
      </c>
      <c r="AT84">
        <f t="shared" si="73"/>
        <v>0</v>
      </c>
      <c r="AU84">
        <f>IFERROR(HLOOKUP(B84,'Real assumptions'!$B$43:$AL$44,2,TRUE)*($W$3/$U$2),0)</f>
        <v>0</v>
      </c>
      <c r="AV84">
        <f>AV83*(1+'Real assumptions'!$B$35)^(1/12)</f>
        <v>1.0773831805458065</v>
      </c>
      <c r="AW84">
        <f t="shared" si="54"/>
        <v>2024</v>
      </c>
      <c r="AX84">
        <f t="shared" si="89"/>
        <v>0</v>
      </c>
      <c r="AY84">
        <f t="shared" si="90"/>
        <v>2.798321521373365</v>
      </c>
      <c r="AZ84">
        <f t="shared" si="55"/>
        <v>213.67439618368277</v>
      </c>
      <c r="BA84">
        <f t="shared" si="74"/>
        <v>4.7429353093679598</v>
      </c>
      <c r="BB84">
        <f t="shared" si="75"/>
        <v>92.916666666666671</v>
      </c>
      <c r="BC84">
        <f t="shared" si="56"/>
        <v>55.75</v>
      </c>
      <c r="BD84">
        <f t="shared" si="76"/>
        <v>0</v>
      </c>
      <c r="BE84">
        <f t="shared" si="57"/>
        <v>24</v>
      </c>
      <c r="BF84">
        <f t="shared" si="91"/>
        <v>5000</v>
      </c>
      <c r="BU84"/>
      <c r="FD84"/>
      <c r="FE84"/>
    </row>
    <row r="85" spans="1:161" x14ac:dyDescent="0.25">
      <c r="A85" s="7">
        <f t="shared" si="77"/>
        <v>45688</v>
      </c>
      <c r="B85">
        <f t="shared" si="58"/>
        <v>74</v>
      </c>
      <c r="C85">
        <f t="shared" si="59"/>
        <v>6.083333333333333</v>
      </c>
      <c r="D85">
        <f t="shared" si="60"/>
        <v>0</v>
      </c>
      <c r="E85">
        <f t="shared" si="61"/>
        <v>58</v>
      </c>
      <c r="F85">
        <f>IF(C85&gt;=$T$2,0,VLOOKUP($E85,EKM_F05!$A$3:$C$128,2,TRUE))</f>
        <v>6.5284615384615377E-3</v>
      </c>
      <c r="G85">
        <f>F85*'Real assumptions'!$B$3</f>
        <v>2.7243269999999999E-3</v>
      </c>
      <c r="H85">
        <f t="shared" si="78"/>
        <v>2.2731122193420106E-4</v>
      </c>
      <c r="I85">
        <f t="shared" si="79"/>
        <v>1.4988707135905785E-4</v>
      </c>
      <c r="J85">
        <f>IF(B85&gt;$AJ$2,0,HLOOKUP(C85,'Real assumptions'!$B$5:$L$8,4,TRUE))</f>
        <v>6.25E-2</v>
      </c>
      <c r="K85">
        <f t="shared" si="48"/>
        <v>1</v>
      </c>
      <c r="L85">
        <f t="shared" si="80"/>
        <v>8.3333333333333329E-2</v>
      </c>
      <c r="M85">
        <f t="shared" si="81"/>
        <v>5.3637734156456451E-3</v>
      </c>
      <c r="N85">
        <f t="shared" si="82"/>
        <v>3.5459340282108964E-3</v>
      </c>
      <c r="O85" s="8">
        <f t="shared" si="62"/>
        <v>0.65746877600573117</v>
      </c>
      <c r="P85">
        <f t="shared" si="63"/>
        <v>15.867950330527229</v>
      </c>
      <c r="Q85">
        <f t="shared" si="83"/>
        <v>0.74943535679528928</v>
      </c>
      <c r="R85" s="89">
        <f t="shared" si="49"/>
        <v>5000</v>
      </c>
      <c r="S85">
        <f t="shared" si="50"/>
        <v>0.83333333333333304</v>
      </c>
      <c r="U85">
        <f>O84*AV84*'Real assumptions'!$B$33/12+AX85*'Real assumptions'!$B$34</f>
        <v>7.1232761649359615</v>
      </c>
      <c r="V85">
        <f>IF(P85=0,0,IF(E85&lt;=$C$7,$AN$5*O84,0))*'Real assumptions'!$D$28</f>
        <v>3.9669875826318073</v>
      </c>
      <c r="X85" s="94">
        <f t="shared" si="64"/>
        <v>0</v>
      </c>
      <c r="Y85">
        <f t="shared" si="51"/>
        <v>24</v>
      </c>
      <c r="Z85">
        <f t="shared" si="84"/>
        <v>92</v>
      </c>
      <c r="AA85">
        <f t="shared" si="52"/>
        <v>92.833333333333329</v>
      </c>
      <c r="AB85">
        <f t="shared" si="65"/>
        <v>50.505050505050505</v>
      </c>
      <c r="AC85">
        <f t="shared" si="85"/>
        <v>4688.5521885521885</v>
      </c>
      <c r="AD85">
        <f t="shared" si="66"/>
        <v>80.505050505050505</v>
      </c>
      <c r="AE85">
        <f t="shared" si="67"/>
        <v>311.44781144781155</v>
      </c>
      <c r="AF85" s="94">
        <f t="shared" si="68"/>
        <v>0</v>
      </c>
      <c r="AG85">
        <f t="shared" si="86"/>
        <v>0</v>
      </c>
      <c r="AH85">
        <f t="shared" si="69"/>
        <v>0</v>
      </c>
      <c r="AI85">
        <f>HLOOKUP(AW85,'Real assumptions'!$A$21:$AK$24,2,TRUE)</f>
        <v>1.5951</v>
      </c>
      <c r="AJ85" s="123">
        <f t="shared" si="87"/>
        <v>1.3196299168722891E-3</v>
      </c>
      <c r="AK85" s="122">
        <f>(1+HLOOKUP(YEAR(A85),'Real assumptions'!$A$21:$AK$24,2,TRUE)/100)^(1/12)-1</f>
        <v>1.3196299168722891E-3</v>
      </c>
      <c r="AL85">
        <f t="shared" si="88"/>
        <v>7.1232761649359615</v>
      </c>
      <c r="AM85">
        <f>('Real assumptions'!$B$33/12)*O84*AV84</f>
        <v>7.1232761649359606</v>
      </c>
      <c r="AN85">
        <f>AP84+P85+AH84-V85-AL85</f>
        <v>4.7776865829594604</v>
      </c>
      <c r="AO85">
        <f t="shared" si="46"/>
        <v>6.3047781483126439E-3</v>
      </c>
      <c r="AP85" s="121">
        <f>IF(MONTH(A85)=12,0,AP84+AO85)</f>
        <v>6.3047781483126439E-3</v>
      </c>
      <c r="AQ85">
        <f t="shared" si="72"/>
        <v>0</v>
      </c>
      <c r="AR85">
        <v>0</v>
      </c>
      <c r="AS85">
        <f t="shared" si="53"/>
        <v>0</v>
      </c>
      <c r="AT85">
        <f t="shared" si="73"/>
        <v>0</v>
      </c>
      <c r="AU85">
        <f>IFERROR(HLOOKUP(B85,'Real assumptions'!$B$43:$AL$44,2,TRUE)*($W$3/$U$2),0)</f>
        <v>0</v>
      </c>
      <c r="AV85">
        <f>AV84*(1+'Real assumptions'!$B$35)^(1/12)</f>
        <v>1.07849907588136</v>
      </c>
      <c r="AW85">
        <f t="shared" si="54"/>
        <v>2025</v>
      </c>
      <c r="AX85">
        <f t="shared" si="89"/>
        <v>0</v>
      </c>
      <c r="AY85">
        <f t="shared" si="90"/>
        <v>2.7826792807462168</v>
      </c>
      <c r="AZ85">
        <f t="shared" si="55"/>
        <v>217.98461853552055</v>
      </c>
      <c r="BA85">
        <f t="shared" si="74"/>
        <v>4.7164229394270967</v>
      </c>
      <c r="BB85">
        <f t="shared" si="75"/>
        <v>92.833333333333329</v>
      </c>
      <c r="BC85">
        <f t="shared" si="56"/>
        <v>55.699999999999989</v>
      </c>
      <c r="BD85">
        <f t="shared" si="76"/>
        <v>0</v>
      </c>
      <c r="BE85">
        <f t="shared" si="57"/>
        <v>24</v>
      </c>
      <c r="BF85">
        <f t="shared" si="91"/>
        <v>5000</v>
      </c>
      <c r="BU85"/>
      <c r="FD85"/>
      <c r="FE85"/>
    </row>
    <row r="86" spans="1:161" x14ac:dyDescent="0.25">
      <c r="A86" s="7">
        <f t="shared" si="77"/>
        <v>45716</v>
      </c>
      <c r="B86">
        <f t="shared" si="58"/>
        <v>75</v>
      </c>
      <c r="C86">
        <f t="shared" si="59"/>
        <v>6.166666666666667</v>
      </c>
      <c r="D86">
        <f t="shared" si="60"/>
        <v>0</v>
      </c>
      <c r="E86">
        <f t="shared" si="61"/>
        <v>58</v>
      </c>
      <c r="F86">
        <f>IF(C86&gt;=$T$2,0,VLOOKUP($E86,EKM_F05!$A$3:$C$128,2,TRUE))</f>
        <v>6.5284615384615377E-3</v>
      </c>
      <c r="G86">
        <f>F86*'Real assumptions'!$B$3</f>
        <v>2.7243269999999999E-3</v>
      </c>
      <c r="H86">
        <f t="shared" si="78"/>
        <v>2.2731122193420106E-4</v>
      </c>
      <c r="I86">
        <f t="shared" si="79"/>
        <v>1.49049222806206E-4</v>
      </c>
      <c r="J86">
        <f>IF(B86&gt;$AJ$2,0,HLOOKUP(C86,'Real assumptions'!$B$5:$L$8,4,TRUE))</f>
        <v>6.25E-2</v>
      </c>
      <c r="K86">
        <f t="shared" si="48"/>
        <v>1</v>
      </c>
      <c r="L86">
        <f t="shared" si="80"/>
        <v>8.3333333333333329E-2</v>
      </c>
      <c r="M86">
        <f t="shared" si="81"/>
        <v>5.3637734156456451E-3</v>
      </c>
      <c r="N86">
        <f t="shared" si="82"/>
        <v>3.5261127343053818E-3</v>
      </c>
      <c r="O86" s="8">
        <f t="shared" si="62"/>
        <v>0.65379361404861958</v>
      </c>
      <c r="P86">
        <f t="shared" si="63"/>
        <v>15.779250624137548</v>
      </c>
      <c r="Q86">
        <f t="shared" si="83"/>
        <v>0.74524611403103003</v>
      </c>
      <c r="R86" s="89">
        <f t="shared" si="49"/>
        <v>5000</v>
      </c>
      <c r="S86">
        <f t="shared" si="50"/>
        <v>0.75</v>
      </c>
      <c r="U86">
        <f>O85*AV85*'Real assumptions'!$B$33/12+AX86*'Real assumptions'!$B$34</f>
        <v>7.0907946734302998</v>
      </c>
      <c r="V86">
        <f>IF(P86=0,0,IF(E86&lt;=$C$7,$AN$5*O85,0))*'Real assumptions'!$D$28</f>
        <v>3.944812656034387</v>
      </c>
      <c r="X86" s="94">
        <f t="shared" si="64"/>
        <v>0</v>
      </c>
      <c r="Y86">
        <f t="shared" si="51"/>
        <v>24</v>
      </c>
      <c r="Z86">
        <f t="shared" si="84"/>
        <v>92</v>
      </c>
      <c r="AA86">
        <f t="shared" si="52"/>
        <v>92.75</v>
      </c>
      <c r="AB86">
        <f t="shared" si="65"/>
        <v>50.505050505050505</v>
      </c>
      <c r="AC86">
        <f t="shared" si="85"/>
        <v>4684.3434343434346</v>
      </c>
      <c r="AD86">
        <f t="shared" si="66"/>
        <v>80.505050505050505</v>
      </c>
      <c r="AE86">
        <f t="shared" si="67"/>
        <v>315.65656565656536</v>
      </c>
      <c r="AF86" s="94">
        <f t="shared" si="68"/>
        <v>0</v>
      </c>
      <c r="AG86">
        <f t="shared" si="86"/>
        <v>0</v>
      </c>
      <c r="AH86">
        <f t="shared" si="69"/>
        <v>0</v>
      </c>
      <c r="AI86">
        <f>HLOOKUP(AW86,'Real assumptions'!$A$21:$AK$24,2,TRUE)</f>
        <v>1.5951</v>
      </c>
      <c r="AJ86" s="123">
        <f t="shared" si="87"/>
        <v>1.3196299168722891E-3</v>
      </c>
      <c r="AK86" s="122">
        <f>(1+HLOOKUP(YEAR(A86),'Real assumptions'!$A$21:$AK$24,2,TRUE)/100)^(1/12)-1</f>
        <v>1.3196299168722891E-3</v>
      </c>
      <c r="AL86">
        <f t="shared" si="88"/>
        <v>7.0907946734302998</v>
      </c>
      <c r="AM86">
        <f>('Real assumptions'!$B$33/12)*O85*AV85</f>
        <v>7.0907946734302998</v>
      </c>
      <c r="AN86">
        <f t="shared" si="70"/>
        <v>4.7499480728211738</v>
      </c>
      <c r="AO86">
        <f t="shared" si="46"/>
        <v>6.268173580484696E-3</v>
      </c>
      <c r="AP86" s="121">
        <f t="shared" si="71"/>
        <v>1.2572951728797341E-2</v>
      </c>
      <c r="AQ86">
        <f t="shared" si="72"/>
        <v>0</v>
      </c>
      <c r="AR86">
        <v>0</v>
      </c>
      <c r="AS86">
        <f t="shared" si="53"/>
        <v>0</v>
      </c>
      <c r="AT86">
        <f t="shared" si="73"/>
        <v>0</v>
      </c>
      <c r="AU86">
        <f>IFERROR(HLOOKUP(B86,'Real assumptions'!$B$43:$AL$44,2,TRUE)*($W$3/$U$2),0)</f>
        <v>0</v>
      </c>
      <c r="AV86">
        <f>AV85*(1+'Real assumptions'!$B$35)^(1/12)</f>
        <v>1.07961612700106</v>
      </c>
      <c r="AW86">
        <f t="shared" si="54"/>
        <v>2025</v>
      </c>
      <c r="AX86">
        <f t="shared" si="89"/>
        <v>0</v>
      </c>
      <c r="AY86">
        <f t="shared" si="90"/>
        <v>2.7671244781385989</v>
      </c>
      <c r="AZ86">
        <f t="shared" si="55"/>
        <v>222.27067474019984</v>
      </c>
      <c r="BA86">
        <f t="shared" si="74"/>
        <v>4.6900587700654173</v>
      </c>
      <c r="BB86">
        <f t="shared" si="75"/>
        <v>92.75</v>
      </c>
      <c r="BC86">
        <f t="shared" si="56"/>
        <v>55.65</v>
      </c>
      <c r="BD86">
        <f t="shared" si="76"/>
        <v>0</v>
      </c>
      <c r="BE86">
        <f t="shared" si="57"/>
        <v>24</v>
      </c>
      <c r="BF86">
        <f t="shared" si="91"/>
        <v>5000</v>
      </c>
      <c r="BU86"/>
      <c r="FD86"/>
      <c r="FE86"/>
    </row>
    <row r="87" spans="1:161" x14ac:dyDescent="0.25">
      <c r="A87" s="7">
        <f t="shared" si="77"/>
        <v>45747</v>
      </c>
      <c r="B87">
        <f t="shared" si="58"/>
        <v>76</v>
      </c>
      <c r="C87">
        <f t="shared" si="59"/>
        <v>6.25</v>
      </c>
      <c r="D87">
        <f t="shared" si="60"/>
        <v>0</v>
      </c>
      <c r="E87">
        <f t="shared" si="61"/>
        <v>58</v>
      </c>
      <c r="F87">
        <f>IF(C87&gt;=$T$2,0,VLOOKUP($E87,EKM_F05!$A$3:$C$128,2,TRUE))</f>
        <v>6.5284615384615377E-3</v>
      </c>
      <c r="G87">
        <f>F87*'Real assumptions'!$B$3</f>
        <v>2.7243269999999999E-3</v>
      </c>
      <c r="H87">
        <f t="shared" si="78"/>
        <v>2.2731122193420106E-4</v>
      </c>
      <c r="I87">
        <f t="shared" si="79"/>
        <v>1.482160577139832E-4</v>
      </c>
      <c r="J87">
        <f>IF(B87&gt;$AJ$2,0,HLOOKUP(C87,'Real assumptions'!$B$5:$L$8,4,TRUE))</f>
        <v>6.25E-2</v>
      </c>
      <c r="K87">
        <f t="shared" si="48"/>
        <v>1</v>
      </c>
      <c r="L87">
        <f t="shared" si="80"/>
        <v>8.3333333333333329E-2</v>
      </c>
      <c r="M87">
        <f t="shared" si="81"/>
        <v>5.3637734156456451E-3</v>
      </c>
      <c r="N87">
        <f t="shared" si="82"/>
        <v>3.5064022387646886E-3</v>
      </c>
      <c r="O87" s="8">
        <f t="shared" si="62"/>
        <v>0.65013899575214096</v>
      </c>
      <c r="P87">
        <f t="shared" si="63"/>
        <v>15.69104673716687</v>
      </c>
      <c r="Q87">
        <f t="shared" si="83"/>
        <v>0.74108028856991603</v>
      </c>
      <c r="R87" s="89">
        <f t="shared" si="49"/>
        <v>5000</v>
      </c>
      <c r="S87">
        <f t="shared" si="50"/>
        <v>0.66666666666666696</v>
      </c>
      <c r="U87">
        <f>O86*AV86*'Real assumptions'!$B$33/12+AX87*'Real assumptions'!$B$34</f>
        <v>7.0584612945719654</v>
      </c>
      <c r="V87">
        <f>IF(P87=0,0,IF(E87&lt;=$C$7,$AN$5*O86,0))*'Real assumptions'!$D$28</f>
        <v>3.9227616842917175</v>
      </c>
      <c r="X87" s="94">
        <f t="shared" si="64"/>
        <v>0</v>
      </c>
      <c r="Y87">
        <f t="shared" si="51"/>
        <v>24</v>
      </c>
      <c r="Z87">
        <f t="shared" si="84"/>
        <v>92</v>
      </c>
      <c r="AA87">
        <f t="shared" si="52"/>
        <v>92.666666666666671</v>
      </c>
      <c r="AB87">
        <f t="shared" si="65"/>
        <v>50.505050505050505</v>
      </c>
      <c r="AC87">
        <f t="shared" si="85"/>
        <v>4680.1346801346808</v>
      </c>
      <c r="AD87">
        <f t="shared" si="66"/>
        <v>80.505050505050505</v>
      </c>
      <c r="AE87">
        <f t="shared" si="67"/>
        <v>319.86531986531918</v>
      </c>
      <c r="AF87" s="94">
        <f t="shared" si="68"/>
        <v>0</v>
      </c>
      <c r="AG87">
        <f t="shared" si="86"/>
        <v>0</v>
      </c>
      <c r="AH87">
        <f t="shared" si="69"/>
        <v>0</v>
      </c>
      <c r="AI87">
        <f>HLOOKUP(AW87,'Real assumptions'!$A$21:$AK$24,2,TRUE)</f>
        <v>1.5951</v>
      </c>
      <c r="AJ87" s="123">
        <f t="shared" si="87"/>
        <v>1.3196299168722891E-3</v>
      </c>
      <c r="AK87" s="122">
        <f>(1+HLOOKUP(YEAR(A87),'Real assumptions'!$A$21:$AK$24,2,TRUE)/100)^(1/12)-1</f>
        <v>1.3196299168722891E-3</v>
      </c>
      <c r="AL87">
        <f t="shared" si="88"/>
        <v>7.0584612945719654</v>
      </c>
      <c r="AM87">
        <f>('Real assumptions'!$B$33/12)*O86*AV86</f>
        <v>7.0584612945719645</v>
      </c>
      <c r="AN87">
        <f t="shared" si="70"/>
        <v>4.7223967100319841</v>
      </c>
      <c r="AO87">
        <f t="shared" si="46"/>
        <v>6.2318159778974791E-3</v>
      </c>
      <c r="AP87" s="121">
        <f t="shared" si="71"/>
        <v>1.8804767706694821E-2</v>
      </c>
      <c r="AQ87">
        <f t="shared" si="72"/>
        <v>0</v>
      </c>
      <c r="AR87">
        <v>0</v>
      </c>
      <c r="AS87">
        <f t="shared" si="53"/>
        <v>0</v>
      </c>
      <c r="AT87">
        <f t="shared" si="73"/>
        <v>0</v>
      </c>
      <c r="AU87">
        <f>IFERROR(HLOOKUP(B87,'Real assumptions'!$B$43:$AL$44,2,TRUE)*($W$3/$U$2),0)</f>
        <v>0</v>
      </c>
      <c r="AV87">
        <f>AV86*(1+'Real assumptions'!$B$35)^(1/12)</f>
        <v>1.0807343351020053</v>
      </c>
      <c r="AW87">
        <f t="shared" si="54"/>
        <v>2025</v>
      </c>
      <c r="AX87">
        <f t="shared" si="89"/>
        <v>0</v>
      </c>
      <c r="AY87">
        <f t="shared" si="90"/>
        <v>2.7516566247837524</v>
      </c>
      <c r="AZ87">
        <f t="shared" si="55"/>
        <v>226.53273324196365</v>
      </c>
      <c r="BA87">
        <f t="shared" si="74"/>
        <v>4.6638419728616336</v>
      </c>
      <c r="BB87">
        <f t="shared" si="75"/>
        <v>92.666666666666671</v>
      </c>
      <c r="BC87">
        <f t="shared" si="56"/>
        <v>55.599999999999994</v>
      </c>
      <c r="BD87">
        <f t="shared" si="76"/>
        <v>0</v>
      </c>
      <c r="BE87">
        <f t="shared" si="57"/>
        <v>24</v>
      </c>
      <c r="BF87">
        <f t="shared" si="91"/>
        <v>5000</v>
      </c>
      <c r="BU87"/>
      <c r="FD87"/>
      <c r="FE87"/>
    </row>
    <row r="88" spans="1:161" x14ac:dyDescent="0.25">
      <c r="A88" s="7">
        <f t="shared" si="77"/>
        <v>45777</v>
      </c>
      <c r="B88">
        <f t="shared" si="58"/>
        <v>77</v>
      </c>
      <c r="C88">
        <f t="shared" si="59"/>
        <v>6.333333333333333</v>
      </c>
      <c r="D88">
        <f t="shared" si="60"/>
        <v>0</v>
      </c>
      <c r="E88">
        <f t="shared" si="61"/>
        <v>58</v>
      </c>
      <c r="F88">
        <f>IF(C88&gt;=$T$2,0,VLOOKUP($E88,EKM_F05!$A$3:$C$128,2,TRUE))</f>
        <v>6.5284615384615377E-3</v>
      </c>
      <c r="G88">
        <f>F88*'Real assumptions'!$B$3</f>
        <v>2.7243269999999999E-3</v>
      </c>
      <c r="H88">
        <f t="shared" si="78"/>
        <v>2.2731122193420106E-4</v>
      </c>
      <c r="I88">
        <f t="shared" si="79"/>
        <v>1.47387549902475E-4</v>
      </c>
      <c r="J88">
        <f>IF(B88&gt;$AJ$2,0,HLOOKUP(C88,'Real assumptions'!$B$5:$L$8,4,TRUE))</f>
        <v>6.25E-2</v>
      </c>
      <c r="K88">
        <f t="shared" si="48"/>
        <v>1</v>
      </c>
      <c r="L88">
        <f t="shared" si="80"/>
        <v>8.3333333333333329E-2</v>
      </c>
      <c r="M88">
        <f t="shared" si="81"/>
        <v>5.3637734156456451E-3</v>
      </c>
      <c r="N88">
        <f t="shared" si="82"/>
        <v>3.4868019222408721E-3</v>
      </c>
      <c r="O88" s="8">
        <f t="shared" si="62"/>
        <v>0.64650480627999762</v>
      </c>
      <c r="P88">
        <f t="shared" si="63"/>
        <v>15.603335898051384</v>
      </c>
      <c r="Q88">
        <f t="shared" si="83"/>
        <v>0.73693774951237501</v>
      </c>
      <c r="R88" s="89">
        <f t="shared" si="49"/>
        <v>5000</v>
      </c>
      <c r="S88">
        <f t="shared" si="50"/>
        <v>0.58333333333333304</v>
      </c>
      <c r="U88">
        <f>O87*AV87*'Real assumptions'!$B$33/12+AX88*'Real assumptions'!$B$34</f>
        <v>7.0262753529807549</v>
      </c>
      <c r="V88">
        <f>IF(P88=0,0,IF(E88&lt;=$C$7,$AN$5*O87,0))*'Real assumptions'!$D$28</f>
        <v>3.900833974512846</v>
      </c>
      <c r="X88" s="94">
        <f t="shared" si="64"/>
        <v>0</v>
      </c>
      <c r="Y88">
        <f t="shared" si="51"/>
        <v>24</v>
      </c>
      <c r="Z88">
        <f t="shared" si="84"/>
        <v>92</v>
      </c>
      <c r="AA88">
        <f t="shared" si="52"/>
        <v>92.583333333333329</v>
      </c>
      <c r="AB88">
        <f t="shared" si="65"/>
        <v>50.505050505050505</v>
      </c>
      <c r="AC88">
        <f t="shared" si="85"/>
        <v>4675.9259259259261</v>
      </c>
      <c r="AD88">
        <f t="shared" si="66"/>
        <v>80.505050505050505</v>
      </c>
      <c r="AE88">
        <f t="shared" si="67"/>
        <v>324.07407407407391</v>
      </c>
      <c r="AF88" s="94">
        <f t="shared" si="68"/>
        <v>0</v>
      </c>
      <c r="AG88">
        <f t="shared" si="86"/>
        <v>0</v>
      </c>
      <c r="AH88">
        <f t="shared" si="69"/>
        <v>0</v>
      </c>
      <c r="AI88">
        <f>HLOOKUP(AW88,'Real assumptions'!$A$21:$AK$24,2,TRUE)</f>
        <v>1.5951</v>
      </c>
      <c r="AJ88" s="123">
        <f t="shared" si="87"/>
        <v>1.3196299168722891E-3</v>
      </c>
      <c r="AK88" s="122">
        <f>(1+HLOOKUP(YEAR(A88),'Real assumptions'!$A$21:$AK$24,2,TRUE)/100)^(1/12)-1</f>
        <v>1.3196299168722891E-3</v>
      </c>
      <c r="AL88">
        <f t="shared" si="88"/>
        <v>7.0262753529807549</v>
      </c>
      <c r="AM88">
        <f>('Real assumptions'!$B$33/12)*O87*AV87</f>
        <v>7.0262753529807549</v>
      </c>
      <c r="AN88">
        <f t="shared" si="70"/>
        <v>4.695031338264477</v>
      </c>
      <c r="AO88">
        <f t="shared" si="46"/>
        <v>6.195703814626744E-3</v>
      </c>
      <c r="AP88" s="121">
        <f t="shared" si="71"/>
        <v>2.5000471521321566E-2</v>
      </c>
      <c r="AQ88">
        <f t="shared" si="72"/>
        <v>0</v>
      </c>
      <c r="AR88">
        <v>0</v>
      </c>
      <c r="AS88">
        <f t="shared" si="53"/>
        <v>0</v>
      </c>
      <c r="AT88">
        <f t="shared" si="73"/>
        <v>0</v>
      </c>
      <c r="AU88">
        <f>IFERROR(HLOOKUP(B88,'Real assumptions'!$B$43:$AL$44,2,TRUE)*($W$3/$U$2),0)</f>
        <v>0</v>
      </c>
      <c r="AV88">
        <f>AV87*(1+'Real assumptions'!$B$35)^(1/12)</f>
        <v>1.0818537013825349</v>
      </c>
      <c r="AW88">
        <f t="shared" si="54"/>
        <v>2025</v>
      </c>
      <c r="AX88">
        <f t="shared" si="89"/>
        <v>0</v>
      </c>
      <c r="AY88">
        <f t="shared" si="90"/>
        <v>2.7362752346470578</v>
      </c>
      <c r="AZ88">
        <f t="shared" si="55"/>
        <v>230.770961434946</v>
      </c>
      <c r="BA88">
        <f t="shared" si="74"/>
        <v>4.637771724025221</v>
      </c>
      <c r="BB88">
        <f t="shared" si="75"/>
        <v>92.583333333333329</v>
      </c>
      <c r="BC88">
        <f t="shared" si="56"/>
        <v>55.55</v>
      </c>
      <c r="BD88">
        <f t="shared" si="76"/>
        <v>0</v>
      </c>
      <c r="BE88">
        <f t="shared" si="57"/>
        <v>24</v>
      </c>
      <c r="BF88">
        <f t="shared" si="91"/>
        <v>5000</v>
      </c>
      <c r="BU88"/>
      <c r="FD88"/>
      <c r="FE88"/>
    </row>
    <row r="89" spans="1:161" x14ac:dyDescent="0.25">
      <c r="A89" s="7">
        <f t="shared" si="77"/>
        <v>45808</v>
      </c>
      <c r="B89">
        <f t="shared" si="58"/>
        <v>78</v>
      </c>
      <c r="C89">
        <f t="shared" si="59"/>
        <v>6.416666666666667</v>
      </c>
      <c r="D89">
        <f t="shared" si="60"/>
        <v>0</v>
      </c>
      <c r="E89">
        <f t="shared" si="61"/>
        <v>58</v>
      </c>
      <c r="F89">
        <f>IF(C89&gt;=$T$2,0,VLOOKUP($E89,EKM_F05!$A$3:$C$128,2,TRUE))</f>
        <v>6.5284615384615377E-3</v>
      </c>
      <c r="G89">
        <f>F89*'Real assumptions'!$B$3</f>
        <v>2.7243269999999999E-3</v>
      </c>
      <c r="H89">
        <f t="shared" si="78"/>
        <v>2.2731122193420106E-4</v>
      </c>
      <c r="I89">
        <f t="shared" si="79"/>
        <v>1.4656367333810909E-4</v>
      </c>
      <c r="J89">
        <f>IF(B89&gt;$AJ$2,0,HLOOKUP(C89,'Real assumptions'!$B$5:$L$8,4,TRUE))</f>
        <v>6.25E-2</v>
      </c>
      <c r="K89">
        <f t="shared" si="48"/>
        <v>1</v>
      </c>
      <c r="L89">
        <f t="shared" si="80"/>
        <v>8.3333333333333329E-2</v>
      </c>
      <c r="M89">
        <f t="shared" si="81"/>
        <v>5.3637734156456451E-3</v>
      </c>
      <c r="N89">
        <f t="shared" si="82"/>
        <v>3.4673111688480578E-3</v>
      </c>
      <c r="O89" s="8">
        <f t="shared" si="62"/>
        <v>0.64289093143781151</v>
      </c>
      <c r="P89">
        <f t="shared" si="63"/>
        <v>15.516115350719943</v>
      </c>
      <c r="Q89">
        <f t="shared" si="83"/>
        <v>0.73281836669054545</v>
      </c>
      <c r="R89" s="89">
        <f t="shared" si="49"/>
        <v>5000</v>
      </c>
      <c r="S89">
        <f t="shared" si="50"/>
        <v>0.5</v>
      </c>
      <c r="U89">
        <f>O88*AV88*'Real assumptions'!$B$33/12+AX89*'Real assumptions'!$B$34</f>
        <v>6.994236176356142</v>
      </c>
      <c r="V89">
        <f>IF(P89=0,0,IF(E89&lt;=$C$7,$AN$5*O88,0))*'Real assumptions'!$D$28</f>
        <v>3.8790288376799857</v>
      </c>
      <c r="X89" s="94">
        <f t="shared" si="64"/>
        <v>0</v>
      </c>
      <c r="Y89">
        <f t="shared" si="51"/>
        <v>24</v>
      </c>
      <c r="Z89">
        <f t="shared" si="84"/>
        <v>92</v>
      </c>
      <c r="AA89">
        <f t="shared" si="52"/>
        <v>92.5</v>
      </c>
      <c r="AB89">
        <f t="shared" si="65"/>
        <v>50.505050505050505</v>
      </c>
      <c r="AC89">
        <f t="shared" si="85"/>
        <v>4671.7171717171714</v>
      </c>
      <c r="AD89">
        <f t="shared" si="66"/>
        <v>80.505050505050505</v>
      </c>
      <c r="AE89">
        <f t="shared" si="67"/>
        <v>328.28282828282863</v>
      </c>
      <c r="AF89" s="94">
        <f t="shared" si="68"/>
        <v>0</v>
      </c>
      <c r="AG89">
        <f t="shared" si="86"/>
        <v>0</v>
      </c>
      <c r="AH89">
        <f t="shared" si="69"/>
        <v>0</v>
      </c>
      <c r="AI89">
        <f>HLOOKUP(AW89,'Real assumptions'!$A$21:$AK$24,2,TRUE)</f>
        <v>1.5951</v>
      </c>
      <c r="AJ89" s="123">
        <f t="shared" si="87"/>
        <v>1.3196299168722891E-3</v>
      </c>
      <c r="AK89" s="122">
        <f>(1+HLOOKUP(YEAR(A89),'Real assumptions'!$A$21:$AK$24,2,TRUE)/100)^(1/12)-1</f>
        <v>1.3196299168722891E-3</v>
      </c>
      <c r="AL89">
        <f t="shared" si="88"/>
        <v>6.994236176356142</v>
      </c>
      <c r="AM89">
        <f>('Real assumptions'!$B$33/12)*O88*AV88</f>
        <v>6.9942361763561411</v>
      </c>
      <c r="AN89">
        <f t="shared" si="70"/>
        <v>4.6678508082051371</v>
      </c>
      <c r="AO89">
        <f t="shared" si="46"/>
        <v>6.1598355740039926E-3</v>
      </c>
      <c r="AP89" s="121">
        <f t="shared" si="71"/>
        <v>3.1160307095325558E-2</v>
      </c>
      <c r="AQ89">
        <f t="shared" si="72"/>
        <v>0</v>
      </c>
      <c r="AR89">
        <v>0</v>
      </c>
      <c r="AS89">
        <f t="shared" si="53"/>
        <v>0</v>
      </c>
      <c r="AT89">
        <f t="shared" si="73"/>
        <v>0</v>
      </c>
      <c r="AU89">
        <f>IFERROR(HLOOKUP(B89,'Real assumptions'!$B$43:$AL$44,2,TRUE)*($W$3/$U$2),0)</f>
        <v>0</v>
      </c>
      <c r="AV89">
        <f>AV88*(1+'Real assumptions'!$B$35)^(1/12)</f>
        <v>1.0829742270422285</v>
      </c>
      <c r="AW89">
        <f t="shared" si="54"/>
        <v>2025</v>
      </c>
      <c r="AX89">
        <f t="shared" si="89"/>
        <v>0</v>
      </c>
      <c r="AY89">
        <f t="shared" si="90"/>
        <v>2.7209798244107644</v>
      </c>
      <c r="AZ89">
        <f t="shared" si="55"/>
        <v>234.98552566959421</v>
      </c>
      <c r="BA89">
        <f t="shared" si="74"/>
        <v>4.6118472043705312</v>
      </c>
      <c r="BB89">
        <f t="shared" si="75"/>
        <v>92.5</v>
      </c>
      <c r="BC89">
        <f t="shared" si="56"/>
        <v>55.5</v>
      </c>
      <c r="BD89">
        <f t="shared" si="76"/>
        <v>0</v>
      </c>
      <c r="BE89">
        <f t="shared" si="57"/>
        <v>24</v>
      </c>
      <c r="BF89">
        <f t="shared" si="91"/>
        <v>5000</v>
      </c>
      <c r="BU89"/>
      <c r="FD89"/>
      <c r="FE89"/>
    </row>
    <row r="90" spans="1:161" x14ac:dyDescent="0.25">
      <c r="A90" s="7">
        <f t="shared" si="77"/>
        <v>45838</v>
      </c>
      <c r="B90">
        <f t="shared" si="58"/>
        <v>79</v>
      </c>
      <c r="C90">
        <f t="shared" si="59"/>
        <v>6.5</v>
      </c>
      <c r="D90">
        <f t="shared" si="60"/>
        <v>0</v>
      </c>
      <c r="E90">
        <f t="shared" si="61"/>
        <v>58</v>
      </c>
      <c r="F90">
        <f>IF(C90&gt;=$T$2,0,VLOOKUP($E90,EKM_F05!$A$3:$C$128,2,TRUE))</f>
        <v>6.5284615384615377E-3</v>
      </c>
      <c r="G90">
        <f>F90*'Real assumptions'!$B$3</f>
        <v>2.7243269999999999E-3</v>
      </c>
      <c r="H90">
        <f t="shared" si="78"/>
        <v>2.2731122193420106E-4</v>
      </c>
      <c r="I90">
        <f t="shared" si="79"/>
        <v>1.4574440213283737E-4</v>
      </c>
      <c r="J90">
        <f>IF(B90&gt;$AJ$2,0,HLOOKUP(C90,'Real assumptions'!$B$5:$L$8,4,TRUE))</f>
        <v>6.25E-2</v>
      </c>
      <c r="K90">
        <f t="shared" si="48"/>
        <v>1</v>
      </c>
      <c r="L90">
        <f t="shared" si="80"/>
        <v>8.3333333333333329E-2</v>
      </c>
      <c r="M90">
        <f t="shared" si="81"/>
        <v>5.3637734156456451E-3</v>
      </c>
      <c r="N90">
        <f t="shared" si="82"/>
        <v>3.4479293661430926E-3</v>
      </c>
      <c r="O90" s="8">
        <f t="shared" si="62"/>
        <v>0.63929725766953549</v>
      </c>
      <c r="P90">
        <f t="shared" si="63"/>
        <v>15.429382354507476</v>
      </c>
      <c r="Q90">
        <f t="shared" si="83"/>
        <v>0.72872201066418685</v>
      </c>
      <c r="R90" s="89">
        <f t="shared" si="49"/>
        <v>5000</v>
      </c>
      <c r="S90">
        <f t="shared" si="50"/>
        <v>0.41666666666666696</v>
      </c>
      <c r="U90">
        <f>O89*AV89*'Real assumptions'!$B$33/12+AX90*'Real assumptions'!$B$34</f>
        <v>6.9623430954632228</v>
      </c>
      <c r="V90">
        <f>IF(P90=0,0,IF(E90&lt;=$C$7,$AN$5*O89,0))*'Real assumptions'!$D$28</f>
        <v>3.857345588626869</v>
      </c>
      <c r="X90" s="94">
        <f t="shared" si="64"/>
        <v>0</v>
      </c>
      <c r="Y90">
        <f t="shared" si="51"/>
        <v>24</v>
      </c>
      <c r="Z90">
        <f t="shared" si="84"/>
        <v>92</v>
      </c>
      <c r="AA90">
        <f t="shared" si="52"/>
        <v>92.416666666666671</v>
      </c>
      <c r="AB90">
        <f t="shared" si="65"/>
        <v>50.505050505050505</v>
      </c>
      <c r="AC90">
        <f t="shared" si="85"/>
        <v>4667.5084175084176</v>
      </c>
      <c r="AD90">
        <f t="shared" si="66"/>
        <v>80.505050505050505</v>
      </c>
      <c r="AE90">
        <f t="shared" si="67"/>
        <v>332.49158249158245</v>
      </c>
      <c r="AF90" s="94">
        <f t="shared" si="68"/>
        <v>0</v>
      </c>
      <c r="AG90">
        <f t="shared" si="86"/>
        <v>0</v>
      </c>
      <c r="AH90">
        <f t="shared" si="69"/>
        <v>0</v>
      </c>
      <c r="AI90">
        <f>HLOOKUP(AW90,'Real assumptions'!$A$21:$AK$24,2,TRUE)</f>
        <v>1.5951</v>
      </c>
      <c r="AJ90" s="123">
        <f t="shared" si="87"/>
        <v>1.3196299168722891E-3</v>
      </c>
      <c r="AK90" s="122">
        <f>(1+HLOOKUP(YEAR(A90),'Real assumptions'!$A$21:$AK$24,2,TRUE)/100)^(1/12)-1</f>
        <v>1.3196299168722891E-3</v>
      </c>
      <c r="AL90">
        <f t="shared" si="88"/>
        <v>6.9623430954632228</v>
      </c>
      <c r="AM90">
        <f>('Real assumptions'!$B$33/12)*O89*AV89</f>
        <v>6.9623430954632228</v>
      </c>
      <c r="AN90">
        <f t="shared" si="70"/>
        <v>4.6408539775127098</v>
      </c>
      <c r="AO90">
        <f t="shared" si="46"/>
        <v>6.1242097485615299E-3</v>
      </c>
      <c r="AP90" s="121">
        <f t="shared" si="71"/>
        <v>3.7284516843887089E-2</v>
      </c>
      <c r="AQ90">
        <f t="shared" si="72"/>
        <v>0</v>
      </c>
      <c r="AR90">
        <v>0</v>
      </c>
      <c r="AS90">
        <f t="shared" si="53"/>
        <v>0</v>
      </c>
      <c r="AT90">
        <f t="shared" si="73"/>
        <v>0</v>
      </c>
      <c r="AU90">
        <f>IFERROR(HLOOKUP(B90,'Real assumptions'!$B$43:$AL$44,2,TRUE)*($W$3/$U$2),0)</f>
        <v>0</v>
      </c>
      <c r="AV90">
        <f>AV89*(1+'Real assumptions'!$B$35)^(1/12)</f>
        <v>1.0840959132819086</v>
      </c>
      <c r="AW90">
        <f t="shared" si="54"/>
        <v>2025</v>
      </c>
      <c r="AX90">
        <f t="shared" si="89"/>
        <v>0</v>
      </c>
      <c r="AY90">
        <f t="shared" si="90"/>
        <v>2.7057699134588025</v>
      </c>
      <c r="AZ90">
        <f t="shared" si="55"/>
        <v>239.17659125905297</v>
      </c>
      <c r="BA90">
        <f t="shared" si="74"/>
        <v>4.5860675992910558</v>
      </c>
      <c r="BB90">
        <f t="shared" si="75"/>
        <v>92.416666666666671</v>
      </c>
      <c r="BC90">
        <f t="shared" si="56"/>
        <v>55.45</v>
      </c>
      <c r="BD90">
        <f t="shared" si="76"/>
        <v>0</v>
      </c>
      <c r="BE90">
        <f t="shared" si="57"/>
        <v>24</v>
      </c>
      <c r="BF90">
        <f t="shared" si="91"/>
        <v>5000</v>
      </c>
      <c r="BU90"/>
      <c r="FD90"/>
      <c r="FE90"/>
    </row>
    <row r="91" spans="1:161" x14ac:dyDescent="0.25">
      <c r="A91" s="7">
        <f t="shared" si="77"/>
        <v>45869</v>
      </c>
      <c r="B91">
        <f t="shared" si="58"/>
        <v>80</v>
      </c>
      <c r="C91">
        <f t="shared" si="59"/>
        <v>6.583333333333333</v>
      </c>
      <c r="D91">
        <f t="shared" si="60"/>
        <v>0</v>
      </c>
      <c r="E91">
        <f t="shared" si="61"/>
        <v>58</v>
      </c>
      <c r="F91">
        <f>IF(C91&gt;=$T$2,0,VLOOKUP($E91,EKM_F05!$A$3:$C$128,2,TRUE))</f>
        <v>6.5284615384615377E-3</v>
      </c>
      <c r="G91">
        <f>F91*'Real assumptions'!$B$3</f>
        <v>2.7243269999999999E-3</v>
      </c>
      <c r="H91">
        <f t="shared" si="78"/>
        <v>2.2731122193420106E-4</v>
      </c>
      <c r="I91">
        <f t="shared" si="79"/>
        <v>1.4492971054332236E-4</v>
      </c>
      <c r="J91">
        <f>IF(B91&gt;$AJ$2,0,HLOOKUP(C91,'Real assumptions'!$B$5:$L$8,4,TRUE))</f>
        <v>6.25E-2</v>
      </c>
      <c r="K91">
        <f t="shared" si="48"/>
        <v>1</v>
      </c>
      <c r="L91">
        <f t="shared" si="80"/>
        <v>8.3333333333333329E-2</v>
      </c>
      <c r="M91">
        <f t="shared" si="81"/>
        <v>5.3637734156456451E-3</v>
      </c>
      <c r="N91">
        <f t="shared" si="82"/>
        <v>3.4286559051062951E-3</v>
      </c>
      <c r="O91" s="8">
        <f t="shared" si="62"/>
        <v>0.6357236720538858</v>
      </c>
      <c r="P91">
        <f t="shared" si="63"/>
        <v>15.343134184068852</v>
      </c>
      <c r="Q91">
        <f t="shared" si="83"/>
        <v>0.72464855271661177</v>
      </c>
      <c r="R91" s="89">
        <f t="shared" si="49"/>
        <v>5000</v>
      </c>
      <c r="S91">
        <f t="shared" si="50"/>
        <v>0.33333333333333304</v>
      </c>
      <c r="U91">
        <f>O90*AV90*'Real assumptions'!$B$33/12+AX91*'Real assumptions'!$B$34</f>
        <v>6.9305954441187465</v>
      </c>
      <c r="V91">
        <f>IF(P91=0,0,IF(E91&lt;=$C$7,$AN$5*O90,0))*'Real assumptions'!$D$28</f>
        <v>3.8357835460172129</v>
      </c>
      <c r="X91" s="94">
        <f t="shared" si="64"/>
        <v>0</v>
      </c>
      <c r="Y91">
        <f t="shared" si="51"/>
        <v>24</v>
      </c>
      <c r="Z91">
        <f t="shared" si="84"/>
        <v>92</v>
      </c>
      <c r="AA91">
        <f t="shared" si="52"/>
        <v>92.333333333333329</v>
      </c>
      <c r="AB91">
        <f t="shared" si="65"/>
        <v>50.505050505050505</v>
      </c>
      <c r="AC91">
        <f t="shared" si="85"/>
        <v>4663.2996632996628</v>
      </c>
      <c r="AD91">
        <f t="shared" si="66"/>
        <v>80.505050505050505</v>
      </c>
      <c r="AE91">
        <f t="shared" si="67"/>
        <v>336.70033670033717</v>
      </c>
      <c r="AF91" s="94">
        <f t="shared" si="68"/>
        <v>0</v>
      </c>
      <c r="AG91">
        <f t="shared" si="86"/>
        <v>0</v>
      </c>
      <c r="AH91">
        <f t="shared" si="69"/>
        <v>0</v>
      </c>
      <c r="AI91">
        <f>HLOOKUP(AW91,'Real assumptions'!$A$21:$AK$24,2,TRUE)</f>
        <v>1.5951</v>
      </c>
      <c r="AJ91" s="123">
        <f t="shared" si="87"/>
        <v>1.3196299168722891E-3</v>
      </c>
      <c r="AK91" s="122">
        <f>(1+HLOOKUP(YEAR(A91),'Real assumptions'!$A$21:$AK$24,2,TRUE)/100)^(1/12)-1</f>
        <v>1.3196299168722891E-3</v>
      </c>
      <c r="AL91">
        <f t="shared" si="88"/>
        <v>6.9305954441187465</v>
      </c>
      <c r="AM91">
        <f>('Real assumptions'!$B$33/12)*O90*AV90</f>
        <v>6.9305954441187474</v>
      </c>
      <c r="AN91">
        <f t="shared" si="70"/>
        <v>4.6140397107767788</v>
      </c>
      <c r="AO91">
        <f t="shared" si="46"/>
        <v>6.0888248399778013E-3</v>
      </c>
      <c r="AP91" s="121">
        <f t="shared" si="71"/>
        <v>4.3373341683864891E-2</v>
      </c>
      <c r="AQ91">
        <f t="shared" si="72"/>
        <v>0</v>
      </c>
      <c r="AR91">
        <v>0</v>
      </c>
      <c r="AS91">
        <f t="shared" si="53"/>
        <v>0</v>
      </c>
      <c r="AT91">
        <f t="shared" si="73"/>
        <v>0</v>
      </c>
      <c r="AU91">
        <f>IFERROR(HLOOKUP(B91,'Real assumptions'!$B$43:$AL$44,2,TRUE)*($W$3/$U$2),0)</f>
        <v>0</v>
      </c>
      <c r="AV91">
        <f>AV90*(1+'Real assumptions'!$B$35)^(1/12)</f>
        <v>1.085218761303641</v>
      </c>
      <c r="AW91">
        <f t="shared" si="54"/>
        <v>2025</v>
      </c>
      <c r="AX91">
        <f t="shared" si="89"/>
        <v>0</v>
      </c>
      <c r="AY91">
        <f t="shared" si="90"/>
        <v>2.690645023861681</v>
      </c>
      <c r="AZ91">
        <f t="shared" si="55"/>
        <v>243.34432248551022</v>
      </c>
      <c r="BA91">
        <f t="shared" si="74"/>
        <v>4.5604320987338252</v>
      </c>
      <c r="BB91">
        <f t="shared" si="75"/>
        <v>92.333333333333329</v>
      </c>
      <c r="BC91">
        <f t="shared" si="56"/>
        <v>55.399999999999991</v>
      </c>
      <c r="BD91">
        <f t="shared" si="76"/>
        <v>0</v>
      </c>
      <c r="BE91">
        <f t="shared" si="57"/>
        <v>24</v>
      </c>
      <c r="BF91">
        <f t="shared" si="91"/>
        <v>5000</v>
      </c>
      <c r="BU91"/>
      <c r="FD91"/>
      <c r="FE91"/>
    </row>
    <row r="92" spans="1:161" x14ac:dyDescent="0.25">
      <c r="A92" s="7">
        <f t="shared" si="77"/>
        <v>45900</v>
      </c>
      <c r="B92">
        <f t="shared" si="58"/>
        <v>81</v>
      </c>
      <c r="C92">
        <f t="shared" si="59"/>
        <v>6.666666666666667</v>
      </c>
      <c r="D92">
        <f t="shared" si="60"/>
        <v>0</v>
      </c>
      <c r="E92">
        <f t="shared" si="61"/>
        <v>58</v>
      </c>
      <c r="F92">
        <f>IF(C92&gt;=$T$2,0,VLOOKUP($E92,EKM_F05!$A$3:$C$128,2,TRUE))</f>
        <v>6.5284615384615377E-3</v>
      </c>
      <c r="G92">
        <f>F92*'Real assumptions'!$B$3</f>
        <v>2.7243269999999999E-3</v>
      </c>
      <c r="H92">
        <f t="shared" si="78"/>
        <v>2.2731122193420106E-4</v>
      </c>
      <c r="I92">
        <f t="shared" si="79"/>
        <v>1.4411957297012852E-4</v>
      </c>
      <c r="J92">
        <f>IF(B92&gt;$AJ$2,0,HLOOKUP(C92,'Real assumptions'!$B$5:$L$8,4,TRUE))</f>
        <v>6.25E-2</v>
      </c>
      <c r="K92">
        <f t="shared" si="48"/>
        <v>1</v>
      </c>
      <c r="L92">
        <f t="shared" si="80"/>
        <v>8.3333333333333329E-2</v>
      </c>
      <c r="M92">
        <f t="shared" si="81"/>
        <v>5.3637734156456451E-3</v>
      </c>
      <c r="N92">
        <f t="shared" si="82"/>
        <v>3.4094901801223253E-3</v>
      </c>
      <c r="O92" s="8">
        <f t="shared" si="62"/>
        <v>0.63217006230079331</v>
      </c>
      <c r="P92">
        <f t="shared" si="63"/>
        <v>15.257368129293258</v>
      </c>
      <c r="Q92">
        <f t="shared" si="83"/>
        <v>0.72059786485064259</v>
      </c>
      <c r="R92" s="89">
        <f t="shared" si="49"/>
        <v>5000</v>
      </c>
      <c r="S92">
        <f t="shared" si="50"/>
        <v>0.25</v>
      </c>
      <c r="U92">
        <f>O91*AV91*'Real assumptions'!$B$33/12+AX92*'Real assumptions'!$B$34</f>
        <v>6.8989925591772012</v>
      </c>
      <c r="V92">
        <f>IF(P92=0,0,IF(E92&lt;=$C$7,$AN$5*O91,0))*'Real assumptions'!$D$28</f>
        <v>3.8143420323233146</v>
      </c>
      <c r="X92" s="94">
        <f t="shared" si="64"/>
        <v>0</v>
      </c>
      <c r="Y92">
        <f t="shared" si="51"/>
        <v>24</v>
      </c>
      <c r="Z92">
        <f t="shared" si="84"/>
        <v>92</v>
      </c>
      <c r="AA92">
        <f t="shared" si="52"/>
        <v>92.25</v>
      </c>
      <c r="AB92">
        <f t="shared" si="65"/>
        <v>50.505050505050505</v>
      </c>
      <c r="AC92">
        <f t="shared" si="85"/>
        <v>4659.090909090909</v>
      </c>
      <c r="AD92">
        <f t="shared" si="66"/>
        <v>80.505050505050505</v>
      </c>
      <c r="AE92">
        <f t="shared" si="67"/>
        <v>340.90909090909099</v>
      </c>
      <c r="AF92" s="94">
        <f t="shared" si="68"/>
        <v>0</v>
      </c>
      <c r="AG92">
        <f t="shared" si="86"/>
        <v>0</v>
      </c>
      <c r="AH92">
        <f t="shared" si="69"/>
        <v>0</v>
      </c>
      <c r="AI92">
        <f>HLOOKUP(AW92,'Real assumptions'!$A$21:$AK$24,2,TRUE)</f>
        <v>1.5951</v>
      </c>
      <c r="AJ92" s="123">
        <f t="shared" si="87"/>
        <v>1.3196299168722891E-3</v>
      </c>
      <c r="AK92" s="122">
        <f>(1+HLOOKUP(YEAR(A92),'Real assumptions'!$A$21:$AK$24,2,TRUE)/100)^(1/12)-1</f>
        <v>1.3196299168722891E-3</v>
      </c>
      <c r="AL92">
        <f t="shared" si="88"/>
        <v>6.8989925591772012</v>
      </c>
      <c r="AM92">
        <f>('Real assumptions'!$B$33/12)*O91*AV91</f>
        <v>6.8989925591772012</v>
      </c>
      <c r="AN92">
        <f t="shared" si="70"/>
        <v>4.5874068794766076</v>
      </c>
      <c r="AO92">
        <f t="shared" si="46"/>
        <v>6.0536793590230831E-3</v>
      </c>
      <c r="AP92" s="121">
        <f t="shared" si="71"/>
        <v>4.9427021042887972E-2</v>
      </c>
      <c r="AQ92">
        <f t="shared" si="72"/>
        <v>0</v>
      </c>
      <c r="AR92">
        <v>0</v>
      </c>
      <c r="AS92">
        <f t="shared" si="53"/>
        <v>0</v>
      </c>
      <c r="AT92">
        <f t="shared" si="73"/>
        <v>0</v>
      </c>
      <c r="AU92">
        <f>IFERROR(HLOOKUP(B92,'Real assumptions'!$B$43:$AL$44,2,TRUE)*($W$3/$U$2),0)</f>
        <v>0</v>
      </c>
      <c r="AV92">
        <f>AV91*(1+'Real assumptions'!$B$35)^(1/12)</f>
        <v>1.0863427723107371</v>
      </c>
      <c r="AW92">
        <f t="shared" si="54"/>
        <v>2025</v>
      </c>
      <c r="AX92">
        <f t="shared" si="89"/>
        <v>0</v>
      </c>
      <c r="AY92">
        <f t="shared" si="90"/>
        <v>2.6756046803614719</v>
      </c>
      <c r="AZ92">
        <f t="shared" si="55"/>
        <v>247.48888260650523</v>
      </c>
      <c r="BA92">
        <f t="shared" si="74"/>
        <v>4.534939897173957</v>
      </c>
      <c r="BB92">
        <f t="shared" si="75"/>
        <v>92.25</v>
      </c>
      <c r="BC92">
        <f t="shared" si="56"/>
        <v>55.35</v>
      </c>
      <c r="BD92">
        <f t="shared" si="76"/>
        <v>0</v>
      </c>
      <c r="BE92">
        <f t="shared" si="57"/>
        <v>24</v>
      </c>
      <c r="BF92">
        <f t="shared" si="91"/>
        <v>5000</v>
      </c>
      <c r="BU92"/>
      <c r="FD92"/>
      <c r="FE92"/>
    </row>
    <row r="93" spans="1:161" x14ac:dyDescent="0.25">
      <c r="A93" s="7">
        <f t="shared" si="77"/>
        <v>45930</v>
      </c>
      <c r="B93">
        <f t="shared" si="58"/>
        <v>82</v>
      </c>
      <c r="C93">
        <f t="shared" si="59"/>
        <v>6.75</v>
      </c>
      <c r="D93">
        <f t="shared" si="60"/>
        <v>0</v>
      </c>
      <c r="E93">
        <f t="shared" si="61"/>
        <v>58</v>
      </c>
      <c r="F93">
        <f>IF(C93&gt;=$T$2,0,VLOOKUP($E93,EKM_F05!$A$3:$C$128,2,TRUE))</f>
        <v>6.5284615384615377E-3</v>
      </c>
      <c r="G93">
        <f>F93*'Real assumptions'!$B$3</f>
        <v>2.7243269999999999E-3</v>
      </c>
      <c r="H93">
        <f t="shared" si="78"/>
        <v>2.2731122193420106E-4</v>
      </c>
      <c r="I93">
        <f t="shared" si="79"/>
        <v>1.4331396395691757E-4</v>
      </c>
      <c r="J93">
        <f>IF(B93&gt;$AJ$2,0,HLOOKUP(C93,'Real assumptions'!$B$5:$L$8,4,TRUE))</f>
        <v>6.25E-2</v>
      </c>
      <c r="K93">
        <f t="shared" si="48"/>
        <v>1</v>
      </c>
      <c r="L93">
        <f t="shared" si="80"/>
        <v>8.3333333333333329E-2</v>
      </c>
      <c r="M93">
        <f t="shared" si="81"/>
        <v>5.3637734156456451E-3</v>
      </c>
      <c r="N93">
        <f t="shared" si="82"/>
        <v>3.3904315889611504E-3</v>
      </c>
      <c r="O93" s="8">
        <f t="shared" si="62"/>
        <v>0.62863631674787523</v>
      </c>
      <c r="P93">
        <f t="shared" si="63"/>
        <v>15.172081495219039</v>
      </c>
      <c r="Q93">
        <f t="shared" si="83"/>
        <v>0.71656981978458789</v>
      </c>
      <c r="R93" s="89">
        <f t="shared" si="49"/>
        <v>5000</v>
      </c>
      <c r="S93">
        <f t="shared" si="50"/>
        <v>0.16666666666666696</v>
      </c>
      <c r="U93">
        <f>O92*AV92*'Real assumptions'!$B$33/12+AX93*'Real assumptions'!$B$34</f>
        <v>6.8675337805169514</v>
      </c>
      <c r="V93">
        <f>IF(P93=0,0,IF(E93&lt;=$C$7,$AN$5*O92,0))*'Real assumptions'!$D$28</f>
        <v>3.7930203738047599</v>
      </c>
      <c r="X93" s="94">
        <f t="shared" si="64"/>
        <v>0</v>
      </c>
      <c r="Y93">
        <f t="shared" si="51"/>
        <v>24</v>
      </c>
      <c r="Z93">
        <f t="shared" si="84"/>
        <v>92</v>
      </c>
      <c r="AA93">
        <f t="shared" si="52"/>
        <v>92.166666666666671</v>
      </c>
      <c r="AB93">
        <f t="shared" si="65"/>
        <v>50.505050505050505</v>
      </c>
      <c r="AC93">
        <f t="shared" si="85"/>
        <v>4654.8821548821552</v>
      </c>
      <c r="AD93">
        <f t="shared" si="66"/>
        <v>80.505050505050505</v>
      </c>
      <c r="AE93">
        <f t="shared" si="67"/>
        <v>345.11784511784481</v>
      </c>
      <c r="AF93" s="94">
        <f t="shared" si="68"/>
        <v>0</v>
      </c>
      <c r="AG93">
        <f t="shared" si="86"/>
        <v>0</v>
      </c>
      <c r="AH93">
        <f t="shared" si="69"/>
        <v>0</v>
      </c>
      <c r="AI93">
        <f>HLOOKUP(AW93,'Real assumptions'!$A$21:$AK$24,2,TRUE)</f>
        <v>1.5951</v>
      </c>
      <c r="AJ93" s="123">
        <f t="shared" si="87"/>
        <v>1.3196299168722891E-3</v>
      </c>
      <c r="AK93" s="122">
        <f>(1+HLOOKUP(YEAR(A93),'Real assumptions'!$A$21:$AK$24,2,TRUE)/100)^(1/12)-1</f>
        <v>1.3196299168722891E-3</v>
      </c>
      <c r="AL93">
        <f t="shared" si="88"/>
        <v>6.8675337805169514</v>
      </c>
      <c r="AM93">
        <f>('Real assumptions'!$B$33/12)*O92*AV92</f>
        <v>6.8675337805169514</v>
      </c>
      <c r="AN93">
        <f t="shared" si="70"/>
        <v>4.5609543619402162</v>
      </c>
      <c r="AO93">
        <f t="shared" si="46"/>
        <v>6.0187718255054722E-3</v>
      </c>
      <c r="AP93" s="121">
        <f t="shared" si="71"/>
        <v>5.5445792868393448E-2</v>
      </c>
      <c r="AQ93">
        <f t="shared" si="72"/>
        <v>0</v>
      </c>
      <c r="AR93">
        <v>0</v>
      </c>
      <c r="AS93">
        <f t="shared" si="53"/>
        <v>0</v>
      </c>
      <c r="AT93">
        <f t="shared" si="73"/>
        <v>0</v>
      </c>
      <c r="AU93">
        <f>IFERROR(HLOOKUP(B93,'Real assumptions'!$B$43:$AL$44,2,TRUE)*($W$3/$U$2),0)</f>
        <v>0</v>
      </c>
      <c r="AV93">
        <f>AV92*(1+'Real assumptions'!$B$35)^(1/12)</f>
        <v>1.0874679475077542</v>
      </c>
      <c r="AW93">
        <f t="shared" si="54"/>
        <v>2025</v>
      </c>
      <c r="AX93">
        <f t="shared" si="89"/>
        <v>0</v>
      </c>
      <c r="AY93">
        <f t="shared" si="90"/>
        <v>2.6606484103568739</v>
      </c>
      <c r="AZ93">
        <f t="shared" si="55"/>
        <v>251.61043386119877</v>
      </c>
      <c r="BA93">
        <f t="shared" si="74"/>
        <v>4.5095901935893474</v>
      </c>
      <c r="BB93">
        <f t="shared" si="75"/>
        <v>92.166666666666671</v>
      </c>
      <c r="BC93">
        <f t="shared" si="56"/>
        <v>55.3</v>
      </c>
      <c r="BD93">
        <f t="shared" si="76"/>
        <v>0</v>
      </c>
      <c r="BE93">
        <f t="shared" si="57"/>
        <v>24</v>
      </c>
      <c r="BF93">
        <f t="shared" si="91"/>
        <v>5000</v>
      </c>
      <c r="BU93"/>
      <c r="FD93"/>
      <c r="FE93"/>
    </row>
    <row r="94" spans="1:161" x14ac:dyDescent="0.25">
      <c r="A94" s="7">
        <f t="shared" si="77"/>
        <v>45961</v>
      </c>
      <c r="B94">
        <f t="shared" si="58"/>
        <v>83</v>
      </c>
      <c r="C94">
        <f t="shared" si="59"/>
        <v>6.833333333333333</v>
      </c>
      <c r="D94">
        <f t="shared" si="60"/>
        <v>0</v>
      </c>
      <c r="E94">
        <f t="shared" si="61"/>
        <v>58</v>
      </c>
      <c r="F94">
        <f>IF(C94&gt;=$T$2,0,VLOOKUP($E94,EKM_F05!$A$3:$C$128,2,TRUE))</f>
        <v>6.5284615384615377E-3</v>
      </c>
      <c r="G94">
        <f>F94*'Real assumptions'!$B$3</f>
        <v>2.7243269999999999E-3</v>
      </c>
      <c r="H94">
        <f t="shared" si="78"/>
        <v>2.2731122193420106E-4</v>
      </c>
      <c r="I94">
        <f t="shared" si="79"/>
        <v>1.4251285818964879E-4</v>
      </c>
      <c r="J94">
        <f>IF(B94&gt;$AJ$2,0,HLOOKUP(C94,'Real assumptions'!$B$5:$L$8,4,TRUE))</f>
        <v>6.25E-2</v>
      </c>
      <c r="K94">
        <f t="shared" si="48"/>
        <v>1</v>
      </c>
      <c r="L94">
        <f t="shared" si="80"/>
        <v>8.3333333333333329E-2</v>
      </c>
      <c r="M94">
        <f t="shared" si="81"/>
        <v>5.3637734156456451E-3</v>
      </c>
      <c r="N94">
        <f t="shared" si="82"/>
        <v>3.3714795327591221E-3</v>
      </c>
      <c r="O94" s="8">
        <f t="shared" si="62"/>
        <v>0.6251223243569265</v>
      </c>
      <c r="P94">
        <f t="shared" si="63"/>
        <v>15.087271601949006</v>
      </c>
      <c r="Q94">
        <f t="shared" si="83"/>
        <v>0.71256429094824392</v>
      </c>
      <c r="R94" s="89">
        <f t="shared" si="49"/>
        <v>5000</v>
      </c>
      <c r="S94">
        <f t="shared" si="50"/>
        <v>8.3333333333333037E-2</v>
      </c>
      <c r="U94">
        <f>O93*AV93*'Real assumptions'!$B$33/12+AX94*'Real assumptions'!$B$34</f>
        <v>6.8362184510264639</v>
      </c>
      <c r="V94">
        <f>IF(P94=0,0,IF(E94&lt;=$C$7,$AN$5*O93,0))*'Real assumptions'!$D$28</f>
        <v>3.7718179004872514</v>
      </c>
      <c r="X94" s="94">
        <f t="shared" si="64"/>
        <v>0</v>
      </c>
      <c r="Y94">
        <f t="shared" si="51"/>
        <v>24</v>
      </c>
      <c r="Z94">
        <f t="shared" si="84"/>
        <v>92</v>
      </c>
      <c r="AA94">
        <f t="shared" si="52"/>
        <v>92.083333333333329</v>
      </c>
      <c r="AB94">
        <f t="shared" si="65"/>
        <v>50.505050505050505</v>
      </c>
      <c r="AC94">
        <f t="shared" si="85"/>
        <v>4650.6734006734005</v>
      </c>
      <c r="AD94">
        <f t="shared" si="66"/>
        <v>80.505050505050505</v>
      </c>
      <c r="AE94">
        <f t="shared" si="67"/>
        <v>349.32659932659953</v>
      </c>
      <c r="AF94" s="94">
        <f t="shared" si="68"/>
        <v>0</v>
      </c>
      <c r="AG94">
        <f t="shared" si="86"/>
        <v>0</v>
      </c>
      <c r="AH94">
        <f t="shared" si="69"/>
        <v>0</v>
      </c>
      <c r="AI94">
        <f>HLOOKUP(AW94,'Real assumptions'!$A$21:$AK$24,2,TRUE)</f>
        <v>1.5951</v>
      </c>
      <c r="AJ94" s="123">
        <f t="shared" si="87"/>
        <v>1.3196299168722891E-3</v>
      </c>
      <c r="AK94" s="122">
        <f>(1+HLOOKUP(YEAR(A94),'Real assumptions'!$A$21:$AK$24,2,TRUE)/100)^(1/12)-1</f>
        <v>1.3196299168722891E-3</v>
      </c>
      <c r="AL94">
        <f t="shared" si="88"/>
        <v>6.8362184510264639</v>
      </c>
      <c r="AM94">
        <f>('Real assumptions'!$B$33/12)*O93*AV93</f>
        <v>6.836218451026463</v>
      </c>
      <c r="AN94">
        <f t="shared" si="70"/>
        <v>4.5346810433036842</v>
      </c>
      <c r="AO94">
        <f t="shared" ref="AO94:AO157" si="92">AN94*AJ94</f>
        <v>5.9841007682171861E-3</v>
      </c>
      <c r="AP94" s="121">
        <f t="shared" si="71"/>
        <v>6.1429893636610632E-2</v>
      </c>
      <c r="AQ94">
        <f t="shared" si="72"/>
        <v>0</v>
      </c>
      <c r="AR94">
        <v>0</v>
      </c>
      <c r="AS94">
        <f t="shared" si="53"/>
        <v>0</v>
      </c>
      <c r="AT94">
        <f t="shared" si="73"/>
        <v>0</v>
      </c>
      <c r="AU94">
        <f>IFERROR(HLOOKUP(B94,'Real assumptions'!$B$43:$AL$44,2,TRUE)*($W$3/$U$2),0)</f>
        <v>0</v>
      </c>
      <c r="AV94">
        <f>AV93*(1+'Real assumptions'!$B$35)^(1/12)</f>
        <v>1.0885942881004975</v>
      </c>
      <c r="AW94">
        <f t="shared" si="54"/>
        <v>2025</v>
      </c>
      <c r="AX94">
        <f t="shared" si="89"/>
        <v>0</v>
      </c>
      <c r="AY94">
        <f t="shared" si="90"/>
        <v>2.6457757438883638</v>
      </c>
      <c r="AZ94">
        <f t="shared" si="55"/>
        <v>255.70913747660623</v>
      </c>
      <c r="BA94">
        <f t="shared" si="74"/>
        <v>4.4843821914354951</v>
      </c>
      <c r="BB94">
        <f t="shared" si="75"/>
        <v>92.083333333333329</v>
      </c>
      <c r="BC94">
        <f t="shared" si="56"/>
        <v>55.25</v>
      </c>
      <c r="BD94">
        <f t="shared" si="76"/>
        <v>0</v>
      </c>
      <c r="BE94">
        <f t="shared" si="57"/>
        <v>24</v>
      </c>
      <c r="BF94">
        <f t="shared" si="91"/>
        <v>5000</v>
      </c>
      <c r="BU94"/>
      <c r="FD94"/>
      <c r="FE94"/>
    </row>
    <row r="95" spans="1:161" x14ac:dyDescent="0.25">
      <c r="A95" s="7">
        <f t="shared" si="77"/>
        <v>45991</v>
      </c>
      <c r="B95">
        <f t="shared" si="58"/>
        <v>84</v>
      </c>
      <c r="C95">
        <f t="shared" si="59"/>
        <v>6.916666666666667</v>
      </c>
      <c r="D95">
        <f t="shared" si="60"/>
        <v>0</v>
      </c>
      <c r="E95">
        <f t="shared" si="61"/>
        <v>58</v>
      </c>
      <c r="F95">
        <f>IF(C95&gt;=$T$2,0,VLOOKUP($E95,EKM_F05!$A$3:$C$128,2,TRUE))</f>
        <v>6.5284615384615377E-3</v>
      </c>
      <c r="G95">
        <f>F95*'Real assumptions'!$B$3</f>
        <v>2.7243269999999999E-3</v>
      </c>
      <c r="H95">
        <f t="shared" si="78"/>
        <v>2.2731122193420106E-4</v>
      </c>
      <c r="I95">
        <f t="shared" si="79"/>
        <v>1.4171623049578358E-4</v>
      </c>
      <c r="J95">
        <f>IF(B95&gt;$AJ$2,0,HLOOKUP(C95,'Real assumptions'!$B$5:$L$8,4,TRUE))</f>
        <v>6.25E-2</v>
      </c>
      <c r="K95">
        <f t="shared" si="48"/>
        <v>1</v>
      </c>
      <c r="L95">
        <f t="shared" si="80"/>
        <v>8.3333333333333329E-2</v>
      </c>
      <c r="M95">
        <f t="shared" si="81"/>
        <v>5.3637734156456451E-3</v>
      </c>
      <c r="N95">
        <f t="shared" si="82"/>
        <v>3.3526334160001591E-3</v>
      </c>
      <c r="O95" s="8">
        <f t="shared" si="62"/>
        <v>0.62162797471043063</v>
      </c>
      <c r="P95">
        <f t="shared" si="63"/>
        <v>15.002935784566237</v>
      </c>
      <c r="Q95">
        <f t="shared" si="83"/>
        <v>0.70858115247891784</v>
      </c>
      <c r="R95" s="89">
        <f t="shared" si="49"/>
        <v>5000</v>
      </c>
      <c r="S95">
        <f t="shared" si="50"/>
        <v>1</v>
      </c>
      <c r="U95">
        <f>O94*AV94*'Real assumptions'!$B$33/12+AX95*'Real assumptions'!$B$34</f>
        <v>6.8050459165905677</v>
      </c>
      <c r="V95">
        <f>IF(P95=0,0,IF(E95&lt;=$C$7,$AN$5*O94,0))*'Real assumptions'!$D$28</f>
        <v>3.7507339461415592</v>
      </c>
      <c r="X95" s="94">
        <f t="shared" si="64"/>
        <v>0</v>
      </c>
      <c r="Y95">
        <f t="shared" si="51"/>
        <v>24</v>
      </c>
      <c r="Z95">
        <f t="shared" si="84"/>
        <v>92</v>
      </c>
      <c r="AA95">
        <f t="shared" si="52"/>
        <v>92</v>
      </c>
      <c r="AB95">
        <f t="shared" si="65"/>
        <v>50.505050505050505</v>
      </c>
      <c r="AC95">
        <f t="shared" si="85"/>
        <v>4646.4646464646466</v>
      </c>
      <c r="AD95">
        <f t="shared" si="66"/>
        <v>80.505050505050505</v>
      </c>
      <c r="AE95">
        <f t="shared" si="67"/>
        <v>353.53535353535335</v>
      </c>
      <c r="AF95" s="94">
        <f t="shared" si="68"/>
        <v>0</v>
      </c>
      <c r="AG95">
        <f t="shared" si="86"/>
        <v>0</v>
      </c>
      <c r="AH95">
        <f t="shared" si="69"/>
        <v>0</v>
      </c>
      <c r="AI95">
        <f>HLOOKUP(AW95,'Real assumptions'!$A$21:$AK$24,2,TRUE)</f>
        <v>1.5951</v>
      </c>
      <c r="AJ95" s="123">
        <f t="shared" si="87"/>
        <v>1.3196299168722891E-3</v>
      </c>
      <c r="AK95" s="122">
        <f>(1+HLOOKUP(YEAR(A95),'Real assumptions'!$A$21:$AK$24,2,TRUE)/100)^(1/12)-1</f>
        <v>1.3196299168722891E-3</v>
      </c>
      <c r="AL95">
        <f t="shared" si="88"/>
        <v>6.8050459165905677</v>
      </c>
      <c r="AM95">
        <f>('Real assumptions'!$B$33/12)*O94*AV94</f>
        <v>6.8050459165905668</v>
      </c>
      <c r="AN95">
        <f t="shared" si="70"/>
        <v>4.5085858154707212</v>
      </c>
      <c r="AO95">
        <f t="shared" si="92"/>
        <v>5.9496647248812101E-3</v>
      </c>
      <c r="AP95" s="121">
        <f t="shared" si="71"/>
        <v>6.7379558361491843E-2</v>
      </c>
      <c r="AQ95">
        <f t="shared" si="72"/>
        <v>0</v>
      </c>
      <c r="AR95">
        <v>0</v>
      </c>
      <c r="AS95">
        <f t="shared" si="53"/>
        <v>0</v>
      </c>
      <c r="AT95">
        <f t="shared" si="73"/>
        <v>0</v>
      </c>
      <c r="AU95">
        <f>IFERROR(HLOOKUP(B95,'Real assumptions'!$B$43:$AL$44,2,TRUE)*($W$3/$U$2),0)</f>
        <v>0</v>
      </c>
      <c r="AV95">
        <f>AV94*(1+'Real assumptions'!$B$35)^(1/12)</f>
        <v>1.089721795296021</v>
      </c>
      <c r="AW95">
        <f t="shared" si="54"/>
        <v>2025</v>
      </c>
      <c r="AX95">
        <f t="shared" si="89"/>
        <v>0</v>
      </c>
      <c r="AY95">
        <f t="shared" si="90"/>
        <v>2.6309862136234279</v>
      </c>
      <c r="AZ95">
        <f t="shared" si="55"/>
        <v>259.78515367379316</v>
      </c>
      <c r="BA95">
        <f t="shared" si="74"/>
        <v>4.4593150986204773</v>
      </c>
      <c r="BB95">
        <f t="shared" si="75"/>
        <v>92</v>
      </c>
      <c r="BC95">
        <f t="shared" si="56"/>
        <v>55.199999999999996</v>
      </c>
      <c r="BD95">
        <f t="shared" si="76"/>
        <v>0</v>
      </c>
      <c r="BE95">
        <f t="shared" si="57"/>
        <v>24</v>
      </c>
      <c r="BF95">
        <f t="shared" si="91"/>
        <v>5000</v>
      </c>
      <c r="BU95"/>
      <c r="FD95"/>
      <c r="FE95"/>
    </row>
    <row r="96" spans="1:161" x14ac:dyDescent="0.25">
      <c r="A96" s="7">
        <f t="shared" si="77"/>
        <v>46022</v>
      </c>
      <c r="B96">
        <f t="shared" si="58"/>
        <v>85</v>
      </c>
      <c r="C96">
        <f t="shared" si="59"/>
        <v>7</v>
      </c>
      <c r="D96">
        <f t="shared" si="60"/>
        <v>1</v>
      </c>
      <c r="E96">
        <f t="shared" si="61"/>
        <v>59</v>
      </c>
      <c r="F96">
        <f>IF(C96&gt;=$T$2,0,VLOOKUP($E96,EKM_F05!$A$3:$C$128,2,TRUE))</f>
        <v>7.1228205128205119E-3</v>
      </c>
      <c r="G96">
        <f>F96*'Real assumptions'!$B$3</f>
        <v>2.9723529999999996E-3</v>
      </c>
      <c r="H96">
        <f t="shared" si="78"/>
        <v>2.480341689549137E-4</v>
      </c>
      <c r="I96">
        <f t="shared" si="79"/>
        <v>1.5390580609286745E-4</v>
      </c>
      <c r="J96">
        <f>IF(B96&gt;$AJ$2,0,HLOOKUP(C96,'Real assumptions'!$B$5:$L$8,4,TRUE))</f>
        <v>4.2599999999999999E-2</v>
      </c>
      <c r="K96">
        <f t="shared" si="48"/>
        <v>1</v>
      </c>
      <c r="L96">
        <f t="shared" si="80"/>
        <v>8.3333333333333329E-2</v>
      </c>
      <c r="M96">
        <f t="shared" si="81"/>
        <v>3.6212608645653788E-3</v>
      </c>
      <c r="N96">
        <f t="shared" si="82"/>
        <v>2.2507978851243594E-3</v>
      </c>
      <c r="O96" s="8">
        <f t="shared" si="62"/>
        <v>0.61922327101921337</v>
      </c>
      <c r="P96">
        <f t="shared" si="63"/>
        <v>14.919071393050334</v>
      </c>
      <c r="Q96">
        <f t="shared" si="83"/>
        <v>0.76952903046433729</v>
      </c>
      <c r="R96" s="89">
        <f t="shared" si="49"/>
        <v>5000</v>
      </c>
      <c r="S96">
        <f t="shared" si="50"/>
        <v>0.91666666666666696</v>
      </c>
      <c r="U96">
        <f>O95*AV95*'Real assumptions'!$B$33/12+AX96*'Real assumptions'!$B$34</f>
        <v>6.7740155260767994</v>
      </c>
      <c r="V96">
        <f>IF(P96=0,0,IF(E96&lt;=$C$7,$AN$5*O95,0))*'Real assumptions'!$D$28</f>
        <v>3.7297678482625836</v>
      </c>
      <c r="X96" s="94">
        <f t="shared" si="64"/>
        <v>0</v>
      </c>
      <c r="Y96">
        <f t="shared" si="51"/>
        <v>24</v>
      </c>
      <c r="Z96">
        <f t="shared" si="84"/>
        <v>92</v>
      </c>
      <c r="AA96">
        <f t="shared" si="52"/>
        <v>91.916666666666671</v>
      </c>
      <c r="AB96">
        <f t="shared" si="65"/>
        <v>50.505050505050505</v>
      </c>
      <c r="AC96">
        <f t="shared" si="85"/>
        <v>4642.2558922558928</v>
      </c>
      <c r="AD96">
        <f t="shared" si="66"/>
        <v>80.505050505050505</v>
      </c>
      <c r="AE96">
        <f t="shared" si="67"/>
        <v>357.74410774410717</v>
      </c>
      <c r="AF96" s="94">
        <f t="shared" si="68"/>
        <v>0</v>
      </c>
      <c r="AG96">
        <f t="shared" si="86"/>
        <v>0</v>
      </c>
      <c r="AH96">
        <f t="shared" si="69"/>
        <v>0</v>
      </c>
      <c r="AI96">
        <f>HLOOKUP(AW96,'Real assumptions'!$A$21:$AK$24,2,TRUE)</f>
        <v>1.5951</v>
      </c>
      <c r="AJ96" s="123">
        <f t="shared" si="87"/>
        <v>1.3196299168722891E-3</v>
      </c>
      <c r="AK96" s="122">
        <f>(1+HLOOKUP(YEAR(A96),'Real assumptions'!$A$21:$AK$24,2,TRUE)/100)^(1/12)-1</f>
        <v>1.3196299168722891E-3</v>
      </c>
      <c r="AL96">
        <f t="shared" si="88"/>
        <v>6.7740155260767994</v>
      </c>
      <c r="AM96">
        <f>('Real assumptions'!$B$33/12)*O95*AV95</f>
        <v>6.7740155260768002</v>
      </c>
      <c r="AN96">
        <f t="shared" si="70"/>
        <v>4.4826675770724433</v>
      </c>
      <c r="AO96">
        <f t="shared" si="92"/>
        <v>5.9154622420982145E-3</v>
      </c>
      <c r="AP96" s="121">
        <f t="shared" si="71"/>
        <v>0</v>
      </c>
      <c r="AQ96">
        <f t="shared" si="72"/>
        <v>0</v>
      </c>
      <c r="AR96">
        <v>0</v>
      </c>
      <c r="AS96">
        <f t="shared" si="53"/>
        <v>0</v>
      </c>
      <c r="AT96">
        <f t="shared" si="73"/>
        <v>0</v>
      </c>
      <c r="AU96">
        <f>IFERROR(HLOOKUP(B96,'Real assumptions'!$B$43:$AL$44,2,TRUE)*($W$3/$U$2),0)</f>
        <v>0</v>
      </c>
      <c r="AV96">
        <f>AV95*(1+'Real assumptions'!$B$35)^(1/12)</f>
        <v>1.0908504703026287</v>
      </c>
      <c r="AW96">
        <f t="shared" si="54"/>
        <v>2025</v>
      </c>
      <c r="AX96">
        <f t="shared" si="89"/>
        <v>0</v>
      </c>
      <c r="AY96">
        <f t="shared" si="90"/>
        <v>2.6162793548418795</v>
      </c>
      <c r="AZ96">
        <f t="shared" si="55"/>
        <v>263.77373292278696</v>
      </c>
      <c r="BA96">
        <f t="shared" si="74"/>
        <v>4.4992968787269207</v>
      </c>
      <c r="BB96">
        <f t="shared" si="75"/>
        <v>91.916666666666671</v>
      </c>
      <c r="BC96">
        <f t="shared" si="56"/>
        <v>55.150000000000006</v>
      </c>
      <c r="BD96">
        <f t="shared" si="76"/>
        <v>0</v>
      </c>
      <c r="BE96">
        <f t="shared" si="57"/>
        <v>24</v>
      </c>
      <c r="BF96">
        <f t="shared" si="91"/>
        <v>5000</v>
      </c>
      <c r="BU96"/>
      <c r="FD96"/>
      <c r="FE96"/>
    </row>
    <row r="97" spans="1:161" x14ac:dyDescent="0.25">
      <c r="A97" s="7">
        <f t="shared" si="77"/>
        <v>46053</v>
      </c>
      <c r="B97">
        <f t="shared" si="58"/>
        <v>86</v>
      </c>
      <c r="C97">
        <f t="shared" si="59"/>
        <v>7.0833333333333339</v>
      </c>
      <c r="D97">
        <f t="shared" si="60"/>
        <v>0</v>
      </c>
      <c r="E97">
        <f t="shared" si="61"/>
        <v>59</v>
      </c>
      <c r="F97">
        <f>IF(C97&gt;=$T$2,0,VLOOKUP($E97,EKM_F05!$A$3:$C$128,2,TRUE))</f>
        <v>7.1228205128205119E-3</v>
      </c>
      <c r="G97">
        <f>F97*'Real assumptions'!$B$3</f>
        <v>2.9723529999999996E-3</v>
      </c>
      <c r="H97">
        <f t="shared" si="78"/>
        <v>2.480341689549137E-4</v>
      </c>
      <c r="I97">
        <f t="shared" si="79"/>
        <v>1.5331043735936781E-4</v>
      </c>
      <c r="J97">
        <f>IF(B97&gt;$AJ$2,0,HLOOKUP(C97,'Real assumptions'!$B$5:$L$8,4,TRUE))</f>
        <v>4.2599999999999999E-2</v>
      </c>
      <c r="K97">
        <f t="shared" si="48"/>
        <v>1</v>
      </c>
      <c r="L97">
        <f t="shared" si="80"/>
        <v>8.3333333333333329E-2</v>
      </c>
      <c r="M97">
        <f t="shared" si="81"/>
        <v>3.6212608645653788E-3</v>
      </c>
      <c r="N97">
        <f t="shared" si="82"/>
        <v>2.2420909057046124E-3</v>
      </c>
      <c r="O97" s="8">
        <f t="shared" si="62"/>
        <v>0.61682786967614944</v>
      </c>
      <c r="P97">
        <f t="shared" si="63"/>
        <v>14.861358504461121</v>
      </c>
      <c r="Q97">
        <f t="shared" si="83"/>
        <v>0.76655218679683901</v>
      </c>
      <c r="R97" s="89">
        <f t="shared" si="49"/>
        <v>5000</v>
      </c>
      <c r="S97">
        <f t="shared" si="50"/>
        <v>0.83333333333333304</v>
      </c>
      <c r="U97">
        <f>O96*AV96*'Real assumptions'!$B$33/12+AX97*'Real assumptions'!$B$34</f>
        <v>6.75479996413641</v>
      </c>
      <c r="V97">
        <f>IF(P97=0,0,IF(E97&lt;=$C$7,$AN$5*O96,0))*'Real assumptions'!$D$28</f>
        <v>3.7153396261152802</v>
      </c>
      <c r="X97" s="94">
        <f t="shared" si="64"/>
        <v>0</v>
      </c>
      <c r="Y97">
        <f t="shared" si="51"/>
        <v>24</v>
      </c>
      <c r="Z97">
        <f t="shared" si="84"/>
        <v>91</v>
      </c>
      <c r="AA97">
        <f t="shared" si="52"/>
        <v>91.833333333333329</v>
      </c>
      <c r="AB97">
        <f t="shared" si="65"/>
        <v>50.505050505050505</v>
      </c>
      <c r="AC97">
        <f t="shared" si="85"/>
        <v>4638.0471380471381</v>
      </c>
      <c r="AD97">
        <f t="shared" si="66"/>
        <v>80.505050505050505</v>
      </c>
      <c r="AE97">
        <f t="shared" si="67"/>
        <v>361.95286195286189</v>
      </c>
      <c r="AF97" s="94">
        <f t="shared" si="68"/>
        <v>0</v>
      </c>
      <c r="AG97">
        <f t="shared" si="86"/>
        <v>0</v>
      </c>
      <c r="AH97">
        <f t="shared" si="69"/>
        <v>0</v>
      </c>
      <c r="AI97">
        <f>HLOOKUP(AW97,'Real assumptions'!$A$21:$AK$24,2,TRUE)</f>
        <v>1.6633</v>
      </c>
      <c r="AJ97" s="123">
        <f t="shared" si="87"/>
        <v>1.3756275294545262E-3</v>
      </c>
      <c r="AK97" s="122">
        <f>(1+HLOOKUP(YEAR(A97),'Real assumptions'!$A$21:$AK$24,2,TRUE)/100)^(1/12)-1</f>
        <v>1.3756275294545262E-3</v>
      </c>
      <c r="AL97">
        <f t="shared" si="88"/>
        <v>6.75479996413641</v>
      </c>
      <c r="AM97">
        <f>('Real assumptions'!$B$33/12)*O96*AV96</f>
        <v>6.75479996413641</v>
      </c>
      <c r="AN97">
        <f t="shared" si="70"/>
        <v>4.3912189142094302</v>
      </c>
      <c r="AO97">
        <f t="shared" si="92"/>
        <v>6.0406816262479051E-3</v>
      </c>
      <c r="AP97" s="121">
        <f t="shared" si="71"/>
        <v>6.0406816262479051E-3</v>
      </c>
      <c r="AQ97">
        <f t="shared" si="72"/>
        <v>0</v>
      </c>
      <c r="AR97">
        <v>0</v>
      </c>
      <c r="AS97">
        <f t="shared" si="53"/>
        <v>0</v>
      </c>
      <c r="AT97">
        <f t="shared" si="73"/>
        <v>0</v>
      </c>
      <c r="AU97">
        <f>IFERROR(HLOOKUP(B97,'Real assumptions'!$B$43:$AL$44,2,TRUE)*($W$3/$U$2),0)</f>
        <v>0</v>
      </c>
      <c r="AV97">
        <f>AV96*(1+'Real assumptions'!$B$35)^(1/12)</f>
        <v>1.0919803143298765</v>
      </c>
      <c r="AW97">
        <f t="shared" si="54"/>
        <v>2026</v>
      </c>
      <c r="AX97">
        <f t="shared" si="89"/>
        <v>0</v>
      </c>
      <c r="AY97">
        <f t="shared" si="90"/>
        <v>2.6061585480606624</v>
      </c>
      <c r="AZ97">
        <f t="shared" si="55"/>
        <v>267.76125405875513</v>
      </c>
      <c r="BA97">
        <f t="shared" si="74"/>
        <v>4.481891812912119</v>
      </c>
      <c r="BB97">
        <f t="shared" si="75"/>
        <v>91.833333333333329</v>
      </c>
      <c r="BC97">
        <f t="shared" si="56"/>
        <v>55.099999999999994</v>
      </c>
      <c r="BD97">
        <f t="shared" si="76"/>
        <v>0</v>
      </c>
      <c r="BE97">
        <f t="shared" si="57"/>
        <v>24</v>
      </c>
      <c r="BF97">
        <f t="shared" si="91"/>
        <v>5000</v>
      </c>
      <c r="BU97"/>
      <c r="FD97"/>
      <c r="FE97"/>
    </row>
    <row r="98" spans="1:161" x14ac:dyDescent="0.25">
      <c r="A98" s="7">
        <f t="shared" si="77"/>
        <v>46081</v>
      </c>
      <c r="B98">
        <f t="shared" si="58"/>
        <v>87</v>
      </c>
      <c r="C98">
        <f t="shared" si="59"/>
        <v>7.1666666666666661</v>
      </c>
      <c r="D98">
        <f t="shared" si="60"/>
        <v>0</v>
      </c>
      <c r="E98">
        <f t="shared" si="61"/>
        <v>59</v>
      </c>
      <c r="F98">
        <f>IF(C98&gt;=$T$2,0,VLOOKUP($E98,EKM_F05!$A$3:$C$128,2,TRUE))</f>
        <v>7.1228205128205119E-3</v>
      </c>
      <c r="G98">
        <f>F98*'Real assumptions'!$B$3</f>
        <v>2.9723529999999996E-3</v>
      </c>
      <c r="H98">
        <f t="shared" si="78"/>
        <v>2.480341689549137E-4</v>
      </c>
      <c r="I98">
        <f t="shared" si="79"/>
        <v>1.5271737174839378E-4</v>
      </c>
      <c r="J98">
        <f>IF(B98&gt;$AJ$2,0,HLOOKUP(C98,'Real assumptions'!$B$5:$L$8,4,TRUE))</f>
        <v>4.2599999999999999E-2</v>
      </c>
      <c r="K98">
        <f t="shared" si="48"/>
        <v>1</v>
      </c>
      <c r="L98">
        <f t="shared" si="80"/>
        <v>8.3333333333333329E-2</v>
      </c>
      <c r="M98">
        <f t="shared" si="81"/>
        <v>3.6212608645653788E-3</v>
      </c>
      <c r="N98">
        <f t="shared" si="82"/>
        <v>2.2334176083365141E-3</v>
      </c>
      <c r="O98" s="8">
        <f t="shared" si="62"/>
        <v>0.61444173469606456</v>
      </c>
      <c r="P98">
        <f t="shared" si="63"/>
        <v>14.803868872227586</v>
      </c>
      <c r="Q98">
        <f t="shared" si="83"/>
        <v>0.76358685874196885</v>
      </c>
      <c r="R98" s="89">
        <f t="shared" si="49"/>
        <v>5000</v>
      </c>
      <c r="S98">
        <f t="shared" si="50"/>
        <v>0.75</v>
      </c>
      <c r="U98">
        <f>O97*AV97*'Real assumptions'!$B$33/12+AX98*'Real assumptions'!$B$34</f>
        <v>6.7356389101638987</v>
      </c>
      <c r="V98">
        <f>IF(P98=0,0,IF(E98&lt;=$C$7,$AN$5*O97,0))*'Real assumptions'!$D$28</f>
        <v>3.7009672180568964</v>
      </c>
      <c r="X98" s="94">
        <f t="shared" si="64"/>
        <v>0</v>
      </c>
      <c r="Y98">
        <f t="shared" si="51"/>
        <v>24</v>
      </c>
      <c r="Z98">
        <f t="shared" si="84"/>
        <v>91</v>
      </c>
      <c r="AA98">
        <f t="shared" si="52"/>
        <v>91.75</v>
      </c>
      <c r="AB98">
        <f t="shared" si="65"/>
        <v>50.505050505050505</v>
      </c>
      <c r="AC98">
        <f t="shared" si="85"/>
        <v>4633.8383838383843</v>
      </c>
      <c r="AD98">
        <f t="shared" si="66"/>
        <v>80.505050505050505</v>
      </c>
      <c r="AE98">
        <f t="shared" si="67"/>
        <v>366.16161616161571</v>
      </c>
      <c r="AF98" s="94">
        <f t="shared" si="68"/>
        <v>0</v>
      </c>
      <c r="AG98">
        <f t="shared" si="86"/>
        <v>0</v>
      </c>
      <c r="AH98">
        <f t="shared" si="69"/>
        <v>0</v>
      </c>
      <c r="AI98">
        <f>HLOOKUP(AW98,'Real assumptions'!$A$21:$AK$24,2,TRUE)</f>
        <v>1.6633</v>
      </c>
      <c r="AJ98" s="123">
        <f t="shared" si="87"/>
        <v>1.3756275294545262E-3</v>
      </c>
      <c r="AK98" s="122">
        <f>(1+HLOOKUP(YEAR(A98),'Real assumptions'!$A$21:$AK$24,2,TRUE)/100)^(1/12)-1</f>
        <v>1.3756275294545262E-3</v>
      </c>
      <c r="AL98">
        <f t="shared" si="88"/>
        <v>6.7356389101638987</v>
      </c>
      <c r="AM98">
        <f>('Real assumptions'!$B$33/12)*O97*AV97</f>
        <v>6.7356389101638978</v>
      </c>
      <c r="AN98">
        <f t="shared" si="70"/>
        <v>4.3733034256330372</v>
      </c>
      <c r="AO98">
        <f t="shared" si="92"/>
        <v>6.0160365869585909E-3</v>
      </c>
      <c r="AP98" s="121">
        <f t="shared" si="71"/>
        <v>1.2056718213206495E-2</v>
      </c>
      <c r="AQ98">
        <f t="shared" si="72"/>
        <v>0</v>
      </c>
      <c r="AR98">
        <v>0</v>
      </c>
      <c r="AS98">
        <f t="shared" si="53"/>
        <v>0</v>
      </c>
      <c r="AT98">
        <f t="shared" si="73"/>
        <v>0</v>
      </c>
      <c r="AU98">
        <f>IFERROR(HLOOKUP(B98,'Real assumptions'!$B$43:$AL$44,2,TRUE)*($W$3/$U$2),0)</f>
        <v>0</v>
      </c>
      <c r="AV98">
        <f>AV97*(1+'Real assumptions'!$B$35)^(1/12)</f>
        <v>1.0931113285885727</v>
      </c>
      <c r="AW98">
        <f t="shared" si="54"/>
        <v>2026</v>
      </c>
      <c r="AX98">
        <f t="shared" si="89"/>
        <v>0</v>
      </c>
      <c r="AY98">
        <f t="shared" si="90"/>
        <v>2.5960768925763862</v>
      </c>
      <c r="AZ98">
        <f t="shared" si="55"/>
        <v>271.73326969642443</v>
      </c>
      <c r="BA98">
        <f t="shared" si="74"/>
        <v>4.4645540767988656</v>
      </c>
      <c r="BB98">
        <f t="shared" si="75"/>
        <v>91.75</v>
      </c>
      <c r="BC98">
        <f t="shared" si="56"/>
        <v>55.05</v>
      </c>
      <c r="BD98">
        <f t="shared" si="76"/>
        <v>0</v>
      </c>
      <c r="BE98">
        <f t="shared" si="57"/>
        <v>24</v>
      </c>
      <c r="BF98">
        <f t="shared" si="91"/>
        <v>5000</v>
      </c>
      <c r="BU98"/>
      <c r="FD98"/>
      <c r="FE98"/>
    </row>
    <row r="99" spans="1:161" x14ac:dyDescent="0.25">
      <c r="A99" s="7">
        <f t="shared" si="77"/>
        <v>46112</v>
      </c>
      <c r="B99">
        <f t="shared" si="58"/>
        <v>88</v>
      </c>
      <c r="C99">
        <f t="shared" si="59"/>
        <v>7.25</v>
      </c>
      <c r="D99">
        <f t="shared" si="60"/>
        <v>0</v>
      </c>
      <c r="E99">
        <f t="shared" si="61"/>
        <v>59</v>
      </c>
      <c r="F99">
        <f>IF(C99&gt;=$T$2,0,VLOOKUP($E99,EKM_F05!$A$3:$C$128,2,TRUE))</f>
        <v>7.1228205128205119E-3</v>
      </c>
      <c r="G99">
        <f>F99*'Real assumptions'!$B$3</f>
        <v>2.9723529999999996E-3</v>
      </c>
      <c r="H99">
        <f t="shared" si="78"/>
        <v>2.480341689549137E-4</v>
      </c>
      <c r="I99">
        <f t="shared" si="79"/>
        <v>1.5212660035055344E-4</v>
      </c>
      <c r="J99">
        <f>IF(B99&gt;$AJ$2,0,HLOOKUP(C99,'Real assumptions'!$B$5:$L$8,4,TRUE))</f>
        <v>4.2599999999999999E-2</v>
      </c>
      <c r="K99">
        <f t="shared" si="48"/>
        <v>1</v>
      </c>
      <c r="L99">
        <f t="shared" si="80"/>
        <v>8.3333333333333329E-2</v>
      </c>
      <c r="M99">
        <f t="shared" si="81"/>
        <v>3.6212608645653788E-3</v>
      </c>
      <c r="N99">
        <f t="shared" si="82"/>
        <v>2.2247778627245214E-3</v>
      </c>
      <c r="O99" s="8">
        <f t="shared" si="62"/>
        <v>0.61206483023298941</v>
      </c>
      <c r="P99">
        <f t="shared" si="63"/>
        <v>14.746601632705548</v>
      </c>
      <c r="Q99">
        <f t="shared" si="83"/>
        <v>0.76063300175276716</v>
      </c>
      <c r="R99" s="89">
        <f t="shared" si="49"/>
        <v>5000</v>
      </c>
      <c r="S99">
        <f t="shared" si="50"/>
        <v>0.66666666666666696</v>
      </c>
      <c r="U99">
        <f>O98*AV98*'Real assumptions'!$B$33/12+AX99*'Real assumptions'!$B$34</f>
        <v>6.7165322095388253</v>
      </c>
      <c r="V99">
        <f>IF(P99=0,0,IF(E99&lt;=$C$7,$AN$5*O98,0))*'Real assumptions'!$D$28</f>
        <v>3.6866504081763871</v>
      </c>
      <c r="X99" s="94">
        <f t="shared" si="64"/>
        <v>0</v>
      </c>
      <c r="Y99">
        <f t="shared" si="51"/>
        <v>24</v>
      </c>
      <c r="Z99">
        <f t="shared" si="84"/>
        <v>91</v>
      </c>
      <c r="AA99">
        <f t="shared" si="52"/>
        <v>91.666666666666671</v>
      </c>
      <c r="AB99">
        <f t="shared" si="65"/>
        <v>50.505050505050505</v>
      </c>
      <c r="AC99">
        <f t="shared" si="85"/>
        <v>4629.6296296296296</v>
      </c>
      <c r="AD99">
        <f t="shared" si="66"/>
        <v>80.505050505050505</v>
      </c>
      <c r="AE99">
        <f t="shared" si="67"/>
        <v>368.98148148148147</v>
      </c>
      <c r="AF99" s="94">
        <f>MAX(($AI$2+$Y$2-AC99-AE99+X99+BD99),0)</f>
        <v>1.388888888888971</v>
      </c>
      <c r="AG99">
        <f>IF(B99&lt;=$C$8,0,AF99*N99)</f>
        <v>3.0899692537842403E-3</v>
      </c>
      <c r="AH99">
        <f t="shared" si="69"/>
        <v>0.85009004199031335</v>
      </c>
      <c r="AI99">
        <f>HLOOKUP(AW99,'Real assumptions'!$A$21:$AK$24,2,TRUE)</f>
        <v>1.6633</v>
      </c>
      <c r="AJ99" s="123">
        <f t="shared" si="87"/>
        <v>1.3756275294545262E-3</v>
      </c>
      <c r="AK99" s="122">
        <f>(1+HLOOKUP(YEAR(A99),'Real assumptions'!$A$21:$AK$24,2,TRUE)/100)^(1/12)-1</f>
        <v>1.3756275294545262E-3</v>
      </c>
      <c r="AL99">
        <f t="shared" si="88"/>
        <v>6.7165322095388253</v>
      </c>
      <c r="AM99">
        <f>('Real assumptions'!$B$33/12)*O98*AV98</f>
        <v>6.7165322095388245</v>
      </c>
      <c r="AN99">
        <f t="shared" si="70"/>
        <v>4.3554757332035416</v>
      </c>
      <c r="AO99">
        <f t="shared" si="92"/>
        <v>5.991512322465929E-3</v>
      </c>
      <c r="AP99" s="121">
        <f t="shared" si="71"/>
        <v>1.8048230535672425E-2</v>
      </c>
      <c r="AQ99">
        <f t="shared" si="72"/>
        <v>0</v>
      </c>
      <c r="AR99">
        <v>0</v>
      </c>
      <c r="AS99">
        <f t="shared" si="53"/>
        <v>0</v>
      </c>
      <c r="AT99">
        <f t="shared" si="73"/>
        <v>0</v>
      </c>
      <c r="AU99">
        <f>IFERROR(HLOOKUP(B99,'Real assumptions'!$B$43:$AL$44,2,TRUE)*($W$3/$U$2),0)</f>
        <v>0</v>
      </c>
      <c r="AV99">
        <f>AV98*(1+'Real assumptions'!$B$35)^(1/12)</f>
        <v>1.09424351429078</v>
      </c>
      <c r="AW99">
        <f t="shared" si="54"/>
        <v>2026</v>
      </c>
      <c r="AX99">
        <f t="shared" si="89"/>
        <v>0</v>
      </c>
      <c r="AY99">
        <f t="shared" si="90"/>
        <v>2.5860342369362983</v>
      </c>
      <c r="AZ99">
        <f t="shared" si="55"/>
        <v>275.68676950687131</v>
      </c>
      <c r="BA99">
        <f t="shared" si="74"/>
        <v>4.4503733791829383</v>
      </c>
      <c r="BB99">
        <f t="shared" si="75"/>
        <v>91.666666666666671</v>
      </c>
      <c r="BC99">
        <f t="shared" si="56"/>
        <v>55</v>
      </c>
      <c r="BD99">
        <f t="shared" si="76"/>
        <v>0</v>
      </c>
      <c r="BE99">
        <f t="shared" si="57"/>
        <v>24</v>
      </c>
      <c r="BF99">
        <f t="shared" si="91"/>
        <v>5000</v>
      </c>
      <c r="BU99"/>
      <c r="FD99"/>
      <c r="FE99"/>
    </row>
    <row r="100" spans="1:161" x14ac:dyDescent="0.25">
      <c r="A100" s="7">
        <f t="shared" si="77"/>
        <v>46142</v>
      </c>
      <c r="B100">
        <f t="shared" si="58"/>
        <v>89</v>
      </c>
      <c r="C100">
        <f t="shared" si="59"/>
        <v>7.3333333333333339</v>
      </c>
      <c r="D100">
        <f t="shared" si="60"/>
        <v>0</v>
      </c>
      <c r="E100">
        <f t="shared" si="61"/>
        <v>59</v>
      </c>
      <c r="F100">
        <f>IF(C100&gt;=$T$2,0,VLOOKUP($E100,EKM_F05!$A$3:$C$128,2,TRUE))</f>
        <v>7.1228205128205119E-3</v>
      </c>
      <c r="G100">
        <f>F100*'Real assumptions'!$B$3</f>
        <v>2.9723529999999996E-3</v>
      </c>
      <c r="H100">
        <f t="shared" si="78"/>
        <v>2.480341689549137E-4</v>
      </c>
      <c r="I100">
        <f t="shared" si="79"/>
        <v>1.5153811429091988E-4</v>
      </c>
      <c r="J100">
        <f>IF(B100&gt;$AJ$2,0,HLOOKUP(C100,'Real assumptions'!$B$5:$L$8,4,TRUE))</f>
        <v>4.2599999999999999E-2</v>
      </c>
      <c r="K100">
        <f t="shared" si="48"/>
        <v>1</v>
      </c>
      <c r="L100">
        <f t="shared" si="80"/>
        <v>8.3333333333333329E-2</v>
      </c>
      <c r="M100">
        <f t="shared" si="81"/>
        <v>3.6212608645653788E-3</v>
      </c>
      <c r="N100">
        <f t="shared" si="82"/>
        <v>2.216171539077127E-3</v>
      </c>
      <c r="O100" s="8">
        <f t="shared" si="62"/>
        <v>0.60969712057962133</v>
      </c>
      <c r="P100">
        <f t="shared" si="63"/>
        <v>14.689555925591746</v>
      </c>
      <c r="Q100">
        <f t="shared" si="83"/>
        <v>0.75769057145459939</v>
      </c>
      <c r="R100" s="89">
        <f t="shared" si="49"/>
        <v>5000</v>
      </c>
      <c r="S100">
        <f t="shared" si="50"/>
        <v>0.58333333333333304</v>
      </c>
      <c r="U100">
        <f>O99*AV99*'Real assumptions'!$B$33/12+AX100*'Real assumptions'!$B$34</f>
        <v>6.69747970807936</v>
      </c>
      <c r="V100">
        <f>IF(P100=0,0,IF(E100&lt;=$C$7,$AN$5*O99,0))*'Real assumptions'!$D$28</f>
        <v>3.6723889813979365</v>
      </c>
      <c r="X100" s="94">
        <f t="shared" si="64"/>
        <v>0</v>
      </c>
      <c r="Y100">
        <f t="shared" si="51"/>
        <v>24</v>
      </c>
      <c r="Z100">
        <f t="shared" si="84"/>
        <v>91</v>
      </c>
      <c r="AA100">
        <f t="shared" si="52"/>
        <v>91.583333333333329</v>
      </c>
      <c r="AB100">
        <f t="shared" si="65"/>
        <v>50.505050505050505</v>
      </c>
      <c r="AC100">
        <f t="shared" si="85"/>
        <v>4625.4208754208748</v>
      </c>
      <c r="AD100">
        <f t="shared" si="66"/>
        <v>80.505050505050505</v>
      </c>
      <c r="AE100">
        <f t="shared" si="67"/>
        <v>368.64604377104376</v>
      </c>
      <c r="AF100" s="94">
        <f t="shared" si="68"/>
        <v>5.9330808080813995</v>
      </c>
      <c r="AG100">
        <f t="shared" si="86"/>
        <v>1.3148724825914719E-2</v>
      </c>
      <c r="AH100">
        <f t="shared" si="69"/>
        <v>3.6173822848534423</v>
      </c>
      <c r="AI100">
        <f>HLOOKUP(AW100,'Real assumptions'!$A$21:$AK$24,2,TRUE)</f>
        <v>1.6633</v>
      </c>
      <c r="AJ100" s="123">
        <f t="shared" si="87"/>
        <v>1.3756275294545262E-3</v>
      </c>
      <c r="AK100" s="122">
        <f>(1+HLOOKUP(YEAR(A100),'Real assumptions'!$A$21:$AK$24,2,TRUE)/100)^(1/12)-1</f>
        <v>1.3756275294545262E-3</v>
      </c>
      <c r="AL100">
        <f t="shared" si="88"/>
        <v>6.69747970807936</v>
      </c>
      <c r="AM100">
        <f>('Real assumptions'!$B$33/12)*O99*AV99</f>
        <v>6.69747970807936</v>
      </c>
      <c r="AN100">
        <f t="shared" si="70"/>
        <v>5.1878255086404348</v>
      </c>
      <c r="AO100">
        <f t="shared" si="92"/>
        <v>7.1365155876922121E-3</v>
      </c>
      <c r="AP100" s="121">
        <f t="shared" si="71"/>
        <v>2.5184746123364639E-2</v>
      </c>
      <c r="AQ100">
        <f t="shared" si="72"/>
        <v>0</v>
      </c>
      <c r="AR100">
        <v>0</v>
      </c>
      <c r="AS100">
        <f t="shared" si="53"/>
        <v>0</v>
      </c>
      <c r="AT100">
        <f t="shared" si="73"/>
        <v>0</v>
      </c>
      <c r="AU100">
        <f>IFERROR(HLOOKUP(B100,'Real assumptions'!$B$43:$AL$44,2,TRUE)*($W$3/$U$2),0)</f>
        <v>0</v>
      </c>
      <c r="AV100">
        <f>AV99*(1+'Real assumptions'!$B$35)^(1/12)</f>
        <v>1.0953768726498163</v>
      </c>
      <c r="AW100">
        <f t="shared" si="54"/>
        <v>2026</v>
      </c>
      <c r="AX100">
        <f t="shared" si="89"/>
        <v>0</v>
      </c>
      <c r="AY100">
        <f t="shared" si="90"/>
        <v>2.5760304302735242</v>
      </c>
      <c r="AZ100">
        <f t="shared" si="55"/>
        <v>279.61485975634531</v>
      </c>
      <c r="BA100">
        <f t="shared" si="74"/>
        <v>4.4432282776784504</v>
      </c>
      <c r="BB100">
        <f t="shared" si="75"/>
        <v>91.583333333333329</v>
      </c>
      <c r="BC100">
        <f t="shared" si="56"/>
        <v>54.949999999999989</v>
      </c>
      <c r="BD100">
        <f t="shared" si="76"/>
        <v>0</v>
      </c>
      <c r="BE100">
        <f t="shared" si="57"/>
        <v>24</v>
      </c>
      <c r="BF100">
        <f t="shared" si="91"/>
        <v>5000</v>
      </c>
      <c r="BU100"/>
      <c r="FD100"/>
      <c r="FE100"/>
    </row>
    <row r="101" spans="1:161" x14ac:dyDescent="0.25">
      <c r="A101" s="7">
        <f t="shared" si="77"/>
        <v>46173</v>
      </c>
      <c r="B101">
        <f t="shared" si="58"/>
        <v>90</v>
      </c>
      <c r="C101">
        <f t="shared" si="59"/>
        <v>7.4166666666666661</v>
      </c>
      <c r="D101">
        <f t="shared" si="60"/>
        <v>0</v>
      </c>
      <c r="E101">
        <f t="shared" si="61"/>
        <v>59</v>
      </c>
      <c r="F101">
        <f>IF(C101&gt;=$T$2,0,VLOOKUP($E101,EKM_F05!$A$3:$C$128,2,TRUE))</f>
        <v>7.1228205128205119E-3</v>
      </c>
      <c r="G101">
        <f>F101*'Real assumptions'!$B$3</f>
        <v>2.9723529999999996E-3</v>
      </c>
      <c r="H101">
        <f t="shared" si="78"/>
        <v>2.480341689549137E-4</v>
      </c>
      <c r="I101">
        <f t="shared" si="79"/>
        <v>1.5095190472889813E-4</v>
      </c>
      <c r="J101">
        <f>IF(B101&gt;$AJ$2,0,HLOOKUP(C101,'Real assumptions'!$B$5:$L$8,4,TRUE))</f>
        <v>4.2599999999999999E-2</v>
      </c>
      <c r="K101">
        <f t="shared" si="48"/>
        <v>1</v>
      </c>
      <c r="L101">
        <f t="shared" si="80"/>
        <v>8.3333333333333329E-2</v>
      </c>
      <c r="M101">
        <f t="shared" si="81"/>
        <v>3.6212608645653788E-3</v>
      </c>
      <c r="N101">
        <f t="shared" si="82"/>
        <v>2.20759850810491E-3</v>
      </c>
      <c r="O101" s="8">
        <f t="shared" si="62"/>
        <v>0.60733857016678749</v>
      </c>
      <c r="P101">
        <f t="shared" si="63"/>
        <v>14.632730893910912</v>
      </c>
      <c r="Q101">
        <f t="shared" si="83"/>
        <v>0.75475952364449073</v>
      </c>
      <c r="R101" s="89">
        <f t="shared" si="49"/>
        <v>5000</v>
      </c>
      <c r="S101">
        <f t="shared" si="50"/>
        <v>0.5</v>
      </c>
      <c r="U101">
        <f>O100*AV100*'Real assumptions'!$B$33/12+AX101*'Real assumptions'!$B$34</f>
        <v>6.6791799344739102</v>
      </c>
      <c r="V101">
        <f>IF(P101=0,0,IF(E101&lt;=$C$7,$AN$5*O100,0))*'Real assumptions'!$D$28</f>
        <v>3.658182723477728</v>
      </c>
      <c r="X101" s="94">
        <f t="shared" si="64"/>
        <v>0</v>
      </c>
      <c r="Y101">
        <f t="shared" si="51"/>
        <v>24</v>
      </c>
      <c r="Z101">
        <f t="shared" si="84"/>
        <v>91</v>
      </c>
      <c r="AA101">
        <f t="shared" si="52"/>
        <v>91.5</v>
      </c>
      <c r="AB101">
        <f t="shared" si="65"/>
        <v>50.505050505050505</v>
      </c>
      <c r="AC101">
        <f t="shared" si="85"/>
        <v>4621.212121212121</v>
      </c>
      <c r="AD101">
        <f t="shared" si="66"/>
        <v>80.505050505050505</v>
      </c>
      <c r="AE101">
        <f t="shared" si="67"/>
        <v>368.31060606060606</v>
      </c>
      <c r="AF101" s="94">
        <f t="shared" si="68"/>
        <v>10.477272727272918</v>
      </c>
      <c r="AG101">
        <f t="shared" si="86"/>
        <v>2.3129611641735957E-2</v>
      </c>
      <c r="AH101">
        <f t="shared" si="69"/>
        <v>6.363251837429412</v>
      </c>
      <c r="AI101">
        <f>HLOOKUP(AW101,'Real assumptions'!$A$21:$AK$24,2,TRUE)</f>
        <v>1.6633</v>
      </c>
      <c r="AJ101" s="123">
        <f t="shared" si="87"/>
        <v>1.3756275294545262E-3</v>
      </c>
      <c r="AK101" s="122">
        <f>(1+HLOOKUP(YEAR(A101),'Real assumptions'!$A$21:$AK$24,2,TRUE)/100)^(1/12)-1</f>
        <v>1.3756275294545262E-3</v>
      </c>
      <c r="AL101">
        <f t="shared" si="88"/>
        <v>6.6791799344739102</v>
      </c>
      <c r="AM101">
        <f>('Real assumptions'!$B$33/12)*O100*AV100</f>
        <v>6.6784812520410366</v>
      </c>
      <c r="AN101">
        <f t="shared" si="70"/>
        <v>7.9379352669360825</v>
      </c>
      <c r="AO101">
        <f t="shared" si="92"/>
        <v>1.0919642280225237E-2</v>
      </c>
      <c r="AP101" s="121">
        <f t="shared" si="71"/>
        <v>3.6104388403589878E-2</v>
      </c>
      <c r="AQ101">
        <f t="shared" si="72"/>
        <v>0</v>
      </c>
      <c r="AR101">
        <v>0</v>
      </c>
      <c r="AS101">
        <f t="shared" si="53"/>
        <v>0</v>
      </c>
      <c r="AT101">
        <f t="shared" si="73"/>
        <v>0</v>
      </c>
      <c r="AU101">
        <f>IFERROR(HLOOKUP(B101,'Real assumptions'!$B$43:$AL$44,2,TRUE)*($W$3/$U$2),0)</f>
        <v>0</v>
      </c>
      <c r="AV101">
        <f>AV100*(1+'Real assumptions'!$B$35)^(1/12)</f>
        <v>1.096511404880256</v>
      </c>
      <c r="AW101">
        <f t="shared" si="54"/>
        <v>2026</v>
      </c>
      <c r="AX101">
        <f t="shared" si="89"/>
        <v>2.5504496298038823</v>
      </c>
      <c r="AY101">
        <f t="shared" si="90"/>
        <v>2.5660653223048033</v>
      </c>
      <c r="AZ101">
        <f t="shared" si="55"/>
        <v>283.51698475574375</v>
      </c>
      <c r="BA101">
        <f t="shared" si="74"/>
        <v>4.4360718587639543</v>
      </c>
      <c r="BB101">
        <f t="shared" si="75"/>
        <v>91.5</v>
      </c>
      <c r="BC101">
        <f t="shared" si="56"/>
        <v>54.9</v>
      </c>
      <c r="BD101">
        <f t="shared" si="76"/>
        <v>0</v>
      </c>
      <c r="BE101">
        <f t="shared" si="57"/>
        <v>24</v>
      </c>
      <c r="BF101">
        <f t="shared" si="91"/>
        <v>5000</v>
      </c>
      <c r="BU101"/>
      <c r="FD101"/>
      <c r="FE101"/>
    </row>
    <row r="102" spans="1:161" x14ac:dyDescent="0.25">
      <c r="A102" s="7">
        <f t="shared" si="77"/>
        <v>46203</v>
      </c>
      <c r="B102">
        <f t="shared" si="58"/>
        <v>91</v>
      </c>
      <c r="C102">
        <f t="shared" si="59"/>
        <v>7.5</v>
      </c>
      <c r="D102">
        <f t="shared" si="60"/>
        <v>0</v>
      </c>
      <c r="E102">
        <f t="shared" si="61"/>
        <v>59</v>
      </c>
      <c r="F102">
        <f>IF(C102&gt;=$T$2,0,VLOOKUP($E102,EKM_F05!$A$3:$C$128,2,TRUE))</f>
        <v>7.1228205128205119E-3</v>
      </c>
      <c r="G102">
        <f>F102*'Real assumptions'!$B$3</f>
        <v>2.9723529999999996E-3</v>
      </c>
      <c r="H102">
        <f t="shared" si="78"/>
        <v>2.480341689549137E-4</v>
      </c>
      <c r="I102">
        <f t="shared" si="79"/>
        <v>1.5036796285809197E-4</v>
      </c>
      <c r="J102">
        <f>IF(B102&gt;$AJ$2,0,HLOOKUP(C102,'Real assumptions'!$B$5:$L$8,4,TRUE))</f>
        <v>4.2599999999999999E-2</v>
      </c>
      <c r="K102">
        <f t="shared" si="48"/>
        <v>1</v>
      </c>
      <c r="L102">
        <f t="shared" si="80"/>
        <v>8.3333333333333329E-2</v>
      </c>
      <c r="M102">
        <f t="shared" si="81"/>
        <v>3.6212608645653788E-3</v>
      </c>
      <c r="N102">
        <f t="shared" si="82"/>
        <v>2.1990586410185892E-3</v>
      </c>
      <c r="O102" s="8">
        <f t="shared" si="62"/>
        <v>0.60498914356291089</v>
      </c>
      <c r="P102">
        <f t="shared" si="63"/>
        <v>14.5761256840029</v>
      </c>
      <c r="Q102">
        <f t="shared" si="83"/>
        <v>0.75183981429045987</v>
      </c>
      <c r="R102" s="89">
        <f t="shared" si="49"/>
        <v>5000</v>
      </c>
      <c r="S102">
        <f t="shared" si="50"/>
        <v>0.41666666666666696</v>
      </c>
      <c r="U102">
        <f>O101*AV101*'Real assumptions'!$B$33/12+AX102*'Real assumptions'!$B$34</f>
        <v>6.6609917359802235</v>
      </c>
      <c r="V102">
        <f>IF(P102=0,0,IF(E102&lt;=$C$7,$AN$5*O101,0))*'Real assumptions'!$D$28</f>
        <v>3.644031421000725</v>
      </c>
      <c r="X102" s="94">
        <f t="shared" si="64"/>
        <v>0</v>
      </c>
      <c r="Y102">
        <f t="shared" si="51"/>
        <v>24</v>
      </c>
      <c r="Z102">
        <f t="shared" si="84"/>
        <v>91</v>
      </c>
      <c r="AA102">
        <f t="shared" si="52"/>
        <v>91.416666666666671</v>
      </c>
      <c r="AB102">
        <f t="shared" si="65"/>
        <v>50.505050505050505</v>
      </c>
      <c r="AC102">
        <f t="shared" si="85"/>
        <v>4617.0033670033672</v>
      </c>
      <c r="AD102">
        <f t="shared" si="66"/>
        <v>80.505050505050505</v>
      </c>
      <c r="AE102">
        <f t="shared" si="67"/>
        <v>367.97516835016836</v>
      </c>
      <c r="AF102" s="94">
        <f t="shared" si="68"/>
        <v>15.021464646464437</v>
      </c>
      <c r="AG102">
        <f t="shared" si="86"/>
        <v>3.303308163156287E-2</v>
      </c>
      <c r="AH102">
        <f t="shared" si="69"/>
        <v>9.0878230315250637</v>
      </c>
      <c r="AI102">
        <f>HLOOKUP(AW102,'Real assumptions'!$A$21:$AK$24,2,TRUE)</f>
        <v>1.6633</v>
      </c>
      <c r="AJ102" s="123">
        <f t="shared" si="87"/>
        <v>1.3756275294545262E-3</v>
      </c>
      <c r="AK102" s="122">
        <f>(1+HLOOKUP(YEAR(A102),'Real assumptions'!$A$21:$AK$24,2,TRUE)/100)^(1/12)-1</f>
        <v>1.3756275294545262E-3</v>
      </c>
      <c r="AL102">
        <f t="shared" si="88"/>
        <v>6.6609917359802235</v>
      </c>
      <c r="AM102">
        <f>('Real assumptions'!$B$33/12)*O101*AV101</f>
        <v>6.6595366881155007</v>
      </c>
      <c r="AN102">
        <f t="shared" si="70"/>
        <v>10.670458752854953</v>
      </c>
      <c r="AO102">
        <f t="shared" si="92"/>
        <v>1.4678576812336284E-2</v>
      </c>
      <c r="AP102" s="121">
        <f t="shared" si="71"/>
        <v>5.0782965215926165E-2</v>
      </c>
      <c r="AQ102">
        <f t="shared" si="72"/>
        <v>0</v>
      </c>
      <c r="AR102">
        <v>0</v>
      </c>
      <c r="AS102">
        <f t="shared" si="53"/>
        <v>0</v>
      </c>
      <c r="AT102">
        <f t="shared" si="73"/>
        <v>0</v>
      </c>
      <c r="AU102">
        <f>IFERROR(HLOOKUP(B102,'Real assumptions'!$B$43:$AL$44,2,TRUE)*($W$3/$U$2),0)</f>
        <v>0</v>
      </c>
      <c r="AV102">
        <f>AV101*(1+'Real assumptions'!$B$35)^(1/12)</f>
        <v>1.0976471121979321</v>
      </c>
      <c r="AW102">
        <f t="shared" si="54"/>
        <v>2026</v>
      </c>
      <c r="AX102">
        <f t="shared" si="89"/>
        <v>5.3114635681605069</v>
      </c>
      <c r="AY102">
        <f t="shared" si="90"/>
        <v>2.5561387633282302</v>
      </c>
      <c r="AZ102">
        <f t="shared" si="55"/>
        <v>287.39322815614156</v>
      </c>
      <c r="BA102">
        <f t="shared" si="74"/>
        <v>4.4289043169227478</v>
      </c>
      <c r="BB102">
        <f t="shared" si="75"/>
        <v>91.416666666666671</v>
      </c>
      <c r="BC102">
        <f t="shared" si="56"/>
        <v>54.85</v>
      </c>
      <c r="BD102">
        <f t="shared" si="76"/>
        <v>0</v>
      </c>
      <c r="BE102">
        <f t="shared" si="57"/>
        <v>24</v>
      </c>
      <c r="BF102">
        <f t="shared" si="91"/>
        <v>5000</v>
      </c>
      <c r="BU102"/>
      <c r="FD102"/>
      <c r="FE102"/>
    </row>
    <row r="103" spans="1:161" x14ac:dyDescent="0.25">
      <c r="A103" s="7">
        <f t="shared" si="77"/>
        <v>46234</v>
      </c>
      <c r="B103">
        <f t="shared" si="58"/>
        <v>92</v>
      </c>
      <c r="C103">
        <f t="shared" si="59"/>
        <v>7.5833333333333339</v>
      </c>
      <c r="D103">
        <f t="shared" si="60"/>
        <v>0</v>
      </c>
      <c r="E103">
        <f t="shared" si="61"/>
        <v>59</v>
      </c>
      <c r="F103">
        <f>IF(C103&gt;=$T$2,0,VLOOKUP($E103,EKM_F05!$A$3:$C$128,2,TRUE))</f>
        <v>7.1228205128205119E-3</v>
      </c>
      <c r="G103">
        <f>F103*'Real assumptions'!$B$3</f>
        <v>2.9723529999999996E-3</v>
      </c>
      <c r="H103">
        <f t="shared" si="78"/>
        <v>2.480341689549137E-4</v>
      </c>
      <c r="I103">
        <f t="shared" si="79"/>
        <v>1.4978627990617187E-4</v>
      </c>
      <c r="J103">
        <f>IF(B103&gt;$AJ$2,0,HLOOKUP(C103,'Real assumptions'!$B$5:$L$8,4,TRUE))</f>
        <v>4.2599999999999999E-2</v>
      </c>
      <c r="K103">
        <f t="shared" si="48"/>
        <v>1</v>
      </c>
      <c r="L103">
        <f t="shared" si="80"/>
        <v>8.3333333333333329E-2</v>
      </c>
      <c r="M103">
        <f t="shared" si="81"/>
        <v>3.6212608645653788E-3</v>
      </c>
      <c r="N103">
        <f t="shared" si="82"/>
        <v>2.1905518095270953E-3</v>
      </c>
      <c r="O103" s="8">
        <f t="shared" si="62"/>
        <v>0.60264880547347766</v>
      </c>
      <c r="P103">
        <f t="shared" si="63"/>
        <v>14.519739445509861</v>
      </c>
      <c r="Q103">
        <f t="shared" si="83"/>
        <v>0.7489313995308593</v>
      </c>
      <c r="R103" s="89">
        <f t="shared" si="49"/>
        <v>5000</v>
      </c>
      <c r="S103">
        <f t="shared" si="50"/>
        <v>0.33333333333333304</v>
      </c>
      <c r="U103">
        <f>O102*AV102*'Real assumptions'!$B$33/12+AX103*'Real assumptions'!$B$34</f>
        <v>6.6428524674146709</v>
      </c>
      <c r="V103">
        <f>IF(P103=0,0,IF(E103&lt;=$C$7,$AN$5*O102,0))*'Real assumptions'!$D$28</f>
        <v>3.6299348613774653</v>
      </c>
      <c r="X103" s="94">
        <f t="shared" si="64"/>
        <v>0</v>
      </c>
      <c r="Y103">
        <f t="shared" si="51"/>
        <v>24</v>
      </c>
      <c r="Z103">
        <f t="shared" si="84"/>
        <v>91</v>
      </c>
      <c r="AA103">
        <f t="shared" si="52"/>
        <v>91.333333333333329</v>
      </c>
      <c r="AB103">
        <f t="shared" si="65"/>
        <v>50.505050505050505</v>
      </c>
      <c r="AC103">
        <f t="shared" si="85"/>
        <v>4612.7946127946125</v>
      </c>
      <c r="AD103">
        <f t="shared" si="66"/>
        <v>80.505050505050505</v>
      </c>
      <c r="AE103">
        <f t="shared" si="67"/>
        <v>367.6397306397306</v>
      </c>
      <c r="AF103" s="94">
        <f t="shared" si="68"/>
        <v>19.565656565656923</v>
      </c>
      <c r="AG103">
        <f t="shared" si="86"/>
        <v>4.2859584394485464E-2</v>
      </c>
      <c r="AH103">
        <f t="shared" si="69"/>
        <v>11.791219557597449</v>
      </c>
      <c r="AI103">
        <f>HLOOKUP(AW103,'Real assumptions'!$A$21:$AK$24,2,TRUE)</f>
        <v>1.6633</v>
      </c>
      <c r="AJ103" s="123">
        <f t="shared" si="87"/>
        <v>1.3756275294545262E-3</v>
      </c>
      <c r="AK103" s="122">
        <f>(1+HLOOKUP(YEAR(A103),'Real assumptions'!$A$21:$AK$24,2,TRUE)/100)^(1/12)-1</f>
        <v>1.3756275294545262E-3</v>
      </c>
      <c r="AL103">
        <f t="shared" si="88"/>
        <v>6.6428524674146709</v>
      </c>
      <c r="AM103">
        <f>('Real assumptions'!$B$33/12)*O102*AV102</f>
        <v>6.6406458634292926</v>
      </c>
      <c r="AN103">
        <f t="shared" si="70"/>
        <v>13.385558113458718</v>
      </c>
      <c r="AO103">
        <f t="shared" si="92"/>
        <v>1.8413542237987204E-2</v>
      </c>
      <c r="AP103" s="121">
        <f t="shared" si="71"/>
        <v>6.919650745391337E-2</v>
      </c>
      <c r="AQ103">
        <f t="shared" si="72"/>
        <v>0</v>
      </c>
      <c r="AR103">
        <v>0</v>
      </c>
      <c r="AS103">
        <f t="shared" si="53"/>
        <v>0</v>
      </c>
      <c r="AT103">
        <f t="shared" si="73"/>
        <v>0</v>
      </c>
      <c r="AU103">
        <f>IFERROR(HLOOKUP(B103,'Real assumptions'!$B$43:$AL$44,2,TRUE)*($W$3/$U$2),0)</f>
        <v>0</v>
      </c>
      <c r="AV103">
        <f>AV102*(1+'Real assumptions'!$B$35)^(1/12)</f>
        <v>1.0987839958199364</v>
      </c>
      <c r="AW103">
        <f t="shared" si="54"/>
        <v>2026</v>
      </c>
      <c r="AX103">
        <f t="shared" si="89"/>
        <v>8.054921739584529</v>
      </c>
      <c r="AY103">
        <f t="shared" si="90"/>
        <v>2.5462506042210054</v>
      </c>
      <c r="AZ103">
        <f t="shared" si="55"/>
        <v>291.2437353253643</v>
      </c>
      <c r="BA103">
        <f t="shared" si="74"/>
        <v>4.4217258453028103</v>
      </c>
      <c r="BB103">
        <f t="shared" si="75"/>
        <v>91.333333333333329</v>
      </c>
      <c r="BC103">
        <f t="shared" si="56"/>
        <v>54.8</v>
      </c>
      <c r="BD103">
        <f t="shared" si="76"/>
        <v>0</v>
      </c>
      <c r="BE103">
        <f t="shared" si="57"/>
        <v>24</v>
      </c>
      <c r="BF103">
        <f t="shared" si="91"/>
        <v>5000</v>
      </c>
      <c r="BU103"/>
      <c r="FD103"/>
      <c r="FE103"/>
    </row>
    <row r="104" spans="1:161" x14ac:dyDescent="0.25">
      <c r="A104" s="7">
        <f t="shared" si="77"/>
        <v>46265</v>
      </c>
      <c r="B104">
        <f t="shared" si="58"/>
        <v>93</v>
      </c>
      <c r="C104">
        <f t="shared" si="59"/>
        <v>7.6666666666666661</v>
      </c>
      <c r="D104">
        <f t="shared" si="60"/>
        <v>0</v>
      </c>
      <c r="E104">
        <f t="shared" si="61"/>
        <v>59</v>
      </c>
      <c r="F104">
        <f>IF(C104&gt;=$T$2,0,VLOOKUP($E104,EKM_F05!$A$3:$C$128,2,TRUE))</f>
        <v>7.1228205128205119E-3</v>
      </c>
      <c r="G104">
        <f>F104*'Real assumptions'!$B$3</f>
        <v>2.9723529999999996E-3</v>
      </c>
      <c r="H104">
        <f t="shared" si="78"/>
        <v>2.480341689549137E-4</v>
      </c>
      <c r="I104">
        <f t="shared" si="79"/>
        <v>1.4920684713474322E-4</v>
      </c>
      <c r="J104">
        <f>IF(B104&gt;$AJ$2,0,HLOOKUP(C104,'Real assumptions'!$B$5:$L$8,4,TRUE))</f>
        <v>4.2599999999999999E-2</v>
      </c>
      <c r="K104">
        <f t="shared" si="48"/>
        <v>1</v>
      </c>
      <c r="L104">
        <f t="shared" si="80"/>
        <v>8.3333333333333329E-2</v>
      </c>
      <c r="M104">
        <f t="shared" si="81"/>
        <v>3.6212608645653788E-3</v>
      </c>
      <c r="N104">
        <f t="shared" si="82"/>
        <v>2.1820778858356363E-3</v>
      </c>
      <c r="O104" s="8">
        <f t="shared" si="62"/>
        <v>0.60031752074050726</v>
      </c>
      <c r="P104">
        <f t="shared" si="63"/>
        <v>14.463571331363465</v>
      </c>
      <c r="Q104">
        <f t="shared" si="83"/>
        <v>0.74603423567371607</v>
      </c>
      <c r="R104" s="89">
        <f t="shared" si="49"/>
        <v>5000</v>
      </c>
      <c r="S104">
        <f t="shared" si="50"/>
        <v>0.25</v>
      </c>
      <c r="U104">
        <f>O103*AV103*'Real assumptions'!$B$33/12+AX104*'Real assumptions'!$B$34</f>
        <v>6.6247620036728998</v>
      </c>
      <c r="V104">
        <f>IF(P104=0,0,IF(E104&lt;=$C$7,$AN$5*O103,0))*'Real assumptions'!$D$28</f>
        <v>3.6158928328408662</v>
      </c>
      <c r="X104" s="94">
        <f t="shared" si="64"/>
        <v>0</v>
      </c>
      <c r="Y104">
        <f t="shared" si="51"/>
        <v>24</v>
      </c>
      <c r="Z104">
        <f t="shared" si="84"/>
        <v>91</v>
      </c>
      <c r="AA104">
        <f t="shared" si="52"/>
        <v>91.25</v>
      </c>
      <c r="AB104">
        <f t="shared" si="65"/>
        <v>50.505050505050505</v>
      </c>
      <c r="AC104">
        <f t="shared" si="85"/>
        <v>4608.5858585858587</v>
      </c>
      <c r="AD104">
        <f t="shared" si="66"/>
        <v>80.505050505050505</v>
      </c>
      <c r="AE104">
        <f t="shared" si="67"/>
        <v>367.3042929292929</v>
      </c>
      <c r="AF104" s="94">
        <f t="shared" si="68"/>
        <v>24.109848484848442</v>
      </c>
      <c r="AG104">
        <f t="shared" si="86"/>
        <v>5.260956720963561E-2</v>
      </c>
      <c r="AH104">
        <f t="shared" si="69"/>
        <v>14.473564467853492</v>
      </c>
      <c r="AI104">
        <f>HLOOKUP(AW104,'Real assumptions'!$A$21:$AK$24,2,TRUE)</f>
        <v>1.6633</v>
      </c>
      <c r="AJ104" s="123">
        <f t="shared" si="87"/>
        <v>1.3756275294545262E-3</v>
      </c>
      <c r="AK104" s="122">
        <f>(1+HLOOKUP(YEAR(A104),'Real assumptions'!$A$21:$AK$24,2,TRUE)/100)^(1/12)-1</f>
        <v>1.3756275294545262E-3</v>
      </c>
      <c r="AL104">
        <f t="shared" si="88"/>
        <v>6.6247620036728998</v>
      </c>
      <c r="AM104">
        <f>('Real assumptions'!$B$33/12)*O103*AV103</f>
        <v>6.6218086255425925</v>
      </c>
      <c r="AN104">
        <f t="shared" si="70"/>
        <v>16.083332559901063</v>
      </c>
      <c r="AO104">
        <f t="shared" si="92"/>
        <v>2.2124675034772241E-2</v>
      </c>
      <c r="AP104" s="121">
        <f t="shared" si="71"/>
        <v>9.1321182488685607E-2</v>
      </c>
      <c r="AQ104">
        <f t="shared" si="72"/>
        <v>0</v>
      </c>
      <c r="AR104">
        <v>0</v>
      </c>
      <c r="AS104">
        <f t="shared" si="53"/>
        <v>0</v>
      </c>
      <c r="AT104">
        <f t="shared" si="73"/>
        <v>0</v>
      </c>
      <c r="AU104">
        <f>IFERROR(HLOOKUP(B104,'Real assumptions'!$B$43:$AL$44,2,TRUE)*($W$3/$U$2),0)</f>
        <v>0</v>
      </c>
      <c r="AV104">
        <f>AV103*(1+'Real assumptions'!$B$35)^(1/12)</f>
        <v>1.0999220569646211</v>
      </c>
      <c r="AW104">
        <f t="shared" si="54"/>
        <v>2026</v>
      </c>
      <c r="AX104">
        <f t="shared" si="89"/>
        <v>10.780923928647692</v>
      </c>
      <c r="AY104">
        <f t="shared" si="90"/>
        <v>2.5364006964371955</v>
      </c>
      <c r="AZ104">
        <f t="shared" si="55"/>
        <v>295.06865091742537</v>
      </c>
      <c r="BA104">
        <f t="shared" si="74"/>
        <v>4.4145366357242182</v>
      </c>
      <c r="BB104">
        <f t="shared" si="75"/>
        <v>91.25</v>
      </c>
      <c r="BC104">
        <f t="shared" si="56"/>
        <v>54.75</v>
      </c>
      <c r="BD104">
        <f t="shared" si="76"/>
        <v>0</v>
      </c>
      <c r="BE104">
        <f t="shared" si="57"/>
        <v>24</v>
      </c>
      <c r="BF104">
        <f t="shared" si="91"/>
        <v>5000</v>
      </c>
      <c r="BU104"/>
      <c r="FD104"/>
      <c r="FE104"/>
    </row>
    <row r="105" spans="1:161" x14ac:dyDescent="0.25">
      <c r="A105" s="7">
        <f t="shared" si="77"/>
        <v>46295</v>
      </c>
      <c r="B105">
        <f t="shared" si="58"/>
        <v>94</v>
      </c>
      <c r="C105">
        <f t="shared" si="59"/>
        <v>7.75</v>
      </c>
      <c r="D105">
        <f t="shared" si="60"/>
        <v>0</v>
      </c>
      <c r="E105">
        <f t="shared" si="61"/>
        <v>59</v>
      </c>
      <c r="F105">
        <f>IF(C105&gt;=$T$2,0,VLOOKUP($E105,EKM_F05!$A$3:$C$128,2,TRUE))</f>
        <v>7.1228205128205119E-3</v>
      </c>
      <c r="G105">
        <f>F105*'Real assumptions'!$B$3</f>
        <v>2.9723529999999996E-3</v>
      </c>
      <c r="H105">
        <f t="shared" si="78"/>
        <v>2.480341689549137E-4</v>
      </c>
      <c r="I105">
        <f t="shared" si="79"/>
        <v>1.4862965583921481E-4</v>
      </c>
      <c r="J105">
        <f>IF(B105&gt;$AJ$2,0,HLOOKUP(C105,'Real assumptions'!$B$5:$L$8,4,TRUE))</f>
        <v>4.2599999999999999E-2</v>
      </c>
      <c r="K105">
        <f t="shared" si="48"/>
        <v>1</v>
      </c>
      <c r="L105">
        <f t="shared" si="80"/>
        <v>8.3333333333333329E-2</v>
      </c>
      <c r="M105">
        <f t="shared" si="81"/>
        <v>3.6212608645653788E-3</v>
      </c>
      <c r="N105">
        <f t="shared" si="82"/>
        <v>2.1736367426437829E-3</v>
      </c>
      <c r="O105" s="8">
        <f t="shared" si="62"/>
        <v>0.59799525434202427</v>
      </c>
      <c r="P105">
        <f t="shared" si="63"/>
        <v>14.407620497772175</v>
      </c>
      <c r="Q105">
        <f t="shared" si="83"/>
        <v>0.74314827919607407</v>
      </c>
      <c r="R105" s="89">
        <f t="shared" si="49"/>
        <v>5000</v>
      </c>
      <c r="S105">
        <f t="shared" si="50"/>
        <v>0.16666666666666696</v>
      </c>
      <c r="U105">
        <f>O104*AV104*'Real assumptions'!$B$33/12+AX105*'Real assumptions'!$B$34</f>
        <v>6.6067202199454496</v>
      </c>
      <c r="V105">
        <f>IF(P105=0,0,IF(E105&lt;=$C$7,$AN$5*O104,0))*'Real assumptions'!$D$28</f>
        <v>3.6019051244430438</v>
      </c>
      <c r="X105" s="94">
        <f t="shared" si="64"/>
        <v>0</v>
      </c>
      <c r="Y105">
        <f t="shared" si="51"/>
        <v>24</v>
      </c>
      <c r="Z105">
        <f t="shared" si="84"/>
        <v>91</v>
      </c>
      <c r="AA105">
        <f t="shared" si="52"/>
        <v>91.166666666666671</v>
      </c>
      <c r="AB105">
        <f t="shared" si="65"/>
        <v>50.505050505050505</v>
      </c>
      <c r="AC105">
        <f t="shared" si="85"/>
        <v>4604.3771043771048</v>
      </c>
      <c r="AD105">
        <f t="shared" si="66"/>
        <v>80.505050505050505</v>
      </c>
      <c r="AE105">
        <f t="shared" si="67"/>
        <v>366.9688552188552</v>
      </c>
      <c r="AF105" s="94">
        <f t="shared" si="68"/>
        <v>28.654040404039961</v>
      </c>
      <c r="AG105">
        <f t="shared" si="86"/>
        <v>6.2283475047420767E-2</v>
      </c>
      <c r="AH105">
        <f t="shared" si="69"/>
        <v>17.134980179340516</v>
      </c>
      <c r="AI105">
        <f>HLOOKUP(AW105,'Real assumptions'!$A$21:$AK$24,2,TRUE)</f>
        <v>1.6633</v>
      </c>
      <c r="AJ105" s="123">
        <f t="shared" si="87"/>
        <v>1.3756275294545262E-3</v>
      </c>
      <c r="AK105" s="122">
        <f>(1+HLOOKUP(YEAR(A105),'Real assumptions'!$A$21:$AK$24,2,TRUE)/100)^(1/12)-1</f>
        <v>1.3756275294545262E-3</v>
      </c>
      <c r="AL105">
        <f t="shared" si="88"/>
        <v>6.6067202199454496</v>
      </c>
      <c r="AM105">
        <f>('Real assumptions'!$B$33/12)*O104*AV104</f>
        <v>6.6030248224480026</v>
      </c>
      <c r="AN105">
        <f t="shared" si="70"/>
        <v>18.763880803725861</v>
      </c>
      <c r="AO105">
        <f t="shared" si="92"/>
        <v>2.5812110993008616E-2</v>
      </c>
      <c r="AP105" s="121">
        <f t="shared" si="71"/>
        <v>0.11713329348169423</v>
      </c>
      <c r="AQ105">
        <f t="shared" si="72"/>
        <v>0</v>
      </c>
      <c r="AR105">
        <v>0</v>
      </c>
      <c r="AS105">
        <f t="shared" si="53"/>
        <v>0</v>
      </c>
      <c r="AT105">
        <f t="shared" si="73"/>
        <v>0</v>
      </c>
      <c r="AU105">
        <f>IFERROR(HLOOKUP(B105,'Real assumptions'!$B$43:$AL$44,2,TRUE)*($W$3/$U$2),0)</f>
        <v>0</v>
      </c>
      <c r="AV105">
        <f>AV104*(1+'Real assumptions'!$B$35)^(1/12)</f>
        <v>1.1010612968516009</v>
      </c>
      <c r="AW105">
        <f t="shared" si="54"/>
        <v>2026</v>
      </c>
      <c r="AX105">
        <f t="shared" si="89"/>
        <v>13.489569417904637</v>
      </c>
      <c r="AY105">
        <f t="shared" si="90"/>
        <v>2.5265888920055017</v>
      </c>
      <c r="AZ105">
        <f t="shared" si="55"/>
        <v>298.86811887584662</v>
      </c>
      <c r="BA105">
        <f t="shared" si="74"/>
        <v>4.4073368786865386</v>
      </c>
      <c r="BB105">
        <f t="shared" si="75"/>
        <v>91.166666666666671</v>
      </c>
      <c r="BC105">
        <f t="shared" si="56"/>
        <v>54.7</v>
      </c>
      <c r="BD105">
        <f t="shared" si="76"/>
        <v>0</v>
      </c>
      <c r="BE105">
        <f t="shared" si="57"/>
        <v>24</v>
      </c>
      <c r="BF105">
        <f t="shared" si="91"/>
        <v>5000</v>
      </c>
      <c r="BU105"/>
      <c r="FD105"/>
      <c r="FE105"/>
    </row>
    <row r="106" spans="1:161" x14ac:dyDescent="0.25">
      <c r="A106" s="7">
        <f t="shared" si="77"/>
        <v>46326</v>
      </c>
      <c r="B106">
        <f t="shared" si="58"/>
        <v>95</v>
      </c>
      <c r="C106">
        <f t="shared" si="59"/>
        <v>7.8333333333333339</v>
      </c>
      <c r="D106">
        <f t="shared" si="60"/>
        <v>0</v>
      </c>
      <c r="E106">
        <f t="shared" si="61"/>
        <v>59</v>
      </c>
      <c r="F106">
        <f>IF(C106&gt;=$T$2,0,VLOOKUP($E106,EKM_F05!$A$3:$C$128,2,TRUE))</f>
        <v>7.1228205128205119E-3</v>
      </c>
      <c r="G106">
        <f>F106*'Real assumptions'!$B$3</f>
        <v>2.9723529999999996E-3</v>
      </c>
      <c r="H106">
        <f t="shared" si="78"/>
        <v>2.480341689549137E-4</v>
      </c>
      <c r="I106">
        <f t="shared" si="79"/>
        <v>1.4805469734866845E-4</v>
      </c>
      <c r="J106">
        <f>IF(B106&gt;$AJ$2,0,HLOOKUP(C106,'Real assumptions'!$B$5:$L$8,4,TRUE))</f>
        <v>4.2599999999999999E-2</v>
      </c>
      <c r="K106">
        <f t="shared" si="48"/>
        <v>1</v>
      </c>
      <c r="L106">
        <f t="shared" si="80"/>
        <v>8.3333333333333329E-2</v>
      </c>
      <c r="M106">
        <f t="shared" si="81"/>
        <v>3.6212608645653788E-3</v>
      </c>
      <c r="N106">
        <f t="shared" si="82"/>
        <v>2.1652282531435547E-3</v>
      </c>
      <c r="O106" s="8">
        <f t="shared" si="62"/>
        <v>0.59568197139153201</v>
      </c>
      <c r="P106">
        <f t="shared" si="63"/>
        <v>14.351886104208582</v>
      </c>
      <c r="Q106">
        <f t="shared" si="83"/>
        <v>0.74027348674334226</v>
      </c>
      <c r="R106" s="89">
        <f t="shared" si="49"/>
        <v>5000</v>
      </c>
      <c r="S106">
        <f t="shared" si="50"/>
        <v>8.3333333333333037E-2</v>
      </c>
      <c r="U106">
        <f>O105*AV105*'Real assumptions'!$B$33/12+AX106*'Real assumptions'!$B$34</f>
        <v>6.5887269917171949</v>
      </c>
      <c r="V106">
        <f>IF(P106=0,0,IF(E106&lt;=$C$7,$AN$5*O105,0))*'Real assumptions'!$D$28</f>
        <v>3.5879715260521454</v>
      </c>
      <c r="X106" s="94">
        <f t="shared" si="64"/>
        <v>0</v>
      </c>
      <c r="Y106">
        <f t="shared" si="51"/>
        <v>24</v>
      </c>
      <c r="Z106">
        <f t="shared" si="84"/>
        <v>91</v>
      </c>
      <c r="AA106">
        <f t="shared" si="52"/>
        <v>91.083333333333329</v>
      </c>
      <c r="AB106">
        <f t="shared" si="65"/>
        <v>50.505050505050505</v>
      </c>
      <c r="AC106">
        <f t="shared" si="85"/>
        <v>4600.1683501683501</v>
      </c>
      <c r="AD106">
        <f t="shared" si="66"/>
        <v>80.505050505050505</v>
      </c>
      <c r="AE106">
        <f t="shared" si="67"/>
        <v>366.63341750841749</v>
      </c>
      <c r="AF106" s="94">
        <f t="shared" si="68"/>
        <v>33.198232323232389</v>
      </c>
      <c r="AG106">
        <f t="shared" si="86"/>
        <v>7.1881750580686354E-2</v>
      </c>
      <c r="AH106">
        <f t="shared" si="69"/>
        <v>19.775588477017148</v>
      </c>
      <c r="AI106">
        <f>HLOOKUP(AW106,'Real assumptions'!$A$21:$AK$24,2,TRUE)</f>
        <v>1.6633</v>
      </c>
      <c r="AJ106" s="123">
        <f t="shared" si="87"/>
        <v>1.3756275294545262E-3</v>
      </c>
      <c r="AK106" s="122">
        <f>(1+HLOOKUP(YEAR(A106),'Real assumptions'!$A$21:$AK$24,2,TRUE)/100)^(1/12)-1</f>
        <v>1.3756275294545262E-3</v>
      </c>
      <c r="AL106">
        <f t="shared" si="88"/>
        <v>6.5887269917171949</v>
      </c>
      <c r="AM106">
        <f>('Real assumptions'!$B$33/12)*O105*AV105</f>
        <v>6.5842943025693224</v>
      </c>
      <c r="AN106">
        <f t="shared" si="70"/>
        <v>21.427301059261453</v>
      </c>
      <c r="AO106">
        <f t="shared" si="92"/>
        <v>2.9475985219030183E-2</v>
      </c>
      <c r="AP106" s="121">
        <f t="shared" si="71"/>
        <v>0.1466092787007244</v>
      </c>
      <c r="AQ106">
        <f t="shared" si="72"/>
        <v>0</v>
      </c>
      <c r="AR106">
        <v>0</v>
      </c>
      <c r="AS106">
        <f t="shared" si="53"/>
        <v>0</v>
      </c>
      <c r="AT106">
        <f t="shared" si="73"/>
        <v>0</v>
      </c>
      <c r="AU106">
        <f>IFERROR(HLOOKUP(B106,'Real assumptions'!$B$43:$AL$44,2,TRUE)*($W$3/$U$2),0)</f>
        <v>0</v>
      </c>
      <c r="AV106">
        <f>AV105*(1+'Real assumptions'!$B$35)^(1/12)</f>
        <v>1.1022017167017535</v>
      </c>
      <c r="AW106">
        <f t="shared" si="54"/>
        <v>2026</v>
      </c>
      <c r="AX106">
        <f t="shared" si="89"/>
        <v>16.180956990297101</v>
      </c>
      <c r="AY106">
        <f t="shared" si="90"/>
        <v>2.5168150435270382</v>
      </c>
      <c r="AZ106">
        <f t="shared" si="55"/>
        <v>302.64228243696374</v>
      </c>
      <c r="BA106">
        <f t="shared" si="74"/>
        <v>4.400126763376174</v>
      </c>
      <c r="BB106">
        <f t="shared" si="75"/>
        <v>91.083333333333329</v>
      </c>
      <c r="BC106">
        <f t="shared" si="56"/>
        <v>54.649999999999991</v>
      </c>
      <c r="BD106">
        <f t="shared" si="76"/>
        <v>0</v>
      </c>
      <c r="BE106">
        <f t="shared" si="57"/>
        <v>24</v>
      </c>
      <c r="BF106">
        <f t="shared" si="91"/>
        <v>5000</v>
      </c>
      <c r="BU106"/>
      <c r="FD106"/>
      <c r="FE106"/>
    </row>
    <row r="107" spans="1:161" x14ac:dyDescent="0.25">
      <c r="A107" s="7">
        <f t="shared" si="77"/>
        <v>46356</v>
      </c>
      <c r="B107">
        <f t="shared" si="58"/>
        <v>96</v>
      </c>
      <c r="C107">
        <f t="shared" si="59"/>
        <v>7.9166666666666661</v>
      </c>
      <c r="D107">
        <f t="shared" si="60"/>
        <v>0</v>
      </c>
      <c r="E107">
        <f t="shared" si="61"/>
        <v>59</v>
      </c>
      <c r="F107">
        <f>IF(C107&gt;=$T$2,0,VLOOKUP($E107,EKM_F05!$A$3:$C$128,2,TRUE))</f>
        <v>7.1228205128205119E-3</v>
      </c>
      <c r="G107">
        <f>F107*'Real assumptions'!$B$3</f>
        <v>2.9723529999999996E-3</v>
      </c>
      <c r="H107">
        <f t="shared" si="78"/>
        <v>2.480341689549137E-4</v>
      </c>
      <c r="I107">
        <f t="shared" si="79"/>
        <v>1.4748196302572834E-4</v>
      </c>
      <c r="J107">
        <f>IF(B107&gt;$AJ$2,0,HLOOKUP(C107,'Real assumptions'!$B$5:$L$8,4,TRUE))</f>
        <v>4.2599999999999999E-2</v>
      </c>
      <c r="K107">
        <f t="shared" si="48"/>
        <v>1</v>
      </c>
      <c r="L107">
        <f t="shared" si="80"/>
        <v>8.3333333333333329E-2</v>
      </c>
      <c r="M107">
        <f t="shared" si="81"/>
        <v>3.6212608645653788E-3</v>
      </c>
      <c r="N107">
        <f t="shared" si="82"/>
        <v>2.1568522910175138E-3</v>
      </c>
      <c r="O107" s="8">
        <f t="shared" si="62"/>
        <v>0.59337763713748881</v>
      </c>
      <c r="P107">
        <f t="shared" si="63"/>
        <v>14.296367313396768</v>
      </c>
      <c r="Q107">
        <f t="shared" si="83"/>
        <v>0.73740981512864168</v>
      </c>
      <c r="R107" s="89">
        <f t="shared" si="49"/>
        <v>5000</v>
      </c>
      <c r="S107">
        <f t="shared" si="50"/>
        <v>1</v>
      </c>
      <c r="U107">
        <f>O106*AV106*'Real assumptions'!$B$33/12+AX107*'Real assumptions'!$B$34</f>
        <v>6.5707821947667613</v>
      </c>
      <c r="V107">
        <f>IF(P107=0,0,IF(E107&lt;=$C$7,$AN$5*O106,0))*'Real assumptions'!$D$28</f>
        <v>3.574091828349192</v>
      </c>
      <c r="X107" s="94">
        <f t="shared" si="64"/>
        <v>0</v>
      </c>
      <c r="Y107">
        <f t="shared" si="51"/>
        <v>24</v>
      </c>
      <c r="Z107">
        <f t="shared" si="84"/>
        <v>91</v>
      </c>
      <c r="AA107">
        <f t="shared" si="52"/>
        <v>91</v>
      </c>
      <c r="AB107">
        <f t="shared" si="65"/>
        <v>50.505050505050505</v>
      </c>
      <c r="AC107">
        <f t="shared" si="85"/>
        <v>4595.9595959595963</v>
      </c>
      <c r="AD107">
        <f t="shared" si="66"/>
        <v>80.505050505050505</v>
      </c>
      <c r="AE107">
        <f t="shared" si="67"/>
        <v>366.29797979797979</v>
      </c>
      <c r="AF107" s="94">
        <f t="shared" si="68"/>
        <v>37.742424242423908</v>
      </c>
      <c r="AG107">
        <f t="shared" si="86"/>
        <v>8.1404834195826961E-2</v>
      </c>
      <c r="AH107">
        <f t="shared" si="69"/>
        <v>22.395510516810173</v>
      </c>
      <c r="AI107">
        <f>HLOOKUP(AW107,'Real assumptions'!$A$21:$AK$24,2,TRUE)</f>
        <v>1.6633</v>
      </c>
      <c r="AJ107" s="123">
        <f t="shared" si="87"/>
        <v>1.3756275294545262E-3</v>
      </c>
      <c r="AK107" s="122">
        <f>(1+HLOOKUP(YEAR(A107),'Real assumptions'!$A$21:$AK$24,2,TRUE)/100)^(1/12)-1</f>
        <v>1.3756275294545262E-3</v>
      </c>
      <c r="AL107">
        <f t="shared" si="88"/>
        <v>6.5707821947667613</v>
      </c>
      <c r="AM107">
        <f>('Real assumptions'!$B$33/12)*O106*AV106</f>
        <v>6.5656169147603141</v>
      </c>
      <c r="AN107">
        <f t="shared" si="70"/>
        <v>24.073691045998686</v>
      </c>
      <c r="AO107">
        <f t="shared" si="92"/>
        <v>3.3116432138458718E-2</v>
      </c>
      <c r="AP107" s="121">
        <f t="shared" si="71"/>
        <v>0.17972571083918312</v>
      </c>
      <c r="AQ107">
        <f t="shared" si="72"/>
        <v>0</v>
      </c>
      <c r="AR107">
        <v>0</v>
      </c>
      <c r="AS107">
        <f t="shared" si="53"/>
        <v>0</v>
      </c>
      <c r="AT107">
        <f t="shared" si="73"/>
        <v>0</v>
      </c>
      <c r="AU107">
        <f>IFERROR(HLOOKUP(B107,'Real assumptions'!$B$43:$AL$44,2,TRUE)*($W$3/$U$2),0)</f>
        <v>0</v>
      </c>
      <c r="AV107">
        <f>AV106*(1+'Real assumptions'!$B$35)^(1/12)</f>
        <v>1.1033433177372209</v>
      </c>
      <c r="AW107">
        <f t="shared" si="54"/>
        <v>2026</v>
      </c>
      <c r="AX107">
        <f t="shared" si="89"/>
        <v>18.855184931541793</v>
      </c>
      <c r="AY107">
        <f t="shared" si="90"/>
        <v>2.5070790041731144</v>
      </c>
      <c r="AZ107">
        <f t="shared" si="55"/>
        <v>306.39128413321737</v>
      </c>
      <c r="BA107">
        <f t="shared" si="74"/>
        <v>4.3929064776736606</v>
      </c>
      <c r="BB107">
        <f t="shared" si="75"/>
        <v>91</v>
      </c>
      <c r="BC107">
        <f t="shared" si="56"/>
        <v>54.599999999999994</v>
      </c>
      <c r="BD107">
        <f t="shared" si="76"/>
        <v>0</v>
      </c>
      <c r="BE107">
        <f t="shared" si="57"/>
        <v>24</v>
      </c>
      <c r="BF107">
        <f t="shared" si="91"/>
        <v>5000</v>
      </c>
      <c r="BU107"/>
      <c r="FD107"/>
      <c r="FE107"/>
    </row>
    <row r="108" spans="1:161" x14ac:dyDescent="0.25">
      <c r="A108" s="7">
        <f t="shared" si="77"/>
        <v>46387</v>
      </c>
      <c r="B108">
        <f t="shared" si="58"/>
        <v>97</v>
      </c>
      <c r="C108">
        <f t="shared" si="59"/>
        <v>8</v>
      </c>
      <c r="D108">
        <f t="shared" si="60"/>
        <v>1</v>
      </c>
      <c r="E108">
        <f t="shared" si="61"/>
        <v>60</v>
      </c>
      <c r="F108">
        <f>IF(C108&gt;=$T$2,0,VLOOKUP($E108,EKM_F05!$A$3:$C$128,2,TRUE))</f>
        <v>7.7161538461538457E-3</v>
      </c>
      <c r="G108">
        <f>F108*'Real assumptions'!$B$3</f>
        <v>3.219951E-3</v>
      </c>
      <c r="H108">
        <f t="shared" si="78"/>
        <v>2.6872606979699842E-4</v>
      </c>
      <c r="I108">
        <f t="shared" si="79"/>
        <v>1.5908247074505213E-4</v>
      </c>
      <c r="J108">
        <f>IF(B108&gt;$AJ$2,0,HLOOKUP(C108,'Real assumptions'!$B$5:$L$8,4,TRUE))</f>
        <v>5.4800000000000001E-2</v>
      </c>
      <c r="K108">
        <f t="shared" si="48"/>
        <v>1</v>
      </c>
      <c r="L108">
        <f t="shared" si="80"/>
        <v>8.3333333333333329E-2</v>
      </c>
      <c r="M108">
        <f t="shared" si="81"/>
        <v>4.6855495414740433E-3</v>
      </c>
      <c r="N108">
        <f t="shared" si="82"/>
        <v>2.7799267460221775E-3</v>
      </c>
      <c r="O108" s="8">
        <f t="shared" si="62"/>
        <v>0.59043862792072155</v>
      </c>
      <c r="P108">
        <f t="shared" si="63"/>
        <v>14.241063291299731</v>
      </c>
      <c r="Q108">
        <f t="shared" si="83"/>
        <v>0.79541235372526065</v>
      </c>
      <c r="R108" s="89">
        <f t="shared" si="49"/>
        <v>5000</v>
      </c>
      <c r="S108">
        <f t="shared" si="50"/>
        <v>0.91666666666666607</v>
      </c>
      <c r="U108">
        <f>O107*AV107*'Real assumptions'!$B$33/12+AX108*'Real assumptions'!$B$34</f>
        <v>6.5528857051659699</v>
      </c>
      <c r="V108">
        <f>IF(P108=0,0,IF(E108&lt;=$C$7,$AN$5*O107,0))*'Real assumptions'!$D$28</f>
        <v>3.5602658228249329</v>
      </c>
      <c r="X108" s="94">
        <f t="shared" si="64"/>
        <v>0</v>
      </c>
      <c r="Y108">
        <f t="shared" si="51"/>
        <v>24</v>
      </c>
      <c r="Z108">
        <f t="shared" si="84"/>
        <v>91</v>
      </c>
      <c r="AA108">
        <f t="shared" si="52"/>
        <v>90.916666666666671</v>
      </c>
      <c r="AB108">
        <f t="shared" si="65"/>
        <v>50.505050505050505</v>
      </c>
      <c r="AC108">
        <f t="shared" si="85"/>
        <v>4591.7508417508416</v>
      </c>
      <c r="AD108">
        <f t="shared" si="66"/>
        <v>80.505050505050505</v>
      </c>
      <c r="AE108">
        <f t="shared" si="67"/>
        <v>365.96254208754209</v>
      </c>
      <c r="AF108" s="94">
        <f t="shared" si="68"/>
        <v>42.286616161616337</v>
      </c>
      <c r="AG108">
        <f t="shared" si="86"/>
        <v>0.11755369526645092</v>
      </c>
      <c r="AH108">
        <f t="shared" si="69"/>
        <v>24.967651625874957</v>
      </c>
      <c r="AI108">
        <f>HLOOKUP(AW108,'Real assumptions'!$A$21:$AK$24,2,TRUE)</f>
        <v>1.6633</v>
      </c>
      <c r="AJ108" s="123">
        <f t="shared" si="87"/>
        <v>1.3756275294545262E-3</v>
      </c>
      <c r="AK108" s="122">
        <f>(1+HLOOKUP(YEAR(A108),'Real assumptions'!$A$21:$AK$24,2,TRUE)/100)^(1/12)-1</f>
        <v>1.3756275294545262E-3</v>
      </c>
      <c r="AL108">
        <f t="shared" si="88"/>
        <v>6.5528857051659699</v>
      </c>
      <c r="AM108">
        <f>('Real assumptions'!$B$33/12)*O107*AV107</f>
        <v>6.5469925083034974</v>
      </c>
      <c r="AN108">
        <f t="shared" si="70"/>
        <v>26.703147990958186</v>
      </c>
      <c r="AO108">
        <f t="shared" si="92"/>
        <v>3.6733585499460403E-2</v>
      </c>
      <c r="AP108" s="121">
        <f t="shared" si="71"/>
        <v>0</v>
      </c>
      <c r="AQ108">
        <f t="shared" si="72"/>
        <v>0</v>
      </c>
      <c r="AR108">
        <v>0</v>
      </c>
      <c r="AS108">
        <f t="shared" si="53"/>
        <v>0</v>
      </c>
      <c r="AT108">
        <f t="shared" si="73"/>
        <v>0</v>
      </c>
      <c r="AU108">
        <f>IFERROR(HLOOKUP(B108,'Real assumptions'!$B$43:$AL$44,2,TRUE)*($W$3/$U$2),0)</f>
        <v>0</v>
      </c>
      <c r="AV108">
        <f>AV107*(1+'Real assumptions'!$B$35)^(1/12)</f>
        <v>1.1044861011814113</v>
      </c>
      <c r="AW108">
        <f t="shared" si="54"/>
        <v>2026</v>
      </c>
      <c r="AX108">
        <f t="shared" si="89"/>
        <v>21.512351032507457</v>
      </c>
      <c r="AY108">
        <f t="shared" si="90"/>
        <v>2.4973806276830337</v>
      </c>
      <c r="AZ108">
        <f t="shared" si="55"/>
        <v>310.02771013277305</v>
      </c>
      <c r="BA108">
        <f t="shared" si="74"/>
        <v>4.4732318718166448</v>
      </c>
      <c r="BB108">
        <f t="shared" si="75"/>
        <v>90.916666666666671</v>
      </c>
      <c r="BC108">
        <f t="shared" si="56"/>
        <v>54.55</v>
      </c>
      <c r="BD108">
        <f t="shared" si="76"/>
        <v>0</v>
      </c>
      <c r="BE108">
        <f t="shared" si="57"/>
        <v>24</v>
      </c>
      <c r="BF108">
        <f t="shared" si="91"/>
        <v>5000</v>
      </c>
      <c r="BU108"/>
      <c r="FD108"/>
      <c r="FE108"/>
    </row>
    <row r="109" spans="1:161" x14ac:dyDescent="0.25">
      <c r="A109" s="7">
        <f t="shared" si="77"/>
        <v>46418</v>
      </c>
      <c r="B109">
        <f t="shared" si="58"/>
        <v>98</v>
      </c>
      <c r="C109">
        <f t="shared" si="59"/>
        <v>8.0833333333333339</v>
      </c>
      <c r="D109">
        <f t="shared" si="60"/>
        <v>0</v>
      </c>
      <c r="E109">
        <f t="shared" si="61"/>
        <v>60</v>
      </c>
      <c r="F109">
        <f>IF(C109&gt;=$T$2,0,VLOOKUP($E109,EKM_F05!$A$3:$C$128,2,TRUE))</f>
        <v>7.7161538461538457E-3</v>
      </c>
      <c r="G109">
        <f>F109*'Real assumptions'!$B$3</f>
        <v>3.219951E-3</v>
      </c>
      <c r="H109">
        <f t="shared" si="78"/>
        <v>2.6872606979699842E-4</v>
      </c>
      <c r="I109">
        <f t="shared" si="79"/>
        <v>1.5829453264546131E-4</v>
      </c>
      <c r="J109">
        <f>IF(B109&gt;$AJ$2,0,HLOOKUP(C109,'Real assumptions'!$B$5:$L$8,4,TRUE))</f>
        <v>5.4800000000000001E-2</v>
      </c>
      <c r="K109">
        <f t="shared" si="48"/>
        <v>1</v>
      </c>
      <c r="L109">
        <f t="shared" si="80"/>
        <v>8.3333333333333329E-2</v>
      </c>
      <c r="M109">
        <f t="shared" si="81"/>
        <v>4.6855495414740433E-3</v>
      </c>
      <c r="N109">
        <f t="shared" si="82"/>
        <v>2.7661577230304935E-3</v>
      </c>
      <c r="O109" s="8">
        <f t="shared" si="62"/>
        <v>0.5875141756650456</v>
      </c>
      <c r="P109">
        <f t="shared" si="63"/>
        <v>14.170527070097318</v>
      </c>
      <c r="Q109">
        <f t="shared" si="83"/>
        <v>0.79147266322730658</v>
      </c>
      <c r="R109" s="89">
        <f t="shared" si="49"/>
        <v>5000</v>
      </c>
      <c r="S109">
        <f t="shared" si="50"/>
        <v>0.83333333333333393</v>
      </c>
      <c r="U109">
        <f>O108*AV108*'Real assumptions'!$B$33/12+AX109*'Real assumptions'!$B$34</f>
        <v>6.5278626102079178</v>
      </c>
      <c r="V109">
        <f>IF(P109=0,0,IF(E109&lt;=$C$7,$AN$5*O108,0))*'Real assumptions'!$D$28</f>
        <v>3.5426317675243295</v>
      </c>
      <c r="X109" s="94">
        <f t="shared" si="64"/>
        <v>0</v>
      </c>
      <c r="Y109">
        <f t="shared" si="51"/>
        <v>24</v>
      </c>
      <c r="Z109">
        <f t="shared" si="84"/>
        <v>90</v>
      </c>
      <c r="AA109">
        <f t="shared" si="52"/>
        <v>90.833333333333329</v>
      </c>
      <c r="AB109">
        <f t="shared" si="65"/>
        <v>50.505050505050505</v>
      </c>
      <c r="AC109">
        <f t="shared" si="85"/>
        <v>4587.5420875420878</v>
      </c>
      <c r="AD109">
        <f t="shared" si="66"/>
        <v>80.505050505050505</v>
      </c>
      <c r="AE109">
        <f t="shared" si="67"/>
        <v>365.62710437710433</v>
      </c>
      <c r="AF109" s="94">
        <f t="shared" si="68"/>
        <v>46.830808080807913</v>
      </c>
      <c r="AG109">
        <f t="shared" si="86"/>
        <v>0.12954140144848567</v>
      </c>
      <c r="AH109">
        <f t="shared" si="69"/>
        <v>27.513763605323817</v>
      </c>
      <c r="AI109">
        <f>HLOOKUP(AW109,'Real assumptions'!$A$21:$AK$24,2,TRUE)</f>
        <v>1.7271000000000001</v>
      </c>
      <c r="AJ109" s="123">
        <f t="shared" si="87"/>
        <v>1.427981227236641E-3</v>
      </c>
      <c r="AK109" s="122">
        <f>(1+HLOOKUP(YEAR(A109),'Real assumptions'!$A$21:$AK$24,2,TRUE)/100)^(1/12)-1</f>
        <v>1.427981227236641E-3</v>
      </c>
      <c r="AL109">
        <f t="shared" si="88"/>
        <v>6.5278626102079178</v>
      </c>
      <c r="AM109">
        <f>('Real assumptions'!$B$33/12)*O108*AV108</f>
        <v>6.521312581390597</v>
      </c>
      <c r="AN109">
        <f t="shared" si="70"/>
        <v>29.067684318240026</v>
      </c>
      <c r="AO109">
        <f t="shared" si="92"/>
        <v>4.1508107525687656E-2</v>
      </c>
      <c r="AP109" s="121">
        <f t="shared" si="71"/>
        <v>4.1508107525687656E-2</v>
      </c>
      <c r="AQ109">
        <f t="shared" si="72"/>
        <v>0</v>
      </c>
      <c r="AR109">
        <v>0</v>
      </c>
      <c r="AS109">
        <f t="shared" si="53"/>
        <v>0</v>
      </c>
      <c r="AT109">
        <f t="shared" si="73"/>
        <v>0</v>
      </c>
      <c r="AU109">
        <f>IFERROR(HLOOKUP(B109,'Real assumptions'!$B$43:$AL$44,2,TRUE)*($W$3/$U$2),0)</f>
        <v>0</v>
      </c>
      <c r="AV109">
        <f>AV108*(1+'Real assumptions'!$B$35)^(1/12)</f>
        <v>1.1056300682589997</v>
      </c>
      <c r="AW109">
        <f t="shared" si="54"/>
        <v>2027</v>
      </c>
      <c r="AX109">
        <f t="shared" si="89"/>
        <v>23.910030918623022</v>
      </c>
      <c r="AY109">
        <f t="shared" si="90"/>
        <v>2.4850110602723969</v>
      </c>
      <c r="AZ109">
        <f t="shared" si="55"/>
        <v>313.64944251045506</v>
      </c>
      <c r="BA109">
        <f t="shared" si="74"/>
        <v>4.4636458322001218</v>
      </c>
      <c r="BB109">
        <f t="shared" si="75"/>
        <v>90.833333333333329</v>
      </c>
      <c r="BC109">
        <f t="shared" si="56"/>
        <v>54.5</v>
      </c>
      <c r="BD109">
        <f t="shared" si="76"/>
        <v>0</v>
      </c>
      <c r="BE109">
        <f t="shared" si="57"/>
        <v>24</v>
      </c>
      <c r="BF109">
        <f t="shared" si="91"/>
        <v>5000</v>
      </c>
      <c r="BU109"/>
      <c r="FD109"/>
      <c r="FE109"/>
    </row>
    <row r="110" spans="1:161" x14ac:dyDescent="0.25">
      <c r="A110" s="7">
        <f t="shared" si="77"/>
        <v>46446</v>
      </c>
      <c r="B110">
        <f t="shared" si="58"/>
        <v>99</v>
      </c>
      <c r="C110">
        <f t="shared" si="59"/>
        <v>8.1666666666666661</v>
      </c>
      <c r="D110">
        <f t="shared" si="60"/>
        <v>0</v>
      </c>
      <c r="E110">
        <f t="shared" si="61"/>
        <v>60</v>
      </c>
      <c r="F110">
        <f>IF(C110&gt;=$T$2,0,VLOOKUP($E110,EKM_F05!$A$3:$C$128,2,TRUE))</f>
        <v>7.7161538461538457E-3</v>
      </c>
      <c r="G110">
        <f>F110*'Real assumptions'!$B$3</f>
        <v>3.219951E-3</v>
      </c>
      <c r="H110">
        <f t="shared" si="78"/>
        <v>2.6872606979699842E-4</v>
      </c>
      <c r="I110">
        <f t="shared" si="79"/>
        <v>1.5751049721626453E-4</v>
      </c>
      <c r="J110">
        <f>IF(B110&gt;$AJ$2,0,HLOOKUP(C110,'Real assumptions'!$B$5:$L$8,4,TRUE))</f>
        <v>5.4800000000000001E-2</v>
      </c>
      <c r="K110">
        <f t="shared" si="48"/>
        <v>1</v>
      </c>
      <c r="L110">
        <f t="shared" si="80"/>
        <v>8.3333333333333329E-2</v>
      </c>
      <c r="M110">
        <f t="shared" si="81"/>
        <v>4.6855495414740433E-3</v>
      </c>
      <c r="N110">
        <f t="shared" si="82"/>
        <v>2.7524568982366287E-3</v>
      </c>
      <c r="O110" s="8">
        <f t="shared" si="62"/>
        <v>0.5846042082695927</v>
      </c>
      <c r="P110">
        <f t="shared" si="63"/>
        <v>14.100340215961094</v>
      </c>
      <c r="Q110">
        <f t="shared" si="83"/>
        <v>0.78755248608132267</v>
      </c>
      <c r="R110" s="89">
        <f t="shared" si="49"/>
        <v>5000</v>
      </c>
      <c r="S110">
        <f t="shared" si="50"/>
        <v>0.75</v>
      </c>
      <c r="U110">
        <f>O109*AV109*'Real assumptions'!$B$33/12+AX110*'Real assumptions'!$B$34</f>
        <v>6.502993710376658</v>
      </c>
      <c r="V110">
        <f>IF(P110=0,0,IF(E110&lt;=$C$7,$AN$5*O109,0))*'Real assumptions'!$D$28</f>
        <v>3.5250850539902734</v>
      </c>
      <c r="X110" s="94">
        <f t="shared" si="64"/>
        <v>0</v>
      </c>
      <c r="Y110">
        <f t="shared" si="51"/>
        <v>24</v>
      </c>
      <c r="Z110">
        <f t="shared" si="84"/>
        <v>90</v>
      </c>
      <c r="AA110">
        <f t="shared" si="52"/>
        <v>90.75</v>
      </c>
      <c r="AB110">
        <f t="shared" si="65"/>
        <v>50.505050505050505</v>
      </c>
      <c r="AC110">
        <f t="shared" si="85"/>
        <v>4583.333333333333</v>
      </c>
      <c r="AD110">
        <f t="shared" si="66"/>
        <v>80.505050505050505</v>
      </c>
      <c r="AE110">
        <f t="shared" si="67"/>
        <v>365.29166666666663</v>
      </c>
      <c r="AF110" s="94">
        <f t="shared" si="68"/>
        <v>51.375000000000341</v>
      </c>
      <c r="AG110">
        <f t="shared" si="86"/>
        <v>0.14140747314690774</v>
      </c>
      <c r="AH110">
        <f t="shared" si="69"/>
        <v>30.034041199850524</v>
      </c>
      <c r="AI110">
        <f>HLOOKUP(AW110,'Real assumptions'!$A$21:$AK$24,2,TRUE)</f>
        <v>1.7271000000000001</v>
      </c>
      <c r="AJ110" s="123">
        <f t="shared" si="87"/>
        <v>1.427981227236641E-3</v>
      </c>
      <c r="AK110" s="122">
        <f>(1+HLOOKUP(YEAR(A110),'Real assumptions'!$A$21:$AK$24,2,TRUE)/100)^(1/12)-1</f>
        <v>1.427981227236641E-3</v>
      </c>
      <c r="AL110">
        <f t="shared" si="88"/>
        <v>6.502993710376658</v>
      </c>
      <c r="AM110">
        <f>('Real assumptions'!$B$33/12)*O109*AV109</f>
        <v>6.4957333814367431</v>
      </c>
      <c r="AN110">
        <f t="shared" si="70"/>
        <v>31.627533164443669</v>
      </c>
      <c r="AO110">
        <f t="shared" si="92"/>
        <v>4.5163523622629834E-2</v>
      </c>
      <c r="AP110" s="121">
        <f t="shared" si="71"/>
        <v>8.6671631148317496E-2</v>
      </c>
      <c r="AQ110">
        <f t="shared" si="72"/>
        <v>0</v>
      </c>
      <c r="AR110">
        <v>0</v>
      </c>
      <c r="AS110">
        <f t="shared" si="53"/>
        <v>0</v>
      </c>
      <c r="AT110">
        <f t="shared" si="73"/>
        <v>0</v>
      </c>
      <c r="AU110">
        <f>IFERROR(HLOOKUP(B110,'Real assumptions'!$B$43:$AL$44,2,TRUE)*($W$3/$U$2),0)</f>
        <v>0</v>
      </c>
      <c r="AV110">
        <f>AV109*(1+'Real assumptions'!$B$35)^(1/12)</f>
        <v>1.1067752201959296</v>
      </c>
      <c r="AW110">
        <f t="shared" si="54"/>
        <v>2027</v>
      </c>
      <c r="AX110">
        <f t="shared" si="89"/>
        <v>26.50288941839225</v>
      </c>
      <c r="AY110">
        <f t="shared" si="90"/>
        <v>2.47270275953302</v>
      </c>
      <c r="AZ110">
        <f t="shared" si="55"/>
        <v>317.24062951865915</v>
      </c>
      <c r="BA110">
        <f t="shared" si="74"/>
        <v>4.4540450132185043</v>
      </c>
      <c r="BB110">
        <f t="shared" si="75"/>
        <v>90.75</v>
      </c>
      <c r="BC110">
        <f t="shared" si="56"/>
        <v>54.45</v>
      </c>
      <c r="BD110">
        <f t="shared" si="76"/>
        <v>0</v>
      </c>
      <c r="BE110">
        <f t="shared" si="57"/>
        <v>24</v>
      </c>
      <c r="BF110">
        <f t="shared" si="91"/>
        <v>5000</v>
      </c>
      <c r="BU110"/>
      <c r="FD110"/>
      <c r="FE110"/>
    </row>
    <row r="111" spans="1:161" x14ac:dyDescent="0.25">
      <c r="A111" s="7">
        <f t="shared" si="77"/>
        <v>46477</v>
      </c>
      <c r="B111">
        <f t="shared" si="58"/>
        <v>100</v>
      </c>
      <c r="C111">
        <f t="shared" si="59"/>
        <v>8.25</v>
      </c>
      <c r="D111">
        <f t="shared" si="60"/>
        <v>0</v>
      </c>
      <c r="E111">
        <f t="shared" si="61"/>
        <v>60</v>
      </c>
      <c r="F111">
        <f>IF(C111&gt;=$T$2,0,VLOOKUP($E111,EKM_F05!$A$3:$C$128,2,TRUE))</f>
        <v>7.7161538461538457E-3</v>
      </c>
      <c r="G111">
        <f>F111*'Real assumptions'!$B$3</f>
        <v>3.219951E-3</v>
      </c>
      <c r="H111">
        <f t="shared" si="78"/>
        <v>2.6872606979699842E-4</v>
      </c>
      <c r="I111">
        <f t="shared" si="79"/>
        <v>1.5673034512747095E-4</v>
      </c>
      <c r="J111">
        <f>IF(B111&gt;$AJ$2,0,HLOOKUP(C111,'Real assumptions'!$B$5:$L$8,4,TRUE))</f>
        <v>5.4800000000000001E-2</v>
      </c>
      <c r="K111">
        <f t="shared" si="48"/>
        <v>1</v>
      </c>
      <c r="L111">
        <f t="shared" si="80"/>
        <v>8.3333333333333329E-2</v>
      </c>
      <c r="M111">
        <f t="shared" si="81"/>
        <v>4.6855495414740433E-3</v>
      </c>
      <c r="N111">
        <f t="shared" si="82"/>
        <v>2.7388239338537838E-3</v>
      </c>
      <c r="O111" s="8">
        <f t="shared" si="62"/>
        <v>0.58170865399061145</v>
      </c>
      <c r="P111">
        <f t="shared" si="63"/>
        <v>14.030500998470224</v>
      </c>
      <c r="Q111">
        <f t="shared" si="83"/>
        <v>0.78365172563735475</v>
      </c>
      <c r="R111" s="89">
        <f t="shared" si="49"/>
        <v>5000</v>
      </c>
      <c r="S111">
        <f t="shared" si="50"/>
        <v>0.66666666666666607</v>
      </c>
      <c r="U111">
        <f>O110*AV110*'Real assumptions'!$B$33/12+AX111*'Real assumptions'!$B$34</f>
        <v>6.4782190594918623</v>
      </c>
      <c r="V111">
        <f>IF(P111=0,0,IF(E111&lt;=$C$7,$AN$5*O110,0))*'Real assumptions'!$D$28</f>
        <v>3.507625249617556</v>
      </c>
      <c r="X111" s="94">
        <f t="shared" si="64"/>
        <v>0</v>
      </c>
      <c r="Y111">
        <f t="shared" si="51"/>
        <v>24</v>
      </c>
      <c r="Z111">
        <f t="shared" si="84"/>
        <v>90</v>
      </c>
      <c r="AA111">
        <f t="shared" si="52"/>
        <v>90.666666666666671</v>
      </c>
      <c r="AB111">
        <f t="shared" si="65"/>
        <v>50.505050505050505</v>
      </c>
      <c r="AC111">
        <f t="shared" si="85"/>
        <v>4579.1245791245792</v>
      </c>
      <c r="AD111">
        <f t="shared" si="66"/>
        <v>80.505050505050505</v>
      </c>
      <c r="AE111">
        <f t="shared" si="67"/>
        <v>364.95622895622898</v>
      </c>
      <c r="AF111" s="94">
        <f t="shared" si="68"/>
        <v>55.919191919191803</v>
      </c>
      <c r="AG111">
        <f t="shared" si="86"/>
        <v>0.15315282119004561</v>
      </c>
      <c r="AH111">
        <f t="shared" si="69"/>
        <v>32.528677863555743</v>
      </c>
      <c r="AI111">
        <f>HLOOKUP(AW111,'Real assumptions'!$A$21:$AK$24,2,TRUE)</f>
        <v>1.7271000000000001</v>
      </c>
      <c r="AJ111" s="123">
        <f t="shared" si="87"/>
        <v>1.427981227236641E-3</v>
      </c>
      <c r="AK111" s="122">
        <f>(1+HLOOKUP(YEAR(A111),'Real assumptions'!$A$21:$AK$24,2,TRUE)/100)^(1/12)-1</f>
        <v>1.427981227236641E-3</v>
      </c>
      <c r="AL111">
        <f t="shared" si="88"/>
        <v>6.4782190594918623</v>
      </c>
      <c r="AM111">
        <f>('Real assumptions'!$B$33/12)*O110*AV110</f>
        <v>6.4702545133504552</v>
      </c>
      <c r="AN111">
        <f t="shared" si="70"/>
        <v>34.165369520359647</v>
      </c>
      <c r="AO111">
        <f t="shared" si="92"/>
        <v>4.8787506296676497E-2</v>
      </c>
      <c r="AP111" s="121">
        <f t="shared" si="71"/>
        <v>0.13545913744499399</v>
      </c>
      <c r="AQ111">
        <f t="shared" si="72"/>
        <v>0</v>
      </c>
      <c r="AR111">
        <v>0</v>
      </c>
      <c r="AS111">
        <f t="shared" si="53"/>
        <v>0</v>
      </c>
      <c r="AT111">
        <f t="shared" si="73"/>
        <v>0</v>
      </c>
      <c r="AU111">
        <f>IFERROR(HLOOKUP(B111,'Real assumptions'!$B$43:$AL$44,2,TRUE)*($W$3/$U$2),0)</f>
        <v>0</v>
      </c>
      <c r="AV111">
        <f>AV110*(1+'Real assumptions'!$B$35)^(1/12)</f>
        <v>1.1079215582194144</v>
      </c>
      <c r="AW111">
        <f t="shared" si="54"/>
        <v>2027</v>
      </c>
      <c r="AX111">
        <f t="shared" si="89"/>
        <v>29.073543003391357</v>
      </c>
      <c r="AY111">
        <f t="shared" si="90"/>
        <v>2.4604554220100701</v>
      </c>
      <c r="AZ111">
        <f t="shared" si="55"/>
        <v>320.80149532466197</v>
      </c>
      <c r="BA111">
        <f t="shared" si="74"/>
        <v>4.4444297964449566</v>
      </c>
      <c r="BB111">
        <f t="shared" si="75"/>
        <v>90.666666666666671</v>
      </c>
      <c r="BC111">
        <f t="shared" si="56"/>
        <v>54.400000000000006</v>
      </c>
      <c r="BD111">
        <f t="shared" si="76"/>
        <v>0</v>
      </c>
      <c r="BE111">
        <f t="shared" si="57"/>
        <v>24</v>
      </c>
      <c r="BF111">
        <f t="shared" si="91"/>
        <v>5000</v>
      </c>
      <c r="BU111"/>
      <c r="FD111"/>
      <c r="FE111"/>
    </row>
    <row r="112" spans="1:161" x14ac:dyDescent="0.25">
      <c r="A112" s="7">
        <f t="shared" si="77"/>
        <v>46507</v>
      </c>
      <c r="B112">
        <f t="shared" si="58"/>
        <v>101</v>
      </c>
      <c r="C112">
        <f t="shared" si="59"/>
        <v>8.3333333333333339</v>
      </c>
      <c r="D112">
        <f t="shared" si="60"/>
        <v>0</v>
      </c>
      <c r="E112">
        <f t="shared" si="61"/>
        <v>60</v>
      </c>
      <c r="F112">
        <f>IF(C112&gt;=$T$2,0,VLOOKUP($E112,EKM_F05!$A$3:$C$128,2,TRUE))</f>
        <v>7.7161538461538457E-3</v>
      </c>
      <c r="G112">
        <f>F112*'Real assumptions'!$B$3</f>
        <v>3.219951E-3</v>
      </c>
      <c r="H112">
        <f t="shared" si="78"/>
        <v>2.6872606979699842E-4</v>
      </c>
      <c r="I112">
        <f t="shared" si="79"/>
        <v>1.5595405714483165E-4</v>
      </c>
      <c r="J112">
        <f>IF(B112&gt;$AJ$2,0,HLOOKUP(C112,'Real assumptions'!$B$5:$L$8,4,TRUE))</f>
        <v>5.4800000000000001E-2</v>
      </c>
      <c r="K112">
        <f t="shared" si="48"/>
        <v>1</v>
      </c>
      <c r="L112">
        <f t="shared" si="80"/>
        <v>8.3333333333333329E-2</v>
      </c>
      <c r="M112">
        <f t="shared" si="81"/>
        <v>4.6855495414740433E-3</v>
      </c>
      <c r="N112">
        <f t="shared" si="82"/>
        <v>2.725258493768225E-3</v>
      </c>
      <c r="O112" s="8">
        <f t="shared" si="62"/>
        <v>0.57882744143969833</v>
      </c>
      <c r="P112">
        <f t="shared" si="63"/>
        <v>13.961007695774676</v>
      </c>
      <c r="Q112">
        <f t="shared" si="83"/>
        <v>0.7797702857241583</v>
      </c>
      <c r="R112" s="89">
        <f t="shared" si="49"/>
        <v>5000</v>
      </c>
      <c r="S112">
        <f t="shared" si="50"/>
        <v>0.58333333333333393</v>
      </c>
      <c r="U112">
        <f>O111*AV111*'Real assumptions'!$B$33/12+AX112*'Real assumptions'!$B$34</f>
        <v>6.4535383084316891</v>
      </c>
      <c r="V112">
        <f>IF(P112=0,0,IF(E112&lt;=$C$7,$AN$5*O111,0))*'Real assumptions'!$D$28</f>
        <v>3.4902519239436689</v>
      </c>
      <c r="X112" s="94">
        <f t="shared" si="64"/>
        <v>0</v>
      </c>
      <c r="Y112">
        <f t="shared" si="51"/>
        <v>24</v>
      </c>
      <c r="Z112">
        <f t="shared" si="84"/>
        <v>90</v>
      </c>
      <c r="AA112">
        <f t="shared" si="52"/>
        <v>90.583333333333329</v>
      </c>
      <c r="AB112">
        <f t="shared" si="65"/>
        <v>50.505050505050505</v>
      </c>
      <c r="AC112">
        <f t="shared" si="85"/>
        <v>4574.9158249158245</v>
      </c>
      <c r="AD112">
        <f t="shared" si="66"/>
        <v>80.505050505050505</v>
      </c>
      <c r="AE112">
        <f t="shared" si="67"/>
        <v>364.62079124579122</v>
      </c>
      <c r="AF112" s="94">
        <f t="shared" si="68"/>
        <v>60.463383838384289</v>
      </c>
      <c r="AG112">
        <f t="shared" si="86"/>
        <v>0.16477835036752519</v>
      </c>
      <c r="AH112">
        <f t="shared" si="69"/>
        <v>34.997865767958388</v>
      </c>
      <c r="AI112">
        <f>HLOOKUP(AW112,'Real assumptions'!$A$21:$AK$24,2,TRUE)</f>
        <v>1.7271000000000001</v>
      </c>
      <c r="AJ112" s="123">
        <f t="shared" si="87"/>
        <v>1.427981227236641E-3</v>
      </c>
      <c r="AK112" s="122">
        <f>(1+HLOOKUP(YEAR(A112),'Real assumptions'!$A$21:$AK$24,2,TRUE)/100)^(1/12)-1</f>
        <v>1.427981227236641E-3</v>
      </c>
      <c r="AL112">
        <f t="shared" si="88"/>
        <v>6.4535383084316891</v>
      </c>
      <c r="AM112">
        <f>('Real assumptions'!$B$33/12)*O111*AV111</f>
        <v>6.4448755835899636</v>
      </c>
      <c r="AN112">
        <f t="shared" si="70"/>
        <v>36.681354464400052</v>
      </c>
      <c r="AO112">
        <f t="shared" si="92"/>
        <v>5.2380285564776224E-2</v>
      </c>
      <c r="AP112" s="121">
        <f t="shared" si="71"/>
        <v>0.18783942300977022</v>
      </c>
      <c r="AQ112">
        <f t="shared" si="72"/>
        <v>0</v>
      </c>
      <c r="AR112">
        <v>0</v>
      </c>
      <c r="AS112">
        <f t="shared" si="53"/>
        <v>0</v>
      </c>
      <c r="AT112">
        <f t="shared" si="73"/>
        <v>0</v>
      </c>
      <c r="AU112">
        <f>IFERROR(HLOOKUP(B112,'Real assumptions'!$B$43:$AL$44,2,TRUE)*($W$3/$U$2),0)</f>
        <v>0</v>
      </c>
      <c r="AV112">
        <f>AV111*(1+'Real assumptions'!$B$35)^(1/12)</f>
        <v>1.1090690835579387</v>
      </c>
      <c r="AW112">
        <f t="shared" si="54"/>
        <v>2027</v>
      </c>
      <c r="AX112">
        <f t="shared" si="89"/>
        <v>31.622153822808805</v>
      </c>
      <c r="AY112">
        <f t="shared" si="90"/>
        <v>2.4482687457517316</v>
      </c>
      <c r="AZ112">
        <f t="shared" si="55"/>
        <v>324.33226266496268</v>
      </c>
      <c r="BA112">
        <f t="shared" si="74"/>
        <v>4.4348005600353524</v>
      </c>
      <c r="BB112">
        <f t="shared" si="75"/>
        <v>90.583333333333329</v>
      </c>
      <c r="BC112">
        <f t="shared" si="56"/>
        <v>54.349999999999994</v>
      </c>
      <c r="BD112">
        <f t="shared" si="76"/>
        <v>0</v>
      </c>
      <c r="BE112">
        <f t="shared" si="57"/>
        <v>24</v>
      </c>
      <c r="BF112">
        <f t="shared" si="91"/>
        <v>5000</v>
      </c>
      <c r="BU112"/>
      <c r="FD112"/>
      <c r="FE112"/>
    </row>
    <row r="113" spans="1:161" x14ac:dyDescent="0.25">
      <c r="A113" s="7">
        <f t="shared" si="77"/>
        <v>46538</v>
      </c>
      <c r="B113">
        <f t="shared" si="58"/>
        <v>102</v>
      </c>
      <c r="C113">
        <f t="shared" si="59"/>
        <v>8.4166666666666661</v>
      </c>
      <c r="D113">
        <f t="shared" si="60"/>
        <v>0</v>
      </c>
      <c r="E113">
        <f t="shared" si="61"/>
        <v>60</v>
      </c>
      <c r="F113">
        <f>IF(C113&gt;=$T$2,0,VLOOKUP($E113,EKM_F05!$A$3:$C$128,2,TRUE))</f>
        <v>7.7161538461538457E-3</v>
      </c>
      <c r="G113">
        <f>F113*'Real assumptions'!$B$3</f>
        <v>3.219951E-3</v>
      </c>
      <c r="H113">
        <f t="shared" si="78"/>
        <v>2.6872606979699842E-4</v>
      </c>
      <c r="I113">
        <f t="shared" si="79"/>
        <v>1.551816141293651E-4</v>
      </c>
      <c r="J113">
        <f>IF(B113&gt;$AJ$2,0,HLOOKUP(C113,'Real assumptions'!$B$5:$L$8,4,TRUE))</f>
        <v>5.4800000000000001E-2</v>
      </c>
      <c r="K113">
        <f t="shared" si="48"/>
        <v>1</v>
      </c>
      <c r="L113">
        <f t="shared" si="80"/>
        <v>8.3333333333333329E-2</v>
      </c>
      <c r="M113">
        <f t="shared" si="81"/>
        <v>4.6855495414740433E-3</v>
      </c>
      <c r="N113">
        <f t="shared" si="82"/>
        <v>2.711760243530995E-3</v>
      </c>
      <c r="O113" s="8">
        <f t="shared" si="62"/>
        <v>0.57596049958203788</v>
      </c>
      <c r="P113">
        <f t="shared" si="63"/>
        <v>13.89185859455276</v>
      </c>
      <c r="Q113">
        <f t="shared" si="83"/>
        <v>0.77590807064682543</v>
      </c>
      <c r="R113" s="89">
        <f t="shared" si="49"/>
        <v>5000</v>
      </c>
      <c r="S113">
        <f t="shared" si="50"/>
        <v>0.5</v>
      </c>
      <c r="U113">
        <f>O112*AV112*'Real assumptions'!$B$33/12+AX113*'Real assumptions'!$B$34</f>
        <v>6.4289511093294038</v>
      </c>
      <c r="V113">
        <f>IF(P113=0,0,IF(E113&lt;=$C$7,$AN$5*O112,0))*'Real assumptions'!$D$28</f>
        <v>3.47296464863819</v>
      </c>
      <c r="X113" s="94">
        <f t="shared" si="64"/>
        <v>0</v>
      </c>
      <c r="Y113">
        <f t="shared" si="51"/>
        <v>24</v>
      </c>
      <c r="Z113">
        <f t="shared" si="84"/>
        <v>90</v>
      </c>
      <c r="AA113">
        <f t="shared" si="52"/>
        <v>90.5</v>
      </c>
      <c r="AB113">
        <f t="shared" si="65"/>
        <v>50.505050505050505</v>
      </c>
      <c r="AC113">
        <f t="shared" si="85"/>
        <v>4570.7070707070707</v>
      </c>
      <c r="AD113">
        <f t="shared" si="66"/>
        <v>80.505050505050505</v>
      </c>
      <c r="AE113">
        <f t="shared" si="67"/>
        <v>364.28535353535352</v>
      </c>
      <c r="AF113" s="94">
        <f t="shared" si="68"/>
        <v>65.007575757575808</v>
      </c>
      <c r="AG113">
        <f t="shared" si="86"/>
        <v>0.17628495946772338</v>
      </c>
      <c r="AH113">
        <f t="shared" si="69"/>
        <v>37.441795809950534</v>
      </c>
      <c r="AI113">
        <f>HLOOKUP(AW113,'Real assumptions'!$A$21:$AK$24,2,TRUE)</f>
        <v>1.7271000000000001</v>
      </c>
      <c r="AJ113" s="123">
        <f t="shared" si="87"/>
        <v>1.427981227236641E-3</v>
      </c>
      <c r="AK113" s="122">
        <f>(1+HLOOKUP(YEAR(A113),'Real assumptions'!$A$21:$AK$24,2,TRUE)/100)^(1/12)-1</f>
        <v>1.427981227236641E-3</v>
      </c>
      <c r="AL113">
        <f t="shared" si="88"/>
        <v>6.4289511093294038</v>
      </c>
      <c r="AM113">
        <f>('Real assumptions'!$B$33/12)*O112*AV112</f>
        <v>6.4195962001571267</v>
      </c>
      <c r="AN113">
        <f t="shared" si="70"/>
        <v>39.175648027553322</v>
      </c>
      <c r="AO113">
        <f t="shared" si="92"/>
        <v>5.5942089948176288E-2</v>
      </c>
      <c r="AP113" s="121">
        <f t="shared" si="71"/>
        <v>0.24378151295794651</v>
      </c>
      <c r="AQ113">
        <f t="shared" si="72"/>
        <v>0</v>
      </c>
      <c r="AR113">
        <v>0</v>
      </c>
      <c r="AS113">
        <f t="shared" si="53"/>
        <v>0</v>
      </c>
      <c r="AT113">
        <f t="shared" si="73"/>
        <v>0</v>
      </c>
      <c r="AU113">
        <f>IFERROR(HLOOKUP(B113,'Real assumptions'!$B$43:$AL$44,2,TRUE)*($W$3/$U$2),0)</f>
        <v>0</v>
      </c>
      <c r="AV113">
        <f>AV112*(1+'Real assumptions'!$B$35)^(1/12)</f>
        <v>1.110217797441259</v>
      </c>
      <c r="AW113">
        <f t="shared" si="54"/>
        <v>2027</v>
      </c>
      <c r="AX113">
        <f t="shared" si="89"/>
        <v>34.148882972631725</v>
      </c>
      <c r="AY113">
        <f t="shared" si="90"/>
        <v>2.4361424303017607</v>
      </c>
      <c r="AZ113">
        <f t="shared" si="55"/>
        <v>327.83315285390609</v>
      </c>
      <c r="BA113">
        <f t="shared" si="74"/>
        <v>4.4251576787527389</v>
      </c>
      <c r="BB113">
        <f t="shared" si="75"/>
        <v>90.5</v>
      </c>
      <c r="BC113">
        <f t="shared" si="56"/>
        <v>54.3</v>
      </c>
      <c r="BD113">
        <f t="shared" si="76"/>
        <v>0</v>
      </c>
      <c r="BE113">
        <f t="shared" si="57"/>
        <v>24</v>
      </c>
      <c r="BF113">
        <f t="shared" si="91"/>
        <v>5000</v>
      </c>
      <c r="BU113"/>
      <c r="FD113"/>
      <c r="FE113"/>
    </row>
    <row r="114" spans="1:161" x14ac:dyDescent="0.25">
      <c r="A114" s="7">
        <f t="shared" si="77"/>
        <v>46568</v>
      </c>
      <c r="B114">
        <f t="shared" si="58"/>
        <v>103</v>
      </c>
      <c r="C114">
        <f t="shared" si="59"/>
        <v>8.5</v>
      </c>
      <c r="D114">
        <f t="shared" si="60"/>
        <v>0</v>
      </c>
      <c r="E114">
        <f t="shared" si="61"/>
        <v>60</v>
      </c>
      <c r="F114">
        <f>IF(C114&gt;=$T$2,0,VLOOKUP($E114,EKM_F05!$A$3:$C$128,2,TRUE))</f>
        <v>7.7161538461538457E-3</v>
      </c>
      <c r="G114">
        <f>F114*'Real assumptions'!$B$3</f>
        <v>3.219951E-3</v>
      </c>
      <c r="H114">
        <f t="shared" si="78"/>
        <v>2.6872606979699842E-4</v>
      </c>
      <c r="I114">
        <f t="shared" si="79"/>
        <v>1.5441299703688549E-4</v>
      </c>
      <c r="J114">
        <f>IF(B114&gt;$AJ$2,0,HLOOKUP(C114,'Real assumptions'!$B$5:$L$8,4,TRUE))</f>
        <v>5.4800000000000001E-2</v>
      </c>
      <c r="K114">
        <f t="shared" si="48"/>
        <v>1</v>
      </c>
      <c r="L114">
        <f t="shared" si="80"/>
        <v>8.3333333333333329E-2</v>
      </c>
      <c r="M114">
        <f t="shared" si="81"/>
        <v>4.6855495414740433E-3</v>
      </c>
      <c r="N114">
        <f t="shared" si="82"/>
        <v>2.6983288503496673E-3</v>
      </c>
      <c r="O114" s="8">
        <f t="shared" si="62"/>
        <v>0.57310775773465128</v>
      </c>
      <c r="P114">
        <f t="shared" si="63"/>
        <v>13.82305198996891</v>
      </c>
      <c r="Q114">
        <f t="shared" si="83"/>
        <v>0.77206498518442745</v>
      </c>
      <c r="R114" s="89">
        <f t="shared" si="49"/>
        <v>5000</v>
      </c>
      <c r="S114">
        <f t="shared" si="50"/>
        <v>0.41666666666666607</v>
      </c>
      <c r="U114">
        <f>O113*AV113*'Real assumptions'!$B$33/12+AX114*'Real assumptions'!$B$34</f>
        <v>6.4044571155690981</v>
      </c>
      <c r="V114">
        <f>IF(P114=0,0,IF(E114&lt;=$C$7,$AN$5*O113,0))*'Real assumptions'!$D$28</f>
        <v>3.4557629974922275</v>
      </c>
      <c r="X114" s="94">
        <f t="shared" si="64"/>
        <v>0</v>
      </c>
      <c r="Y114">
        <f t="shared" si="51"/>
        <v>24</v>
      </c>
      <c r="Z114">
        <f t="shared" si="84"/>
        <v>90</v>
      </c>
      <c r="AA114">
        <f t="shared" si="52"/>
        <v>90.416666666666671</v>
      </c>
      <c r="AB114">
        <f t="shared" si="65"/>
        <v>50.505050505050505</v>
      </c>
      <c r="AC114">
        <f t="shared" si="85"/>
        <v>4566.4983164983169</v>
      </c>
      <c r="AD114">
        <f t="shared" si="66"/>
        <v>80.505050505050505</v>
      </c>
      <c r="AE114">
        <f t="shared" si="67"/>
        <v>363.94991582491582</v>
      </c>
      <c r="AF114" s="94">
        <f t="shared" si="68"/>
        <v>69.551767676767327</v>
      </c>
      <c r="AG114">
        <f t="shared" si="86"/>
        <v>0.18767354131503872</v>
      </c>
      <c r="AH114">
        <f t="shared" si="69"/>
        <v>39.860657619713521</v>
      </c>
      <c r="AI114">
        <f>HLOOKUP(AW114,'Real assumptions'!$A$21:$AK$24,2,TRUE)</f>
        <v>1.7271000000000001</v>
      </c>
      <c r="AJ114" s="123">
        <f t="shared" si="87"/>
        <v>1.427981227236641E-3</v>
      </c>
      <c r="AK114" s="122">
        <f>(1+HLOOKUP(YEAR(A114),'Real assumptions'!$A$21:$AK$24,2,TRUE)/100)^(1/12)-1</f>
        <v>1.427981227236641E-3</v>
      </c>
      <c r="AL114">
        <f t="shared" si="88"/>
        <v>6.4044571155690981</v>
      </c>
      <c r="AM114">
        <f>('Real assumptions'!$B$33/12)*O113*AV113</f>
        <v>6.3944159725913723</v>
      </c>
      <c r="AN114">
        <f t="shared" si="70"/>
        <v>41.648409199816058</v>
      </c>
      <c r="AO114">
        <f t="shared" si="92"/>
        <v>5.9473146481607141E-2</v>
      </c>
      <c r="AP114" s="121">
        <f t="shared" si="71"/>
        <v>0.30325465943955365</v>
      </c>
      <c r="AQ114">
        <f t="shared" si="72"/>
        <v>0</v>
      </c>
      <c r="AR114">
        <v>0</v>
      </c>
      <c r="AS114">
        <f t="shared" si="53"/>
        <v>0</v>
      </c>
      <c r="AT114">
        <f t="shared" si="73"/>
        <v>0</v>
      </c>
      <c r="AU114">
        <f>IFERROR(HLOOKUP(B114,'Real assumptions'!$B$43:$AL$44,2,TRUE)*($W$3/$U$2),0)</f>
        <v>0</v>
      </c>
      <c r="AV114">
        <f>AV113*(1+'Real assumptions'!$B$35)^(1/12)</f>
        <v>1.1113677011004059</v>
      </c>
      <c r="AW114">
        <f t="shared" si="54"/>
        <v>2027</v>
      </c>
      <c r="AX114">
        <f t="shared" si="89"/>
        <v>36.653890502108325</v>
      </c>
      <c r="AY114">
        <f t="shared" si="90"/>
        <v>2.4240761766920786</v>
      </c>
      <c r="AZ114">
        <f t="shared" si="55"/>
        <v>331.3043857922554</v>
      </c>
      <c r="BA114">
        <f t="shared" si="74"/>
        <v>4.4155015239916935</v>
      </c>
      <c r="BB114">
        <f t="shared" si="75"/>
        <v>90.416666666666671</v>
      </c>
      <c r="BC114">
        <f t="shared" si="56"/>
        <v>54.25</v>
      </c>
      <c r="BD114">
        <f t="shared" si="76"/>
        <v>0</v>
      </c>
      <c r="BE114">
        <f t="shared" si="57"/>
        <v>24</v>
      </c>
      <c r="BF114">
        <f t="shared" si="91"/>
        <v>5000</v>
      </c>
      <c r="BU114"/>
      <c r="FD114"/>
      <c r="FE114"/>
    </row>
    <row r="115" spans="1:161" x14ac:dyDescent="0.25">
      <c r="A115" s="7">
        <f t="shared" si="77"/>
        <v>46599</v>
      </c>
      <c r="B115">
        <f t="shared" si="58"/>
        <v>104</v>
      </c>
      <c r="C115">
        <f t="shared" si="59"/>
        <v>8.5833333333333339</v>
      </c>
      <c r="D115">
        <f t="shared" si="60"/>
        <v>0</v>
      </c>
      <c r="E115">
        <f t="shared" si="61"/>
        <v>60</v>
      </c>
      <c r="F115">
        <f>IF(C115&gt;=$T$2,0,VLOOKUP($E115,EKM_F05!$A$3:$C$128,2,TRUE))</f>
        <v>7.7161538461538457E-3</v>
      </c>
      <c r="G115">
        <f>F115*'Real assumptions'!$B$3</f>
        <v>3.219951E-3</v>
      </c>
      <c r="H115">
        <f t="shared" si="78"/>
        <v>2.6872606979699842E-4</v>
      </c>
      <c r="I115">
        <f t="shared" si="79"/>
        <v>1.5364818691753325E-4</v>
      </c>
      <c r="J115">
        <f>IF(B115&gt;$AJ$2,0,HLOOKUP(C115,'Real assumptions'!$B$5:$L$8,4,TRUE))</f>
        <v>5.4800000000000001E-2</v>
      </c>
      <c r="K115">
        <f t="shared" si="48"/>
        <v>1</v>
      </c>
      <c r="L115">
        <f t="shared" si="80"/>
        <v>8.3333333333333329E-2</v>
      </c>
      <c r="M115">
        <f t="shared" si="81"/>
        <v>4.6855495414740433E-3</v>
      </c>
      <c r="N115">
        <f t="shared" si="82"/>
        <v>2.6849639830801427E-3</v>
      </c>
      <c r="O115" s="8">
        <f t="shared" si="62"/>
        <v>0.57026914556465358</v>
      </c>
      <c r="P115">
        <f t="shared" si="63"/>
        <v>13.754586185631631</v>
      </c>
      <c r="Q115">
        <f t="shared" si="83"/>
        <v>0.76824093458766629</v>
      </c>
      <c r="R115" s="89">
        <f t="shared" si="49"/>
        <v>5000</v>
      </c>
      <c r="S115">
        <f t="shared" si="50"/>
        <v>0.33333333333333393</v>
      </c>
      <c r="U115">
        <f>O114*AV114*'Real assumptions'!$B$33/12+AX115*'Real assumptions'!$B$34</f>
        <v>6.380055981781422</v>
      </c>
      <c r="V115">
        <f>IF(P115=0,0,IF(E115&lt;=$C$7,$AN$5*O114,0))*'Real assumptions'!$D$28</f>
        <v>3.4386465464079077</v>
      </c>
      <c r="X115" s="94">
        <f t="shared" si="64"/>
        <v>0</v>
      </c>
      <c r="Y115">
        <f t="shared" si="51"/>
        <v>24</v>
      </c>
      <c r="Z115">
        <f t="shared" si="84"/>
        <v>90</v>
      </c>
      <c r="AA115">
        <f t="shared" si="52"/>
        <v>90.333333333333329</v>
      </c>
      <c r="AB115">
        <f t="shared" si="65"/>
        <v>50.505050505050505</v>
      </c>
      <c r="AC115">
        <f t="shared" si="85"/>
        <v>4562.2895622895621</v>
      </c>
      <c r="AD115">
        <f t="shared" si="66"/>
        <v>80.505050505050505</v>
      </c>
      <c r="AE115">
        <f t="shared" si="67"/>
        <v>363.61447811447806</v>
      </c>
      <c r="AF115" s="94">
        <f t="shared" si="68"/>
        <v>74.095959595959812</v>
      </c>
      <c r="AG115">
        <f t="shared" si="86"/>
        <v>0.19894498280691358</v>
      </c>
      <c r="AH115">
        <f t="shared" si="69"/>
        <v>42.254639568581098</v>
      </c>
      <c r="AI115">
        <f>HLOOKUP(AW115,'Real assumptions'!$A$21:$AK$24,2,TRUE)</f>
        <v>1.7271000000000001</v>
      </c>
      <c r="AJ115" s="123">
        <f t="shared" si="87"/>
        <v>1.427981227236641E-3</v>
      </c>
      <c r="AK115" s="122">
        <f>(1+HLOOKUP(YEAR(A115),'Real assumptions'!$A$21:$AK$24,2,TRUE)/100)^(1/12)-1</f>
        <v>1.427981227236641E-3</v>
      </c>
      <c r="AL115">
        <f t="shared" si="88"/>
        <v>6.380055981781422</v>
      </c>
      <c r="AM115">
        <f>('Real assumptions'!$B$33/12)*O114*AV114</f>
        <v>6.3693345119636779</v>
      </c>
      <c r="AN115">
        <f t="shared" si="70"/>
        <v>44.09979593659537</v>
      </c>
      <c r="AO115">
        <f t="shared" si="92"/>
        <v>6.2973680722424888E-2</v>
      </c>
      <c r="AP115" s="121">
        <f t="shared" si="71"/>
        <v>0.36622834016197853</v>
      </c>
      <c r="AQ115">
        <f t="shared" si="72"/>
        <v>0</v>
      </c>
      <c r="AR115">
        <v>0</v>
      </c>
      <c r="AS115">
        <f t="shared" si="53"/>
        <v>0</v>
      </c>
      <c r="AT115">
        <f t="shared" si="73"/>
        <v>0</v>
      </c>
      <c r="AU115">
        <f>IFERROR(HLOOKUP(B115,'Real assumptions'!$B$43:$AL$44,2,TRUE)*($W$3/$U$2),0)</f>
        <v>0</v>
      </c>
      <c r="AV115">
        <f>AV114*(1+'Real assumptions'!$B$35)^(1/12)</f>
        <v>1.1125187957676852</v>
      </c>
      <c r="AW115">
        <f t="shared" si="54"/>
        <v>2027</v>
      </c>
      <c r="AX115">
        <f t="shared" si="89"/>
        <v>39.137335420180563</v>
      </c>
      <c r="AY115">
        <f t="shared" si="90"/>
        <v>2.4120696874354008</v>
      </c>
      <c r="AZ115">
        <f t="shared" si="55"/>
        <v>334.74617997571562</v>
      </c>
      <c r="BA115">
        <f t="shared" si="74"/>
        <v>4.4058324638024873</v>
      </c>
      <c r="BB115">
        <f t="shared" si="75"/>
        <v>90.333333333333329</v>
      </c>
      <c r="BC115">
        <f t="shared" si="56"/>
        <v>54.199999999999996</v>
      </c>
      <c r="BD115">
        <f t="shared" si="76"/>
        <v>0</v>
      </c>
      <c r="BE115">
        <f t="shared" si="57"/>
        <v>24</v>
      </c>
      <c r="BF115">
        <f t="shared" si="91"/>
        <v>5000</v>
      </c>
      <c r="BU115"/>
      <c r="FD115"/>
      <c r="FE115"/>
    </row>
    <row r="116" spans="1:161" x14ac:dyDescent="0.25">
      <c r="A116" s="7">
        <f t="shared" si="77"/>
        <v>46630</v>
      </c>
      <c r="B116">
        <f t="shared" si="58"/>
        <v>105</v>
      </c>
      <c r="C116">
        <f t="shared" si="59"/>
        <v>8.6666666666666661</v>
      </c>
      <c r="D116">
        <f t="shared" si="60"/>
        <v>0</v>
      </c>
      <c r="E116">
        <f t="shared" si="61"/>
        <v>60</v>
      </c>
      <c r="F116">
        <f>IF(C116&gt;=$T$2,0,VLOOKUP($E116,EKM_F05!$A$3:$C$128,2,TRUE))</f>
        <v>7.7161538461538457E-3</v>
      </c>
      <c r="G116">
        <f>F116*'Real assumptions'!$B$3</f>
        <v>3.219951E-3</v>
      </c>
      <c r="H116">
        <f t="shared" si="78"/>
        <v>2.6872606979699842E-4</v>
      </c>
      <c r="I116">
        <f t="shared" si="79"/>
        <v>1.5288716491530774E-4</v>
      </c>
      <c r="J116">
        <f>IF(B116&gt;$AJ$2,0,HLOOKUP(C116,'Real assumptions'!$B$5:$L$8,4,TRUE))</f>
        <v>5.4800000000000001E-2</v>
      </c>
      <c r="K116">
        <f t="shared" si="48"/>
        <v>1</v>
      </c>
      <c r="L116">
        <f t="shared" si="80"/>
        <v>8.3333333333333329E-2</v>
      </c>
      <c r="M116">
        <f t="shared" si="81"/>
        <v>4.6855495414740433E-3</v>
      </c>
      <c r="N116">
        <f t="shared" si="82"/>
        <v>2.671665312218483E-3</v>
      </c>
      <c r="O116" s="8">
        <f t="shared" si="62"/>
        <v>0.56744459308751971</v>
      </c>
      <c r="P116">
        <f t="shared" si="63"/>
        <v>13.686459493551686</v>
      </c>
      <c r="Q116">
        <f t="shared" si="83"/>
        <v>0.76443582457653869</v>
      </c>
      <c r="R116" s="89">
        <f t="shared" si="49"/>
        <v>5000</v>
      </c>
      <c r="S116">
        <f t="shared" si="50"/>
        <v>0.25</v>
      </c>
      <c r="U116">
        <f>O115*AV115*'Real assumptions'!$B$33/12+AX116*'Real assumptions'!$B$34</f>
        <v>6.3557473638393223</v>
      </c>
      <c r="V116">
        <f>IF(P116=0,0,IF(E116&lt;=$C$7,$AN$5*O115,0))*'Real assumptions'!$D$28</f>
        <v>3.4216148733879215</v>
      </c>
      <c r="X116" s="94">
        <f t="shared" si="64"/>
        <v>0</v>
      </c>
      <c r="Y116">
        <f t="shared" si="51"/>
        <v>24</v>
      </c>
      <c r="Z116">
        <f t="shared" si="84"/>
        <v>90</v>
      </c>
      <c r="AA116">
        <f t="shared" si="52"/>
        <v>90.25</v>
      </c>
      <c r="AB116">
        <f t="shared" si="65"/>
        <v>50.505050505050505</v>
      </c>
      <c r="AC116">
        <f t="shared" si="85"/>
        <v>4558.0808080808083</v>
      </c>
      <c r="AD116">
        <f t="shared" si="66"/>
        <v>80.505050505050505</v>
      </c>
      <c r="AE116">
        <f t="shared" si="67"/>
        <v>363.27904040404042</v>
      </c>
      <c r="AF116" s="94">
        <f t="shared" si="68"/>
        <v>78.640151515151274</v>
      </c>
      <c r="AG116">
        <f t="shared" si="86"/>
        <v>0.21010016495063544</v>
      </c>
      <c r="AH116">
        <f t="shared" si="69"/>
        <v>44.623928776855912</v>
      </c>
      <c r="AI116">
        <f>HLOOKUP(AW116,'Real assumptions'!$A$21:$AK$24,2,TRUE)</f>
        <v>1.7271000000000001</v>
      </c>
      <c r="AJ116" s="123">
        <f t="shared" si="87"/>
        <v>1.427981227236641E-3</v>
      </c>
      <c r="AK116" s="122">
        <f>(1+HLOOKUP(YEAR(A116),'Real assumptions'!$A$21:$AK$24,2,TRUE)/100)^(1/12)-1</f>
        <v>1.427981227236641E-3</v>
      </c>
      <c r="AL116">
        <f t="shared" si="88"/>
        <v>6.3557473638393223</v>
      </c>
      <c r="AM116">
        <f>('Real assumptions'!$B$33/12)*O115*AV115</f>
        <v>6.3443514308705513</v>
      </c>
      <c r="AN116">
        <f t="shared" si="70"/>
        <v>46.529965165067516</v>
      </c>
      <c r="AO116">
        <f t="shared" si="92"/>
        <v>6.644391675969126E-2</v>
      </c>
      <c r="AP116" s="121">
        <f t="shared" si="71"/>
        <v>0.43267225692166977</v>
      </c>
      <c r="AQ116">
        <f t="shared" si="72"/>
        <v>0</v>
      </c>
      <c r="AR116">
        <v>0</v>
      </c>
      <c r="AS116">
        <f t="shared" si="53"/>
        <v>0</v>
      </c>
      <c r="AT116">
        <f t="shared" si="73"/>
        <v>0</v>
      </c>
      <c r="AU116">
        <f>IFERROR(HLOOKUP(B116,'Real assumptions'!$B$43:$AL$44,2,TRUE)*($W$3/$U$2),0)</f>
        <v>0</v>
      </c>
      <c r="AV116">
        <f>AV115*(1+'Real assumptions'!$B$35)^(1/12)</f>
        <v>1.1136710826766787</v>
      </c>
      <c r="AW116">
        <f t="shared" si="54"/>
        <v>2027</v>
      </c>
      <c r="AX116">
        <f t="shared" si="89"/>
        <v>41.599375701873058</v>
      </c>
      <c r="AY116">
        <f t="shared" si="90"/>
        <v>2.4001226665179023</v>
      </c>
      <c r="AZ116">
        <f t="shared" si="55"/>
        <v>338.15875250340741</v>
      </c>
      <c r="BA116">
        <f t="shared" si="74"/>
        <v>4.3961508629150954</v>
      </c>
      <c r="BB116">
        <f t="shared" si="75"/>
        <v>90.25</v>
      </c>
      <c r="BC116">
        <f t="shared" si="56"/>
        <v>54.15</v>
      </c>
      <c r="BD116">
        <f t="shared" si="76"/>
        <v>0</v>
      </c>
      <c r="BE116">
        <f t="shared" si="57"/>
        <v>24</v>
      </c>
      <c r="BF116">
        <f t="shared" si="91"/>
        <v>5000</v>
      </c>
      <c r="BU116"/>
      <c r="FD116"/>
      <c r="FE116"/>
    </row>
    <row r="117" spans="1:161" x14ac:dyDescent="0.25">
      <c r="A117" s="7">
        <f t="shared" si="77"/>
        <v>46660</v>
      </c>
      <c r="B117">
        <f t="shared" si="58"/>
        <v>106</v>
      </c>
      <c r="C117">
        <f t="shared" si="59"/>
        <v>8.75</v>
      </c>
      <c r="D117">
        <f t="shared" si="60"/>
        <v>0</v>
      </c>
      <c r="E117">
        <f t="shared" si="61"/>
        <v>60</v>
      </c>
      <c r="F117">
        <f>IF(C117&gt;=$T$2,0,VLOOKUP($E117,EKM_F05!$A$3:$C$128,2,TRUE))</f>
        <v>7.7161538461538457E-3</v>
      </c>
      <c r="G117">
        <f>F117*'Real assumptions'!$B$3</f>
        <v>3.219951E-3</v>
      </c>
      <c r="H117">
        <f t="shared" si="78"/>
        <v>2.6872606979699842E-4</v>
      </c>
      <c r="I117">
        <f t="shared" si="79"/>
        <v>1.5212991226760237E-4</v>
      </c>
      <c r="J117">
        <f>IF(B117&gt;$AJ$2,0,HLOOKUP(C117,'Real assumptions'!$B$5:$L$8,4,TRUE))</f>
        <v>5.4800000000000001E-2</v>
      </c>
      <c r="K117">
        <f t="shared" si="48"/>
        <v>1</v>
      </c>
      <c r="L117">
        <f t="shared" si="80"/>
        <v>8.3333333333333329E-2</v>
      </c>
      <c r="M117">
        <f t="shared" si="81"/>
        <v>4.6855495414740433E-3</v>
      </c>
      <c r="N117">
        <f t="shared" si="82"/>
        <v>2.6584325098927891E-3</v>
      </c>
      <c r="O117" s="8">
        <f t="shared" si="62"/>
        <v>0.56463403066535922</v>
      </c>
      <c r="P117">
        <f t="shared" si="63"/>
        <v>13.618670234100474</v>
      </c>
      <c r="Q117">
        <f t="shared" si="83"/>
        <v>0.76064956133801187</v>
      </c>
      <c r="R117" s="89">
        <f t="shared" si="49"/>
        <v>5000</v>
      </c>
      <c r="S117">
        <f t="shared" si="50"/>
        <v>0.16666666666666607</v>
      </c>
      <c r="U117">
        <f>O116*AV116*'Real assumptions'!$B$33/12+AX117*'Real assumptions'!$B$34</f>
        <v>6.3315309188537992</v>
      </c>
      <c r="V117">
        <f>IF(P117=0,0,IF(E117&lt;=$C$7,$AN$5*O116,0))*'Real assumptions'!$D$28</f>
        <v>3.4046675585251185</v>
      </c>
      <c r="X117" s="94">
        <f t="shared" si="64"/>
        <v>0</v>
      </c>
      <c r="Y117">
        <f t="shared" si="51"/>
        <v>24</v>
      </c>
      <c r="Z117">
        <f t="shared" si="84"/>
        <v>90</v>
      </c>
      <c r="AA117">
        <f t="shared" si="52"/>
        <v>90.166666666666671</v>
      </c>
      <c r="AB117">
        <f t="shared" si="65"/>
        <v>50.505050505050505</v>
      </c>
      <c r="AC117">
        <f t="shared" si="85"/>
        <v>4553.8720538720545</v>
      </c>
      <c r="AD117">
        <f t="shared" si="66"/>
        <v>80.505050505050505</v>
      </c>
      <c r="AE117">
        <f t="shared" si="67"/>
        <v>362.94360269360271</v>
      </c>
      <c r="AF117" s="94">
        <f t="shared" si="68"/>
        <v>83.184343434342793</v>
      </c>
      <c r="AG117">
        <f t="shared" si="86"/>
        <v>0.22113996289994367</v>
      </c>
      <c r="AH117">
        <f t="shared" si="69"/>
        <v>46.968711121584484</v>
      </c>
      <c r="AI117">
        <f>HLOOKUP(AW117,'Real assumptions'!$A$21:$AK$24,2,TRUE)</f>
        <v>1.7271000000000001</v>
      </c>
      <c r="AJ117" s="123">
        <f t="shared" si="87"/>
        <v>1.427981227236641E-3</v>
      </c>
      <c r="AK117" s="122">
        <f>(1+HLOOKUP(YEAR(A117),'Real assumptions'!$A$21:$AK$24,2,TRUE)/100)^(1/12)-1</f>
        <v>1.427981227236641E-3</v>
      </c>
      <c r="AL117">
        <f t="shared" si="88"/>
        <v>6.3315309188537992</v>
      </c>
      <c r="AM117">
        <f>('Real assumptions'!$B$33/12)*O116*AV116</f>
        <v>6.3194663434280542</v>
      </c>
      <c r="AN117">
        <f t="shared" si="70"/>
        <v>48.939072790499139</v>
      </c>
      <c r="AO117">
        <f t="shared" si="92"/>
        <v>6.9884077223200267E-2</v>
      </c>
      <c r="AP117" s="121">
        <f t="shared" si="71"/>
        <v>0.50255633414487</v>
      </c>
      <c r="AQ117">
        <f t="shared" si="72"/>
        <v>0</v>
      </c>
      <c r="AR117">
        <v>0</v>
      </c>
      <c r="AS117">
        <f t="shared" si="53"/>
        <v>0</v>
      </c>
      <c r="AT117">
        <f t="shared" si="73"/>
        <v>0</v>
      </c>
      <c r="AU117">
        <f>IFERROR(HLOOKUP(B117,'Real assumptions'!$B$43:$AL$44,2,TRUE)*($W$3/$U$2),0)</f>
        <v>0</v>
      </c>
      <c r="AV117">
        <f>AV116*(1+'Real assumptions'!$B$35)^(1/12)</f>
        <v>1.114824563062246</v>
      </c>
      <c r="AW117">
        <f t="shared" si="54"/>
        <v>2027</v>
      </c>
      <c r="AX117">
        <f t="shared" si="89"/>
        <v>44.040168294644381</v>
      </c>
      <c r="AY117">
        <f t="shared" si="90"/>
        <v>2.3882348193919176</v>
      </c>
      <c r="AZ117">
        <f t="shared" si="55"/>
        <v>341.54231908629168</v>
      </c>
      <c r="BA117">
        <f t="shared" si="74"/>
        <v>4.3864570827630738</v>
      </c>
      <c r="BB117">
        <f t="shared" si="75"/>
        <v>90.166666666666671</v>
      </c>
      <c r="BC117">
        <f t="shared" si="56"/>
        <v>54.1</v>
      </c>
      <c r="BD117">
        <f t="shared" si="76"/>
        <v>0</v>
      </c>
      <c r="BE117">
        <f t="shared" si="57"/>
        <v>24</v>
      </c>
      <c r="BF117">
        <f t="shared" si="91"/>
        <v>5000</v>
      </c>
      <c r="BU117"/>
      <c r="FD117"/>
      <c r="FE117"/>
    </row>
    <row r="118" spans="1:161" x14ac:dyDescent="0.25">
      <c r="A118" s="7">
        <f t="shared" si="77"/>
        <v>46691</v>
      </c>
      <c r="B118">
        <f t="shared" si="58"/>
        <v>107</v>
      </c>
      <c r="C118">
        <f t="shared" si="59"/>
        <v>8.8333333333333339</v>
      </c>
      <c r="D118">
        <f t="shared" si="60"/>
        <v>0</v>
      </c>
      <c r="E118">
        <f t="shared" si="61"/>
        <v>60</v>
      </c>
      <c r="F118">
        <f>IF(C118&gt;=$T$2,0,VLOOKUP($E118,EKM_F05!$A$3:$C$128,2,TRUE))</f>
        <v>7.7161538461538457E-3</v>
      </c>
      <c r="G118">
        <f>F118*'Real assumptions'!$B$3</f>
        <v>3.219951E-3</v>
      </c>
      <c r="H118">
        <f t="shared" si="78"/>
        <v>2.6872606979699842E-4</v>
      </c>
      <c r="I118">
        <f t="shared" si="79"/>
        <v>1.5137641030474211E-4</v>
      </c>
      <c r="J118">
        <f>IF(B118&gt;$AJ$2,0,HLOOKUP(C118,'Real assumptions'!$B$5:$L$8,4,TRUE))</f>
        <v>5.4800000000000001E-2</v>
      </c>
      <c r="K118">
        <f t="shared" si="48"/>
        <v>1</v>
      </c>
      <c r="L118">
        <f t="shared" si="80"/>
        <v>8.3333333333333329E-2</v>
      </c>
      <c r="M118">
        <f t="shared" si="81"/>
        <v>4.6855495414740433E-3</v>
      </c>
      <c r="N118">
        <f t="shared" si="82"/>
        <v>2.6452652498551174E-3</v>
      </c>
      <c r="O118" s="8">
        <f t="shared" si="62"/>
        <v>0.56183738900519942</v>
      </c>
      <c r="P118">
        <f t="shared" si="63"/>
        <v>13.551216735968621</v>
      </c>
      <c r="Q118">
        <f t="shared" si="83"/>
        <v>0.75688205152371058</v>
      </c>
      <c r="R118" s="89">
        <f t="shared" si="49"/>
        <v>5000</v>
      </c>
      <c r="S118">
        <f t="shared" si="50"/>
        <v>8.3333333333333925E-2</v>
      </c>
      <c r="U118">
        <f>O117*AV117*'Real assumptions'!$B$33/12+AX118*'Real assumptions'!$B$34</f>
        <v>6.3074063051696827</v>
      </c>
      <c r="V118">
        <f>IF(P118=0,0,IF(E118&lt;=$C$7,$AN$5*O117,0))*'Real assumptions'!$D$28</f>
        <v>3.3878041839921553</v>
      </c>
      <c r="X118" s="94">
        <f t="shared" si="64"/>
        <v>0</v>
      </c>
      <c r="Y118">
        <f t="shared" si="51"/>
        <v>24</v>
      </c>
      <c r="Z118">
        <f t="shared" si="84"/>
        <v>90</v>
      </c>
      <c r="AA118">
        <f t="shared" si="52"/>
        <v>90.083333333333329</v>
      </c>
      <c r="AB118">
        <f t="shared" si="65"/>
        <v>50.505050505050505</v>
      </c>
      <c r="AC118">
        <f t="shared" si="85"/>
        <v>4549.6632996632998</v>
      </c>
      <c r="AD118">
        <f t="shared" si="66"/>
        <v>80.505050505050505</v>
      </c>
      <c r="AE118">
        <f t="shared" si="67"/>
        <v>362.60816498316495</v>
      </c>
      <c r="AF118" s="94">
        <f t="shared" si="68"/>
        <v>87.728535353535278</v>
      </c>
      <c r="AG118">
        <f t="shared" si="86"/>
        <v>0.232065245991393</v>
      </c>
      <c r="AH118">
        <f t="shared" si="69"/>
        <v>49.289171244280588</v>
      </c>
      <c r="AI118">
        <f>HLOOKUP(AW118,'Real assumptions'!$A$21:$AK$24,2,TRUE)</f>
        <v>1.7271000000000001</v>
      </c>
      <c r="AJ118" s="123">
        <f t="shared" si="87"/>
        <v>1.427981227236641E-3</v>
      </c>
      <c r="AK118" s="122">
        <f>(1+HLOOKUP(YEAR(A118),'Real assumptions'!$A$21:$AK$24,2,TRUE)/100)^(1/12)-1</f>
        <v>1.427981227236641E-3</v>
      </c>
      <c r="AL118">
        <f t="shared" si="88"/>
        <v>6.3074063051696827</v>
      </c>
      <c r="AM118">
        <f>('Real assumptions'!$B$33/12)*O117*AV117</f>
        <v>6.2946788652658388</v>
      </c>
      <c r="AN118">
        <f t="shared" si="70"/>
        <v>51.327273702536139</v>
      </c>
      <c r="AO118">
        <f t="shared" si="92"/>
        <v>7.329438329245852E-2</v>
      </c>
      <c r="AP118" s="121">
        <f t="shared" si="71"/>
        <v>0.57585071743732852</v>
      </c>
      <c r="AQ118">
        <f t="shared" si="72"/>
        <v>0</v>
      </c>
      <c r="AR118">
        <v>0</v>
      </c>
      <c r="AS118">
        <f t="shared" si="53"/>
        <v>0</v>
      </c>
      <c r="AT118">
        <f t="shared" si="73"/>
        <v>0</v>
      </c>
      <c r="AU118">
        <f>IFERROR(HLOOKUP(B118,'Real assumptions'!$B$43:$AL$44,2,TRUE)*($W$3/$U$2),0)</f>
        <v>0</v>
      </c>
      <c r="AV118">
        <f>AV117*(1+'Real assumptions'!$B$35)^(1/12)</f>
        <v>1.1159792381605256</v>
      </c>
      <c r="AW118">
        <f t="shared" si="54"/>
        <v>2027</v>
      </c>
      <c r="AX118">
        <f t="shared" si="89"/>
        <v>46.459869124705882</v>
      </c>
      <c r="AY118">
        <f t="shared" si="90"/>
        <v>2.3764058529686833</v>
      </c>
      <c r="AZ118">
        <f t="shared" si="55"/>
        <v>344.89709405554544</v>
      </c>
      <c r="BA118">
        <f t="shared" si="74"/>
        <v>4.3767514815072586</v>
      </c>
      <c r="BB118">
        <f t="shared" si="75"/>
        <v>90.083333333333329</v>
      </c>
      <c r="BC118">
        <f t="shared" si="56"/>
        <v>54.05</v>
      </c>
      <c r="BD118">
        <f t="shared" si="76"/>
        <v>0</v>
      </c>
      <c r="BE118">
        <f t="shared" si="57"/>
        <v>24</v>
      </c>
      <c r="BF118">
        <f t="shared" si="91"/>
        <v>5000</v>
      </c>
      <c r="BU118"/>
      <c r="FD118"/>
      <c r="FE118"/>
    </row>
    <row r="119" spans="1:161" x14ac:dyDescent="0.25">
      <c r="A119" s="7">
        <f t="shared" si="77"/>
        <v>46721</v>
      </c>
      <c r="B119">
        <f t="shared" si="58"/>
        <v>108</v>
      </c>
      <c r="C119">
        <f t="shared" si="59"/>
        <v>8.9166666666666661</v>
      </c>
      <c r="D119">
        <f t="shared" si="60"/>
        <v>0</v>
      </c>
      <c r="E119">
        <f t="shared" si="61"/>
        <v>60</v>
      </c>
      <c r="F119">
        <f>IF(C119&gt;=$T$2,0,VLOOKUP($E119,EKM_F05!$A$3:$C$128,2,TRUE))</f>
        <v>7.7161538461538457E-3</v>
      </c>
      <c r="G119">
        <f>F119*'Real assumptions'!$B$3</f>
        <v>3.219951E-3</v>
      </c>
      <c r="H119">
        <f t="shared" si="78"/>
        <v>2.6872606979699842E-4</v>
      </c>
      <c r="I119">
        <f t="shared" si="79"/>
        <v>1.5062664044952312E-4</v>
      </c>
      <c r="J119">
        <f>IF(B119&gt;$AJ$2,0,HLOOKUP(C119,'Real assumptions'!$B$5:$L$8,4,TRUE))</f>
        <v>5.4800000000000001E-2</v>
      </c>
      <c r="K119">
        <f t="shared" si="48"/>
        <v>1</v>
      </c>
      <c r="L119">
        <f t="shared" si="80"/>
        <v>8.3333333333333329E-2</v>
      </c>
      <c r="M119">
        <f t="shared" si="81"/>
        <v>4.6855495414740433E-3</v>
      </c>
      <c r="N119">
        <f t="shared" si="82"/>
        <v>2.6321632074734346E-3</v>
      </c>
      <c r="O119" s="8">
        <f t="shared" si="62"/>
        <v>0.55905459915727651</v>
      </c>
      <c r="P119">
        <f t="shared" si="63"/>
        <v>13.484097336124787</v>
      </c>
      <c r="Q119">
        <f t="shared" si="83"/>
        <v>0.7531332022476156</v>
      </c>
      <c r="R119" s="89">
        <f t="shared" si="49"/>
        <v>5000</v>
      </c>
      <c r="S119">
        <f t="shared" si="50"/>
        <v>1</v>
      </c>
      <c r="U119">
        <f>O118*AV118*'Real assumptions'!$B$33/12+AX119*'Real assumptions'!$B$34</f>
        <v>6.2833731823614087</v>
      </c>
      <c r="V119">
        <f>IF(P119=0,0,IF(E119&lt;=$C$7,$AN$5*O118,0))*'Real assumptions'!$D$28</f>
        <v>3.3710243340311967</v>
      </c>
      <c r="X119" s="94">
        <f t="shared" si="64"/>
        <v>0</v>
      </c>
      <c r="Y119">
        <f t="shared" si="51"/>
        <v>24</v>
      </c>
      <c r="Z119">
        <f t="shared" si="84"/>
        <v>90</v>
      </c>
      <c r="AA119">
        <f t="shared" si="52"/>
        <v>90</v>
      </c>
      <c r="AB119">
        <f t="shared" si="65"/>
        <v>50.505050505050505</v>
      </c>
      <c r="AC119">
        <f t="shared" si="85"/>
        <v>4545.454545454545</v>
      </c>
      <c r="AD119">
        <f t="shared" si="66"/>
        <v>80.505050505050505</v>
      </c>
      <c r="AE119">
        <f t="shared" si="67"/>
        <v>362.27272727272725</v>
      </c>
      <c r="AF119" s="94">
        <f t="shared" si="68"/>
        <v>92.272727272727707</v>
      </c>
      <c r="AG119">
        <f t="shared" si="86"/>
        <v>0.24287687778050443</v>
      </c>
      <c r="AH119">
        <f t="shared" si="69"/>
        <v>51.585492558603484</v>
      </c>
      <c r="AI119">
        <f>HLOOKUP(AW119,'Real assumptions'!$A$21:$AK$24,2,TRUE)</f>
        <v>1.7271000000000001</v>
      </c>
      <c r="AJ119" s="123">
        <f t="shared" si="87"/>
        <v>1.427981227236641E-3</v>
      </c>
      <c r="AK119" s="122">
        <f>(1+HLOOKUP(YEAR(A119),'Real assumptions'!$A$21:$AK$24,2,TRUE)/100)^(1/12)-1</f>
        <v>1.427981227236641E-3</v>
      </c>
      <c r="AL119">
        <f t="shared" si="88"/>
        <v>6.2833731823614087</v>
      </c>
      <c r="AM119">
        <f>('Real assumptions'!$B$33/12)*O118*AV118</f>
        <v>6.2699886135212131</v>
      </c>
      <c r="AN119">
        <f t="shared" si="70"/>
        <v>53.694721781450099</v>
      </c>
      <c r="AO119">
        <f t="shared" si="92"/>
        <v>7.6675054705605108E-2</v>
      </c>
      <c r="AP119" s="121">
        <f t="shared" si="71"/>
        <v>0.65252577214293361</v>
      </c>
      <c r="AQ119">
        <f t="shared" si="72"/>
        <v>0</v>
      </c>
      <c r="AR119">
        <v>0</v>
      </c>
      <c r="AS119">
        <f t="shared" si="53"/>
        <v>0</v>
      </c>
      <c r="AT119">
        <f t="shared" si="73"/>
        <v>0</v>
      </c>
      <c r="AU119">
        <f>IFERROR(HLOOKUP(B119,'Real assumptions'!$B$43:$AL$44,2,TRUE)*($W$3/$U$2),0)</f>
        <v>0</v>
      </c>
      <c r="AV119">
        <f>AV118*(1+'Real assumptions'!$B$35)^(1/12)</f>
        <v>1.1171351092089365</v>
      </c>
      <c r="AW119">
        <f t="shared" si="54"/>
        <v>2027</v>
      </c>
      <c r="AX119">
        <f t="shared" si="89"/>
        <v>48.858633103297826</v>
      </c>
      <c r="AY119">
        <f t="shared" si="90"/>
        <v>2.3646354756111085</v>
      </c>
      <c r="AZ119">
        <f t="shared" si="55"/>
        <v>348.22329037088923</v>
      </c>
      <c r="BA119">
        <f t="shared" si="74"/>
        <v>4.3670344140593169</v>
      </c>
      <c r="BB119">
        <f t="shared" si="75"/>
        <v>90</v>
      </c>
      <c r="BC119">
        <f t="shared" si="56"/>
        <v>54</v>
      </c>
      <c r="BD119">
        <f t="shared" si="76"/>
        <v>0</v>
      </c>
      <c r="BE119">
        <f t="shared" si="57"/>
        <v>24</v>
      </c>
      <c r="BF119">
        <f t="shared" si="91"/>
        <v>5000</v>
      </c>
      <c r="BU119"/>
      <c r="FD119"/>
      <c r="FE119"/>
    </row>
    <row r="120" spans="1:161" x14ac:dyDescent="0.25">
      <c r="A120" s="7">
        <f t="shared" si="77"/>
        <v>46752</v>
      </c>
      <c r="B120">
        <f t="shared" si="58"/>
        <v>109</v>
      </c>
      <c r="C120">
        <f t="shared" si="59"/>
        <v>9</v>
      </c>
      <c r="D120">
        <f t="shared" si="60"/>
        <v>1</v>
      </c>
      <c r="E120">
        <f t="shared" si="61"/>
        <v>61</v>
      </c>
      <c r="F120">
        <f>IF(C120&gt;=$T$2,0,VLOOKUP($E120,EKM_F05!$A$3:$C$128,2,TRUE))</f>
        <v>8.2965384615384611E-3</v>
      </c>
      <c r="G120">
        <f>F120*'Real assumptions'!$B$3</f>
        <v>3.4621455E-3</v>
      </c>
      <c r="H120">
        <f t="shared" si="78"/>
        <v>2.8897095607283152E-4</v>
      </c>
      <c r="I120">
        <f t="shared" si="79"/>
        <v>1.6129088485860679E-4</v>
      </c>
      <c r="J120">
        <f>IF(B120&gt;$AJ$2,0,HLOOKUP(C120,'Real assumptions'!$B$5:$L$8,4,TRUE))</f>
        <v>3.7900000000000003E-2</v>
      </c>
      <c r="K120">
        <f t="shared" si="48"/>
        <v>1</v>
      </c>
      <c r="L120">
        <f t="shared" si="80"/>
        <v>8.3333333333333329E-2</v>
      </c>
      <c r="M120">
        <f t="shared" si="81"/>
        <v>3.2145624959929453E-3</v>
      </c>
      <c r="N120">
        <f t="shared" si="82"/>
        <v>1.7968562905065653E-3</v>
      </c>
      <c r="O120" s="8">
        <f t="shared" si="62"/>
        <v>0.55709645198191138</v>
      </c>
      <c r="P120">
        <f t="shared" si="63"/>
        <v>13.417310379774637</v>
      </c>
      <c r="Q120">
        <f t="shared" si="83"/>
        <v>0.80645442429303393</v>
      </c>
      <c r="R120" s="89">
        <f t="shared" si="49"/>
        <v>5000</v>
      </c>
      <c r="S120">
        <f t="shared" si="50"/>
        <v>0.91666666666666607</v>
      </c>
      <c r="U120">
        <f>O119*AV119*'Real assumptions'!$B$33/12+AX120*'Real assumptions'!$B$34</f>
        <v>6.2594312112288195</v>
      </c>
      <c r="V120">
        <f>IF(P120=0,0,IF(E120&lt;=$C$7,$AN$5*O119,0))*'Real assumptions'!$D$28</f>
        <v>3.3543275949436593</v>
      </c>
      <c r="X120" s="94">
        <f t="shared" si="64"/>
        <v>0</v>
      </c>
      <c r="Y120">
        <f t="shared" si="51"/>
        <v>24</v>
      </c>
      <c r="Z120">
        <f t="shared" si="84"/>
        <v>90</v>
      </c>
      <c r="AA120">
        <f t="shared" si="52"/>
        <v>89.916666666666671</v>
      </c>
      <c r="AB120">
        <f t="shared" si="65"/>
        <v>50.505050505050505</v>
      </c>
      <c r="AC120">
        <f t="shared" si="85"/>
        <v>4541.2457912457912</v>
      </c>
      <c r="AD120">
        <f t="shared" si="66"/>
        <v>80.505050505050505</v>
      </c>
      <c r="AE120">
        <f t="shared" si="67"/>
        <v>361.93728956228955</v>
      </c>
      <c r="AF120" s="94">
        <f t="shared" si="68"/>
        <v>96.816919191919226</v>
      </c>
      <c r="AG120">
        <f t="shared" si="86"/>
        <v>0.17396609027746587</v>
      </c>
      <c r="AH120">
        <f t="shared" si="69"/>
        <v>53.936362173637626</v>
      </c>
      <c r="AI120">
        <f>HLOOKUP(AW120,'Real assumptions'!$A$21:$AK$24,2,TRUE)</f>
        <v>1.7271000000000001</v>
      </c>
      <c r="AJ120" s="123">
        <f t="shared" si="87"/>
        <v>1.427981227236641E-3</v>
      </c>
      <c r="AK120" s="122">
        <f>(1+HLOOKUP(YEAR(A120),'Real assumptions'!$A$21:$AK$24,2,TRUE)/100)^(1/12)-1</f>
        <v>1.427981227236641E-3</v>
      </c>
      <c r="AL120">
        <f t="shared" si="88"/>
        <v>6.2594312112288195</v>
      </c>
      <c r="AM120">
        <f>('Real assumptions'!$B$33/12)*O119*AV119</f>
        <v>6.2453952068332228</v>
      </c>
      <c r="AN120">
        <f t="shared" si="70"/>
        <v>56.041569904348563</v>
      </c>
      <c r="AO120">
        <f t="shared" si="92"/>
        <v>8.0026309768279666E-2</v>
      </c>
      <c r="AP120" s="121">
        <f t="shared" si="71"/>
        <v>0</v>
      </c>
      <c r="AQ120">
        <f t="shared" si="72"/>
        <v>0</v>
      </c>
      <c r="AR120">
        <v>0</v>
      </c>
      <c r="AS120">
        <f t="shared" si="53"/>
        <v>0</v>
      </c>
      <c r="AT120">
        <f t="shared" si="73"/>
        <v>0</v>
      </c>
      <c r="AU120">
        <f>IFERROR(HLOOKUP(B120,'Real assumptions'!$B$43:$AL$44,2,TRUE)*($W$3/$U$2),0)</f>
        <v>0</v>
      </c>
      <c r="AV120">
        <f>AV119*(1+'Real assumptions'!$B$35)^(1/12)</f>
        <v>1.1182921774461794</v>
      </c>
      <c r="AW120">
        <f t="shared" si="54"/>
        <v>2027</v>
      </c>
      <c r="AX120">
        <f t="shared" si="89"/>
        <v>51.236614132929347</v>
      </c>
      <c r="AY120">
        <f t="shared" si="90"/>
        <v>2.3529233971265846</v>
      </c>
      <c r="AZ120">
        <f t="shared" si="55"/>
        <v>351.54367775145704</v>
      </c>
      <c r="BA120">
        <f t="shared" si="74"/>
        <v>4.3347481095141589</v>
      </c>
      <c r="BB120">
        <f t="shared" si="75"/>
        <v>89.916666666666671</v>
      </c>
      <c r="BC120">
        <f t="shared" si="56"/>
        <v>53.95</v>
      </c>
      <c r="BD120">
        <f t="shared" si="76"/>
        <v>0</v>
      </c>
      <c r="BE120">
        <f t="shared" si="57"/>
        <v>24</v>
      </c>
      <c r="BF120">
        <f t="shared" si="91"/>
        <v>5000</v>
      </c>
      <c r="BU120"/>
      <c r="FD120"/>
      <c r="FE120"/>
    </row>
    <row r="121" spans="1:161" x14ac:dyDescent="0.25">
      <c r="A121" s="7">
        <f t="shared" si="77"/>
        <v>46783</v>
      </c>
      <c r="B121">
        <f t="shared" si="58"/>
        <v>110</v>
      </c>
      <c r="C121">
        <f t="shared" si="59"/>
        <v>9.0833333333333339</v>
      </c>
      <c r="D121">
        <f t="shared" si="60"/>
        <v>0</v>
      </c>
      <c r="E121">
        <f t="shared" si="61"/>
        <v>61</v>
      </c>
      <c r="F121">
        <f>IF(C121&gt;=$T$2,0,VLOOKUP($E121,EKM_F05!$A$3:$C$128,2,TRUE))</f>
        <v>8.2965384615384611E-3</v>
      </c>
      <c r="G121">
        <f>F121*'Real assumptions'!$B$3</f>
        <v>3.4621455E-3</v>
      </c>
      <c r="H121">
        <f t="shared" si="78"/>
        <v>2.8897095607283152E-4</v>
      </c>
      <c r="I121">
        <f t="shared" si="79"/>
        <v>1.6072594667354559E-4</v>
      </c>
      <c r="J121">
        <f>IF(B121&gt;$AJ$2,0,HLOOKUP(C121,'Real assumptions'!$B$5:$L$8,4,TRUE))</f>
        <v>3.7900000000000003E-2</v>
      </c>
      <c r="K121">
        <f t="shared" si="48"/>
        <v>1</v>
      </c>
      <c r="L121">
        <f t="shared" si="80"/>
        <v>8.3333333333333329E-2</v>
      </c>
      <c r="M121">
        <f t="shared" si="81"/>
        <v>3.2145624959929453E-3</v>
      </c>
      <c r="N121">
        <f t="shared" si="82"/>
        <v>1.7905626135113373E-3</v>
      </c>
      <c r="O121" s="8">
        <f t="shared" si="62"/>
        <v>0.5551451634217266</v>
      </c>
      <c r="P121">
        <f t="shared" si="63"/>
        <v>13.370314847565872</v>
      </c>
      <c r="Q121">
        <f t="shared" si="83"/>
        <v>0.80362973336772792</v>
      </c>
      <c r="R121" s="89">
        <f t="shared" si="49"/>
        <v>5000</v>
      </c>
      <c r="S121">
        <f t="shared" si="50"/>
        <v>0.83333333333333393</v>
      </c>
      <c r="U121">
        <f>O120*AV120*'Real assumptions'!$B$33/12+AX121*'Real assumptions'!$B$34</f>
        <v>6.2444682610843145</v>
      </c>
      <c r="V121">
        <f>IF(P121=0,0,IF(E121&lt;=$C$7,$AN$5*O120,0))*'Real assumptions'!$D$28</f>
        <v>3.342578711891468</v>
      </c>
      <c r="X121" s="94">
        <f t="shared" si="64"/>
        <v>0</v>
      </c>
      <c r="Y121">
        <f t="shared" si="51"/>
        <v>24</v>
      </c>
      <c r="Z121">
        <f t="shared" si="84"/>
        <v>89</v>
      </c>
      <c r="AA121">
        <f t="shared" si="52"/>
        <v>89.833333333333329</v>
      </c>
      <c r="AB121">
        <f t="shared" si="65"/>
        <v>50.505050505050505</v>
      </c>
      <c r="AC121">
        <f t="shared" si="85"/>
        <v>4537.0370370370365</v>
      </c>
      <c r="AD121">
        <f t="shared" si="66"/>
        <v>80.505050505050505</v>
      </c>
      <c r="AE121">
        <f t="shared" si="67"/>
        <v>361.60185185185179</v>
      </c>
      <c r="AF121" s="94">
        <f t="shared" si="68"/>
        <v>101.36111111111171</v>
      </c>
      <c r="AG121">
        <f t="shared" si="86"/>
        <v>0.18149341601952523</v>
      </c>
      <c r="AH121">
        <f t="shared" si="69"/>
        <v>56.270130592385897</v>
      </c>
      <c r="AI121">
        <f>HLOOKUP(AW121,'Real assumptions'!$A$21:$AK$24,2,TRUE)</f>
        <v>1.8131999999999999</v>
      </c>
      <c r="AJ121" s="123">
        <f t="shared" si="87"/>
        <v>1.4985864045602426E-3</v>
      </c>
      <c r="AK121" s="122">
        <f>(1+HLOOKUP(YEAR(A121),'Real assumptions'!$A$21:$AK$24,2,TRUE)/100)^(1/12)-1</f>
        <v>1.4985864045602426E-3</v>
      </c>
      <c r="AL121">
        <f t="shared" si="88"/>
        <v>6.2444682610843145</v>
      </c>
      <c r="AM121">
        <f>('Real assumptions'!$B$33/12)*O120*AV120</f>
        <v>6.2299660433439259</v>
      </c>
      <c r="AN121">
        <f t="shared" si="70"/>
        <v>57.719630048227714</v>
      </c>
      <c r="AO121">
        <f t="shared" si="92"/>
        <v>8.6497852866520911E-2</v>
      </c>
      <c r="AP121" s="121">
        <f t="shared" si="71"/>
        <v>8.6497852866520911E-2</v>
      </c>
      <c r="AQ121">
        <f t="shared" si="72"/>
        <v>0</v>
      </c>
      <c r="AR121">
        <v>0</v>
      </c>
      <c r="AS121">
        <f t="shared" si="53"/>
        <v>0</v>
      </c>
      <c r="AT121">
        <f t="shared" si="73"/>
        <v>0</v>
      </c>
      <c r="AU121">
        <f>IFERROR(HLOOKUP(B121,'Real assumptions'!$B$43:$AL$44,2,TRUE)*($W$3/$U$2),0)</f>
        <v>0</v>
      </c>
      <c r="AV121">
        <f>AV120*(1+'Real assumptions'!$B$35)^(1/12)</f>
        <v>1.1194504441122377</v>
      </c>
      <c r="AW121">
        <f t="shared" si="54"/>
        <v>2028</v>
      </c>
      <c r="AX121">
        <f t="shared" si="89"/>
        <v>52.93846549870706</v>
      </c>
      <c r="AY121">
        <f t="shared" si="90"/>
        <v>2.3446820369609065</v>
      </c>
      <c r="AZ121">
        <f t="shared" si="55"/>
        <v>354.86864105274731</v>
      </c>
      <c r="BA121">
        <f t="shared" si="74"/>
        <v>4.3277018612787215</v>
      </c>
      <c r="BB121">
        <f t="shared" si="75"/>
        <v>89.833333333333329</v>
      </c>
      <c r="BC121">
        <f t="shared" si="56"/>
        <v>53.899999999999991</v>
      </c>
      <c r="BD121">
        <f t="shared" si="76"/>
        <v>0</v>
      </c>
      <c r="BE121">
        <f t="shared" si="57"/>
        <v>24</v>
      </c>
      <c r="BF121">
        <f t="shared" si="91"/>
        <v>5000</v>
      </c>
      <c r="BU121"/>
      <c r="FD121"/>
      <c r="FE121"/>
    </row>
    <row r="122" spans="1:161" x14ac:dyDescent="0.25">
      <c r="A122" s="7">
        <f t="shared" si="77"/>
        <v>46812</v>
      </c>
      <c r="B122">
        <f t="shared" si="58"/>
        <v>111</v>
      </c>
      <c r="C122">
        <f t="shared" si="59"/>
        <v>9.1666666666666661</v>
      </c>
      <c r="D122">
        <f t="shared" si="60"/>
        <v>0</v>
      </c>
      <c r="E122">
        <f t="shared" si="61"/>
        <v>61</v>
      </c>
      <c r="F122">
        <f>IF(C122&gt;=$T$2,0,VLOOKUP($E122,EKM_F05!$A$3:$C$128,2,TRUE))</f>
        <v>8.2965384615384611E-3</v>
      </c>
      <c r="G122">
        <f>F122*'Real assumptions'!$B$3</f>
        <v>3.4621455E-3</v>
      </c>
      <c r="H122">
        <f t="shared" si="78"/>
        <v>2.8897095607283152E-4</v>
      </c>
      <c r="I122">
        <f t="shared" si="79"/>
        <v>1.6016298724353444E-4</v>
      </c>
      <c r="J122">
        <f>IF(B122&gt;$AJ$2,0,HLOOKUP(C122,'Real assumptions'!$B$5:$L$8,4,TRUE))</f>
        <v>3.7900000000000003E-2</v>
      </c>
      <c r="K122">
        <f t="shared" si="48"/>
        <v>1</v>
      </c>
      <c r="L122">
        <f t="shared" si="80"/>
        <v>8.3333333333333329E-2</v>
      </c>
      <c r="M122">
        <f t="shared" si="81"/>
        <v>3.2145624959929453E-3</v>
      </c>
      <c r="N122">
        <f t="shared" si="82"/>
        <v>1.7842909807777069E-3</v>
      </c>
      <c r="O122" s="8">
        <f t="shared" si="62"/>
        <v>0.55320070945370536</v>
      </c>
      <c r="P122">
        <f t="shared" si="63"/>
        <v>13.323483922121438</v>
      </c>
      <c r="Q122">
        <f t="shared" si="83"/>
        <v>0.80081493621767219</v>
      </c>
      <c r="R122" s="89">
        <f t="shared" si="49"/>
        <v>5000</v>
      </c>
      <c r="S122">
        <f t="shared" si="50"/>
        <v>0.75</v>
      </c>
      <c r="U122">
        <f>O121*AV121*'Real assumptions'!$B$33/12+AX122*'Real assumptions'!$B$34</f>
        <v>6.2297411920125336</v>
      </c>
      <c r="V122">
        <f>IF(P122=0,0,IF(E122&lt;=$C$7,$AN$5*O121,0))*'Real assumptions'!$D$28</f>
        <v>3.3308709805303596</v>
      </c>
      <c r="X122" s="94">
        <f t="shared" si="64"/>
        <v>0</v>
      </c>
      <c r="Y122">
        <f t="shared" si="51"/>
        <v>24</v>
      </c>
      <c r="Z122">
        <f t="shared" si="84"/>
        <v>89</v>
      </c>
      <c r="AA122">
        <f t="shared" si="52"/>
        <v>89.75</v>
      </c>
      <c r="AB122">
        <f t="shared" si="65"/>
        <v>50.505050505050505</v>
      </c>
      <c r="AC122">
        <f t="shared" si="85"/>
        <v>4532.8282828282827</v>
      </c>
      <c r="AD122">
        <f t="shared" si="66"/>
        <v>80.505050505050505</v>
      </c>
      <c r="AE122">
        <f t="shared" si="67"/>
        <v>361.26641414141415</v>
      </c>
      <c r="AF122" s="94">
        <f t="shared" si="68"/>
        <v>105.90530303030317</v>
      </c>
      <c r="AG122">
        <f t="shared" si="86"/>
        <v>0.1889658770134999</v>
      </c>
      <c r="AH122">
        <f t="shared" si="69"/>
        <v>58.586888771273365</v>
      </c>
      <c r="AI122">
        <f>HLOOKUP(AW122,'Real assumptions'!$A$21:$AK$24,2,TRUE)</f>
        <v>1.8131999999999999</v>
      </c>
      <c r="AJ122" s="123">
        <f t="shared" si="87"/>
        <v>1.4985864045602426E-3</v>
      </c>
      <c r="AK122" s="122">
        <f>(1+HLOOKUP(YEAR(A122),'Real assumptions'!$A$21:$AK$24,2,TRUE)/100)^(1/12)-1</f>
        <v>1.4985864045602426E-3</v>
      </c>
      <c r="AL122">
        <f t="shared" si="88"/>
        <v>6.2297411920125336</v>
      </c>
      <c r="AM122">
        <f>('Real assumptions'!$B$33/12)*O121*AV121</f>
        <v>6.214574997392126</v>
      </c>
      <c r="AN122">
        <f t="shared" si="70"/>
        <v>60.119500194830955</v>
      </c>
      <c r="AO122">
        <f t="shared" si="92"/>
        <v>9.0094265640930524E-2</v>
      </c>
      <c r="AP122" s="121">
        <f t="shared" si="71"/>
        <v>0.17659211850745143</v>
      </c>
      <c r="AQ122">
        <f t="shared" si="72"/>
        <v>0</v>
      </c>
      <c r="AR122">
        <v>0</v>
      </c>
      <c r="AS122">
        <f t="shared" si="53"/>
        <v>0</v>
      </c>
      <c r="AT122">
        <f t="shared" si="73"/>
        <v>0</v>
      </c>
      <c r="AU122">
        <f>IFERROR(HLOOKUP(B122,'Real assumptions'!$B$43:$AL$44,2,TRUE)*($W$3/$U$2),0)</f>
        <v>0</v>
      </c>
      <c r="AV122">
        <f>AV121*(1+'Real assumptions'!$B$35)^(1/12)</f>
        <v>1.1206099104483793</v>
      </c>
      <c r="AW122">
        <f t="shared" si="54"/>
        <v>2028</v>
      </c>
      <c r="AX122">
        <f t="shared" si="89"/>
        <v>55.362227007742796</v>
      </c>
      <c r="AY122">
        <f t="shared" si="90"/>
        <v>2.3364695430207347</v>
      </c>
      <c r="AZ122">
        <f t="shared" si="55"/>
        <v>358.17353330998111</v>
      </c>
      <c r="BA122">
        <f t="shared" si="74"/>
        <v>4.3206517937615319</v>
      </c>
      <c r="BB122">
        <f t="shared" si="75"/>
        <v>89.75</v>
      </c>
      <c r="BC122">
        <f t="shared" si="56"/>
        <v>53.849999999999994</v>
      </c>
      <c r="BD122">
        <f t="shared" si="76"/>
        <v>0</v>
      </c>
      <c r="BE122">
        <f t="shared" si="57"/>
        <v>24</v>
      </c>
      <c r="BF122">
        <f t="shared" si="91"/>
        <v>5000</v>
      </c>
      <c r="BU122"/>
      <c r="FD122"/>
      <c r="FE122"/>
    </row>
    <row r="123" spans="1:161" x14ac:dyDescent="0.25">
      <c r="A123" s="7">
        <f t="shared" si="77"/>
        <v>46843</v>
      </c>
      <c r="B123">
        <f t="shared" si="58"/>
        <v>112</v>
      </c>
      <c r="C123">
        <f t="shared" si="59"/>
        <v>9.25</v>
      </c>
      <c r="D123">
        <f t="shared" si="60"/>
        <v>0</v>
      </c>
      <c r="E123">
        <f t="shared" si="61"/>
        <v>61</v>
      </c>
      <c r="F123">
        <f>IF(C123&gt;=$T$2,0,VLOOKUP($E123,EKM_F05!$A$3:$C$128,2,TRUE))</f>
        <v>8.2965384615384611E-3</v>
      </c>
      <c r="G123">
        <f>F123*'Real assumptions'!$B$3</f>
        <v>3.4621455E-3</v>
      </c>
      <c r="H123">
        <f t="shared" si="78"/>
        <v>2.8897095607283152E-4</v>
      </c>
      <c r="I123">
        <f t="shared" si="79"/>
        <v>1.5960199963777693E-4</v>
      </c>
      <c r="J123">
        <f>IF(B123&gt;$AJ$2,0,HLOOKUP(C123,'Real assumptions'!$B$5:$L$8,4,TRUE))</f>
        <v>3.7900000000000003E-2</v>
      </c>
      <c r="K123">
        <f t="shared" si="48"/>
        <v>1</v>
      </c>
      <c r="L123">
        <f t="shared" si="80"/>
        <v>8.3333333333333329E-2</v>
      </c>
      <c r="M123">
        <f t="shared" si="81"/>
        <v>3.2145624959929453E-3</v>
      </c>
      <c r="N123">
        <f t="shared" si="82"/>
        <v>1.7780413150933422E-3</v>
      </c>
      <c r="O123" s="8">
        <f t="shared" si="62"/>
        <v>0.55126306613897424</v>
      </c>
      <c r="P123">
        <f t="shared" si="63"/>
        <v>13.276817026888928</v>
      </c>
      <c r="Q123">
        <f t="shared" si="83"/>
        <v>0.79800999818888463</v>
      </c>
      <c r="R123" s="89">
        <f t="shared" si="49"/>
        <v>5000</v>
      </c>
      <c r="S123">
        <f t="shared" si="50"/>
        <v>0.66666666666666607</v>
      </c>
      <c r="U123">
        <f>O122*AV122*'Real assumptions'!$B$33/12+AX123*'Real assumptions'!$B$34</f>
        <v>6.215048468307363</v>
      </c>
      <c r="V123">
        <f>IF(P123=0,0,IF(E123&lt;=$C$7,$AN$5*O122,0))*'Real assumptions'!$D$28</f>
        <v>3.319204256722232</v>
      </c>
      <c r="X123" s="94">
        <f t="shared" si="64"/>
        <v>0</v>
      </c>
      <c r="Y123">
        <f t="shared" si="51"/>
        <v>24</v>
      </c>
      <c r="Z123">
        <f t="shared" si="84"/>
        <v>89</v>
      </c>
      <c r="AA123">
        <f t="shared" si="52"/>
        <v>89.666666666666671</v>
      </c>
      <c r="AB123">
        <f t="shared" si="65"/>
        <v>50.505050505050505</v>
      </c>
      <c r="AC123">
        <f t="shared" si="85"/>
        <v>4528.6195286195289</v>
      </c>
      <c r="AD123">
        <f t="shared" si="66"/>
        <v>80.505050505050505</v>
      </c>
      <c r="AE123">
        <f t="shared" si="67"/>
        <v>360.93097643097644</v>
      </c>
      <c r="AF123" s="94">
        <f t="shared" si="68"/>
        <v>110.44949494949469</v>
      </c>
      <c r="AG123">
        <f t="shared" si="86"/>
        <v>0.196383765251395</v>
      </c>
      <c r="AH123">
        <f t="shared" si="69"/>
        <v>60.886727239359594</v>
      </c>
      <c r="AI123">
        <f>HLOOKUP(AW123,'Real assumptions'!$A$21:$AK$24,2,TRUE)</f>
        <v>1.8131999999999999</v>
      </c>
      <c r="AJ123" s="123">
        <f t="shared" si="87"/>
        <v>1.4985864045602426E-3</v>
      </c>
      <c r="AK123" s="122">
        <f>(1+HLOOKUP(YEAR(A123),'Real assumptions'!$A$21:$AK$24,2,TRUE)/100)^(1/12)-1</f>
        <v>1.4985864045602426E-3</v>
      </c>
      <c r="AL123">
        <f t="shared" si="88"/>
        <v>6.215048468307363</v>
      </c>
      <c r="AM123">
        <f>('Real assumptions'!$B$33/12)*O122*AV122</f>
        <v>6.1992219748089674</v>
      </c>
      <c r="AN123">
        <f t="shared" si="70"/>
        <v>62.506045191640148</v>
      </c>
      <c r="AO123">
        <f t="shared" si="92"/>
        <v>9.3670709527020043E-2</v>
      </c>
      <c r="AP123" s="121">
        <f t="shared" si="71"/>
        <v>0.27026282803447149</v>
      </c>
      <c r="AQ123">
        <f t="shared" si="72"/>
        <v>0</v>
      </c>
      <c r="AR123">
        <v>0</v>
      </c>
      <c r="AS123">
        <f t="shared" si="53"/>
        <v>0</v>
      </c>
      <c r="AT123">
        <f t="shared" si="73"/>
        <v>0</v>
      </c>
      <c r="AU123">
        <f>IFERROR(HLOOKUP(B123,'Real assumptions'!$B$43:$AL$44,2,TRUE)*($W$3/$U$2),0)</f>
        <v>0</v>
      </c>
      <c r="AV123">
        <f>AV122*(1+'Real assumptions'!$B$35)^(1/12)</f>
        <v>1.1217705776971578</v>
      </c>
      <c r="AW123">
        <f t="shared" si="54"/>
        <v>2028</v>
      </c>
      <c r="AX123">
        <f t="shared" si="89"/>
        <v>57.772562447257684</v>
      </c>
      <c r="AY123">
        <f t="shared" si="90"/>
        <v>2.3282858141990963</v>
      </c>
      <c r="AZ123">
        <f t="shared" si="55"/>
        <v>361.45845783589181</v>
      </c>
      <c r="BA123">
        <f t="shared" si="74"/>
        <v>4.3135980201625115</v>
      </c>
      <c r="BB123">
        <f t="shared" si="75"/>
        <v>89.666666666666671</v>
      </c>
      <c r="BC123">
        <f t="shared" si="56"/>
        <v>53.8</v>
      </c>
      <c r="BD123">
        <f t="shared" si="76"/>
        <v>0</v>
      </c>
      <c r="BE123">
        <f t="shared" si="57"/>
        <v>24</v>
      </c>
      <c r="BF123">
        <f t="shared" si="91"/>
        <v>5000</v>
      </c>
      <c r="BU123"/>
      <c r="FD123"/>
      <c r="FE123"/>
    </row>
    <row r="124" spans="1:161" x14ac:dyDescent="0.25">
      <c r="A124" s="7">
        <f t="shared" si="77"/>
        <v>46873</v>
      </c>
      <c r="B124">
        <f t="shared" si="58"/>
        <v>113</v>
      </c>
      <c r="C124">
        <f t="shared" si="59"/>
        <v>9.3333333333333339</v>
      </c>
      <c r="D124">
        <f t="shared" si="60"/>
        <v>0</v>
      </c>
      <c r="E124">
        <f t="shared" si="61"/>
        <v>61</v>
      </c>
      <c r="F124">
        <f>IF(C124&gt;=$T$2,0,VLOOKUP($E124,EKM_F05!$A$3:$C$128,2,TRUE))</f>
        <v>8.2965384615384611E-3</v>
      </c>
      <c r="G124">
        <f>F124*'Real assumptions'!$B$3</f>
        <v>3.4621455E-3</v>
      </c>
      <c r="H124">
        <f t="shared" si="78"/>
        <v>2.8897095607283152E-4</v>
      </c>
      <c r="I124">
        <f t="shared" si="79"/>
        <v>1.5904297694975246E-4</v>
      </c>
      <c r="J124">
        <f>IF(B124&gt;$AJ$2,0,HLOOKUP(C124,'Real assumptions'!$B$5:$L$8,4,TRUE))</f>
        <v>3.7900000000000003E-2</v>
      </c>
      <c r="K124">
        <f t="shared" si="48"/>
        <v>1</v>
      </c>
      <c r="L124">
        <f t="shared" si="80"/>
        <v>8.3333333333333329E-2</v>
      </c>
      <c r="M124">
        <f t="shared" si="81"/>
        <v>3.2145624959929453E-3</v>
      </c>
      <c r="N124">
        <f t="shared" si="82"/>
        <v>1.7718135395163579E-3</v>
      </c>
      <c r="O124" s="8">
        <f t="shared" si="62"/>
        <v>0.54933220962250806</v>
      </c>
      <c r="P124">
        <f t="shared" si="63"/>
        <v>13.230313587335381</v>
      </c>
      <c r="Q124">
        <f t="shared" si="83"/>
        <v>0.79521488474876234</v>
      </c>
      <c r="R124" s="89">
        <f t="shared" si="49"/>
        <v>5000</v>
      </c>
      <c r="S124">
        <f t="shared" si="50"/>
        <v>0.58333333333333393</v>
      </c>
      <c r="U124">
        <f>O123*AV123*'Real assumptions'!$B$33/12+AX124*'Real assumptions'!$B$34</f>
        <v>6.2003900153739284</v>
      </c>
      <c r="V124">
        <f>IF(P124=0,0,IF(E124&lt;=$C$7,$AN$5*O123,0))*'Real assumptions'!$D$28</f>
        <v>3.3075783968338452</v>
      </c>
      <c r="X124" s="94">
        <f t="shared" si="64"/>
        <v>0</v>
      </c>
      <c r="Y124">
        <f t="shared" si="51"/>
        <v>24</v>
      </c>
      <c r="Z124">
        <f t="shared" si="84"/>
        <v>89</v>
      </c>
      <c r="AA124">
        <f t="shared" si="52"/>
        <v>89.583333333333329</v>
      </c>
      <c r="AB124">
        <f t="shared" si="65"/>
        <v>50.505050505050505</v>
      </c>
      <c r="AC124">
        <f t="shared" si="85"/>
        <v>4524.4107744107741</v>
      </c>
      <c r="AD124">
        <f t="shared" si="66"/>
        <v>80.505050505050505</v>
      </c>
      <c r="AE124">
        <f t="shared" si="67"/>
        <v>360.59553872053868</v>
      </c>
      <c r="AF124" s="94">
        <f t="shared" si="68"/>
        <v>114.99368686868718</v>
      </c>
      <c r="AG124">
        <f t="shared" si="86"/>
        <v>0.20374737135284435</v>
      </c>
      <c r="AH124">
        <f t="shared" si="69"/>
        <v>63.16973610021472</v>
      </c>
      <c r="AI124">
        <f>HLOOKUP(AW124,'Real assumptions'!$A$21:$AK$24,2,TRUE)</f>
        <v>1.8131999999999999</v>
      </c>
      <c r="AJ124" s="123">
        <f t="shared" si="87"/>
        <v>1.4985864045602426E-3</v>
      </c>
      <c r="AK124" s="122">
        <f>(1+HLOOKUP(YEAR(A124),'Real assumptions'!$A$21:$AK$24,2,TRUE)/100)^(1/12)-1</f>
        <v>1.4985864045602426E-3</v>
      </c>
      <c r="AL124">
        <f t="shared" si="88"/>
        <v>6.2003900153739284</v>
      </c>
      <c r="AM124">
        <f>('Real assumptions'!$B$33/12)*O123*AV123</f>
        <v>6.1839068816582365</v>
      </c>
      <c r="AN124">
        <f t="shared" si="70"/>
        <v>64.879335242521677</v>
      </c>
      <c r="AO124">
        <f t="shared" si="92"/>
        <v>9.7227289731349198E-2</v>
      </c>
      <c r="AP124" s="121">
        <f t="shared" si="71"/>
        <v>0.36749011776582069</v>
      </c>
      <c r="AQ124">
        <f t="shared" si="72"/>
        <v>0</v>
      </c>
      <c r="AR124">
        <v>0</v>
      </c>
      <c r="AS124">
        <f t="shared" si="53"/>
        <v>0</v>
      </c>
      <c r="AT124">
        <f t="shared" si="73"/>
        <v>0</v>
      </c>
      <c r="AU124">
        <f>IFERROR(HLOOKUP(B124,'Real assumptions'!$B$43:$AL$44,2,TRUE)*($W$3/$U$2),0)</f>
        <v>0</v>
      </c>
      <c r="AV124">
        <f>AV123*(1+'Real assumptions'!$B$35)^(1/12)</f>
        <v>1.1229324471024136</v>
      </c>
      <c r="AW124">
        <f t="shared" si="54"/>
        <v>2028</v>
      </c>
      <c r="AX124">
        <f t="shared" si="89"/>
        <v>60.169542420303372</v>
      </c>
      <c r="AY124">
        <f t="shared" si="90"/>
        <v>2.3201307497431576</v>
      </c>
      <c r="AZ124">
        <f t="shared" si="55"/>
        <v>364.72351748564398</v>
      </c>
      <c r="BA124">
        <f t="shared" si="74"/>
        <v>4.3065406529354515</v>
      </c>
      <c r="BB124">
        <f t="shared" si="75"/>
        <v>89.583333333333329</v>
      </c>
      <c r="BC124">
        <f t="shared" si="56"/>
        <v>53.75</v>
      </c>
      <c r="BD124">
        <f t="shared" si="76"/>
        <v>0</v>
      </c>
      <c r="BE124">
        <f t="shared" si="57"/>
        <v>24</v>
      </c>
      <c r="BF124">
        <f t="shared" si="91"/>
        <v>5000</v>
      </c>
      <c r="BU124"/>
      <c r="FD124"/>
      <c r="FE124"/>
    </row>
    <row r="125" spans="1:161" x14ac:dyDescent="0.25">
      <c r="A125" s="7">
        <f t="shared" si="77"/>
        <v>46904</v>
      </c>
      <c r="B125">
        <f t="shared" si="58"/>
        <v>114</v>
      </c>
      <c r="C125">
        <f t="shared" si="59"/>
        <v>9.4166666666666661</v>
      </c>
      <c r="D125">
        <f t="shared" si="60"/>
        <v>0</v>
      </c>
      <c r="E125">
        <f t="shared" si="61"/>
        <v>61</v>
      </c>
      <c r="F125">
        <f>IF(C125&gt;=$T$2,0,VLOOKUP($E125,EKM_F05!$A$3:$C$128,2,TRUE))</f>
        <v>8.2965384615384611E-3</v>
      </c>
      <c r="G125">
        <f>F125*'Real assumptions'!$B$3</f>
        <v>3.4621455E-3</v>
      </c>
      <c r="H125">
        <f t="shared" si="78"/>
        <v>2.8897095607283152E-4</v>
      </c>
      <c r="I125">
        <f t="shared" si="79"/>
        <v>1.5848591229713124E-4</v>
      </c>
      <c r="J125">
        <f>IF(B125&gt;$AJ$2,0,HLOOKUP(C125,'Real assumptions'!$B$5:$L$8,4,TRUE))</f>
        <v>3.7900000000000003E-2</v>
      </c>
      <c r="K125">
        <f t="shared" si="48"/>
        <v>1</v>
      </c>
      <c r="L125">
        <f t="shared" si="80"/>
        <v>8.3333333333333329E-2</v>
      </c>
      <c r="M125">
        <f t="shared" si="81"/>
        <v>3.2145624959929453E-3</v>
      </c>
      <c r="N125">
        <f t="shared" si="82"/>
        <v>1.7656075773743634E-3</v>
      </c>
      <c r="O125" s="8">
        <f t="shared" si="62"/>
        <v>0.54740811613283658</v>
      </c>
      <c r="P125">
        <f t="shared" si="63"/>
        <v>13.183973030940194</v>
      </c>
      <c r="Q125">
        <f t="shared" si="83"/>
        <v>0.79242956148565624</v>
      </c>
      <c r="R125" s="89">
        <f t="shared" si="49"/>
        <v>5000</v>
      </c>
      <c r="S125">
        <f t="shared" si="50"/>
        <v>0.5</v>
      </c>
      <c r="U125">
        <f>O124*AV124*'Real assumptions'!$B$33/12+AX125*'Real assumptions'!$B$34</f>
        <v>6.1857657587616481</v>
      </c>
      <c r="V125">
        <f>IF(P125=0,0,IF(E125&lt;=$C$7,$AN$5*O124,0))*'Real assumptions'!$D$28</f>
        <v>3.2959932577350486</v>
      </c>
      <c r="X125" s="94">
        <f t="shared" si="64"/>
        <v>0</v>
      </c>
      <c r="Y125">
        <f t="shared" si="51"/>
        <v>24</v>
      </c>
      <c r="Z125">
        <f t="shared" si="84"/>
        <v>89</v>
      </c>
      <c r="AA125">
        <f t="shared" si="52"/>
        <v>89.5</v>
      </c>
      <c r="AB125">
        <f t="shared" si="65"/>
        <v>50.505050505050505</v>
      </c>
      <c r="AC125">
        <f t="shared" si="85"/>
        <v>4520.2020202020203</v>
      </c>
      <c r="AD125">
        <f t="shared" si="66"/>
        <v>80.505050505050505</v>
      </c>
      <c r="AE125">
        <f t="shared" si="67"/>
        <v>360.26010101010098</v>
      </c>
      <c r="AF125" s="94">
        <f t="shared" si="68"/>
        <v>119.5378787878787</v>
      </c>
      <c r="AG125">
        <f t="shared" si="86"/>
        <v>0.21105698457113681</v>
      </c>
      <c r="AH125">
        <f t="shared" si="69"/>
        <v>65.436005033788049</v>
      </c>
      <c r="AI125">
        <f>HLOOKUP(AW125,'Real assumptions'!$A$21:$AK$24,2,TRUE)</f>
        <v>1.8131999999999999</v>
      </c>
      <c r="AJ125" s="123">
        <f t="shared" si="87"/>
        <v>1.4985864045602426E-3</v>
      </c>
      <c r="AK125" s="122">
        <f>(1+HLOOKUP(YEAR(A125),'Real assumptions'!$A$21:$AK$24,2,TRUE)/100)^(1/12)-1</f>
        <v>1.4985864045602426E-3</v>
      </c>
      <c r="AL125">
        <f t="shared" si="88"/>
        <v>6.1857657587616481</v>
      </c>
      <c r="AM125">
        <f>('Real assumptions'!$B$33/12)*O124*AV124</f>
        <v>6.1686296242357894</v>
      </c>
      <c r="AN125">
        <f t="shared" si="70"/>
        <v>67.239440232424045</v>
      </c>
      <c r="AO125">
        <f t="shared" si="92"/>
        <v>0.10076411098255167</v>
      </c>
      <c r="AP125" s="121">
        <f t="shared" si="71"/>
        <v>0.46825422874837236</v>
      </c>
      <c r="AQ125">
        <f t="shared" si="72"/>
        <v>0</v>
      </c>
      <c r="AR125">
        <v>0</v>
      </c>
      <c r="AS125">
        <f t="shared" si="53"/>
        <v>0</v>
      </c>
      <c r="AT125">
        <f t="shared" si="73"/>
        <v>0</v>
      </c>
      <c r="AU125">
        <f>IFERROR(HLOOKUP(B125,'Real assumptions'!$B$43:$AL$44,2,TRUE)*($W$3/$U$2),0)</f>
        <v>0</v>
      </c>
      <c r="AV125">
        <f>AV124*(1+'Real assumptions'!$B$35)^(1/12)</f>
        <v>1.1240955199092755</v>
      </c>
      <c r="AW125">
        <f t="shared" si="54"/>
        <v>2028</v>
      </c>
      <c r="AX125">
        <f t="shared" si="89"/>
        <v>62.553237209498469</v>
      </c>
      <c r="AY125">
        <f t="shared" si="90"/>
        <v>2.31200424925298</v>
      </c>
      <c r="AZ125">
        <f t="shared" si="55"/>
        <v>367.96881465875811</v>
      </c>
      <c r="BA125">
        <f t="shared" si="74"/>
        <v>4.2994798037918418</v>
      </c>
      <c r="BB125">
        <f t="shared" si="75"/>
        <v>89.5</v>
      </c>
      <c r="BC125">
        <f t="shared" si="56"/>
        <v>53.7</v>
      </c>
      <c r="BD125">
        <f t="shared" si="76"/>
        <v>0</v>
      </c>
      <c r="BE125">
        <f t="shared" si="57"/>
        <v>24</v>
      </c>
      <c r="BF125">
        <f t="shared" si="91"/>
        <v>5000</v>
      </c>
      <c r="BU125"/>
      <c r="FD125"/>
      <c r="FE125"/>
    </row>
    <row r="126" spans="1:161" x14ac:dyDescent="0.25">
      <c r="A126" s="7">
        <f t="shared" si="77"/>
        <v>46934</v>
      </c>
      <c r="B126">
        <f t="shared" si="58"/>
        <v>115</v>
      </c>
      <c r="C126">
        <f t="shared" si="59"/>
        <v>9.5</v>
      </c>
      <c r="D126">
        <f t="shared" si="60"/>
        <v>0</v>
      </c>
      <c r="E126">
        <f t="shared" si="61"/>
        <v>61</v>
      </c>
      <c r="F126">
        <f>IF(C126&gt;=$T$2,0,VLOOKUP($E126,EKM_F05!$A$3:$C$128,2,TRUE))</f>
        <v>8.2965384615384611E-3</v>
      </c>
      <c r="G126">
        <f>F126*'Real assumptions'!$B$3</f>
        <v>3.4621455E-3</v>
      </c>
      <c r="H126">
        <f t="shared" si="78"/>
        <v>2.8897095607283152E-4</v>
      </c>
      <c r="I126">
        <f t="shared" si="79"/>
        <v>1.5793079882168965E-4</v>
      </c>
      <c r="J126">
        <f>IF(B126&gt;$AJ$2,0,HLOOKUP(C126,'Real assumptions'!$B$5:$L$8,4,TRUE))</f>
        <v>3.7900000000000003E-2</v>
      </c>
      <c r="K126">
        <f t="shared" si="48"/>
        <v>1</v>
      </c>
      <c r="L126">
        <f t="shared" si="80"/>
        <v>8.3333333333333329E-2</v>
      </c>
      <c r="M126">
        <f t="shared" si="81"/>
        <v>3.2145624959929453E-3</v>
      </c>
      <c r="N126">
        <f t="shared" si="82"/>
        <v>1.7594233522635237E-3</v>
      </c>
      <c r="O126" s="8">
        <f t="shared" si="62"/>
        <v>0.54549076198175139</v>
      </c>
      <c r="P126">
        <f t="shared" si="63"/>
        <v>13.137794787188078</v>
      </c>
      <c r="Q126">
        <f t="shared" si="83"/>
        <v>0.78965399410844828</v>
      </c>
      <c r="R126" s="89">
        <f t="shared" si="49"/>
        <v>5000</v>
      </c>
      <c r="S126">
        <f t="shared" si="50"/>
        <v>0.41666666666666607</v>
      </c>
      <c r="U126">
        <f>O125*AV125*'Real assumptions'!$B$33/12+AX126*'Real assumptions'!$B$34</f>
        <v>6.1711756241640288</v>
      </c>
      <c r="V126">
        <f>IF(P126=0,0,IF(E126&lt;=$C$7,$AN$5*O125,0))*'Real assumptions'!$D$28</f>
        <v>3.2844486967970195</v>
      </c>
      <c r="X126" s="94">
        <f t="shared" si="64"/>
        <v>0</v>
      </c>
      <c r="Y126">
        <f t="shared" si="51"/>
        <v>24</v>
      </c>
      <c r="Z126">
        <f t="shared" si="84"/>
        <v>89</v>
      </c>
      <c r="AA126">
        <f t="shared" si="52"/>
        <v>89.416666666666671</v>
      </c>
      <c r="AB126">
        <f t="shared" si="65"/>
        <v>50.505050505050505</v>
      </c>
      <c r="AC126">
        <f t="shared" si="85"/>
        <v>4515.9932659932665</v>
      </c>
      <c r="AD126">
        <f t="shared" si="66"/>
        <v>80.505050505050505</v>
      </c>
      <c r="AE126">
        <f t="shared" si="67"/>
        <v>359.92466329966328</v>
      </c>
      <c r="AF126" s="94">
        <f t="shared" si="68"/>
        <v>124.08207070707022</v>
      </c>
      <c r="AG126">
        <f t="shared" si="86"/>
        <v>0.21831289279923305</v>
      </c>
      <c r="AH126">
        <f t="shared" si="69"/>
        <v>67.685623298273285</v>
      </c>
      <c r="AI126">
        <f>HLOOKUP(AW126,'Real assumptions'!$A$21:$AK$24,2,TRUE)</f>
        <v>1.8131999999999999</v>
      </c>
      <c r="AJ126" s="123">
        <f t="shared" si="87"/>
        <v>1.4985864045602426E-3</v>
      </c>
      <c r="AK126" s="122">
        <f>(1+HLOOKUP(YEAR(A126),'Real assumptions'!$A$21:$AK$24,2,TRUE)/100)^(1/12)-1</f>
        <v>1.4985864045602426E-3</v>
      </c>
      <c r="AL126">
        <f t="shared" si="88"/>
        <v>6.1711756241640288</v>
      </c>
      <c r="AM126">
        <f>('Real assumptions'!$B$33/12)*O125*AV125</f>
        <v>6.1533901090689795</v>
      </c>
      <c r="AN126">
        <f t="shared" si="70"/>
        <v>69.586429728763449</v>
      </c>
      <c r="AO126">
        <f t="shared" si="92"/>
        <v>0.1042812775334116</v>
      </c>
      <c r="AP126" s="121">
        <f t="shared" si="71"/>
        <v>0.57253550628178396</v>
      </c>
      <c r="AQ126">
        <f t="shared" si="72"/>
        <v>0</v>
      </c>
      <c r="AR126">
        <v>0</v>
      </c>
      <c r="AS126">
        <f t="shared" si="53"/>
        <v>0</v>
      </c>
      <c r="AT126">
        <f t="shared" si="73"/>
        <v>0</v>
      </c>
      <c r="AU126">
        <f>IFERROR(HLOOKUP(B126,'Real assumptions'!$B$43:$AL$44,2,TRUE)*($W$3/$U$2),0)</f>
        <v>0</v>
      </c>
      <c r="AV126">
        <f>AV125*(1+'Real assumptions'!$B$35)^(1/12)</f>
        <v>1.1252597973641618</v>
      </c>
      <c r="AW126">
        <f t="shared" si="54"/>
        <v>2028</v>
      </c>
      <c r="AX126">
        <f t="shared" si="89"/>
        <v>64.923716778419688</v>
      </c>
      <c r="AY126">
        <f t="shared" si="90"/>
        <v>2.3039062126802885</v>
      </c>
      <c r="AZ126">
        <f t="shared" si="55"/>
        <v>371.19445130102713</v>
      </c>
      <c r="BA126">
        <f t="shared" si="74"/>
        <v>4.2924155837047007</v>
      </c>
      <c r="BB126">
        <f t="shared" si="75"/>
        <v>89.416666666666671</v>
      </c>
      <c r="BC126">
        <f t="shared" si="56"/>
        <v>53.650000000000006</v>
      </c>
      <c r="BD126">
        <f t="shared" si="76"/>
        <v>0</v>
      </c>
      <c r="BE126">
        <f t="shared" si="57"/>
        <v>24</v>
      </c>
      <c r="BF126">
        <f t="shared" si="91"/>
        <v>5000</v>
      </c>
      <c r="BU126"/>
      <c r="FD126"/>
      <c r="FE126"/>
    </row>
    <row r="127" spans="1:161" x14ac:dyDescent="0.25">
      <c r="A127" s="7">
        <f t="shared" si="77"/>
        <v>46965</v>
      </c>
      <c r="B127">
        <f t="shared" si="58"/>
        <v>116</v>
      </c>
      <c r="C127">
        <f t="shared" si="59"/>
        <v>9.5833333333333339</v>
      </c>
      <c r="D127">
        <f t="shared" si="60"/>
        <v>0</v>
      </c>
      <c r="E127">
        <f t="shared" si="61"/>
        <v>61</v>
      </c>
      <c r="F127">
        <f>IF(C127&gt;=$T$2,0,VLOOKUP($E127,EKM_F05!$A$3:$C$128,2,TRUE))</f>
        <v>8.2965384615384611E-3</v>
      </c>
      <c r="G127">
        <f>F127*'Real assumptions'!$B$3</f>
        <v>3.4621455E-3</v>
      </c>
      <c r="H127">
        <f t="shared" si="78"/>
        <v>2.8897095607283152E-4</v>
      </c>
      <c r="I127">
        <f t="shared" si="79"/>
        <v>1.5737762968922564E-4</v>
      </c>
      <c r="J127">
        <f>IF(B127&gt;$AJ$2,0,HLOOKUP(C127,'Real assumptions'!$B$5:$L$8,4,TRUE))</f>
        <v>3.7900000000000003E-2</v>
      </c>
      <c r="K127">
        <f t="shared" si="48"/>
        <v>1</v>
      </c>
      <c r="L127">
        <f t="shared" si="80"/>
        <v>8.3333333333333329E-2</v>
      </c>
      <c r="M127">
        <f t="shared" si="81"/>
        <v>3.2145624959929453E-3</v>
      </c>
      <c r="N127">
        <f t="shared" si="82"/>
        <v>1.7532607880476141E-3</v>
      </c>
      <c r="O127" s="8">
        <f t="shared" si="62"/>
        <v>0.54358012356401453</v>
      </c>
      <c r="P127">
        <f t="shared" si="63"/>
        <v>13.091778287562033</v>
      </c>
      <c r="Q127">
        <f t="shared" si="83"/>
        <v>0.7868881484461282</v>
      </c>
      <c r="R127" s="89">
        <f t="shared" si="49"/>
        <v>5000</v>
      </c>
      <c r="S127">
        <f t="shared" si="50"/>
        <v>0.33333333333333393</v>
      </c>
      <c r="U127">
        <f>O126*AV126*'Real assumptions'!$B$33/12+AX127*'Real assumptions'!$B$34</f>
        <v>6.156619537418484</v>
      </c>
      <c r="V127">
        <f>IF(P127=0,0,IF(E127&lt;=$C$7,$AN$5*O126,0))*'Real assumptions'!$D$28</f>
        <v>3.2729445718905081</v>
      </c>
      <c r="X127" s="94">
        <f t="shared" si="64"/>
        <v>0</v>
      </c>
      <c r="Y127">
        <f t="shared" si="51"/>
        <v>24</v>
      </c>
      <c r="Z127">
        <f t="shared" si="84"/>
        <v>89</v>
      </c>
      <c r="AA127">
        <f t="shared" si="52"/>
        <v>89.333333333333329</v>
      </c>
      <c r="AB127">
        <f t="shared" si="65"/>
        <v>50.505050505050505</v>
      </c>
      <c r="AC127">
        <f t="shared" si="85"/>
        <v>4511.7845117845118</v>
      </c>
      <c r="AD127">
        <f t="shared" si="66"/>
        <v>80.505050505050505</v>
      </c>
      <c r="AE127">
        <f t="shared" si="67"/>
        <v>359.58922558922558</v>
      </c>
      <c r="AF127" s="94">
        <f t="shared" si="68"/>
        <v>128.62626262626264</v>
      </c>
      <c r="AG127">
        <f t="shared" si="86"/>
        <v>0.22551538257574061</v>
      </c>
      <c r="AH127">
        <f t="shared" si="69"/>
        <v>69.918679731961234</v>
      </c>
      <c r="AI127">
        <f>HLOOKUP(AW127,'Real assumptions'!$A$21:$AK$24,2,TRUE)</f>
        <v>1.8131999999999999</v>
      </c>
      <c r="AJ127" s="123">
        <f t="shared" si="87"/>
        <v>1.4985864045602426E-3</v>
      </c>
      <c r="AK127" s="122">
        <f>(1+HLOOKUP(YEAR(A127),'Real assumptions'!$A$21:$AK$24,2,TRUE)/100)^(1/12)-1</f>
        <v>1.4985864045602426E-3</v>
      </c>
      <c r="AL127">
        <f t="shared" si="88"/>
        <v>6.156619537418484</v>
      </c>
      <c r="AM127">
        <f>('Real assumptions'!$B$33/12)*O126*AV126</f>
        <v>6.1381882429160779</v>
      </c>
      <c r="AN127">
        <f t="shared" si="70"/>
        <v>71.920372982808118</v>
      </c>
      <c r="AO127">
        <f t="shared" si="92"/>
        <v>0.10777889316293802</v>
      </c>
      <c r="AP127" s="121">
        <f t="shared" si="71"/>
        <v>0.68031439944472194</v>
      </c>
      <c r="AQ127">
        <f t="shared" si="72"/>
        <v>0</v>
      </c>
      <c r="AR127">
        <v>0</v>
      </c>
      <c r="AS127">
        <f t="shared" si="53"/>
        <v>0</v>
      </c>
      <c r="AT127">
        <f t="shared" si="73"/>
        <v>0</v>
      </c>
      <c r="AU127">
        <f>IFERROR(HLOOKUP(B127,'Real assumptions'!$B$43:$AL$44,2,TRUE)*($W$3/$U$2),0)</f>
        <v>0</v>
      </c>
      <c r="AV127">
        <f>AV126*(1+'Real assumptions'!$B$35)^(1/12)</f>
        <v>1.1264252807147821</v>
      </c>
      <c r="AW127">
        <f t="shared" si="54"/>
        <v>2028</v>
      </c>
      <c r="AX127">
        <f t="shared" si="89"/>
        <v>67.28105077299179</v>
      </c>
      <c r="AY127">
        <f t="shared" si="90"/>
        <v>2.2958365403272363</v>
      </c>
      <c r="AZ127">
        <f t="shared" si="55"/>
        <v>374.40052890642619</v>
      </c>
      <c r="BA127">
        <f t="shared" si="74"/>
        <v>4.2853481029123772</v>
      </c>
      <c r="BB127">
        <f t="shared" si="75"/>
        <v>89.333333333333329</v>
      </c>
      <c r="BC127">
        <f t="shared" si="56"/>
        <v>53.599999999999994</v>
      </c>
      <c r="BD127">
        <f t="shared" si="76"/>
        <v>0</v>
      </c>
      <c r="BE127">
        <f t="shared" si="57"/>
        <v>24</v>
      </c>
      <c r="BF127">
        <f t="shared" si="91"/>
        <v>5000</v>
      </c>
      <c r="BU127"/>
      <c r="FD127"/>
      <c r="FE127"/>
    </row>
    <row r="128" spans="1:161" x14ac:dyDescent="0.25">
      <c r="A128" s="7">
        <f t="shared" si="77"/>
        <v>46996</v>
      </c>
      <c r="B128">
        <f t="shared" si="58"/>
        <v>117</v>
      </c>
      <c r="C128">
        <f t="shared" si="59"/>
        <v>9.6666666666666661</v>
      </c>
      <c r="D128">
        <f t="shared" si="60"/>
        <v>0</v>
      </c>
      <c r="E128">
        <f t="shared" si="61"/>
        <v>61</v>
      </c>
      <c r="F128">
        <f>IF(C128&gt;=$T$2,0,VLOOKUP($E128,EKM_F05!$A$3:$C$128,2,TRUE))</f>
        <v>8.2965384615384611E-3</v>
      </c>
      <c r="G128">
        <f>F128*'Real assumptions'!$B$3</f>
        <v>3.4621455E-3</v>
      </c>
      <c r="H128">
        <f t="shared" si="78"/>
        <v>2.8897095607283152E-4</v>
      </c>
      <c r="I128">
        <f t="shared" si="79"/>
        <v>1.5682639808947463E-4</v>
      </c>
      <c r="J128">
        <f>IF(B128&gt;$AJ$2,0,HLOOKUP(C128,'Real assumptions'!$B$5:$L$8,4,TRUE))</f>
        <v>3.7900000000000003E-2</v>
      </c>
      <c r="K128">
        <f t="shared" si="48"/>
        <v>1</v>
      </c>
      <c r="L128">
        <f t="shared" si="80"/>
        <v>8.3333333333333329E-2</v>
      </c>
      <c r="M128">
        <f t="shared" si="81"/>
        <v>3.2145624959929453E-3</v>
      </c>
      <c r="N128">
        <f t="shared" si="82"/>
        <v>1.7471198088570856E-3</v>
      </c>
      <c r="O128" s="8">
        <f t="shared" si="62"/>
        <v>0.54167617735706797</v>
      </c>
      <c r="P128">
        <f t="shared" si="63"/>
        <v>13.045922965536349</v>
      </c>
      <c r="Q128">
        <f t="shared" si="83"/>
        <v>0.78413199044737314</v>
      </c>
      <c r="R128" s="89">
        <f t="shared" si="49"/>
        <v>5000</v>
      </c>
      <c r="S128">
        <f t="shared" si="50"/>
        <v>0.25</v>
      </c>
      <c r="U128">
        <f>O127*AV127*'Real assumptions'!$B$33/12+AX128*'Real assumptions'!$B$34</f>
        <v>6.1420974245061339</v>
      </c>
      <c r="V128">
        <f>IF(P128=0,0,IF(E128&lt;=$C$7,$AN$5*O127,0))*'Real assumptions'!$D$28</f>
        <v>3.2614807413840872</v>
      </c>
      <c r="X128" s="94">
        <f t="shared" si="64"/>
        <v>0</v>
      </c>
      <c r="Y128">
        <f t="shared" si="51"/>
        <v>24</v>
      </c>
      <c r="Z128">
        <f t="shared" si="84"/>
        <v>89</v>
      </c>
      <c r="AA128">
        <f t="shared" si="52"/>
        <v>89.25</v>
      </c>
      <c r="AB128">
        <f t="shared" si="65"/>
        <v>50.505050505050505</v>
      </c>
      <c r="AC128">
        <f t="shared" si="85"/>
        <v>4507.575757575758</v>
      </c>
      <c r="AD128">
        <f t="shared" si="66"/>
        <v>80.505050505050505</v>
      </c>
      <c r="AE128">
        <f t="shared" si="67"/>
        <v>359.25378787878788</v>
      </c>
      <c r="AF128" s="94">
        <f t="shared" si="68"/>
        <v>133.17045454545416</v>
      </c>
      <c r="AG128">
        <f t="shared" si="86"/>
        <v>0.23266473909086507</v>
      </c>
      <c r="AH128">
        <f t="shared" si="69"/>
        <v>72.135262755084781</v>
      </c>
      <c r="AI128">
        <f>HLOOKUP(AW128,'Real assumptions'!$A$21:$AK$24,2,TRUE)</f>
        <v>1.8131999999999999</v>
      </c>
      <c r="AJ128" s="123">
        <f t="shared" si="87"/>
        <v>1.4985864045602426E-3</v>
      </c>
      <c r="AK128" s="122">
        <f>(1+HLOOKUP(YEAR(A128),'Real assumptions'!$A$21:$AK$24,2,TRUE)/100)^(1/12)-1</f>
        <v>1.4985864045602426E-3</v>
      </c>
      <c r="AL128">
        <f t="shared" si="88"/>
        <v>6.1420974245061339</v>
      </c>
      <c r="AM128">
        <f>('Real assumptions'!$B$33/12)*O127*AV127</f>
        <v>6.1230239327657099</v>
      </c>
      <c r="AN128">
        <f t="shared" si="70"/>
        <v>74.241338931052084</v>
      </c>
      <c r="AO128">
        <f t="shared" si="92"/>
        <v>0.11125706117842371</v>
      </c>
      <c r="AP128" s="121">
        <f t="shared" si="71"/>
        <v>0.79157146062314565</v>
      </c>
      <c r="AQ128">
        <f t="shared" si="72"/>
        <v>0</v>
      </c>
      <c r="AR128">
        <v>0</v>
      </c>
      <c r="AS128">
        <f t="shared" si="53"/>
        <v>0</v>
      </c>
      <c r="AT128">
        <f t="shared" si="73"/>
        <v>0</v>
      </c>
      <c r="AU128">
        <f>IFERROR(HLOOKUP(B128,'Real assumptions'!$B$43:$AL$44,2,TRUE)*($W$3/$U$2),0)</f>
        <v>0</v>
      </c>
      <c r="AV128">
        <f>AV127*(1+'Real assumptions'!$B$35)^(1/12)</f>
        <v>1.1275919712101379</v>
      </c>
      <c r="AW128">
        <f t="shared" si="54"/>
        <v>2028</v>
      </c>
      <c r="AX128">
        <f t="shared" si="89"/>
        <v>69.625308522867044</v>
      </c>
      <c r="AY128">
        <f t="shared" si="90"/>
        <v>2.2877951328451789</v>
      </c>
      <c r="AZ128">
        <f t="shared" si="55"/>
        <v>377.58714851901345</v>
      </c>
      <c r="BA128">
        <f t="shared" si="74"/>
        <v>4.2782774709223252</v>
      </c>
      <c r="BB128">
        <f t="shared" si="75"/>
        <v>89.25</v>
      </c>
      <c r="BC128">
        <f t="shared" si="56"/>
        <v>53.55</v>
      </c>
      <c r="BD128">
        <f t="shared" si="76"/>
        <v>0</v>
      </c>
      <c r="BE128">
        <f t="shared" si="57"/>
        <v>24</v>
      </c>
      <c r="BF128">
        <f t="shared" si="91"/>
        <v>5000</v>
      </c>
      <c r="BU128"/>
      <c r="FD128"/>
      <c r="FE128"/>
    </row>
    <row r="129" spans="1:161" x14ac:dyDescent="0.25">
      <c r="A129" s="7">
        <f t="shared" si="77"/>
        <v>47026</v>
      </c>
      <c r="B129">
        <f t="shared" si="58"/>
        <v>118</v>
      </c>
      <c r="C129">
        <f t="shared" si="59"/>
        <v>9.75</v>
      </c>
      <c r="D129">
        <f t="shared" si="60"/>
        <v>0</v>
      </c>
      <c r="E129">
        <f t="shared" si="61"/>
        <v>61</v>
      </c>
      <c r="F129">
        <f>IF(C129&gt;=$T$2,0,VLOOKUP($E129,EKM_F05!$A$3:$C$128,2,TRUE))</f>
        <v>8.2965384615384611E-3</v>
      </c>
      <c r="G129">
        <f>F129*'Real assumptions'!$B$3</f>
        <v>3.4621455E-3</v>
      </c>
      <c r="H129">
        <f t="shared" si="78"/>
        <v>2.8897095607283152E-4</v>
      </c>
      <c r="I129">
        <f t="shared" si="79"/>
        <v>1.5627709723602579E-4</v>
      </c>
      <c r="J129">
        <f>IF(B129&gt;$AJ$2,0,HLOOKUP(C129,'Real assumptions'!$B$5:$L$8,4,TRUE))</f>
        <v>3.7900000000000003E-2</v>
      </c>
      <c r="K129">
        <f t="shared" si="48"/>
        <v>1</v>
      </c>
      <c r="L129">
        <f t="shared" si="80"/>
        <v>8.3333333333333329E-2</v>
      </c>
      <c r="M129">
        <f t="shared" si="81"/>
        <v>3.2145624959929453E-3</v>
      </c>
      <c r="N129">
        <f t="shared" si="82"/>
        <v>1.741000339088131E-3</v>
      </c>
      <c r="O129" s="8">
        <f t="shared" si="62"/>
        <v>0.5397788999207439</v>
      </c>
      <c r="P129">
        <f t="shared" si="63"/>
        <v>13.000228256569631</v>
      </c>
      <c r="Q129">
        <f t="shared" si="83"/>
        <v>0.78138548618012893</v>
      </c>
      <c r="R129" s="89">
        <f t="shared" si="49"/>
        <v>5000</v>
      </c>
      <c r="S129">
        <f t="shared" si="50"/>
        <v>0.16666666666666607</v>
      </c>
      <c r="U129">
        <f>O128*AV128*'Real assumptions'!$B$33/12+AX129*'Real assumptions'!$B$34</f>
        <v>6.1276092115516283</v>
      </c>
      <c r="V129">
        <f>IF(P129=0,0,IF(E129&lt;=$C$7,$AN$5*O128,0))*'Real assumptions'!$D$28</f>
        <v>3.2500570641424078</v>
      </c>
      <c r="X129" s="94">
        <f t="shared" si="64"/>
        <v>0</v>
      </c>
      <c r="Y129">
        <f t="shared" si="51"/>
        <v>24</v>
      </c>
      <c r="Z129">
        <f t="shared" si="84"/>
        <v>89</v>
      </c>
      <c r="AA129">
        <f t="shared" si="52"/>
        <v>89.166666666666671</v>
      </c>
      <c r="AB129">
        <f t="shared" si="65"/>
        <v>50.505050505050505</v>
      </c>
      <c r="AC129">
        <f t="shared" si="85"/>
        <v>4503.3670033670032</v>
      </c>
      <c r="AD129">
        <f t="shared" si="66"/>
        <v>80.505050505050505</v>
      </c>
      <c r="AE129">
        <f t="shared" si="67"/>
        <v>358.91835016835017</v>
      </c>
      <c r="AF129" s="94">
        <f t="shared" si="68"/>
        <v>137.71464646464659</v>
      </c>
      <c r="AG129">
        <f t="shared" si="86"/>
        <v>0.23976124619235178</v>
      </c>
      <c r="AH129">
        <f t="shared" si="69"/>
        <v>74.3354603716611</v>
      </c>
      <c r="AI129">
        <f>HLOOKUP(AW129,'Real assumptions'!$A$21:$AK$24,2,TRUE)</f>
        <v>1.8131999999999999</v>
      </c>
      <c r="AJ129" s="123">
        <f t="shared" si="87"/>
        <v>1.4985864045602426E-3</v>
      </c>
      <c r="AK129" s="122">
        <f>(1+HLOOKUP(YEAR(A129),'Real assumptions'!$A$21:$AK$24,2,TRUE)/100)^(1/12)-1</f>
        <v>1.4985864045602426E-3</v>
      </c>
      <c r="AL129">
        <f t="shared" si="88"/>
        <v>6.1276092115516283</v>
      </c>
      <c r="AM129">
        <f>('Real assumptions'!$B$33/12)*O128*AV128</f>
        <v>6.1078970858362851</v>
      </c>
      <c r="AN129">
        <f t="shared" si="70"/>
        <v>76.549396196583515</v>
      </c>
      <c r="AO129">
        <f t="shared" si="92"/>
        <v>0.1147158844174956</v>
      </c>
      <c r="AP129" s="121">
        <f t="shared" si="71"/>
        <v>0.90628734504064123</v>
      </c>
      <c r="AQ129">
        <f t="shared" si="72"/>
        <v>0</v>
      </c>
      <c r="AR129">
        <v>0</v>
      </c>
      <c r="AS129">
        <f t="shared" si="53"/>
        <v>0</v>
      </c>
      <c r="AT129">
        <f t="shared" si="73"/>
        <v>0</v>
      </c>
      <c r="AU129">
        <f>IFERROR(HLOOKUP(B129,'Real assumptions'!$B$43:$AL$44,2,TRUE)*($W$3/$U$2),0)</f>
        <v>0</v>
      </c>
      <c r="AV129">
        <f>AV128*(1+'Real assumptions'!$B$35)^(1/12)</f>
        <v>1.1287598701005246</v>
      </c>
      <c r="AW129">
        <f t="shared" si="54"/>
        <v>2028</v>
      </c>
      <c r="AX129">
        <f t="shared" si="89"/>
        <v>71.956559042798972</v>
      </c>
      <c r="AY129">
        <f t="shared" si="90"/>
        <v>2.2797818912334509</v>
      </c>
      <c r="AZ129">
        <f t="shared" si="55"/>
        <v>380.75441073482386</v>
      </c>
      <c r="BA129">
        <f t="shared" si="74"/>
        <v>4.2712037965148886</v>
      </c>
      <c r="BB129">
        <f t="shared" si="75"/>
        <v>89.166666666666671</v>
      </c>
      <c r="BC129">
        <f t="shared" si="56"/>
        <v>53.5</v>
      </c>
      <c r="BD129">
        <f t="shared" si="76"/>
        <v>0</v>
      </c>
      <c r="BE129">
        <f t="shared" si="57"/>
        <v>24</v>
      </c>
      <c r="BF129">
        <f t="shared" si="91"/>
        <v>5000</v>
      </c>
      <c r="BU129"/>
      <c r="FD129"/>
      <c r="FE129"/>
    </row>
    <row r="130" spans="1:161" x14ac:dyDescent="0.25">
      <c r="A130" s="7">
        <f t="shared" si="77"/>
        <v>47057</v>
      </c>
      <c r="B130">
        <f t="shared" si="58"/>
        <v>119</v>
      </c>
      <c r="C130">
        <f t="shared" si="59"/>
        <v>9.8333333333333339</v>
      </c>
      <c r="D130">
        <f t="shared" si="60"/>
        <v>0</v>
      </c>
      <c r="E130">
        <f t="shared" si="61"/>
        <v>61</v>
      </c>
      <c r="F130">
        <f>IF(C130&gt;=$T$2,0,VLOOKUP($E130,EKM_F05!$A$3:$C$128,2,TRUE))</f>
        <v>8.2965384615384611E-3</v>
      </c>
      <c r="G130">
        <f>F130*'Real assumptions'!$B$3</f>
        <v>3.4621455E-3</v>
      </c>
      <c r="H130">
        <f t="shared" si="78"/>
        <v>2.8897095607283152E-4</v>
      </c>
      <c r="I130">
        <f t="shared" si="79"/>
        <v>1.5572972036623833E-4</v>
      </c>
      <c r="J130">
        <f>IF(B130&gt;$AJ$2,0,HLOOKUP(C130,'Real assumptions'!$B$5:$L$8,4,TRUE))</f>
        <v>3.7900000000000003E-2</v>
      </c>
      <c r="K130">
        <f t="shared" si="48"/>
        <v>1</v>
      </c>
      <c r="L130">
        <f t="shared" si="80"/>
        <v>8.3333333333333329E-2</v>
      </c>
      <c r="M130">
        <f t="shared" si="81"/>
        <v>3.2145624959929453E-3</v>
      </c>
      <c r="N130">
        <f t="shared" si="82"/>
        <v>1.7349023034017525E-3</v>
      </c>
      <c r="O130" s="8">
        <f t="shared" si="62"/>
        <v>0.53788826789697586</v>
      </c>
      <c r="P130">
        <f t="shared" si="63"/>
        <v>12.954693598097855</v>
      </c>
      <c r="Q130">
        <f t="shared" si="83"/>
        <v>0.77864860183119167</v>
      </c>
      <c r="R130" s="89">
        <f t="shared" si="49"/>
        <v>5000</v>
      </c>
      <c r="S130">
        <f t="shared" si="50"/>
        <v>8.3333333333333925E-2</v>
      </c>
      <c r="U130">
        <f>O129*AV129*'Real assumptions'!$B$33/12+AX130*'Real assumptions'!$B$34</f>
        <v>6.1131548248229306</v>
      </c>
      <c r="V130">
        <f>IF(P130=0,0,IF(E130&lt;=$C$7,$AN$5*O129,0))*'Real assumptions'!$D$28</f>
        <v>3.2386733995244636</v>
      </c>
      <c r="X130" s="94">
        <f t="shared" si="64"/>
        <v>0</v>
      </c>
      <c r="Y130">
        <f t="shared" si="51"/>
        <v>24</v>
      </c>
      <c r="Z130">
        <f t="shared" si="84"/>
        <v>89</v>
      </c>
      <c r="AA130">
        <f t="shared" si="52"/>
        <v>89.083333333333329</v>
      </c>
      <c r="AB130">
        <f t="shared" si="65"/>
        <v>50.505050505050505</v>
      </c>
      <c r="AC130">
        <f t="shared" si="85"/>
        <v>4499.1582491582485</v>
      </c>
      <c r="AD130">
        <f t="shared" si="66"/>
        <v>80.505050505050505</v>
      </c>
      <c r="AE130">
        <f t="shared" si="67"/>
        <v>358.58291245791241</v>
      </c>
      <c r="AF130" s="94">
        <f t="shared" si="68"/>
        <v>142.25883838383908</v>
      </c>
      <c r="AG130">
        <f t="shared" si="86"/>
        <v>0.24680518639138005</v>
      </c>
      <c r="AH130">
        <f t="shared" si="69"/>
        <v>76.519360171319022</v>
      </c>
      <c r="AI130">
        <f>HLOOKUP(AW130,'Real assumptions'!$A$21:$AK$24,2,TRUE)</f>
        <v>1.8131999999999999</v>
      </c>
      <c r="AJ130" s="123">
        <f t="shared" si="87"/>
        <v>1.4985864045602426E-3</v>
      </c>
      <c r="AK130" s="122">
        <f>(1+HLOOKUP(YEAR(A130),'Real assumptions'!$A$21:$AK$24,2,TRUE)/100)^(1/12)-1</f>
        <v>1.4985864045602426E-3</v>
      </c>
      <c r="AL130">
        <f t="shared" si="88"/>
        <v>6.1131548248229306</v>
      </c>
      <c r="AM130">
        <f>('Real assumptions'!$B$33/12)*O129*AV129</f>
        <v>6.0928076095754289</v>
      </c>
      <c r="AN130">
        <f t="shared" si="70"/>
        <v>78.844613090452214</v>
      </c>
      <c r="AO130">
        <f t="shared" si="92"/>
        <v>0.11815546525016422</v>
      </c>
      <c r="AP130" s="121">
        <f t="shared" si="71"/>
        <v>1.0244428102908054</v>
      </c>
      <c r="AQ130">
        <f t="shared" si="72"/>
        <v>0</v>
      </c>
      <c r="AR130">
        <v>0</v>
      </c>
      <c r="AS130">
        <f t="shared" si="53"/>
        <v>0</v>
      </c>
      <c r="AT130">
        <f t="shared" si="73"/>
        <v>0</v>
      </c>
      <c r="AU130">
        <f>IFERROR(HLOOKUP(B130,'Real assumptions'!$B$43:$AL$44,2,TRUE)*($W$3/$U$2),0)</f>
        <v>0</v>
      </c>
      <c r="AV130">
        <f>AV129*(1+'Real assumptions'!$B$35)^(1/12)</f>
        <v>1.1299289786375326</v>
      </c>
      <c r="AW130">
        <f t="shared" si="54"/>
        <v>2028</v>
      </c>
      <c r="AX130">
        <f t="shared" si="89"/>
        <v>74.274871034015433</v>
      </c>
      <c r="AY130">
        <f t="shared" si="90"/>
        <v>2.2717967168381477</v>
      </c>
      <c r="AZ130">
        <f t="shared" si="55"/>
        <v>383.90241570375531</v>
      </c>
      <c r="BA130">
        <f t="shared" si="74"/>
        <v>4.264127187747035</v>
      </c>
      <c r="BB130">
        <f t="shared" si="75"/>
        <v>89.083333333333329</v>
      </c>
      <c r="BC130">
        <f t="shared" si="56"/>
        <v>53.449999999999996</v>
      </c>
      <c r="BD130">
        <f t="shared" si="76"/>
        <v>0</v>
      </c>
      <c r="BE130">
        <f t="shared" si="57"/>
        <v>24</v>
      </c>
      <c r="BF130">
        <f t="shared" si="91"/>
        <v>5000</v>
      </c>
      <c r="BU130"/>
      <c r="FD130"/>
      <c r="FE130"/>
    </row>
    <row r="131" spans="1:161" x14ac:dyDescent="0.25">
      <c r="A131" s="7">
        <f t="shared" si="77"/>
        <v>47087</v>
      </c>
      <c r="B131">
        <f t="shared" si="58"/>
        <v>120</v>
      </c>
      <c r="C131">
        <f t="shared" si="59"/>
        <v>9.9166666666666661</v>
      </c>
      <c r="D131">
        <f t="shared" si="60"/>
        <v>0</v>
      </c>
      <c r="E131">
        <f t="shared" si="61"/>
        <v>61</v>
      </c>
      <c r="F131">
        <f>IF(C131&gt;=$T$2,0,VLOOKUP($E131,EKM_F05!$A$3:$C$128,2,TRUE))</f>
        <v>8.2965384615384611E-3</v>
      </c>
      <c r="G131">
        <f>F131*'Real assumptions'!$B$3</f>
        <v>3.4621455E-3</v>
      </c>
      <c r="H131">
        <f t="shared" si="78"/>
        <v>2.8897095607283152E-4</v>
      </c>
      <c r="I131">
        <f t="shared" si="79"/>
        <v>1.5518426074115834E-4</v>
      </c>
      <c r="J131">
        <f>IF(B131&gt;$AJ$2,0,HLOOKUP(C131,'Real assumptions'!$B$5:$L$8,4,TRUE))</f>
        <v>3.7900000000000003E-2</v>
      </c>
      <c r="K131">
        <f t="shared" si="48"/>
        <v>1</v>
      </c>
      <c r="L131">
        <f t="shared" si="80"/>
        <v>8.3333333333333329E-2</v>
      </c>
      <c r="M131">
        <f t="shared" si="81"/>
        <v>3.2145624959929453E-3</v>
      </c>
      <c r="N131">
        <f t="shared" si="82"/>
        <v>1.7288256267228349E-3</v>
      </c>
      <c r="O131" s="8">
        <f t="shared" si="62"/>
        <v>0.5360042580095119</v>
      </c>
      <c r="P131">
        <f t="shared" si="63"/>
        <v>12.909318429527421</v>
      </c>
      <c r="Q131">
        <f t="shared" si="83"/>
        <v>0.77592130370579171</v>
      </c>
      <c r="R131" s="89">
        <f t="shared" si="49"/>
        <v>5000</v>
      </c>
      <c r="S131">
        <f t="shared" si="50"/>
        <v>1</v>
      </c>
      <c r="U131">
        <f>O130*AV130*'Real assumptions'!$B$33/12+AX131*'Real assumptions'!$B$34</f>
        <v>6.0987341907311441</v>
      </c>
      <c r="V131">
        <f>IF(P131=0,0,IF(E131&lt;=$C$7,$AN$5*O130,0))*'Real assumptions'!$D$28</f>
        <v>3.2273296073818551</v>
      </c>
      <c r="X131" s="94">
        <f t="shared" si="64"/>
        <v>0</v>
      </c>
      <c r="Y131">
        <f t="shared" si="51"/>
        <v>24</v>
      </c>
      <c r="Z131">
        <f t="shared" si="84"/>
        <v>89</v>
      </c>
      <c r="AA131">
        <f t="shared" si="52"/>
        <v>89</v>
      </c>
      <c r="AB131">
        <f t="shared" si="65"/>
        <v>50.505050505050505</v>
      </c>
      <c r="AC131">
        <f t="shared" si="85"/>
        <v>4494.9494949494947</v>
      </c>
      <c r="AD131">
        <f t="shared" si="66"/>
        <v>80.505050505050505</v>
      </c>
      <c r="AE131">
        <f t="shared" si="67"/>
        <v>358.24747474747471</v>
      </c>
      <c r="AF131" s="94">
        <f t="shared" si="68"/>
        <v>146.8030303030306</v>
      </c>
      <c r="AG131">
        <f t="shared" si="86"/>
        <v>0.25379684086844817</v>
      </c>
      <c r="AH131">
        <f t="shared" si="69"/>
        <v>78.687049331123802</v>
      </c>
      <c r="AI131">
        <f>HLOOKUP(AW131,'Real assumptions'!$A$21:$AK$24,2,TRUE)</f>
        <v>1.8131999999999999</v>
      </c>
      <c r="AJ131" s="123">
        <f t="shared" si="87"/>
        <v>1.4985864045602426E-3</v>
      </c>
      <c r="AK131" s="122">
        <f>(1+HLOOKUP(YEAR(A131),'Real assumptions'!$A$21:$AK$24,2,TRUE)/100)^(1/12)-1</f>
        <v>1.4985864045602426E-3</v>
      </c>
      <c r="AL131">
        <f t="shared" si="88"/>
        <v>6.0987341907311441</v>
      </c>
      <c r="AM131">
        <f>('Real assumptions'!$B$33/12)*O130*AV130</f>
        <v>6.0777554116594148</v>
      </c>
      <c r="AN131">
        <f t="shared" si="70"/>
        <v>81.127057613024235</v>
      </c>
      <c r="AO131">
        <f t="shared" si="92"/>
        <v>0.12157590558085364</v>
      </c>
      <c r="AP131" s="121">
        <f t="shared" si="71"/>
        <v>1.146018715871659</v>
      </c>
      <c r="AQ131">
        <f t="shared" si="72"/>
        <v>0</v>
      </c>
      <c r="AR131">
        <v>0</v>
      </c>
      <c r="AS131">
        <f t="shared" si="53"/>
        <v>0</v>
      </c>
      <c r="AT131">
        <f t="shared" si="73"/>
        <v>0</v>
      </c>
      <c r="AU131">
        <f>IFERROR(HLOOKUP(B131,'Real assumptions'!$B$43:$AL$44,2,TRUE)*($W$3/$U$2),0)</f>
        <v>0</v>
      </c>
      <c r="AV131">
        <f>AV130*(1+'Real assumptions'!$B$35)^(1/12)</f>
        <v>1.1310992980740486</v>
      </c>
      <c r="AW131">
        <f t="shared" si="54"/>
        <v>2028</v>
      </c>
      <c r="AX131">
        <f t="shared" si="89"/>
        <v>76.580312885578877</v>
      </c>
      <c r="AY131">
        <f t="shared" si="90"/>
        <v>2.2638395113509082</v>
      </c>
      <c r="AZ131">
        <f t="shared" si="55"/>
        <v>387.03126313144696</v>
      </c>
      <c r="BA131">
        <f t="shared" si="74"/>
        <v>4.2570477519560947</v>
      </c>
      <c r="BB131">
        <f t="shared" si="75"/>
        <v>89</v>
      </c>
      <c r="BC131">
        <f t="shared" si="56"/>
        <v>53.4</v>
      </c>
      <c r="BD131">
        <f t="shared" si="76"/>
        <v>0</v>
      </c>
      <c r="BE131">
        <f t="shared" si="57"/>
        <v>24</v>
      </c>
      <c r="BF131">
        <f t="shared" si="91"/>
        <v>5000</v>
      </c>
      <c r="BU131"/>
      <c r="FD131"/>
      <c r="FE131"/>
    </row>
    <row r="132" spans="1:161" x14ac:dyDescent="0.25">
      <c r="A132" s="7">
        <f t="shared" si="77"/>
        <v>47118</v>
      </c>
      <c r="B132">
        <f t="shared" si="58"/>
        <v>121</v>
      </c>
      <c r="C132">
        <f t="shared" si="59"/>
        <v>10</v>
      </c>
      <c r="D132">
        <f t="shared" si="60"/>
        <v>1</v>
      </c>
      <c r="E132">
        <f t="shared" si="61"/>
        <v>62</v>
      </c>
      <c r="F132">
        <f>IF(C132&gt;=$T$2,0,VLOOKUP($E132,EKM_F05!$A$3:$C$128,2,TRUE))</f>
        <v>8.8687179487179496E-3</v>
      </c>
      <c r="G132">
        <f>F132*'Real assumptions'!$B$3</f>
        <v>3.7009160000000003E-3</v>
      </c>
      <c r="H132">
        <f t="shared" si="78"/>
        <v>3.0893404784115841E-4</v>
      </c>
      <c r="I132">
        <f t="shared" si="79"/>
        <v>1.6532381544123446E-4</v>
      </c>
      <c r="J132">
        <f>IF(B132&gt;$AJ$2,0,HLOOKUP(C132,'Real assumptions'!$B$5:$L$8,4,TRUE))</f>
        <v>3.7900000000000003E-2</v>
      </c>
      <c r="K132">
        <f t="shared" si="48"/>
        <v>1</v>
      </c>
      <c r="L132">
        <f t="shared" si="80"/>
        <v>8.3333333333333329E-2</v>
      </c>
      <c r="M132">
        <f t="shared" si="81"/>
        <v>3.2145624959929453E-3</v>
      </c>
      <c r="N132">
        <f t="shared" si="82"/>
        <v>1.7227530358441625E-3</v>
      </c>
      <c r="O132" s="8">
        <f t="shared" si="62"/>
        <v>0.53411618115822657</v>
      </c>
      <c r="P132">
        <f t="shared" si="63"/>
        <v>12.864102192228286</v>
      </c>
      <c r="Q132">
        <f t="shared" si="83"/>
        <v>0.82661907720617234</v>
      </c>
      <c r="R132" s="89">
        <f t="shared" si="49"/>
        <v>5000</v>
      </c>
      <c r="S132">
        <f t="shared" si="50"/>
        <v>0.91666666666666607</v>
      </c>
      <c r="U132">
        <f>O131*AV131*'Real assumptions'!$B$33/12+AX132*'Real assumptions'!$B$34</f>
        <v>6.0843472358303163</v>
      </c>
      <c r="V132">
        <f>IF(P132=0,0,IF(E132&lt;=$C$7,$AN$5*O131,0))*'Real assumptions'!$D$28</f>
        <v>3.2160255480570714</v>
      </c>
      <c r="X132" s="94">
        <f t="shared" si="64"/>
        <v>0</v>
      </c>
      <c r="Y132">
        <f t="shared" si="51"/>
        <v>24</v>
      </c>
      <c r="Z132">
        <f t="shared" si="84"/>
        <v>89</v>
      </c>
      <c r="AA132">
        <f t="shared" si="52"/>
        <v>88.916666666666671</v>
      </c>
      <c r="AB132">
        <f t="shared" si="65"/>
        <v>50.505050505050505</v>
      </c>
      <c r="AC132">
        <f t="shared" si="85"/>
        <v>4490.7407407407409</v>
      </c>
      <c r="AD132">
        <f t="shared" si="66"/>
        <v>80.505050505050505</v>
      </c>
      <c r="AE132">
        <f t="shared" si="67"/>
        <v>357.91203703703707</v>
      </c>
      <c r="AF132" s="94">
        <f t="shared" si="68"/>
        <v>151.34722222222206</v>
      </c>
      <c r="AG132">
        <f t="shared" si="86"/>
        <v>0.26073388654991414</v>
      </c>
      <c r="AH132">
        <f t="shared" si="69"/>
        <v>80.837000362238726</v>
      </c>
      <c r="AI132">
        <f>HLOOKUP(AW132,'Real assumptions'!$A$21:$AK$24,2,TRUE)</f>
        <v>1.8131999999999999</v>
      </c>
      <c r="AJ132" s="123">
        <f t="shared" si="87"/>
        <v>1.4985864045602426E-3</v>
      </c>
      <c r="AK132" s="122">
        <f>(1+HLOOKUP(YEAR(A132),'Real assumptions'!$A$21:$AK$24,2,TRUE)/100)^(1/12)-1</f>
        <v>1.4985864045602426E-3</v>
      </c>
      <c r="AL132">
        <f t="shared" si="88"/>
        <v>6.0843472358303163</v>
      </c>
      <c r="AM132">
        <f>('Real assumptions'!$B$33/12)*O131*AV131</f>
        <v>6.0627403999926015</v>
      </c>
      <c r="AN132">
        <f t="shared" si="70"/>
        <v>83.396797455336355</v>
      </c>
      <c r="AO132">
        <f t="shared" si="92"/>
        <v>0.12497730685043129</v>
      </c>
      <c r="AP132" s="121">
        <f t="shared" si="71"/>
        <v>0</v>
      </c>
      <c r="AQ132">
        <f t="shared" si="72"/>
        <v>0</v>
      </c>
      <c r="AR132">
        <v>0</v>
      </c>
      <c r="AS132">
        <f t="shared" si="53"/>
        <v>0</v>
      </c>
      <c r="AT132">
        <f t="shared" si="73"/>
        <v>0</v>
      </c>
      <c r="AU132">
        <f>IFERROR(HLOOKUP(B132,'Real assumptions'!$B$43:$AL$44,2,TRUE)*($W$3/$U$2),0)</f>
        <v>0</v>
      </c>
      <c r="AV132">
        <f>AV131*(1+'Real assumptions'!$B$35)^(1/12)</f>
        <v>1.132270829664257</v>
      </c>
      <c r="AW132">
        <f t="shared" si="54"/>
        <v>2028</v>
      </c>
      <c r="AX132">
        <f t="shared" si="89"/>
        <v>78.872952675746092</v>
      </c>
      <c r="AY132">
        <f t="shared" si="90"/>
        <v>2.2559101768077099</v>
      </c>
      <c r="AZ132">
        <f t="shared" si="55"/>
        <v>390.08763936510036</v>
      </c>
      <c r="BA132">
        <f t="shared" si="74"/>
        <v>4.3033785118131576</v>
      </c>
      <c r="BB132">
        <f t="shared" si="75"/>
        <v>88.916666666666671</v>
      </c>
      <c r="BC132">
        <f t="shared" si="56"/>
        <v>53.35</v>
      </c>
      <c r="BD132">
        <f t="shared" si="76"/>
        <v>0</v>
      </c>
      <c r="BE132">
        <f t="shared" si="57"/>
        <v>24</v>
      </c>
      <c r="BF132">
        <f t="shared" si="91"/>
        <v>5000</v>
      </c>
      <c r="BU132"/>
      <c r="FD132"/>
      <c r="FE132"/>
    </row>
    <row r="133" spans="1:161" x14ac:dyDescent="0.25">
      <c r="A133" s="7">
        <f t="shared" si="77"/>
        <v>47149</v>
      </c>
      <c r="B133">
        <f t="shared" si="58"/>
        <v>122</v>
      </c>
      <c r="C133">
        <f t="shared" si="59"/>
        <v>10.083333333333334</v>
      </c>
      <c r="D133">
        <f t="shared" si="60"/>
        <v>0</v>
      </c>
      <c r="E133">
        <f t="shared" si="61"/>
        <v>62</v>
      </c>
      <c r="F133">
        <f>IF(C133&gt;=$T$2,0,VLOOKUP($E133,EKM_F05!$A$3:$C$128,2,TRUE))</f>
        <v>8.8687179487179496E-3</v>
      </c>
      <c r="G133">
        <f>F133*'Real assumptions'!$B$3</f>
        <v>3.7009160000000003E-3</v>
      </c>
      <c r="H133">
        <f t="shared" si="78"/>
        <v>3.0893404784115841E-4</v>
      </c>
      <c r="I133">
        <f t="shared" si="79"/>
        <v>1.6474146172997867E-4</v>
      </c>
      <c r="J133">
        <f>IF(B133&gt;$AJ$2,0,HLOOKUP(C133,'Real assumptions'!$B$5:$L$8,4,TRUE))</f>
        <v>3.7900000000000003E-2</v>
      </c>
      <c r="K133">
        <f t="shared" si="48"/>
        <v>1</v>
      </c>
      <c r="L133">
        <f t="shared" si="80"/>
        <v>8.3333333333333329E-2</v>
      </c>
      <c r="M133">
        <f t="shared" si="81"/>
        <v>3.2145624959929453E-3</v>
      </c>
      <c r="N133">
        <f t="shared" si="82"/>
        <v>1.7166846323215152E-3</v>
      </c>
      <c r="O133" s="8">
        <f t="shared" si="62"/>
        <v>0.53223475506417506</v>
      </c>
      <c r="P133">
        <f t="shared" si="63"/>
        <v>12.818788347797437</v>
      </c>
      <c r="Q133">
        <f t="shared" si="83"/>
        <v>0.82370730864989339</v>
      </c>
      <c r="R133" s="89">
        <f t="shared" si="49"/>
        <v>5000</v>
      </c>
      <c r="S133">
        <f t="shared" si="50"/>
        <v>0.83333333333333393</v>
      </c>
      <c r="U133">
        <f>O132*AV132*'Real assumptions'!$B$33/12+AX133*'Real assumptions'!$B$34</f>
        <v>6.0695245001378542</v>
      </c>
      <c r="V133">
        <f>IF(P133=0,0,IF(E133&lt;=$C$7,$AN$5*O132,0))*'Real assumptions'!$D$28</f>
        <v>3.2046970869493592</v>
      </c>
      <c r="X133" s="94">
        <f t="shared" si="64"/>
        <v>0</v>
      </c>
      <c r="Y133">
        <f t="shared" si="51"/>
        <v>24</v>
      </c>
      <c r="Z133">
        <f t="shared" si="84"/>
        <v>88</v>
      </c>
      <c r="AA133">
        <f t="shared" si="52"/>
        <v>88.833333333333329</v>
      </c>
      <c r="AB133">
        <f t="shared" si="65"/>
        <v>50.505050505050505</v>
      </c>
      <c r="AC133">
        <f t="shared" si="85"/>
        <v>4486.5319865319861</v>
      </c>
      <c r="AD133">
        <f t="shared" si="66"/>
        <v>80.505050505050505</v>
      </c>
      <c r="AE133">
        <f t="shared" si="67"/>
        <v>357.57659932659931</v>
      </c>
      <c r="AF133" s="94">
        <f t="shared" si="68"/>
        <v>155.89141414141454</v>
      </c>
      <c r="AG133">
        <f t="shared" si="86"/>
        <v>0.26761639496743528</v>
      </c>
      <c r="AH133">
        <f t="shared" si="69"/>
        <v>82.970828622163651</v>
      </c>
      <c r="AI133">
        <f>HLOOKUP(AW133,'Real assumptions'!$A$21:$AK$24,2,TRUE)</f>
        <v>1.7849999999999999</v>
      </c>
      <c r="AJ133" s="123">
        <f t="shared" si="87"/>
        <v>1.475467393408314E-3</v>
      </c>
      <c r="AK133" s="122">
        <f>(1+HLOOKUP(YEAR(A133),'Real assumptions'!$A$21:$AK$24,2,TRUE)/100)^(1/12)-1</f>
        <v>1.475467393408314E-3</v>
      </c>
      <c r="AL133">
        <f t="shared" si="88"/>
        <v>6.0695245001378542</v>
      </c>
      <c r="AM133">
        <f>('Real assumptions'!$B$33/12)*O132*AV132</f>
        <v>6.0476417157712978</v>
      </c>
      <c r="AN133">
        <f t="shared" si="70"/>
        <v>84.381567122948937</v>
      </c>
      <c r="AO133">
        <f t="shared" si="92"/>
        <v>0.12450225089460615</v>
      </c>
      <c r="AP133" s="121">
        <f t="shared" si="71"/>
        <v>0.12450225089460615</v>
      </c>
      <c r="AQ133">
        <f t="shared" si="72"/>
        <v>0</v>
      </c>
      <c r="AR133">
        <v>0</v>
      </c>
      <c r="AS133">
        <f t="shared" si="53"/>
        <v>0</v>
      </c>
      <c r="AT133">
        <f t="shared" si="73"/>
        <v>0</v>
      </c>
      <c r="AU133">
        <f>IFERROR(HLOOKUP(B133,'Real assumptions'!$B$43:$AL$44,2,TRUE)*($W$3/$U$2),0)</f>
        <v>0</v>
      </c>
      <c r="AV133">
        <f>AV132*(1+'Real assumptions'!$B$35)^(1/12)</f>
        <v>1.1334435746636409</v>
      </c>
      <c r="AW133">
        <f t="shared" si="54"/>
        <v>2029</v>
      </c>
      <c r="AX133">
        <f t="shared" si="89"/>
        <v>79.880267000702773</v>
      </c>
      <c r="AY133">
        <f t="shared" si="90"/>
        <v>2.2479637254134115</v>
      </c>
      <c r="AZ133">
        <f t="shared" si="55"/>
        <v>393.11644401464815</v>
      </c>
      <c r="BA133">
        <f t="shared" si="74"/>
        <v>4.2960207905666881</v>
      </c>
      <c r="BB133">
        <f t="shared" si="75"/>
        <v>88.833333333333329</v>
      </c>
      <c r="BC133">
        <f t="shared" si="56"/>
        <v>53.3</v>
      </c>
      <c r="BD133">
        <f t="shared" si="76"/>
        <v>0</v>
      </c>
      <c r="BE133">
        <f t="shared" si="57"/>
        <v>24</v>
      </c>
      <c r="BF133">
        <f t="shared" si="91"/>
        <v>5000</v>
      </c>
      <c r="BU133"/>
      <c r="FD133"/>
      <c r="FE133"/>
    </row>
    <row r="134" spans="1:161" x14ac:dyDescent="0.25">
      <c r="A134" s="7">
        <f t="shared" si="77"/>
        <v>47177</v>
      </c>
      <c r="B134">
        <f t="shared" si="58"/>
        <v>123</v>
      </c>
      <c r="C134">
        <f t="shared" si="59"/>
        <v>10.166666666666666</v>
      </c>
      <c r="D134">
        <f t="shared" si="60"/>
        <v>0</v>
      </c>
      <c r="E134">
        <f t="shared" si="61"/>
        <v>62</v>
      </c>
      <c r="F134">
        <f>IF(C134&gt;=$T$2,0,VLOOKUP($E134,EKM_F05!$A$3:$C$128,2,TRUE))</f>
        <v>8.8687179487179496E-3</v>
      </c>
      <c r="G134">
        <f>F134*'Real assumptions'!$B$3</f>
        <v>3.7009160000000003E-3</v>
      </c>
      <c r="H134">
        <f t="shared" si="78"/>
        <v>3.0893404784115841E-4</v>
      </c>
      <c r="I134">
        <f t="shared" si="79"/>
        <v>1.6416115936168334E-4</v>
      </c>
      <c r="J134">
        <f>IF(B134&gt;$AJ$2,0,HLOOKUP(C134,'Real assumptions'!$B$5:$L$8,4,TRUE))</f>
        <v>3.7900000000000003E-2</v>
      </c>
      <c r="K134">
        <f t="shared" si="48"/>
        <v>1</v>
      </c>
      <c r="L134">
        <f t="shared" si="80"/>
        <v>8.3333333333333329E-2</v>
      </c>
      <c r="M134">
        <f t="shared" si="81"/>
        <v>3.2145624959929453E-3</v>
      </c>
      <c r="N134">
        <f t="shared" si="82"/>
        <v>1.7106376047712486E-3</v>
      </c>
      <c r="O134" s="8">
        <f t="shared" si="62"/>
        <v>0.53035995630004207</v>
      </c>
      <c r="P134">
        <f t="shared" si="63"/>
        <v>12.773634121540201</v>
      </c>
      <c r="Q134">
        <f t="shared" si="83"/>
        <v>0.8208057968084167</v>
      </c>
      <c r="R134" s="89">
        <f t="shared" si="49"/>
        <v>5000</v>
      </c>
      <c r="S134">
        <f t="shared" si="50"/>
        <v>0.75</v>
      </c>
      <c r="U134">
        <f>O133*AV133*'Real assumptions'!$B$33/12+AX134*'Real assumptions'!$B$34</f>
        <v>6.0550829989057311</v>
      </c>
      <c r="V134">
        <f>IF(P134=0,0,IF(E134&lt;=$C$7,$AN$5*O133,0))*'Real assumptions'!$D$28</f>
        <v>3.1934085303850503</v>
      </c>
      <c r="X134" s="94">
        <f t="shared" si="64"/>
        <v>0</v>
      </c>
      <c r="Y134">
        <f t="shared" si="51"/>
        <v>24</v>
      </c>
      <c r="Z134">
        <f t="shared" si="84"/>
        <v>88</v>
      </c>
      <c r="AA134">
        <f t="shared" si="52"/>
        <v>88.75</v>
      </c>
      <c r="AB134">
        <f t="shared" si="65"/>
        <v>50.505050505050505</v>
      </c>
      <c r="AC134">
        <f t="shared" si="85"/>
        <v>4482.3232323232323</v>
      </c>
      <c r="AD134">
        <f t="shared" si="66"/>
        <v>80.505050505050505</v>
      </c>
      <c r="AE134">
        <f t="shared" si="67"/>
        <v>357.24116161616161</v>
      </c>
      <c r="AF134" s="94">
        <f t="shared" si="68"/>
        <v>160.43560606060606</v>
      </c>
      <c r="AG134">
        <f t="shared" si="86"/>
        <v>0.27444718087153874</v>
      </c>
      <c r="AH134">
        <f t="shared" si="69"/>
        <v>85.088621019273802</v>
      </c>
      <c r="AI134">
        <f>HLOOKUP(AW134,'Real assumptions'!$A$21:$AK$24,2,TRUE)</f>
        <v>1.7849999999999999</v>
      </c>
      <c r="AJ134" s="123">
        <f t="shared" si="87"/>
        <v>1.475467393408314E-3</v>
      </c>
      <c r="AK134" s="122">
        <f>(1+HLOOKUP(YEAR(A134),'Real assumptions'!$A$21:$AK$24,2,TRUE)/100)^(1/12)-1</f>
        <v>1.475467393408314E-3</v>
      </c>
      <c r="AL134">
        <f t="shared" si="88"/>
        <v>6.0550829989057311</v>
      </c>
      <c r="AM134">
        <f>('Real assumptions'!$B$33/12)*O133*AV133</f>
        <v>6.0325806334016594</v>
      </c>
      <c r="AN134">
        <f t="shared" si="70"/>
        <v>86.620473465307668</v>
      </c>
      <c r="AO134">
        <f t="shared" si="92"/>
        <v>0.12780568419965155</v>
      </c>
      <c r="AP134" s="121">
        <f t="shared" si="71"/>
        <v>0.2523079350942577</v>
      </c>
      <c r="AQ134">
        <f t="shared" si="72"/>
        <v>0</v>
      </c>
      <c r="AR134">
        <v>0</v>
      </c>
      <c r="AS134">
        <f t="shared" si="53"/>
        <v>0</v>
      </c>
      <c r="AT134">
        <f t="shared" si="73"/>
        <v>0</v>
      </c>
      <c r="AU134">
        <f>IFERROR(HLOOKUP(B134,'Real assumptions'!$B$43:$AL$44,2,TRUE)*($W$3/$U$2),0)</f>
        <v>0</v>
      </c>
      <c r="AV134">
        <f>AV133*(1+'Real assumptions'!$B$35)^(1/12)</f>
        <v>1.1346175343289842</v>
      </c>
      <c r="AW134">
        <f t="shared" si="54"/>
        <v>2029</v>
      </c>
      <c r="AX134">
        <f t="shared" si="89"/>
        <v>82.141967608094816</v>
      </c>
      <c r="AY134">
        <f t="shared" si="90"/>
        <v>2.2400452654216121</v>
      </c>
      <c r="AZ134">
        <f t="shared" si="55"/>
        <v>396.1263641241739</v>
      </c>
      <c r="BA134">
        <f t="shared" si="74"/>
        <v>4.2886615080650055</v>
      </c>
      <c r="BB134">
        <f t="shared" si="75"/>
        <v>88.75</v>
      </c>
      <c r="BC134">
        <f t="shared" si="56"/>
        <v>53.25</v>
      </c>
      <c r="BD134">
        <f t="shared" si="76"/>
        <v>0</v>
      </c>
      <c r="BE134">
        <f t="shared" si="57"/>
        <v>24</v>
      </c>
      <c r="BF134">
        <f t="shared" si="91"/>
        <v>5000</v>
      </c>
      <c r="BU134"/>
      <c r="FD134"/>
      <c r="FE134"/>
    </row>
    <row r="135" spans="1:161" x14ac:dyDescent="0.25">
      <c r="A135" s="7">
        <f t="shared" si="77"/>
        <v>47208</v>
      </c>
      <c r="B135">
        <f t="shared" si="58"/>
        <v>124</v>
      </c>
      <c r="C135">
        <f t="shared" si="59"/>
        <v>10.25</v>
      </c>
      <c r="D135">
        <f t="shared" si="60"/>
        <v>0</v>
      </c>
      <c r="E135">
        <f t="shared" si="61"/>
        <v>62</v>
      </c>
      <c r="F135">
        <f>IF(C135&gt;=$T$2,0,VLOOKUP($E135,EKM_F05!$A$3:$C$128,2,TRUE))</f>
        <v>8.8687179487179496E-3</v>
      </c>
      <c r="G135">
        <f>F135*'Real assumptions'!$B$3</f>
        <v>3.7009160000000003E-3</v>
      </c>
      <c r="H135">
        <f t="shared" si="78"/>
        <v>3.0893404784115841E-4</v>
      </c>
      <c r="I135">
        <f t="shared" si="79"/>
        <v>1.6358290111048588E-4</v>
      </c>
      <c r="J135">
        <f>IF(B135&gt;$AJ$2,0,HLOOKUP(C135,'Real assumptions'!$B$5:$L$8,4,TRUE))</f>
        <v>3.7900000000000003E-2</v>
      </c>
      <c r="K135">
        <f t="shared" si="48"/>
        <v>1</v>
      </c>
      <c r="L135">
        <f t="shared" si="80"/>
        <v>8.3333333333333329E-2</v>
      </c>
      <c r="M135">
        <f t="shared" si="81"/>
        <v>3.2145624959929453E-3</v>
      </c>
      <c r="N135">
        <f t="shared" si="82"/>
        <v>1.7046118778964265E-3</v>
      </c>
      <c r="O135" s="8">
        <f t="shared" si="62"/>
        <v>0.52849176152103516</v>
      </c>
      <c r="P135">
        <f t="shared" si="63"/>
        <v>12.72863895120101</v>
      </c>
      <c r="Q135">
        <f t="shared" si="83"/>
        <v>0.81791450555242939</v>
      </c>
      <c r="R135" s="89">
        <f t="shared" si="49"/>
        <v>5000</v>
      </c>
      <c r="S135">
        <f t="shared" si="50"/>
        <v>0.66666666666666607</v>
      </c>
      <c r="U135">
        <f>O134*AV134*'Real assumptions'!$B$33/12+AX135*'Real assumptions'!$B$34</f>
        <v>6.0406755146464031</v>
      </c>
      <c r="V135">
        <f>IF(P135=0,0,IF(E135&lt;=$C$7,$AN$5*O134,0))*'Real assumptions'!$D$28</f>
        <v>3.1821597378002524</v>
      </c>
      <c r="X135" s="94">
        <f t="shared" si="64"/>
        <v>0</v>
      </c>
      <c r="Y135">
        <f t="shared" si="51"/>
        <v>24</v>
      </c>
      <c r="Z135">
        <f t="shared" si="84"/>
        <v>88</v>
      </c>
      <c r="AA135">
        <f t="shared" si="52"/>
        <v>88.666666666666671</v>
      </c>
      <c r="AB135">
        <f t="shared" si="65"/>
        <v>50.505050505050505</v>
      </c>
      <c r="AC135">
        <f t="shared" si="85"/>
        <v>4478.1144781144785</v>
      </c>
      <c r="AD135">
        <f t="shared" si="66"/>
        <v>80.505050505050505</v>
      </c>
      <c r="AE135">
        <f t="shared" si="67"/>
        <v>356.9057239057239</v>
      </c>
      <c r="AF135" s="94">
        <f t="shared" si="68"/>
        <v>164.97979797979758</v>
      </c>
      <c r="AG135">
        <f t="shared" si="86"/>
        <v>0.28122652324931585</v>
      </c>
      <c r="AH135">
        <f t="shared" si="69"/>
        <v>87.190464049727737</v>
      </c>
      <c r="AI135">
        <f>HLOOKUP(AW135,'Real assumptions'!$A$21:$AK$24,2,TRUE)</f>
        <v>1.7849999999999999</v>
      </c>
      <c r="AJ135" s="123">
        <f t="shared" si="87"/>
        <v>1.475467393408314E-3</v>
      </c>
      <c r="AK135" s="122">
        <f>(1+HLOOKUP(YEAR(A135),'Real assumptions'!$A$21:$AK$24,2,TRUE)/100)^(1/12)-1</f>
        <v>1.475467393408314E-3</v>
      </c>
      <c r="AL135">
        <f t="shared" si="88"/>
        <v>6.0406755146464031</v>
      </c>
      <c r="AM135">
        <f>('Real assumptions'!$B$33/12)*O134*AV134</f>
        <v>6.0175570592398149</v>
      </c>
      <c r="AN135">
        <f t="shared" si="70"/>
        <v>88.846732653122416</v>
      </c>
      <c r="AO135">
        <f t="shared" si="92"/>
        <v>0.13109045704054786</v>
      </c>
      <c r="AP135" s="121">
        <f t="shared" si="71"/>
        <v>0.38339839213480553</v>
      </c>
      <c r="AQ135">
        <f t="shared" si="72"/>
        <v>0</v>
      </c>
      <c r="AR135">
        <v>0</v>
      </c>
      <c r="AS135">
        <f t="shared" si="53"/>
        <v>0</v>
      </c>
      <c r="AT135">
        <f t="shared" si="73"/>
        <v>0</v>
      </c>
      <c r="AU135">
        <f>IFERROR(HLOOKUP(B135,'Real assumptions'!$B$43:$AL$44,2,TRUE)*($W$3/$U$2),0)</f>
        <v>0</v>
      </c>
      <c r="AV135">
        <f>AV134*(1+'Real assumptions'!$B$35)^(1/12)</f>
        <v>1.1357927099183722</v>
      </c>
      <c r="AW135">
        <f t="shared" si="54"/>
        <v>2029</v>
      </c>
      <c r="AX135">
        <f t="shared" si="89"/>
        <v>84.390923914800311</v>
      </c>
      <c r="AY135">
        <f t="shared" si="90"/>
        <v>2.2321546982325002</v>
      </c>
      <c r="AZ135">
        <f t="shared" si="55"/>
        <v>399.11749832806112</v>
      </c>
      <c r="BA135">
        <f t="shared" si="74"/>
        <v>4.2813007666019978</v>
      </c>
      <c r="BB135">
        <f t="shared" si="75"/>
        <v>88.666666666666671</v>
      </c>
      <c r="BC135">
        <f t="shared" si="56"/>
        <v>53.2</v>
      </c>
      <c r="BD135">
        <f t="shared" si="76"/>
        <v>0</v>
      </c>
      <c r="BE135">
        <f t="shared" si="57"/>
        <v>24</v>
      </c>
      <c r="BF135">
        <f t="shared" si="91"/>
        <v>5000</v>
      </c>
      <c r="BU135"/>
      <c r="FD135"/>
      <c r="FE135"/>
    </row>
    <row r="136" spans="1:161" x14ac:dyDescent="0.25">
      <c r="A136" s="7">
        <f t="shared" si="77"/>
        <v>47238</v>
      </c>
      <c r="B136">
        <f t="shared" si="58"/>
        <v>125</v>
      </c>
      <c r="C136">
        <f t="shared" si="59"/>
        <v>10.333333333333334</v>
      </c>
      <c r="D136">
        <f t="shared" si="60"/>
        <v>0</v>
      </c>
      <c r="E136">
        <f t="shared" si="61"/>
        <v>62</v>
      </c>
      <c r="F136">
        <f>IF(C136&gt;=$T$2,0,VLOOKUP($E136,EKM_F05!$A$3:$C$128,2,TRUE))</f>
        <v>8.8687179487179496E-3</v>
      </c>
      <c r="G136">
        <f>F136*'Real assumptions'!$B$3</f>
        <v>3.7009160000000003E-3</v>
      </c>
      <c r="H136">
        <f t="shared" si="78"/>
        <v>3.0893404784115841E-4</v>
      </c>
      <c r="I136">
        <f t="shared" si="79"/>
        <v>1.6300667977597674E-4</v>
      </c>
      <c r="J136">
        <f>IF(B136&gt;$AJ$2,0,HLOOKUP(C136,'Real assumptions'!$B$5:$L$8,4,TRUE))</f>
        <v>3.7900000000000003E-2</v>
      </c>
      <c r="K136">
        <f t="shared" si="48"/>
        <v>1</v>
      </c>
      <c r="L136">
        <f t="shared" si="80"/>
        <v>8.3333333333333329E-2</v>
      </c>
      <c r="M136">
        <f t="shared" si="81"/>
        <v>3.2145624959929453E-3</v>
      </c>
      <c r="N136">
        <f t="shared" si="82"/>
        <v>1.6986073766653465E-3</v>
      </c>
      <c r="O136" s="8">
        <f t="shared" si="62"/>
        <v>0.5266301474645938</v>
      </c>
      <c r="P136">
        <f t="shared" si="63"/>
        <v>12.683802276504844</v>
      </c>
      <c r="Q136">
        <f t="shared" si="83"/>
        <v>0.81503339887988369</v>
      </c>
      <c r="R136" s="89">
        <f t="shared" si="49"/>
        <v>5000</v>
      </c>
      <c r="S136">
        <f t="shared" si="50"/>
        <v>0.58333333333333393</v>
      </c>
      <c r="U136">
        <f>O135*AV135*'Real assumptions'!$B$33/12+AX136*'Real assumptions'!$B$34</f>
        <v>6.0263019725439033</v>
      </c>
      <c r="V136">
        <f>IF(P136=0,0,IF(E136&lt;=$C$7,$AN$5*O135,0))*'Real assumptions'!$D$28</f>
        <v>3.170950569126211</v>
      </c>
      <c r="X136" s="94">
        <f t="shared" si="64"/>
        <v>0</v>
      </c>
      <c r="Y136">
        <f t="shared" si="51"/>
        <v>24</v>
      </c>
      <c r="Z136">
        <f t="shared" si="84"/>
        <v>88</v>
      </c>
      <c r="AA136">
        <f t="shared" si="52"/>
        <v>88.583333333333329</v>
      </c>
      <c r="AB136">
        <f t="shared" si="65"/>
        <v>50.505050505050505</v>
      </c>
      <c r="AC136">
        <f t="shared" si="85"/>
        <v>4473.9057239057238</v>
      </c>
      <c r="AD136">
        <f t="shared" si="66"/>
        <v>80.505050505050505</v>
      </c>
      <c r="AE136">
        <f t="shared" si="67"/>
        <v>356.57028619528614</v>
      </c>
      <c r="AF136" s="94">
        <f t="shared" si="68"/>
        <v>169.52398989899007</v>
      </c>
      <c r="AG136">
        <f t="shared" si="86"/>
        <v>0.28795469976416621</v>
      </c>
      <c r="AH136">
        <f t="shared" si="69"/>
        <v>89.276443799291442</v>
      </c>
      <c r="AI136">
        <f>HLOOKUP(AW136,'Real assumptions'!$A$21:$AK$24,2,TRUE)</f>
        <v>1.7849999999999999</v>
      </c>
      <c r="AJ136" s="123">
        <f t="shared" si="87"/>
        <v>1.475467393408314E-3</v>
      </c>
      <c r="AK136" s="122">
        <f>(1+HLOOKUP(YEAR(A136),'Real assumptions'!$A$21:$AK$24,2,TRUE)/100)^(1/12)-1</f>
        <v>1.475467393408314E-3</v>
      </c>
      <c r="AL136">
        <f t="shared" si="88"/>
        <v>6.0263019725439033</v>
      </c>
      <c r="AM136">
        <f>('Real assumptions'!$B$33/12)*O135*AV135</f>
        <v>6.0025708998751073</v>
      </c>
      <c r="AN136">
        <f t="shared" si="70"/>
        <v>91.06041217669727</v>
      </c>
      <c r="AO136">
        <f t="shared" si="92"/>
        <v>0.13435666899703821</v>
      </c>
      <c r="AP136" s="121">
        <f t="shared" si="71"/>
        <v>0.51775506113184377</v>
      </c>
      <c r="AQ136">
        <f t="shared" si="72"/>
        <v>0</v>
      </c>
      <c r="AR136">
        <v>0</v>
      </c>
      <c r="AS136">
        <f t="shared" si="53"/>
        <v>0</v>
      </c>
      <c r="AT136">
        <f t="shared" si="73"/>
        <v>0</v>
      </c>
      <c r="AU136">
        <f>IFERROR(HLOOKUP(B136,'Real assumptions'!$B$43:$AL$44,2,TRUE)*($W$3/$U$2),0)</f>
        <v>0</v>
      </c>
      <c r="AV136">
        <f>AV135*(1+'Real assumptions'!$B$35)^(1/12)</f>
        <v>1.1369691026911937</v>
      </c>
      <c r="AW136">
        <f t="shared" si="54"/>
        <v>2029</v>
      </c>
      <c r="AX136">
        <f t="shared" si="89"/>
        <v>86.627203798329916</v>
      </c>
      <c r="AY136">
        <f t="shared" si="90"/>
        <v>2.2242919255935822</v>
      </c>
      <c r="AZ136">
        <f t="shared" si="55"/>
        <v>402.08994481917352</v>
      </c>
      <c r="BA136">
        <f t="shared" si="74"/>
        <v>4.2739386677702607</v>
      </c>
      <c r="BB136">
        <f t="shared" si="75"/>
        <v>88.583333333333329</v>
      </c>
      <c r="BC136">
        <f t="shared" si="56"/>
        <v>53.149999999999991</v>
      </c>
      <c r="BD136">
        <f t="shared" si="76"/>
        <v>0</v>
      </c>
      <c r="BE136">
        <f t="shared" si="57"/>
        <v>24</v>
      </c>
      <c r="BF136">
        <f t="shared" si="91"/>
        <v>5000</v>
      </c>
      <c r="BU136"/>
      <c r="FD136"/>
      <c r="FE136"/>
    </row>
    <row r="137" spans="1:161" x14ac:dyDescent="0.25">
      <c r="A137" s="7">
        <f t="shared" si="77"/>
        <v>47269</v>
      </c>
      <c r="B137">
        <f t="shared" si="58"/>
        <v>126</v>
      </c>
      <c r="C137">
        <f t="shared" si="59"/>
        <v>10.416666666666666</v>
      </c>
      <c r="D137">
        <f t="shared" si="60"/>
        <v>0</v>
      </c>
      <c r="E137">
        <f t="shared" si="61"/>
        <v>62</v>
      </c>
      <c r="F137">
        <f>IF(C137&gt;=$T$2,0,VLOOKUP($E137,EKM_F05!$A$3:$C$128,2,TRUE))</f>
        <v>8.8687179487179496E-3</v>
      </c>
      <c r="G137">
        <f>F137*'Real assumptions'!$B$3</f>
        <v>3.7009160000000003E-3</v>
      </c>
      <c r="H137">
        <f t="shared" si="78"/>
        <v>3.0893404784115841E-4</v>
      </c>
      <c r="I137">
        <f t="shared" si="79"/>
        <v>1.6243248818310983E-4</v>
      </c>
      <c r="J137">
        <f>IF(B137&gt;$AJ$2,0,HLOOKUP(C137,'Real assumptions'!$B$5:$L$8,4,TRUE))</f>
        <v>3.7900000000000003E-2</v>
      </c>
      <c r="K137">
        <f t="shared" si="48"/>
        <v>1</v>
      </c>
      <c r="L137">
        <f t="shared" si="80"/>
        <v>8.3333333333333329E-2</v>
      </c>
      <c r="M137">
        <f t="shared" si="81"/>
        <v>3.2145624959929453E-3</v>
      </c>
      <c r="N137">
        <f t="shared" si="82"/>
        <v>1.6926240263106041E-3</v>
      </c>
      <c r="O137" s="8">
        <f t="shared" si="62"/>
        <v>0.5247750909501</v>
      </c>
      <c r="P137">
        <f t="shared" si="63"/>
        <v>12.639123539150251</v>
      </c>
      <c r="Q137">
        <f t="shared" si="83"/>
        <v>0.81216244091554912</v>
      </c>
      <c r="R137" s="89">
        <f t="shared" si="49"/>
        <v>5000</v>
      </c>
      <c r="S137">
        <f t="shared" si="50"/>
        <v>0.5</v>
      </c>
      <c r="U137">
        <f>O136*AV136*'Real assumptions'!$B$33/12+AX137*'Real assumptions'!$B$34</f>
        <v>6.011962297929708</v>
      </c>
      <c r="V137">
        <f>IF(P137=0,0,IF(E137&lt;=$C$7,$AN$5*O136,0))*'Real assumptions'!$D$28</f>
        <v>3.1597808847875628</v>
      </c>
      <c r="X137" s="94">
        <f t="shared" si="64"/>
        <v>0</v>
      </c>
      <c r="Y137">
        <f t="shared" si="51"/>
        <v>24</v>
      </c>
      <c r="Z137">
        <f t="shared" si="84"/>
        <v>88</v>
      </c>
      <c r="AA137">
        <f t="shared" si="52"/>
        <v>88.5</v>
      </c>
      <c r="AB137">
        <f t="shared" si="65"/>
        <v>50.505050505050505</v>
      </c>
      <c r="AC137">
        <f t="shared" si="85"/>
        <v>4469.69696969697</v>
      </c>
      <c r="AD137">
        <f t="shared" si="66"/>
        <v>80.505050505050505</v>
      </c>
      <c r="AE137">
        <f t="shared" si="67"/>
        <v>356.23484848484844</v>
      </c>
      <c r="AF137" s="94">
        <f t="shared" si="68"/>
        <v>174.06818181818159</v>
      </c>
      <c r="AG137">
        <f t="shared" si="86"/>
        <v>0.29463198676165681</v>
      </c>
      <c r="AH137">
        <f t="shared" si="69"/>
        <v>91.346645945154791</v>
      </c>
      <c r="AI137">
        <f>HLOOKUP(AW137,'Real assumptions'!$A$21:$AK$24,2,TRUE)</f>
        <v>1.7849999999999999</v>
      </c>
      <c r="AJ137" s="123">
        <f t="shared" si="87"/>
        <v>1.475467393408314E-3</v>
      </c>
      <c r="AK137" s="122">
        <f>(1+HLOOKUP(YEAR(A137),'Real assumptions'!$A$21:$AK$24,2,TRUE)/100)^(1/12)-1</f>
        <v>1.475467393408314E-3</v>
      </c>
      <c r="AL137">
        <f t="shared" si="88"/>
        <v>6.011962297929708</v>
      </c>
      <c r="AM137">
        <f>('Real assumptions'!$B$33/12)*O136*AV136</f>
        <v>5.9876220621295024</v>
      </c>
      <c r="AN137">
        <f t="shared" si="70"/>
        <v>93.261579216856262</v>
      </c>
      <c r="AO137">
        <f t="shared" si="92"/>
        <v>0.1376044191922379</v>
      </c>
      <c r="AP137" s="121">
        <f t="shared" si="71"/>
        <v>0.65535948032408164</v>
      </c>
      <c r="AQ137">
        <f t="shared" si="72"/>
        <v>0</v>
      </c>
      <c r="AR137">
        <v>0</v>
      </c>
      <c r="AS137">
        <f t="shared" si="53"/>
        <v>0</v>
      </c>
      <c r="AT137">
        <f t="shared" si="73"/>
        <v>0</v>
      </c>
      <c r="AU137">
        <f>IFERROR(HLOOKUP(B137,'Real assumptions'!$B$43:$AL$44,2,TRUE)*($W$3/$U$2),0)</f>
        <v>0</v>
      </c>
      <c r="AV137">
        <f>AV136*(1+'Real assumptions'!$B$35)^(1/12)</f>
        <v>1.1381467139081411</v>
      </c>
      <c r="AW137">
        <f t="shared" si="54"/>
        <v>2029</v>
      </c>
      <c r="AX137">
        <f t="shared" si="89"/>
        <v>88.850874825234172</v>
      </c>
      <c r="AY137">
        <f t="shared" si="90"/>
        <v>2.2164568495984587</v>
      </c>
      <c r="AZ137">
        <f t="shared" si="55"/>
        <v>405.04380135072734</v>
      </c>
      <c r="BA137">
        <f t="shared" si="74"/>
        <v>4.2665753124647683</v>
      </c>
      <c r="BB137">
        <f t="shared" si="75"/>
        <v>88.5</v>
      </c>
      <c r="BC137">
        <f t="shared" si="56"/>
        <v>53.099999999999994</v>
      </c>
      <c r="BD137">
        <f t="shared" si="76"/>
        <v>0</v>
      </c>
      <c r="BE137">
        <f t="shared" si="57"/>
        <v>24</v>
      </c>
      <c r="BF137">
        <f t="shared" si="91"/>
        <v>5000</v>
      </c>
      <c r="BU137"/>
      <c r="FD137"/>
      <c r="FE137"/>
    </row>
    <row r="138" spans="1:161" x14ac:dyDescent="0.25">
      <c r="A138" s="7">
        <f t="shared" si="77"/>
        <v>47299</v>
      </c>
      <c r="B138">
        <f t="shared" si="58"/>
        <v>127</v>
      </c>
      <c r="C138">
        <f t="shared" si="59"/>
        <v>10.5</v>
      </c>
      <c r="D138">
        <f t="shared" si="60"/>
        <v>0</v>
      </c>
      <c r="E138">
        <f t="shared" si="61"/>
        <v>62</v>
      </c>
      <c r="F138">
        <f>IF(C138&gt;=$T$2,0,VLOOKUP($E138,EKM_F05!$A$3:$C$128,2,TRUE))</f>
        <v>8.8687179487179496E-3</v>
      </c>
      <c r="G138">
        <f>F138*'Real assumptions'!$B$3</f>
        <v>3.7009160000000003E-3</v>
      </c>
      <c r="H138">
        <f t="shared" si="78"/>
        <v>3.0893404784115841E-4</v>
      </c>
      <c r="I138">
        <f t="shared" si="79"/>
        <v>1.6186031918211325E-4</v>
      </c>
      <c r="J138">
        <f>IF(B138&gt;$AJ$2,0,HLOOKUP(C138,'Real assumptions'!$B$5:$L$8,4,TRUE))</f>
        <v>3.7900000000000003E-2</v>
      </c>
      <c r="K138">
        <f t="shared" si="48"/>
        <v>1</v>
      </c>
      <c r="L138">
        <f t="shared" si="80"/>
        <v>8.3333333333333329E-2</v>
      </c>
      <c r="M138">
        <f t="shared" si="81"/>
        <v>3.2145624959929453E-3</v>
      </c>
      <c r="N138">
        <f t="shared" si="82"/>
        <v>1.6866617523281649E-3</v>
      </c>
      <c r="O138" s="8">
        <f t="shared" si="62"/>
        <v>0.52292656887858979</v>
      </c>
      <c r="P138">
        <f t="shared" si="63"/>
        <v>12.594602182802401</v>
      </c>
      <c r="Q138">
        <f t="shared" si="83"/>
        <v>0.80930159591056627</v>
      </c>
      <c r="R138" s="89">
        <f t="shared" si="49"/>
        <v>5000</v>
      </c>
      <c r="S138">
        <f t="shared" si="50"/>
        <v>0.41666666666666607</v>
      </c>
      <c r="U138">
        <f>O137*AV137*'Real assumptions'!$B$33/12+AX138*'Real assumptions'!$B$34</f>
        <v>5.9976564162825277</v>
      </c>
      <c r="V138">
        <f>IF(P138=0,0,IF(E138&lt;=$C$7,$AN$5*O137,0))*'Real assumptions'!$D$28</f>
        <v>3.1486505457006002</v>
      </c>
      <c r="X138" s="94">
        <f t="shared" si="64"/>
        <v>0</v>
      </c>
      <c r="Y138">
        <f t="shared" si="51"/>
        <v>24</v>
      </c>
      <c r="Z138">
        <f t="shared" si="84"/>
        <v>88</v>
      </c>
      <c r="AA138">
        <f t="shared" si="52"/>
        <v>88.416666666666671</v>
      </c>
      <c r="AB138">
        <f t="shared" si="65"/>
        <v>50.505050505050505</v>
      </c>
      <c r="AC138">
        <f t="shared" si="85"/>
        <v>4465.4882154882162</v>
      </c>
      <c r="AD138">
        <f t="shared" si="66"/>
        <v>80.505050505050505</v>
      </c>
      <c r="AE138">
        <f t="shared" si="67"/>
        <v>355.8994107744108</v>
      </c>
      <c r="AF138" s="94">
        <f t="shared" si="68"/>
        <v>178.61237373737305</v>
      </c>
      <c r="AG138">
        <f t="shared" si="86"/>
        <v>0.30125865927537071</v>
      </c>
      <c r="AH138">
        <f t="shared" si="69"/>
        <v>93.401155757744831</v>
      </c>
      <c r="AI138">
        <f>HLOOKUP(AW138,'Real assumptions'!$A$21:$AK$24,2,TRUE)</f>
        <v>1.7849999999999999</v>
      </c>
      <c r="AJ138" s="123">
        <f t="shared" si="87"/>
        <v>1.475467393408314E-3</v>
      </c>
      <c r="AK138" s="122">
        <f>(1+HLOOKUP(YEAR(A138),'Real assumptions'!$A$21:$AK$24,2,TRUE)/100)^(1/12)-1</f>
        <v>1.475467393408314E-3</v>
      </c>
      <c r="AL138">
        <f t="shared" si="88"/>
        <v>5.9976564162825277</v>
      </c>
      <c r="AM138">
        <f>('Real assumptions'!$B$33/12)*O137*AV137</f>
        <v>5.9727104530570223</v>
      </c>
      <c r="AN138">
        <f t="shared" si="70"/>
        <v>95.450300646298146</v>
      </c>
      <c r="AO138">
        <f t="shared" si="92"/>
        <v>0.14083380629463343</v>
      </c>
      <c r="AP138" s="121">
        <f t="shared" si="71"/>
        <v>0.79619328661871513</v>
      </c>
      <c r="AQ138">
        <f t="shared" si="72"/>
        <v>0</v>
      </c>
      <c r="AR138">
        <v>0</v>
      </c>
      <c r="AS138">
        <f t="shared" si="53"/>
        <v>0</v>
      </c>
      <c r="AT138">
        <f t="shared" si="73"/>
        <v>0</v>
      </c>
      <c r="AU138">
        <f>IFERROR(HLOOKUP(B138,'Real assumptions'!$B$43:$AL$44,2,TRUE)*($W$3/$U$2),0)</f>
        <v>0</v>
      </c>
      <c r="AV138">
        <f>AV137*(1+'Real assumptions'!$B$35)^(1/12)</f>
        <v>1.1393255448312136</v>
      </c>
      <c r="AW138">
        <f t="shared" si="54"/>
        <v>2029</v>
      </c>
      <c r="AX138">
        <f t="shared" si="89"/>
        <v>91.062004252463865</v>
      </c>
      <c r="AY138">
        <f t="shared" si="90"/>
        <v>2.2086493726856058</v>
      </c>
      <c r="AZ138">
        <f t="shared" si="55"/>
        <v>407.97916523815582</v>
      </c>
      <c r="BA138">
        <f t="shared" si="74"/>
        <v>4.259210800886537</v>
      </c>
      <c r="BB138">
        <f t="shared" si="75"/>
        <v>88.416666666666671</v>
      </c>
      <c r="BC138">
        <f t="shared" si="56"/>
        <v>53.05</v>
      </c>
      <c r="BD138">
        <f t="shared" si="76"/>
        <v>0</v>
      </c>
      <c r="BE138">
        <f t="shared" si="57"/>
        <v>24</v>
      </c>
      <c r="BF138">
        <f t="shared" si="91"/>
        <v>5000</v>
      </c>
      <c r="BU138"/>
      <c r="FD138"/>
      <c r="FE138"/>
    </row>
    <row r="139" spans="1:161" x14ac:dyDescent="0.25">
      <c r="A139" s="7">
        <f t="shared" si="77"/>
        <v>47330</v>
      </c>
      <c r="B139">
        <f t="shared" si="58"/>
        <v>128</v>
      </c>
      <c r="C139">
        <f t="shared" si="59"/>
        <v>10.583333333333334</v>
      </c>
      <c r="D139">
        <f t="shared" si="60"/>
        <v>0</v>
      </c>
      <c r="E139">
        <f t="shared" si="61"/>
        <v>62</v>
      </c>
      <c r="F139">
        <f>IF(C139&gt;=$T$2,0,VLOOKUP($E139,EKM_F05!$A$3:$C$128,2,TRUE))</f>
        <v>8.8687179487179496E-3</v>
      </c>
      <c r="G139">
        <f>F139*'Real assumptions'!$B$3</f>
        <v>3.7009160000000003E-3</v>
      </c>
      <c r="H139">
        <f t="shared" si="78"/>
        <v>3.0893404784115841E-4</v>
      </c>
      <c r="I139">
        <f t="shared" si="79"/>
        <v>1.612901656484001E-4</v>
      </c>
      <c r="J139">
        <f>IF(B139&gt;$AJ$2,0,HLOOKUP(C139,'Real assumptions'!$B$5:$L$8,4,TRUE))</f>
        <v>3.7900000000000003E-2</v>
      </c>
      <c r="K139">
        <f t="shared" si="48"/>
        <v>1</v>
      </c>
      <c r="L139">
        <f t="shared" si="80"/>
        <v>8.3333333333333329E-2</v>
      </c>
      <c r="M139">
        <f t="shared" si="81"/>
        <v>3.2145624959929453E-3</v>
      </c>
      <c r="N139">
        <f t="shared" si="82"/>
        <v>1.6807204804764355E-3</v>
      </c>
      <c r="O139" s="8">
        <f t="shared" si="62"/>
        <v>0.52108455823246502</v>
      </c>
      <c r="P139">
        <f t="shared" si="63"/>
        <v>12.550237653086155</v>
      </c>
      <c r="Q139">
        <f t="shared" si="83"/>
        <v>0.80645082824200054</v>
      </c>
      <c r="R139" s="89">
        <f t="shared" si="49"/>
        <v>5000</v>
      </c>
      <c r="S139">
        <f t="shared" si="50"/>
        <v>0.33333333333333393</v>
      </c>
      <c r="U139">
        <f>O138*AV138*'Real assumptions'!$B$33/12+AX139*'Real assumptions'!$B$34</f>
        <v>5.9833842532281132</v>
      </c>
      <c r="V139">
        <f>IF(P139=0,0,IF(E139&lt;=$C$7,$AN$5*O138,0))*'Real assumptions'!$D$28</f>
        <v>3.1375594132715388</v>
      </c>
      <c r="X139" s="94">
        <f t="shared" si="64"/>
        <v>0</v>
      </c>
      <c r="Y139">
        <f t="shared" si="51"/>
        <v>24</v>
      </c>
      <c r="Z139">
        <f t="shared" si="84"/>
        <v>88</v>
      </c>
      <c r="AA139">
        <f t="shared" si="52"/>
        <v>88.333333333333329</v>
      </c>
      <c r="AB139">
        <f t="shared" si="65"/>
        <v>50.505050505050505</v>
      </c>
      <c r="AC139">
        <f t="shared" si="85"/>
        <v>4461.2794612794614</v>
      </c>
      <c r="AD139">
        <f t="shared" si="66"/>
        <v>80.505050505050505</v>
      </c>
      <c r="AE139">
        <f t="shared" si="67"/>
        <v>355.56397306397304</v>
      </c>
      <c r="AF139" s="94">
        <f t="shared" si="68"/>
        <v>183.15656565656553</v>
      </c>
      <c r="AG139">
        <f t="shared" si="86"/>
        <v>0.30783499103271661</v>
      </c>
      <c r="AH139">
        <f t="shared" si="69"/>
        <v>95.440058102526919</v>
      </c>
      <c r="AI139">
        <f>HLOOKUP(AW139,'Real assumptions'!$A$21:$AK$24,2,TRUE)</f>
        <v>1.7849999999999999</v>
      </c>
      <c r="AJ139" s="123">
        <f t="shared" si="87"/>
        <v>1.475467393408314E-3</v>
      </c>
      <c r="AK139" s="122">
        <f>(1+HLOOKUP(YEAR(A139),'Real assumptions'!$A$21:$AK$24,2,TRUE)/100)^(1/12)-1</f>
        <v>1.475467393408314E-3</v>
      </c>
      <c r="AL139">
        <f t="shared" si="88"/>
        <v>5.9833842532281132</v>
      </c>
      <c r="AM139">
        <f>('Real assumptions'!$B$33/12)*O138*AV138</f>
        <v>5.9578359799431642</v>
      </c>
      <c r="AN139">
        <f t="shared" si="70"/>
        <v>97.626643030950063</v>
      </c>
      <c r="AO139">
        <f t="shared" si="92"/>
        <v>0.14404492852007983</v>
      </c>
      <c r="AP139" s="121">
        <f t="shared" si="71"/>
        <v>0.94023821513879491</v>
      </c>
      <c r="AQ139">
        <f t="shared" si="72"/>
        <v>0</v>
      </c>
      <c r="AR139">
        <v>0</v>
      </c>
      <c r="AS139">
        <f t="shared" si="53"/>
        <v>0</v>
      </c>
      <c r="AT139">
        <f t="shared" si="73"/>
        <v>0</v>
      </c>
      <c r="AU139">
        <f>IFERROR(HLOOKUP(B139,'Real assumptions'!$B$43:$AL$44,2,TRUE)*($W$3/$U$2),0)</f>
        <v>0</v>
      </c>
      <c r="AV139">
        <f>AV138*(1+'Real assumptions'!$B$35)^(1/12)</f>
        <v>1.1405055967237165</v>
      </c>
      <c r="AW139">
        <f t="shared" si="54"/>
        <v>2029</v>
      </c>
      <c r="AX139">
        <f t="shared" si="89"/>
        <v>93.260659028729179</v>
      </c>
      <c r="AY139">
        <f t="shared" si="90"/>
        <v>2.2008693976371623</v>
      </c>
      <c r="AZ139">
        <f t="shared" si="55"/>
        <v>410.89613336096642</v>
      </c>
      <c r="BA139">
        <f t="shared" si="74"/>
        <v>4.2518452325462555</v>
      </c>
      <c r="BB139">
        <f t="shared" si="75"/>
        <v>88.333333333333329</v>
      </c>
      <c r="BC139">
        <f t="shared" si="56"/>
        <v>53</v>
      </c>
      <c r="BD139">
        <f t="shared" si="76"/>
        <v>0</v>
      </c>
      <c r="BE139">
        <f t="shared" si="57"/>
        <v>24</v>
      </c>
      <c r="BF139">
        <f t="shared" si="91"/>
        <v>5000</v>
      </c>
      <c r="BU139"/>
      <c r="FD139"/>
      <c r="FE139"/>
    </row>
    <row r="140" spans="1:161" x14ac:dyDescent="0.25">
      <c r="A140" s="7">
        <f t="shared" si="77"/>
        <v>47361</v>
      </c>
      <c r="B140">
        <f t="shared" si="58"/>
        <v>129</v>
      </c>
      <c r="C140">
        <f t="shared" si="59"/>
        <v>10.666666666666666</v>
      </c>
      <c r="D140">
        <f t="shared" si="60"/>
        <v>0</v>
      </c>
      <c r="E140">
        <f t="shared" si="61"/>
        <v>62</v>
      </c>
      <c r="F140">
        <f>IF(C140&gt;=$T$2,0,VLOOKUP($E140,EKM_F05!$A$3:$C$128,2,TRUE))</f>
        <v>8.8687179487179496E-3</v>
      </c>
      <c r="G140">
        <f>F140*'Real assumptions'!$B$3</f>
        <v>3.7009160000000003E-3</v>
      </c>
      <c r="H140">
        <f t="shared" si="78"/>
        <v>3.0893404784115841E-4</v>
      </c>
      <c r="I140">
        <f t="shared" si="79"/>
        <v>1.6072202048247997E-4</v>
      </c>
      <c r="J140">
        <f>IF(B140&gt;$AJ$2,0,HLOOKUP(C140,'Real assumptions'!$B$5:$L$8,4,TRUE))</f>
        <v>3.7900000000000003E-2</v>
      </c>
      <c r="K140">
        <f t="shared" ref="K140:K203" si="93">IF(B140&gt;$AJ$2,0,IF(($U$2*(B140+11))/12-INT(($U$2*(B140+11))/12)=0,1,0))</f>
        <v>1</v>
      </c>
      <c r="L140">
        <f t="shared" si="80"/>
        <v>8.3333333333333329E-2</v>
      </c>
      <c r="M140">
        <f t="shared" si="81"/>
        <v>3.2145624959929453E-3</v>
      </c>
      <c r="N140">
        <f t="shared" si="82"/>
        <v>1.6748001367753367E-3</v>
      </c>
      <c r="O140" s="8">
        <f t="shared" si="62"/>
        <v>0.51924903607520723</v>
      </c>
      <c r="P140">
        <f t="shared" si="63"/>
        <v>12.506029397579161</v>
      </c>
      <c r="Q140">
        <f t="shared" si="83"/>
        <v>0.80361010241239983</v>
      </c>
      <c r="R140" s="89">
        <f t="shared" ref="R140:R203" si="94">$AI$2</f>
        <v>5000</v>
      </c>
      <c r="S140">
        <f t="shared" ref="S140:S203" si="95">INT(B140/12)+1-B140/12</f>
        <v>0.25</v>
      </c>
      <c r="U140">
        <f>O139*AV139*'Real assumptions'!$B$33/12+AX140*'Real assumptions'!$B$34</f>
        <v>5.9691457345390315</v>
      </c>
      <c r="V140">
        <f>IF(P140=0,0,IF(E140&lt;=$C$7,$AN$5*O139,0))*'Real assumptions'!$D$28</f>
        <v>3.1265073493947901</v>
      </c>
      <c r="X140" s="94">
        <f t="shared" si="64"/>
        <v>0</v>
      </c>
      <c r="Y140">
        <f t="shared" ref="Y140:Y203" si="96">IF(P140=0,0,$AN$5)</f>
        <v>24</v>
      </c>
      <c r="Z140">
        <f t="shared" si="84"/>
        <v>88</v>
      </c>
      <c r="AA140">
        <f t="shared" ref="AA140:AA203" si="97">99-(B140/12)</f>
        <v>88.25</v>
      </c>
      <c r="AB140">
        <f t="shared" si="65"/>
        <v>50.505050505050505</v>
      </c>
      <c r="AC140">
        <f t="shared" si="85"/>
        <v>4457.0707070707067</v>
      </c>
      <c r="AD140">
        <f t="shared" si="66"/>
        <v>80.505050505050505</v>
      </c>
      <c r="AE140">
        <f t="shared" si="67"/>
        <v>355.22853535353534</v>
      </c>
      <c r="AF140" s="94">
        <f t="shared" si="68"/>
        <v>187.70075757575796</v>
      </c>
      <c r="AG140">
        <f t="shared" si="86"/>
        <v>0.31436125446071372</v>
      </c>
      <c r="AH140">
        <f t="shared" si="69"/>
        <v>97.463437441798476</v>
      </c>
      <c r="AI140">
        <f>HLOOKUP(AW140,'Real assumptions'!$A$21:$AK$24,2,TRUE)</f>
        <v>1.7849999999999999</v>
      </c>
      <c r="AJ140" s="123">
        <f t="shared" si="87"/>
        <v>1.475467393408314E-3</v>
      </c>
      <c r="AK140" s="122">
        <f>(1+HLOOKUP(YEAR(A140),'Real assumptions'!$A$21:$AK$24,2,TRUE)/100)^(1/12)-1</f>
        <v>1.475467393408314E-3</v>
      </c>
      <c r="AL140">
        <f t="shared" si="88"/>
        <v>5.9691457345390315</v>
      </c>
      <c r="AM140">
        <f>('Real assumptions'!$B$33/12)*O139*AV139</f>
        <v>5.942998550304317</v>
      </c>
      <c r="AN140">
        <f t="shared" si="70"/>
        <v>99.790672631311068</v>
      </c>
      <c r="AO140">
        <f t="shared" si="92"/>
        <v>0.14723788363378293</v>
      </c>
      <c r="AP140" s="121">
        <f t="shared" si="71"/>
        <v>1.0874760987725778</v>
      </c>
      <c r="AQ140">
        <f t="shared" si="72"/>
        <v>0</v>
      </c>
      <c r="AR140">
        <v>0</v>
      </c>
      <c r="AS140">
        <f t="shared" ref="AS140:AS203" si="98">IF(B140&gt;$B$12,IF(B140&lt;=$AJ$2,AT140,0),0)</f>
        <v>0</v>
      </c>
      <c r="AT140">
        <f t="shared" si="73"/>
        <v>0</v>
      </c>
      <c r="AU140">
        <f>IFERROR(HLOOKUP(B140,'Real assumptions'!$B$43:$AL$44,2,TRUE)*($W$3/$U$2),0)</f>
        <v>0</v>
      </c>
      <c r="AV140">
        <f>AV139*(1+'Real assumptions'!$B$35)^(1/12)</f>
        <v>1.1416868708502643</v>
      </c>
      <c r="AW140">
        <f t="shared" ref="AW140:AW203" si="99">YEAR(A140)</f>
        <v>2029</v>
      </c>
      <c r="AX140">
        <f t="shared" si="89"/>
        <v>95.446905795848636</v>
      </c>
      <c r="AY140">
        <f t="shared" si="90"/>
        <v>2.1931168275777146</v>
      </c>
      <c r="AZ140">
        <f t="shared" ref="AZ140:AZ203" si="100">(AZ141+BA141-P141+U141+AQ141)/((1+AJ141))</f>
        <v>413.79480216459029</v>
      </c>
      <c r="BA140">
        <f t="shared" si="74"/>
        <v>4.2444787062679037</v>
      </c>
      <c r="BB140">
        <f t="shared" si="75"/>
        <v>88.25</v>
      </c>
      <c r="BC140">
        <f t="shared" ref="BC140:BC203" si="101">$AQ$5*BB140+IF($W$3=0,0,$AP$5*AA140)</f>
        <v>52.95</v>
      </c>
      <c r="BD140">
        <f t="shared" si="76"/>
        <v>0</v>
      </c>
      <c r="BE140">
        <f t="shared" ref="BE140:BE203" si="102">IF(B140=1,$AR$5,IF(P140=0,0,$W$3/$U$2))</f>
        <v>24</v>
      </c>
      <c r="BF140">
        <f t="shared" si="91"/>
        <v>5000</v>
      </c>
      <c r="BU140"/>
      <c r="FD140"/>
      <c r="FE140"/>
    </row>
    <row r="141" spans="1:161" x14ac:dyDescent="0.25">
      <c r="A141" s="7">
        <f t="shared" si="77"/>
        <v>47391</v>
      </c>
      <c r="B141">
        <f t="shared" ref="B141:B204" si="103">B140+1</f>
        <v>130</v>
      </c>
      <c r="C141">
        <f t="shared" ref="C141:C204" si="104">(B141+11)/12-1</f>
        <v>10.75</v>
      </c>
      <c r="D141">
        <f t="shared" ref="D141:D204" si="105">IF(C141-INT(C141)=0,1,0)</f>
        <v>0</v>
      </c>
      <c r="E141">
        <f t="shared" ref="E141:E204" si="106">$C$2+INT($C141)</f>
        <v>62</v>
      </c>
      <c r="F141">
        <f>IF(C141&gt;=$T$2,0,VLOOKUP($E141,EKM_F05!$A$3:$C$128,2,TRUE))</f>
        <v>8.8687179487179496E-3</v>
      </c>
      <c r="G141">
        <f>F141*'Real assumptions'!$B$3</f>
        <v>3.7009160000000003E-3</v>
      </c>
      <c r="H141">
        <f t="shared" si="78"/>
        <v>3.0893404784115841E-4</v>
      </c>
      <c r="I141">
        <f t="shared" si="79"/>
        <v>1.6015587660987029E-4</v>
      </c>
      <c r="J141">
        <f>IF(B141&gt;$AJ$2,0,HLOOKUP(C141,'Real assumptions'!$B$5:$L$8,4,TRUE))</f>
        <v>3.7900000000000003E-2</v>
      </c>
      <c r="K141">
        <f t="shared" si="93"/>
        <v>1</v>
      </c>
      <c r="L141">
        <f t="shared" si="80"/>
        <v>8.3333333333333329E-2</v>
      </c>
      <c r="M141">
        <f t="shared" si="81"/>
        <v>3.2145624959929453E-3</v>
      </c>
      <c r="N141">
        <f t="shared" si="82"/>
        <v>1.6689006475053858E-3</v>
      </c>
      <c r="O141" s="8">
        <f t="shared" ref="O141:O204" si="107">IF(E142&gt;$C$5,0,IF(B141&gt;$AJ$2,0,O140-I141-N141))</f>
        <v>0.51741997955109198</v>
      </c>
      <c r="P141">
        <f t="shared" ref="P141:P204" si="108">IF($U$2=0,0,$W$3/$U$2*K141*O140)</f>
        <v>12.461976865804974</v>
      </c>
      <c r="Q141">
        <f t="shared" si="83"/>
        <v>0.80077938304935148</v>
      </c>
      <c r="R141" s="89">
        <f t="shared" si="94"/>
        <v>5000</v>
      </c>
      <c r="S141">
        <f t="shared" si="95"/>
        <v>0.16666666666666607</v>
      </c>
      <c r="U141">
        <f>O140*AV140*'Real assumptions'!$B$33/12+AX141*'Real assumptions'!$B$34</f>
        <v>5.9549407861344745</v>
      </c>
      <c r="V141">
        <f>IF(P141=0,0,IF(E141&lt;=$C$7,$AN$5*O140,0))*'Real assumptions'!$D$28</f>
        <v>3.1154942164512436</v>
      </c>
      <c r="X141" s="94">
        <f t="shared" ref="X141:X204" si="109">IF($U$2=12,0,IF($AM$2&lt;&gt;0,0,X140+Y141-($AN$5*($U$2/12))))</f>
        <v>0</v>
      </c>
      <c r="Y141">
        <f t="shared" si="96"/>
        <v>24</v>
      </c>
      <c r="Z141">
        <f t="shared" si="84"/>
        <v>88</v>
      </c>
      <c r="AA141">
        <f t="shared" si="97"/>
        <v>88.166666666666671</v>
      </c>
      <c r="AB141">
        <f t="shared" ref="AB141:AB204" si="110">IF($AM$2&lt;&gt;0,0,R141/99)</f>
        <v>50.505050505050505</v>
      </c>
      <c r="AC141">
        <f t="shared" si="85"/>
        <v>4452.8619528619529</v>
      </c>
      <c r="AD141">
        <f t="shared" ref="AD141:AD204" si="111">IF($AM$2&lt;&gt;0,0,AB141+$Q$4*$AI$2+$Q$5*$AI$2)</f>
        <v>80.505050505050505</v>
      </c>
      <c r="AE141">
        <f t="shared" ref="AE141:AE204" si="112">MIN($C$6*AD141*AA141,$AI$2-AC141+BD141)</f>
        <v>354.89309764309763</v>
      </c>
      <c r="AF141" s="94">
        <f t="shared" ref="AF141:AF204" si="113">MAX(($AI$2+$Y$2-AC141-AE141+X141+BD141),0)</f>
        <v>192.24494949494948</v>
      </c>
      <c r="AG141">
        <f t="shared" si="86"/>
        <v>0.32083772069176136</v>
      </c>
      <c r="AH141">
        <f t="shared" ref="AH141:AH204" si="114">AF141*O141</f>
        <v>99.471377836477473</v>
      </c>
      <c r="AI141">
        <f>HLOOKUP(AW141,'Real assumptions'!$A$21:$AK$24,2,TRUE)</f>
        <v>1.7849999999999999</v>
      </c>
      <c r="AJ141" s="123">
        <f t="shared" si="87"/>
        <v>1.475467393408314E-3</v>
      </c>
      <c r="AK141" s="122">
        <f>(1+HLOOKUP(YEAR(A141),'Real assumptions'!$A$21:$AK$24,2,TRUE)/100)^(1/12)-1</f>
        <v>1.475467393408314E-3</v>
      </c>
      <c r="AL141">
        <f t="shared" si="88"/>
        <v>5.9549407861344745</v>
      </c>
      <c r="AM141">
        <f>('Real assumptions'!$B$33/12)*O140*AV140</f>
        <v>5.9281980718871932</v>
      </c>
      <c r="AN141">
        <f t="shared" ref="AN141:AN204" si="115">AP140+P141+AH140-V141-AL141</f>
        <v>101.94245540379032</v>
      </c>
      <c r="AO141">
        <f t="shared" si="92"/>
        <v>0.15041276895227379</v>
      </c>
      <c r="AP141" s="121">
        <f t="shared" ref="AP141:AP204" si="116">IF(MONTH(A141)=12,0,AP140+AO141)</f>
        <v>1.2378888677248516</v>
      </c>
      <c r="AQ141">
        <f t="shared" ref="AQ141:AQ204" si="117">IF(P141=0,0,AR141+AS141)</f>
        <v>0</v>
      </c>
      <c r="AR141">
        <v>0</v>
      </c>
      <c r="AS141">
        <f t="shared" si="98"/>
        <v>0</v>
      </c>
      <c r="AT141">
        <f t="shared" ref="AT141:AT204" si="118">IF(OR(B141&lt;=$B$12,B141&gt;$AJ$2),0,AU141*O140)</f>
        <v>0</v>
      </c>
      <c r="AU141">
        <f>IFERROR(HLOOKUP(B141,'Real assumptions'!$B$43:$AL$44,2,TRUE)*($W$3/$U$2),0)</f>
        <v>0</v>
      </c>
      <c r="AV141">
        <f>AV140*(1+'Real assumptions'!$B$35)^(1/12)</f>
        <v>1.142869368476781</v>
      </c>
      <c r="AW141">
        <f t="shared" si="99"/>
        <v>2029</v>
      </c>
      <c r="AX141">
        <f t="shared" si="89"/>
        <v>97.620810890092912</v>
      </c>
      <c r="AY141">
        <f t="shared" si="90"/>
        <v>2.1853915659730943</v>
      </c>
      <c r="AZ141">
        <f t="shared" si="100"/>
        <v>416.67526766222409</v>
      </c>
      <c r="BA141">
        <f t="shared" ref="BA141:BA204" si="119">AG141+V141+Q141</f>
        <v>4.2371113201923567</v>
      </c>
      <c r="BB141">
        <f t="shared" ref="BB141:BB204" si="120">Z142+IF(S141=1,0,S141)</f>
        <v>88.166666666666671</v>
      </c>
      <c r="BC141">
        <f t="shared" si="101"/>
        <v>52.900000000000006</v>
      </c>
      <c r="BD141">
        <f t="shared" ref="BD141:BD204" si="121">(BC141/100)*($AI$2+$Y$2)-AA141*(AD141-AB141)</f>
        <v>0</v>
      </c>
      <c r="BE141">
        <f t="shared" si="102"/>
        <v>24</v>
      </c>
      <c r="BF141">
        <f t="shared" si="91"/>
        <v>5000</v>
      </c>
      <c r="BU141"/>
      <c r="FD141"/>
      <c r="FE141"/>
    </row>
    <row r="142" spans="1:161" x14ac:dyDescent="0.25">
      <c r="A142" s="7">
        <f t="shared" ref="A142:A205" si="122">DATE(YEAR(A141),MONTH(A141)+2,1)-1</f>
        <v>47422</v>
      </c>
      <c r="B142">
        <f t="shared" si="103"/>
        <v>131</v>
      </c>
      <c r="C142">
        <f t="shared" si="104"/>
        <v>10.833333333333334</v>
      </c>
      <c r="D142">
        <f t="shared" si="105"/>
        <v>0</v>
      </c>
      <c r="E142">
        <f t="shared" si="106"/>
        <v>62</v>
      </c>
      <c r="F142">
        <f>IF(C142&gt;=$T$2,0,VLOOKUP($E142,EKM_F05!$A$3:$C$128,2,TRUE))</f>
        <v>8.8687179487179496E-3</v>
      </c>
      <c r="G142">
        <f>F142*'Real assumptions'!$B$3</f>
        <v>3.7009160000000003E-3</v>
      </c>
      <c r="H142">
        <f t="shared" ref="H142:H205" si="123">(1-(1-G142)^(1/12))</f>
        <v>3.0893404784115841E-4</v>
      </c>
      <c r="I142">
        <f t="shared" ref="I142:I205" si="124">H142*O141*(1-M142/2)</f>
        <v>1.5959172698100848E-4</v>
      </c>
      <c r="J142">
        <f>IF(B142&gt;$AJ$2,0,HLOOKUP(C142,'Real assumptions'!$B$5:$L$8,4,TRUE))</f>
        <v>3.7900000000000003E-2</v>
      </c>
      <c r="K142">
        <f t="shared" si="93"/>
        <v>1</v>
      </c>
      <c r="L142">
        <f t="shared" ref="L142:L205" si="125">IF(B142&gt;$AJ$2,0,1/12)</f>
        <v>8.3333333333333329E-2</v>
      </c>
      <c r="M142">
        <f t="shared" ref="M142:M205" si="126">(1-(1-J142)^L142)</f>
        <v>3.2145624959929453E-3</v>
      </c>
      <c r="N142">
        <f t="shared" ref="N142:N205" si="127">M142*O141*(1-H142/2)</f>
        <v>1.663021939206777E-3</v>
      </c>
      <c r="O142" s="8">
        <f t="shared" si="107"/>
        <v>0.51559736588490424</v>
      </c>
      <c r="P142">
        <f t="shared" si="108"/>
        <v>12.418079509226207</v>
      </c>
      <c r="Q142">
        <f t="shared" ref="Q142:Q205" si="128">BF142*I142</f>
        <v>0.79795863490504237</v>
      </c>
      <c r="R142" s="89">
        <f t="shared" si="94"/>
        <v>5000</v>
      </c>
      <c r="S142">
        <f t="shared" si="95"/>
        <v>8.3333333333333925E-2</v>
      </c>
      <c r="U142">
        <f>O141*AV141*'Real assumptions'!$B$33/12+AX142*'Real assumptions'!$B$34</f>
        <v>5.9407693340800414</v>
      </c>
      <c r="V142">
        <f>IF(P142=0,0,IF(E142&lt;=$C$7,$AN$5*O141,0))*'Real assumptions'!$D$28</f>
        <v>3.1045198773065517</v>
      </c>
      <c r="X142" s="94">
        <f t="shared" si="109"/>
        <v>0</v>
      </c>
      <c r="Y142">
        <f t="shared" si="96"/>
        <v>24</v>
      </c>
      <c r="Z142">
        <f t="shared" ref="Z142:Z205" si="129">IF(S140=1,Z141-1,Z141)</f>
        <v>88</v>
      </c>
      <c r="AA142">
        <f t="shared" si="97"/>
        <v>88.083333333333329</v>
      </c>
      <c r="AB142">
        <f t="shared" si="110"/>
        <v>50.505050505050505</v>
      </c>
      <c r="AC142">
        <f t="shared" ref="AC142:AC205" si="130">AB142*AA142</f>
        <v>4448.6531986531982</v>
      </c>
      <c r="AD142">
        <f t="shared" si="111"/>
        <v>80.505050505050505</v>
      </c>
      <c r="AE142">
        <f t="shared" si="112"/>
        <v>354.55765993265987</v>
      </c>
      <c r="AF142" s="94">
        <f t="shared" si="113"/>
        <v>196.78914141414197</v>
      </c>
      <c r="AG142">
        <f t="shared" ref="AG142:AG205" si="131">IF(B142&lt;=$C$8,0,AF142*N142)</f>
        <v>0.32726465956938305</v>
      </c>
      <c r="AH142">
        <f t="shared" si="114"/>
        <v>101.46396294788352</v>
      </c>
      <c r="AI142">
        <f>HLOOKUP(AW142,'Real assumptions'!$A$21:$AK$24,2,TRUE)</f>
        <v>1.7849999999999999</v>
      </c>
      <c r="AJ142" s="123">
        <f t="shared" ref="AJ142:AJ205" si="132">((1+AI142/100)^(1/12))-1</f>
        <v>1.475467393408314E-3</v>
      </c>
      <c r="AK142" s="122">
        <f>(1+HLOOKUP(YEAR(A142),'Real assumptions'!$A$21:$AK$24,2,TRUE)/100)^(1/12)-1</f>
        <v>1.475467393408314E-3</v>
      </c>
      <c r="AL142">
        <f t="shared" ref="AL142:AL205" si="133">AQ142+U142</f>
        <v>5.9407693340800414</v>
      </c>
      <c r="AM142">
        <f>('Real assumptions'!$B$33/12)*O141*AV141</f>
        <v>5.9134344526682545</v>
      </c>
      <c r="AN142">
        <f t="shared" si="115"/>
        <v>104.08205700204192</v>
      </c>
      <c r="AO142">
        <f t="shared" si="92"/>
        <v>0.15356968134537835</v>
      </c>
      <c r="AP142" s="121">
        <f t="shared" si="116"/>
        <v>1.39145854907023</v>
      </c>
      <c r="AQ142">
        <f t="shared" si="117"/>
        <v>0</v>
      </c>
      <c r="AR142">
        <v>0</v>
      </c>
      <c r="AS142">
        <f t="shared" si="98"/>
        <v>0</v>
      </c>
      <c r="AT142">
        <f t="shared" si="118"/>
        <v>0</v>
      </c>
      <c r="AU142">
        <f>IFERROR(HLOOKUP(B142,'Real assumptions'!$B$43:$AL$44,2,TRUE)*($W$3/$U$2),0)</f>
        <v>0</v>
      </c>
      <c r="AV142">
        <f>AV141*(1+'Real assumptions'!$B$35)^(1/12)</f>
        <v>1.1440530908705016</v>
      </c>
      <c r="AW142">
        <f t="shared" si="99"/>
        <v>2029</v>
      </c>
      <c r="AX142">
        <f t="shared" ref="AX142:AX205" si="134">MAX(0,AH141+AP141-V142+AY142)</f>
        <v>99.782440343524939</v>
      </c>
      <c r="AY142">
        <f t="shared" ref="AY142:AY205" si="135">IF(P142=0,0,(AB142/$U$2)*O141)</f>
        <v>2.1776935166291747</v>
      </c>
      <c r="AZ142">
        <f t="shared" si="100"/>
        <v>419.53762543666465</v>
      </c>
      <c r="BA142">
        <f t="shared" si="119"/>
        <v>4.229743171780977</v>
      </c>
      <c r="BB142">
        <f t="shared" si="120"/>
        <v>88.083333333333329</v>
      </c>
      <c r="BC142">
        <f t="shared" si="101"/>
        <v>52.849999999999994</v>
      </c>
      <c r="BD142">
        <f t="shared" si="121"/>
        <v>0</v>
      </c>
      <c r="BE142">
        <f t="shared" si="102"/>
        <v>24</v>
      </c>
      <c r="BF142">
        <f t="shared" ref="BF142:BF205" si="136">((IF(B142&lt;13,BF141+BE142,$AI$2+$Y$2)))</f>
        <v>5000</v>
      </c>
      <c r="BU142"/>
      <c r="FD142"/>
      <c r="FE142"/>
    </row>
    <row r="143" spans="1:161" x14ac:dyDescent="0.25">
      <c r="A143" s="7">
        <f t="shared" si="122"/>
        <v>47452</v>
      </c>
      <c r="B143">
        <f t="shared" si="103"/>
        <v>132</v>
      </c>
      <c r="C143">
        <f t="shared" si="104"/>
        <v>10.916666666666666</v>
      </c>
      <c r="D143">
        <f t="shared" si="105"/>
        <v>0</v>
      </c>
      <c r="E143">
        <f t="shared" si="106"/>
        <v>62</v>
      </c>
      <c r="F143">
        <f>IF(C143&gt;=$T$2,0,VLOOKUP($E143,EKM_F05!$A$3:$C$128,2,TRUE))</f>
        <v>8.8687179487179496E-3</v>
      </c>
      <c r="G143">
        <f>F143*'Real assumptions'!$B$3</f>
        <v>3.7009160000000003E-3</v>
      </c>
      <c r="H143">
        <f t="shared" si="123"/>
        <v>3.0893404784115841E-4</v>
      </c>
      <c r="I143">
        <f t="shared" si="124"/>
        <v>1.5902956457116408E-4</v>
      </c>
      <c r="J143">
        <f>IF(B143&gt;$AJ$2,0,HLOOKUP(C143,'Real assumptions'!$B$5:$L$8,4,TRUE))</f>
        <v>3.7900000000000003E-2</v>
      </c>
      <c r="K143">
        <f t="shared" si="93"/>
        <v>1</v>
      </c>
      <c r="L143">
        <f t="shared" si="125"/>
        <v>8.3333333333333329E-2</v>
      </c>
      <c r="M143">
        <f t="shared" si="126"/>
        <v>3.2145624959929453E-3</v>
      </c>
      <c r="N143">
        <f t="shared" si="127"/>
        <v>1.6571639386784673E-3</v>
      </c>
      <c r="O143" s="8">
        <f t="shared" si="107"/>
        <v>0.51378117238165466</v>
      </c>
      <c r="P143">
        <f t="shared" si="108"/>
        <v>12.374336781237702</v>
      </c>
      <c r="Q143">
        <f t="shared" si="128"/>
        <v>0.79514782285582042</v>
      </c>
      <c r="R143" s="89">
        <f t="shared" si="94"/>
        <v>5000</v>
      </c>
      <c r="S143">
        <f t="shared" si="95"/>
        <v>1</v>
      </c>
      <c r="U143">
        <f>O142*AV142*'Real assumptions'!$B$33/12+AX143*'Real assumptions'!$B$34</f>
        <v>5.9266313045875414</v>
      </c>
      <c r="V143">
        <f>IF(P143=0,0,IF(E143&lt;=$C$7,$AN$5*O142,0))*'Real assumptions'!$D$28</f>
        <v>3.0935841953094254</v>
      </c>
      <c r="X143" s="94">
        <f t="shared" si="109"/>
        <v>0</v>
      </c>
      <c r="Y143">
        <f t="shared" si="96"/>
        <v>24</v>
      </c>
      <c r="Z143">
        <f t="shared" si="129"/>
        <v>88</v>
      </c>
      <c r="AA143">
        <f t="shared" si="97"/>
        <v>88</v>
      </c>
      <c r="AB143">
        <f t="shared" si="110"/>
        <v>50.505050505050505</v>
      </c>
      <c r="AC143">
        <f t="shared" si="130"/>
        <v>4444.4444444444443</v>
      </c>
      <c r="AD143">
        <f t="shared" si="111"/>
        <v>80.505050505050505</v>
      </c>
      <c r="AE143">
        <f t="shared" si="112"/>
        <v>354.22222222222223</v>
      </c>
      <c r="AF143" s="94">
        <f t="shared" si="113"/>
        <v>201.33333333333343</v>
      </c>
      <c r="AG143">
        <f t="shared" si="131"/>
        <v>0.33364233965393159</v>
      </c>
      <c r="AH143">
        <f t="shared" si="114"/>
        <v>103.44127603950652</v>
      </c>
      <c r="AI143">
        <f>HLOOKUP(AW143,'Real assumptions'!$A$21:$AK$24,2,TRUE)</f>
        <v>1.7849999999999999</v>
      </c>
      <c r="AJ143" s="123">
        <f t="shared" si="132"/>
        <v>1.475467393408314E-3</v>
      </c>
      <c r="AK143" s="122">
        <f>(1+HLOOKUP(YEAR(A143),'Real assumptions'!$A$21:$AK$24,2,TRUE)/100)^(1/12)-1</f>
        <v>1.475467393408314E-3</v>
      </c>
      <c r="AL143">
        <f t="shared" si="133"/>
        <v>5.9266313045875414</v>
      </c>
      <c r="AM143">
        <f>('Real assumptions'!$B$33/12)*O142*AV142</f>
        <v>5.8987076008531361</v>
      </c>
      <c r="AN143">
        <f t="shared" si="115"/>
        <v>106.20954277829446</v>
      </c>
      <c r="AO143">
        <f t="shared" si="92"/>
        <v>0.15670871723817895</v>
      </c>
      <c r="AP143" s="121">
        <f t="shared" si="116"/>
        <v>1.548167266308409</v>
      </c>
      <c r="AQ143">
        <f t="shared" si="117"/>
        <v>0</v>
      </c>
      <c r="AR143">
        <v>0</v>
      </c>
      <c r="AS143">
        <f t="shared" si="98"/>
        <v>0</v>
      </c>
      <c r="AT143">
        <f t="shared" si="118"/>
        <v>0</v>
      </c>
      <c r="AU143">
        <f>IFERROR(HLOOKUP(B143,'Real assumptions'!$B$43:$AL$44,2,TRUE)*($W$3/$U$2),0)</f>
        <v>0</v>
      </c>
      <c r="AV143">
        <f>AV142*(1+'Real assumptions'!$B$35)^(1/12)</f>
        <v>1.1452380392999739</v>
      </c>
      <c r="AW143">
        <f t="shared" si="99"/>
        <v>2029</v>
      </c>
      <c r="AX143">
        <f t="shared" si="134"/>
        <v>101.93185988533502</v>
      </c>
      <c r="AY143">
        <f t="shared" si="135"/>
        <v>2.1700225836906744</v>
      </c>
      <c r="AZ143">
        <f t="shared" si="100"/>
        <v>422.3819706421354</v>
      </c>
      <c r="BA143">
        <f t="shared" si="119"/>
        <v>4.2223743578191772</v>
      </c>
      <c r="BB143">
        <f t="shared" si="120"/>
        <v>88</v>
      </c>
      <c r="BC143">
        <f t="shared" si="101"/>
        <v>52.8</v>
      </c>
      <c r="BD143">
        <f t="shared" si="121"/>
        <v>0</v>
      </c>
      <c r="BE143">
        <f t="shared" si="102"/>
        <v>24</v>
      </c>
      <c r="BF143">
        <f t="shared" si="136"/>
        <v>5000</v>
      </c>
      <c r="BU143"/>
      <c r="FD143"/>
      <c r="FE143"/>
    </row>
    <row r="144" spans="1:161" x14ac:dyDescent="0.25">
      <c r="A144" s="7">
        <f t="shared" si="122"/>
        <v>47483</v>
      </c>
      <c r="B144">
        <f t="shared" si="103"/>
        <v>133</v>
      </c>
      <c r="C144">
        <f t="shared" si="104"/>
        <v>11</v>
      </c>
      <c r="D144">
        <f t="shared" si="105"/>
        <v>1</v>
      </c>
      <c r="E144">
        <f t="shared" si="106"/>
        <v>63</v>
      </c>
      <c r="F144">
        <f>IF(C144&gt;=$T$2,0,VLOOKUP($E144,EKM_F05!$A$3:$C$128,2,TRUE))</f>
        <v>9.4552564102564091E-3</v>
      </c>
      <c r="G144">
        <f>F144*'Real assumptions'!$B$3</f>
        <v>3.9456784999999999E-3</v>
      </c>
      <c r="H144">
        <f t="shared" si="123"/>
        <v>3.294026705347175E-4</v>
      </c>
      <c r="I144">
        <f t="shared" si="124"/>
        <v>1.6896887254367726E-4</v>
      </c>
      <c r="J144">
        <f>IF(B144&gt;$AJ$2,0,HLOOKUP(C144,'Real assumptions'!$B$5:$L$8,4,TRUE))</f>
        <v>3.7900000000000003E-2</v>
      </c>
      <c r="K144">
        <f t="shared" si="93"/>
        <v>1</v>
      </c>
      <c r="L144">
        <f t="shared" si="125"/>
        <v>8.3333333333333329E-2</v>
      </c>
      <c r="M144">
        <f t="shared" si="126"/>
        <v>3.2145624959929453E-3</v>
      </c>
      <c r="N144">
        <f t="shared" si="127"/>
        <v>1.6513096701760558E-3</v>
      </c>
      <c r="O144" s="8">
        <f t="shared" si="107"/>
        <v>0.51196089383893495</v>
      </c>
      <c r="P144">
        <f t="shared" si="108"/>
        <v>12.330748137159713</v>
      </c>
      <c r="Q144">
        <f t="shared" si="128"/>
        <v>0.84484436271838625</v>
      </c>
      <c r="R144" s="89">
        <f t="shared" si="94"/>
        <v>5000</v>
      </c>
      <c r="S144">
        <f t="shared" si="95"/>
        <v>0.91666666666666607</v>
      </c>
      <c r="U144">
        <f>O143*AV143*'Real assumptions'!$B$33/12+AX144*'Real assumptions'!$B$34</f>
        <v>5.9125266240147782</v>
      </c>
      <c r="V144">
        <f>IF(P144=0,0,IF(E144&lt;=$C$7,$AN$5*O143,0))*'Real assumptions'!$D$28</f>
        <v>3.0826870342899282</v>
      </c>
      <c r="X144" s="94">
        <f t="shared" si="109"/>
        <v>0</v>
      </c>
      <c r="Y144">
        <f t="shared" si="96"/>
        <v>24</v>
      </c>
      <c r="Z144">
        <f t="shared" si="129"/>
        <v>88</v>
      </c>
      <c r="AA144">
        <f t="shared" si="97"/>
        <v>87.916666666666671</v>
      </c>
      <c r="AB144">
        <f t="shared" si="110"/>
        <v>50.505050505050505</v>
      </c>
      <c r="AC144">
        <f t="shared" si="130"/>
        <v>4440.2356902356905</v>
      </c>
      <c r="AD144">
        <f t="shared" si="111"/>
        <v>80.505050505050505</v>
      </c>
      <c r="AE144">
        <f t="shared" si="112"/>
        <v>353.88678451178453</v>
      </c>
      <c r="AF144" s="94">
        <f t="shared" si="113"/>
        <v>205.87752525252495</v>
      </c>
      <c r="AG144">
        <f t="shared" si="131"/>
        <v>0.33996754832140957</v>
      </c>
      <c r="AH144">
        <f t="shared" si="114"/>
        <v>105.40124184963058</v>
      </c>
      <c r="AI144">
        <f>HLOOKUP(AW144,'Real assumptions'!$A$21:$AK$24,2,TRUE)</f>
        <v>1.7849999999999999</v>
      </c>
      <c r="AJ144" s="123">
        <f t="shared" si="132"/>
        <v>1.475467393408314E-3</v>
      </c>
      <c r="AK144" s="122">
        <f>(1+HLOOKUP(YEAR(A144),'Real assumptions'!$A$21:$AK$24,2,TRUE)/100)^(1/12)-1</f>
        <v>1.475467393408314E-3</v>
      </c>
      <c r="AL144">
        <f t="shared" si="133"/>
        <v>5.9125266240147782</v>
      </c>
      <c r="AM144">
        <f>('Real assumptions'!$B$33/12)*O143*AV143</f>
        <v>5.884017424876081</v>
      </c>
      <c r="AN144">
        <f t="shared" si="115"/>
        <v>108.32497778466994</v>
      </c>
      <c r="AO144">
        <f t="shared" si="92"/>
        <v>0.15982997261296047</v>
      </c>
      <c r="AP144" s="121">
        <f t="shared" si="116"/>
        <v>0</v>
      </c>
      <c r="AQ144">
        <f t="shared" si="117"/>
        <v>0</v>
      </c>
      <c r="AR144">
        <v>0</v>
      </c>
      <c r="AS144">
        <f t="shared" si="98"/>
        <v>0</v>
      </c>
      <c r="AT144">
        <f t="shared" si="118"/>
        <v>0</v>
      </c>
      <c r="AU144">
        <f>IFERROR(HLOOKUP(B144,'Real assumptions'!$B$43:$AL$44,2,TRUE)*($W$3/$U$2),0)</f>
        <v>0</v>
      </c>
      <c r="AV144">
        <f>AV143*(1+'Real assumptions'!$B$35)^(1/12)</f>
        <v>1.1464242150350599</v>
      </c>
      <c r="AW144">
        <f t="shared" si="99"/>
        <v>2029</v>
      </c>
      <c r="AX144">
        <f t="shared" si="134"/>
        <v>104.06913494316495</v>
      </c>
      <c r="AY144">
        <f t="shared" si="135"/>
        <v>2.1623786716399604</v>
      </c>
      <c r="AZ144">
        <f t="shared" si="100"/>
        <v>425.15590403519661</v>
      </c>
      <c r="BA144">
        <f t="shared" si="119"/>
        <v>4.2674989453297245</v>
      </c>
      <c r="BB144">
        <f t="shared" si="120"/>
        <v>87.916666666666671</v>
      </c>
      <c r="BC144">
        <f t="shared" si="101"/>
        <v>52.75</v>
      </c>
      <c r="BD144">
        <f t="shared" si="121"/>
        <v>0</v>
      </c>
      <c r="BE144">
        <f t="shared" si="102"/>
        <v>24</v>
      </c>
      <c r="BF144">
        <f t="shared" si="136"/>
        <v>5000</v>
      </c>
      <c r="BU144"/>
      <c r="FD144"/>
      <c r="FE144"/>
    </row>
    <row r="145" spans="1:161" x14ac:dyDescent="0.25">
      <c r="A145" s="7">
        <f t="shared" si="122"/>
        <v>47514</v>
      </c>
      <c r="B145">
        <f t="shared" si="103"/>
        <v>134</v>
      </c>
      <c r="C145">
        <f t="shared" si="104"/>
        <v>11.083333333333334</v>
      </c>
      <c r="D145">
        <f t="shared" si="105"/>
        <v>0</v>
      </c>
      <c r="E145">
        <f t="shared" si="106"/>
        <v>63</v>
      </c>
      <c r="F145">
        <f>IF(C145&gt;=$T$2,0,VLOOKUP($E145,EKM_F05!$A$3:$C$128,2,TRUE))</f>
        <v>9.4552564102564091E-3</v>
      </c>
      <c r="G145">
        <f>F145*'Real assumptions'!$B$3</f>
        <v>3.9456784999999999E-3</v>
      </c>
      <c r="H145">
        <f t="shared" si="123"/>
        <v>3.294026705347175E-4</v>
      </c>
      <c r="I145">
        <f t="shared" si="124"/>
        <v>1.6837023166383917E-4</v>
      </c>
      <c r="J145">
        <f>IF(B145&gt;$AJ$2,0,HLOOKUP(C145,'Real assumptions'!$B$5:$L$8,4,TRUE))</f>
        <v>3.7900000000000003E-2</v>
      </c>
      <c r="K145">
        <f t="shared" si="93"/>
        <v>1</v>
      </c>
      <c r="L145">
        <f t="shared" si="125"/>
        <v>8.3333333333333329E-2</v>
      </c>
      <c r="M145">
        <f t="shared" si="126"/>
        <v>3.2145624959929453E-3</v>
      </c>
      <c r="N145">
        <f t="shared" si="127"/>
        <v>1.6454592347736191E-3</v>
      </c>
      <c r="O145" s="8">
        <f t="shared" si="107"/>
        <v>0.51014706437249746</v>
      </c>
      <c r="P145">
        <f t="shared" si="108"/>
        <v>12.287061452134438</v>
      </c>
      <c r="Q145">
        <f t="shared" si="128"/>
        <v>0.84185115831919588</v>
      </c>
      <c r="R145" s="89">
        <f t="shared" si="94"/>
        <v>5000</v>
      </c>
      <c r="S145">
        <f t="shared" si="95"/>
        <v>0.83333333333333393</v>
      </c>
      <c r="U145">
        <f>O144*AV144*'Real assumptions'!$B$33/12+AX145*'Real assumptions'!$B$34</f>
        <v>5.8978665609061984</v>
      </c>
      <c r="V145">
        <f>IF(P145=0,0,IF(E145&lt;=$C$7,$AN$5*O144,0))*'Real assumptions'!$D$28</f>
        <v>3.0717653630336095</v>
      </c>
      <c r="X145" s="94">
        <f t="shared" si="109"/>
        <v>0</v>
      </c>
      <c r="Y145">
        <f t="shared" si="96"/>
        <v>24</v>
      </c>
      <c r="Z145">
        <f t="shared" si="129"/>
        <v>87</v>
      </c>
      <c r="AA145">
        <f t="shared" si="97"/>
        <v>87.833333333333329</v>
      </c>
      <c r="AB145">
        <f t="shared" si="110"/>
        <v>50.505050505050505</v>
      </c>
      <c r="AC145">
        <f t="shared" si="130"/>
        <v>4436.0269360269358</v>
      </c>
      <c r="AD145">
        <f t="shared" si="111"/>
        <v>80.505050505050505</v>
      </c>
      <c r="AE145">
        <f t="shared" si="112"/>
        <v>353.55134680134677</v>
      </c>
      <c r="AF145" s="94">
        <f t="shared" si="113"/>
        <v>210.42171717171743</v>
      </c>
      <c r="AG145">
        <f t="shared" si="131"/>
        <v>0.34624035771712508</v>
      </c>
      <c r="AH145">
        <f t="shared" si="114"/>
        <v>107.34602129537159</v>
      </c>
      <c r="AI145">
        <f>HLOOKUP(AW145,'Real assumptions'!$A$21:$AK$24,2,TRUE)</f>
        <v>1.8658999999999999</v>
      </c>
      <c r="AJ145" s="123">
        <f t="shared" si="132"/>
        <v>1.5417753512103616E-3</v>
      </c>
      <c r="AK145" s="122">
        <f>(1+HLOOKUP(YEAR(A145),'Real assumptions'!$A$21:$AK$24,2,TRUE)/100)^(1/12)-1</f>
        <v>1.5417753512103616E-3</v>
      </c>
      <c r="AL145">
        <f t="shared" si="133"/>
        <v>5.8978665609061984</v>
      </c>
      <c r="AM145">
        <f>('Real assumptions'!$B$33/12)*O144*AV144</f>
        <v>5.869243658479486</v>
      </c>
      <c r="AN145">
        <f t="shared" si="115"/>
        <v>108.71867137782522</v>
      </c>
      <c r="AO145">
        <f t="shared" si="92"/>
        <v>0.16761976774667037</v>
      </c>
      <c r="AP145" s="121">
        <f t="shared" si="116"/>
        <v>0.16761976774667037</v>
      </c>
      <c r="AQ145">
        <f t="shared" si="117"/>
        <v>0</v>
      </c>
      <c r="AR145">
        <v>0</v>
      </c>
      <c r="AS145">
        <f t="shared" si="98"/>
        <v>0</v>
      </c>
      <c r="AT145">
        <f t="shared" si="118"/>
        <v>0</v>
      </c>
      <c r="AU145">
        <f>IFERROR(HLOOKUP(B145,'Real assumptions'!$B$43:$AL$44,2,TRUE)*($W$3/$U$2),0)</f>
        <v>0</v>
      </c>
      <c r="AV145">
        <f>AV144*(1+'Real assumptions'!$B$35)^(1/12)</f>
        <v>1.1476116193469361</v>
      </c>
      <c r="AW145">
        <f t="shared" si="99"/>
        <v>2030</v>
      </c>
      <c r="AX145">
        <f t="shared" si="134"/>
        <v>104.48419405325916</v>
      </c>
      <c r="AY145">
        <f t="shared" si="135"/>
        <v>2.1547175666621841</v>
      </c>
      <c r="AZ145">
        <f t="shared" si="100"/>
        <v>427.94073694061791</v>
      </c>
      <c r="BA145">
        <f t="shared" si="119"/>
        <v>4.2598568790699307</v>
      </c>
      <c r="BB145">
        <f t="shared" si="120"/>
        <v>87.833333333333329</v>
      </c>
      <c r="BC145">
        <f t="shared" si="101"/>
        <v>52.699999999999996</v>
      </c>
      <c r="BD145">
        <f t="shared" si="121"/>
        <v>0</v>
      </c>
      <c r="BE145">
        <f t="shared" si="102"/>
        <v>24</v>
      </c>
      <c r="BF145">
        <f t="shared" si="136"/>
        <v>5000</v>
      </c>
      <c r="BU145"/>
      <c r="FD145"/>
      <c r="FE145"/>
    </row>
    <row r="146" spans="1:161" x14ac:dyDescent="0.25">
      <c r="A146" s="7">
        <f t="shared" si="122"/>
        <v>47542</v>
      </c>
      <c r="B146">
        <f t="shared" si="103"/>
        <v>135</v>
      </c>
      <c r="C146">
        <f t="shared" si="104"/>
        <v>11.166666666666666</v>
      </c>
      <c r="D146">
        <f t="shared" si="105"/>
        <v>0</v>
      </c>
      <c r="E146">
        <f t="shared" si="106"/>
        <v>63</v>
      </c>
      <c r="F146">
        <f>IF(C146&gt;=$T$2,0,VLOOKUP($E146,EKM_F05!$A$3:$C$128,2,TRUE))</f>
        <v>9.4552564102564091E-3</v>
      </c>
      <c r="G146">
        <f>F146*'Real assumptions'!$B$3</f>
        <v>3.9456784999999999E-3</v>
      </c>
      <c r="H146">
        <f t="shared" si="123"/>
        <v>3.294026705347175E-4</v>
      </c>
      <c r="I146">
        <f t="shared" si="124"/>
        <v>1.6777371171253433E-4</v>
      </c>
      <c r="J146">
        <f>IF(B146&gt;$AJ$2,0,HLOOKUP(C146,'Real assumptions'!$B$5:$L$8,4,TRUE))</f>
        <v>3.7900000000000003E-2</v>
      </c>
      <c r="K146">
        <f t="shared" si="93"/>
        <v>1</v>
      </c>
      <c r="L146">
        <f t="shared" si="125"/>
        <v>8.3333333333333329E-2</v>
      </c>
      <c r="M146">
        <f t="shared" si="126"/>
        <v>3.2145624959929453E-3</v>
      </c>
      <c r="N146">
        <f t="shared" si="127"/>
        <v>1.6396295269155165E-3</v>
      </c>
      <c r="O146" s="8">
        <f t="shared" si="107"/>
        <v>0.50833966113386941</v>
      </c>
      <c r="P146">
        <f t="shared" si="108"/>
        <v>12.243529544939939</v>
      </c>
      <c r="Q146">
        <f t="shared" si="128"/>
        <v>0.83886855856267162</v>
      </c>
      <c r="R146" s="89">
        <f t="shared" si="94"/>
        <v>5000</v>
      </c>
      <c r="S146">
        <f t="shared" si="95"/>
        <v>0.75</v>
      </c>
      <c r="U146">
        <f>O145*AV145*'Real assumptions'!$B$33/12+AX146*'Real assumptions'!$B$34</f>
        <v>5.8837094597693138</v>
      </c>
      <c r="V146">
        <f>IF(P146=0,0,IF(E146&lt;=$C$7,$AN$5*O145,0))*'Real assumptions'!$D$28</f>
        <v>3.0608823862349848</v>
      </c>
      <c r="X146" s="94">
        <f t="shared" si="109"/>
        <v>0</v>
      </c>
      <c r="Y146">
        <f t="shared" si="96"/>
        <v>24</v>
      </c>
      <c r="Z146">
        <f t="shared" si="129"/>
        <v>87</v>
      </c>
      <c r="AA146">
        <f t="shared" si="97"/>
        <v>87.75</v>
      </c>
      <c r="AB146">
        <f t="shared" si="110"/>
        <v>50.505050505050505</v>
      </c>
      <c r="AC146">
        <f t="shared" si="130"/>
        <v>4431.818181818182</v>
      </c>
      <c r="AD146">
        <f t="shared" si="111"/>
        <v>80.505050505050505</v>
      </c>
      <c r="AE146">
        <f t="shared" si="112"/>
        <v>353.21590909090907</v>
      </c>
      <c r="AF146" s="94">
        <f t="shared" si="113"/>
        <v>214.96590909090895</v>
      </c>
      <c r="AG146">
        <f t="shared" si="131"/>
        <v>0.35246445182569097</v>
      </c>
      <c r="AH146">
        <f t="shared" si="114"/>
        <v>109.27569738260684</v>
      </c>
      <c r="AI146">
        <f>HLOOKUP(AW146,'Real assumptions'!$A$21:$AK$24,2,TRUE)</f>
        <v>1.8658999999999999</v>
      </c>
      <c r="AJ146" s="123">
        <f t="shared" si="132"/>
        <v>1.5417753512103616E-3</v>
      </c>
      <c r="AK146" s="122">
        <f>(1+HLOOKUP(YEAR(A146),'Real assumptions'!$A$21:$AK$24,2,TRUE)/100)^(1/12)-1</f>
        <v>1.5417753512103616E-3</v>
      </c>
      <c r="AL146">
        <f t="shared" si="133"/>
        <v>5.8837094597693138</v>
      </c>
      <c r="AM146">
        <f>('Real assumptions'!$B$33/12)*O145*AV145</f>
        <v>5.8545069864960748</v>
      </c>
      <c r="AN146">
        <f t="shared" si="115"/>
        <v>110.8125787620539</v>
      </c>
      <c r="AO146">
        <f t="shared" si="92"/>
        <v>0.17084810253939151</v>
      </c>
      <c r="AP146" s="121">
        <f t="shared" si="116"/>
        <v>0.33846787028606184</v>
      </c>
      <c r="AQ146">
        <f t="shared" si="117"/>
        <v>0</v>
      </c>
      <c r="AR146">
        <v>0</v>
      </c>
      <c r="AS146">
        <f t="shared" si="98"/>
        <v>0</v>
      </c>
      <c r="AT146">
        <f t="shared" si="118"/>
        <v>0</v>
      </c>
      <c r="AU146">
        <f>IFERROR(HLOOKUP(B146,'Real assumptions'!$B$43:$AL$44,2,TRUE)*($W$3/$U$2),0)</f>
        <v>0</v>
      </c>
      <c r="AV146">
        <f>AV145*(1+'Real assumptions'!$B$35)^(1/12)</f>
        <v>1.1488002535080963</v>
      </c>
      <c r="AW146">
        <f t="shared" si="99"/>
        <v>2030</v>
      </c>
      <c r="AX146">
        <f t="shared" si="134"/>
        <v>106.59984228114463</v>
      </c>
      <c r="AY146">
        <f t="shared" si="135"/>
        <v>2.1470836042613528</v>
      </c>
      <c r="AZ146">
        <f t="shared" si="100"/>
        <v>430.70813010915901</v>
      </c>
      <c r="BA146">
        <f t="shared" si="119"/>
        <v>4.2522153966233471</v>
      </c>
      <c r="BB146">
        <f t="shared" si="120"/>
        <v>87.75</v>
      </c>
      <c r="BC146">
        <f t="shared" si="101"/>
        <v>52.65</v>
      </c>
      <c r="BD146">
        <f t="shared" si="121"/>
        <v>0</v>
      </c>
      <c r="BE146">
        <f t="shared" si="102"/>
        <v>24</v>
      </c>
      <c r="BF146">
        <f t="shared" si="136"/>
        <v>5000</v>
      </c>
      <c r="BU146"/>
      <c r="FD146"/>
      <c r="FE146"/>
    </row>
    <row r="147" spans="1:161" x14ac:dyDescent="0.25">
      <c r="A147" s="7">
        <f t="shared" si="122"/>
        <v>47573</v>
      </c>
      <c r="B147">
        <f t="shared" si="103"/>
        <v>136</v>
      </c>
      <c r="C147">
        <f t="shared" si="104"/>
        <v>11.25</v>
      </c>
      <c r="D147">
        <f t="shared" si="105"/>
        <v>0</v>
      </c>
      <c r="E147">
        <f t="shared" si="106"/>
        <v>63</v>
      </c>
      <c r="F147">
        <f>IF(C147&gt;=$T$2,0,VLOOKUP($E147,EKM_F05!$A$3:$C$128,2,TRUE))</f>
        <v>9.4552564102564091E-3</v>
      </c>
      <c r="G147">
        <f>F147*'Real assumptions'!$B$3</f>
        <v>3.9456784999999999E-3</v>
      </c>
      <c r="H147">
        <f t="shared" si="123"/>
        <v>3.294026705347175E-4</v>
      </c>
      <c r="I147">
        <f t="shared" si="124"/>
        <v>1.6717930517551178E-4</v>
      </c>
      <c r="J147">
        <f>IF(B147&gt;$AJ$2,0,HLOOKUP(C147,'Real assumptions'!$B$5:$L$8,4,TRUE))</f>
        <v>3.7900000000000003E-2</v>
      </c>
      <c r="K147">
        <f t="shared" si="93"/>
        <v>1</v>
      </c>
      <c r="L147">
        <f t="shared" si="125"/>
        <v>8.3333333333333329E-2</v>
      </c>
      <c r="M147">
        <f t="shared" si="126"/>
        <v>3.2145624959929453E-3</v>
      </c>
      <c r="N147">
        <f t="shared" si="127"/>
        <v>1.633820473166001E-3</v>
      </c>
      <c r="O147" s="8">
        <f t="shared" si="107"/>
        <v>0.50653866135552794</v>
      </c>
      <c r="P147">
        <f t="shared" si="108"/>
        <v>12.200151867212867</v>
      </c>
      <c r="Q147">
        <f t="shared" si="128"/>
        <v>0.83589652587755892</v>
      </c>
      <c r="R147" s="89">
        <f t="shared" si="94"/>
        <v>5000</v>
      </c>
      <c r="S147">
        <f t="shared" si="95"/>
        <v>0.66666666666666607</v>
      </c>
      <c r="U147">
        <f>O146*AV146*'Real assumptions'!$B$33/12+AX147*'Real assumptions'!$B$34</f>
        <v>5.8695861036534023</v>
      </c>
      <c r="V147">
        <f>IF(P147=0,0,IF(E147&lt;=$C$7,$AN$5*O146,0))*'Real assumptions'!$D$28</f>
        <v>3.0500379668032167</v>
      </c>
      <c r="X147" s="94">
        <f t="shared" si="109"/>
        <v>0</v>
      </c>
      <c r="Y147">
        <f t="shared" si="96"/>
        <v>24</v>
      </c>
      <c r="Z147">
        <f t="shared" si="129"/>
        <v>87</v>
      </c>
      <c r="AA147">
        <f t="shared" si="97"/>
        <v>87.666666666666671</v>
      </c>
      <c r="AB147">
        <f t="shared" si="110"/>
        <v>50.505050505050505</v>
      </c>
      <c r="AC147">
        <f t="shared" si="130"/>
        <v>4427.6094276094282</v>
      </c>
      <c r="AD147">
        <f t="shared" si="111"/>
        <v>80.505050505050505</v>
      </c>
      <c r="AE147">
        <f t="shared" si="112"/>
        <v>352.88047138047136</v>
      </c>
      <c r="AF147" s="94">
        <f t="shared" si="113"/>
        <v>219.51010101010047</v>
      </c>
      <c r="AG147">
        <f t="shared" si="131"/>
        <v>0.35864009709703903</v>
      </c>
      <c r="AH147">
        <f t="shared" si="114"/>
        <v>111.19035271967302</v>
      </c>
      <c r="AI147">
        <f>HLOOKUP(AW147,'Real assumptions'!$A$21:$AK$24,2,TRUE)</f>
        <v>1.8658999999999999</v>
      </c>
      <c r="AJ147" s="123">
        <f t="shared" si="132"/>
        <v>1.5417753512103616E-3</v>
      </c>
      <c r="AK147" s="122">
        <f>(1+HLOOKUP(YEAR(A147),'Real assumptions'!$A$21:$AK$24,2,TRUE)/100)^(1/12)-1</f>
        <v>1.5417753512103616E-3</v>
      </c>
      <c r="AL147">
        <f t="shared" si="133"/>
        <v>5.8695861036534023</v>
      </c>
      <c r="AM147">
        <f>('Real assumptions'!$B$33/12)*O146*AV146</f>
        <v>5.8398073157880894</v>
      </c>
      <c r="AN147">
        <f t="shared" si="115"/>
        <v>112.89469304964915</v>
      </c>
      <c r="AO147">
        <f t="shared" si="92"/>
        <v>0.17405825502640879</v>
      </c>
      <c r="AP147" s="121">
        <f t="shared" si="116"/>
        <v>0.51252612531247066</v>
      </c>
      <c r="AQ147">
        <f t="shared" si="117"/>
        <v>0</v>
      </c>
      <c r="AR147">
        <v>0</v>
      </c>
      <c r="AS147">
        <f t="shared" si="98"/>
        <v>0</v>
      </c>
      <c r="AT147">
        <f t="shared" si="118"/>
        <v>0</v>
      </c>
      <c r="AU147">
        <f>IFERROR(HLOOKUP(B147,'Real assumptions'!$B$43:$AL$44,2,TRUE)*($W$3/$U$2),0)</f>
        <v>0</v>
      </c>
      <c r="AV147">
        <f>AV146*(1+'Real assumptions'!$B$35)^(1/12)</f>
        <v>1.1499901187923518</v>
      </c>
      <c r="AW147">
        <f t="shared" si="99"/>
        <v>2030</v>
      </c>
      <c r="AX147">
        <f t="shared" si="134"/>
        <v>108.70360397436355</v>
      </c>
      <c r="AY147">
        <f t="shared" si="135"/>
        <v>2.1394766882738612</v>
      </c>
      <c r="AZ147">
        <f t="shared" si="100"/>
        <v>433.45817646150891</v>
      </c>
      <c r="BA147">
        <f t="shared" si="119"/>
        <v>4.2445745897778151</v>
      </c>
      <c r="BB147">
        <f t="shared" si="120"/>
        <v>87.666666666666671</v>
      </c>
      <c r="BC147">
        <f t="shared" si="101"/>
        <v>52.6</v>
      </c>
      <c r="BD147">
        <f t="shared" si="121"/>
        <v>0</v>
      </c>
      <c r="BE147">
        <f t="shared" si="102"/>
        <v>24</v>
      </c>
      <c r="BF147">
        <f t="shared" si="136"/>
        <v>5000</v>
      </c>
      <c r="BU147"/>
      <c r="FD147"/>
      <c r="FE147"/>
    </row>
    <row r="148" spans="1:161" x14ac:dyDescent="0.25">
      <c r="A148" s="7">
        <f t="shared" si="122"/>
        <v>47603</v>
      </c>
      <c r="B148">
        <f t="shared" si="103"/>
        <v>137</v>
      </c>
      <c r="C148">
        <f t="shared" si="104"/>
        <v>11.333333333333334</v>
      </c>
      <c r="D148">
        <f t="shared" si="105"/>
        <v>0</v>
      </c>
      <c r="E148">
        <f t="shared" si="106"/>
        <v>63</v>
      </c>
      <c r="F148">
        <f>IF(C148&gt;=$T$2,0,VLOOKUP($E148,EKM_F05!$A$3:$C$128,2,TRUE))</f>
        <v>9.4552564102564091E-3</v>
      </c>
      <c r="G148">
        <f>F148*'Real assumptions'!$B$3</f>
        <v>3.9456784999999999E-3</v>
      </c>
      <c r="H148">
        <f t="shared" si="123"/>
        <v>3.294026705347175E-4</v>
      </c>
      <c r="I148">
        <f t="shared" si="124"/>
        <v>1.6658700456514275E-4</v>
      </c>
      <c r="J148">
        <f>IF(B148&gt;$AJ$2,0,HLOOKUP(C148,'Real assumptions'!$B$5:$L$8,4,TRUE))</f>
        <v>3.7900000000000003E-2</v>
      </c>
      <c r="K148">
        <f t="shared" si="93"/>
        <v>1</v>
      </c>
      <c r="L148">
        <f t="shared" si="125"/>
        <v>8.3333333333333329E-2</v>
      </c>
      <c r="M148">
        <f t="shared" si="126"/>
        <v>3.2145624959929453E-3</v>
      </c>
      <c r="N148">
        <f t="shared" si="127"/>
        <v>1.6280320003495021E-3</v>
      </c>
      <c r="O148" s="8">
        <f t="shared" si="107"/>
        <v>0.50474404235061321</v>
      </c>
      <c r="P148">
        <f t="shared" si="108"/>
        <v>12.15692787253267</v>
      </c>
      <c r="Q148">
        <f t="shared" si="128"/>
        <v>0.83293502282571374</v>
      </c>
      <c r="R148" s="89">
        <f t="shared" si="94"/>
        <v>5000</v>
      </c>
      <c r="S148">
        <f t="shared" si="95"/>
        <v>0.58333333333333393</v>
      </c>
      <c r="U148">
        <f>O147*AV147*'Real assumptions'!$B$33/12+AX148*'Real assumptions'!$B$34</f>
        <v>5.8554964173149102</v>
      </c>
      <c r="V148">
        <f>IF(P148=0,0,IF(E148&lt;=$C$7,$AN$5*O147,0))*'Real assumptions'!$D$28</f>
        <v>3.0392319681331674</v>
      </c>
      <c r="X148" s="94">
        <f t="shared" si="109"/>
        <v>0</v>
      </c>
      <c r="Y148">
        <f t="shared" si="96"/>
        <v>24</v>
      </c>
      <c r="Z148">
        <f t="shared" si="129"/>
        <v>87</v>
      </c>
      <c r="AA148">
        <f t="shared" si="97"/>
        <v>87.583333333333329</v>
      </c>
      <c r="AB148">
        <f t="shared" si="110"/>
        <v>50.505050505050505</v>
      </c>
      <c r="AC148">
        <f t="shared" si="130"/>
        <v>4423.4006734006734</v>
      </c>
      <c r="AD148">
        <f t="shared" si="111"/>
        <v>80.505050505050505</v>
      </c>
      <c r="AE148">
        <f t="shared" si="112"/>
        <v>352.54503367003366</v>
      </c>
      <c r="AF148" s="94">
        <f t="shared" si="113"/>
        <v>224.0542929292929</v>
      </c>
      <c r="AG148">
        <f t="shared" si="131"/>
        <v>0.36476755870457001</v>
      </c>
      <c r="AH148">
        <f t="shared" si="114"/>
        <v>113.09006951913972</v>
      </c>
      <c r="AI148">
        <f>HLOOKUP(AW148,'Real assumptions'!$A$21:$AK$24,2,TRUE)</f>
        <v>1.8658999999999999</v>
      </c>
      <c r="AJ148" s="123">
        <f t="shared" si="132"/>
        <v>1.5417753512103616E-3</v>
      </c>
      <c r="AK148" s="122">
        <f>(1+HLOOKUP(YEAR(A148),'Real assumptions'!$A$21:$AK$24,2,TRUE)/100)^(1/12)-1</f>
        <v>1.5417753512103616E-3</v>
      </c>
      <c r="AL148">
        <f t="shared" si="133"/>
        <v>5.8554964173149102</v>
      </c>
      <c r="AM148">
        <f>('Real assumptions'!$B$33/12)*O147*AV147</f>
        <v>5.8251445534516249</v>
      </c>
      <c r="AN148">
        <f t="shared" si="115"/>
        <v>114.96507833207008</v>
      </c>
      <c r="AO148">
        <f t="shared" si="92"/>
        <v>0.17725032402235408</v>
      </c>
      <c r="AP148" s="121">
        <f t="shared" si="116"/>
        <v>0.68977644933482474</v>
      </c>
      <c r="AQ148">
        <f t="shared" si="117"/>
        <v>0</v>
      </c>
      <c r="AR148">
        <v>0</v>
      </c>
      <c r="AS148">
        <f t="shared" si="98"/>
        <v>0</v>
      </c>
      <c r="AT148">
        <f t="shared" si="118"/>
        <v>0</v>
      </c>
      <c r="AU148">
        <f>IFERROR(HLOOKUP(B148,'Real assumptions'!$B$43:$AL$44,2,TRUE)*($W$3/$U$2),0)</f>
        <v>0</v>
      </c>
      <c r="AV148">
        <f>AV147*(1+'Real assumptions'!$B$35)^(1/12)</f>
        <v>1.1511812164748334</v>
      </c>
      <c r="AW148">
        <f t="shared" si="99"/>
        <v>2030</v>
      </c>
      <c r="AX148">
        <f t="shared" si="134"/>
        <v>110.79554359972913</v>
      </c>
      <c r="AY148">
        <f t="shared" si="135"/>
        <v>2.1318967228768009</v>
      </c>
      <c r="AZ148">
        <f t="shared" si="100"/>
        <v>436.19096849931219</v>
      </c>
      <c r="BA148">
        <f t="shared" si="119"/>
        <v>4.2369345496634514</v>
      </c>
      <c r="BB148">
        <f t="shared" si="120"/>
        <v>87.583333333333329</v>
      </c>
      <c r="BC148">
        <f t="shared" si="101"/>
        <v>52.55</v>
      </c>
      <c r="BD148">
        <f t="shared" si="121"/>
        <v>0</v>
      </c>
      <c r="BE148">
        <f t="shared" si="102"/>
        <v>24</v>
      </c>
      <c r="BF148">
        <f t="shared" si="136"/>
        <v>5000</v>
      </c>
      <c r="BU148"/>
      <c r="FD148"/>
      <c r="FE148"/>
    </row>
    <row r="149" spans="1:161" x14ac:dyDescent="0.25">
      <c r="A149" s="7">
        <f t="shared" si="122"/>
        <v>47634</v>
      </c>
      <c r="B149">
        <f t="shared" si="103"/>
        <v>138</v>
      </c>
      <c r="C149">
        <f t="shared" si="104"/>
        <v>11.416666666666666</v>
      </c>
      <c r="D149">
        <f t="shared" si="105"/>
        <v>0</v>
      </c>
      <c r="E149">
        <f t="shared" si="106"/>
        <v>63</v>
      </c>
      <c r="F149">
        <f>IF(C149&gt;=$T$2,0,VLOOKUP($E149,EKM_F05!$A$3:$C$128,2,TRUE))</f>
        <v>9.4552564102564091E-3</v>
      </c>
      <c r="G149">
        <f>F149*'Real assumptions'!$B$3</f>
        <v>3.9456784999999999E-3</v>
      </c>
      <c r="H149">
        <f t="shared" si="123"/>
        <v>3.294026705347175E-4</v>
      </c>
      <c r="I149">
        <f t="shared" si="124"/>
        <v>1.6599680242032641E-4</v>
      </c>
      <c r="J149">
        <f>IF(B149&gt;$AJ$2,0,HLOOKUP(C149,'Real assumptions'!$B$5:$L$8,4,TRUE))</f>
        <v>3.7900000000000003E-2</v>
      </c>
      <c r="K149">
        <f t="shared" si="93"/>
        <v>1</v>
      </c>
      <c r="L149">
        <f t="shared" si="125"/>
        <v>8.3333333333333329E-2</v>
      </c>
      <c r="M149">
        <f t="shared" si="126"/>
        <v>3.2145624959929453E-3</v>
      </c>
      <c r="N149">
        <f t="shared" si="127"/>
        <v>1.6222640355497019E-3</v>
      </c>
      <c r="O149" s="8">
        <f t="shared" si="107"/>
        <v>0.5029557815126432</v>
      </c>
      <c r="P149">
        <f t="shared" si="108"/>
        <v>12.113857016414716</v>
      </c>
      <c r="Q149">
        <f t="shared" si="128"/>
        <v>0.82998401210163208</v>
      </c>
      <c r="R149" s="89">
        <f t="shared" si="94"/>
        <v>5000</v>
      </c>
      <c r="S149">
        <f t="shared" si="95"/>
        <v>0.5</v>
      </c>
      <c r="U149">
        <f>O148*AV148*'Real assumptions'!$B$33/12+AX149*'Real assumptions'!$B$34</f>
        <v>5.8414403256621528</v>
      </c>
      <c r="V149">
        <f>IF(P149=0,0,IF(E149&lt;=$C$7,$AN$5*O148,0))*'Real assumptions'!$D$28</f>
        <v>3.028464254103679</v>
      </c>
      <c r="X149" s="94">
        <f t="shared" si="109"/>
        <v>0</v>
      </c>
      <c r="Y149">
        <f t="shared" si="96"/>
        <v>24</v>
      </c>
      <c r="Z149">
        <f t="shared" si="129"/>
        <v>87</v>
      </c>
      <c r="AA149">
        <f t="shared" si="97"/>
        <v>87.5</v>
      </c>
      <c r="AB149">
        <f t="shared" si="110"/>
        <v>50.505050505050505</v>
      </c>
      <c r="AC149">
        <f t="shared" si="130"/>
        <v>4419.1919191919196</v>
      </c>
      <c r="AD149">
        <f t="shared" si="111"/>
        <v>80.505050505050505</v>
      </c>
      <c r="AE149">
        <f t="shared" si="112"/>
        <v>352.20959595959596</v>
      </c>
      <c r="AF149" s="94">
        <f t="shared" si="113"/>
        <v>228.59848484848442</v>
      </c>
      <c r="AG149">
        <f t="shared" si="131"/>
        <v>0.37084710055084968</v>
      </c>
      <c r="AH149">
        <f t="shared" si="114"/>
        <v>114.9749295995756</v>
      </c>
      <c r="AI149">
        <f>HLOOKUP(AW149,'Real assumptions'!$A$21:$AK$24,2,TRUE)</f>
        <v>1.8658999999999999</v>
      </c>
      <c r="AJ149" s="123">
        <f t="shared" si="132"/>
        <v>1.5417753512103616E-3</v>
      </c>
      <c r="AK149" s="122">
        <f>(1+HLOOKUP(YEAR(A149),'Real assumptions'!$A$21:$AK$24,2,TRUE)/100)^(1/12)-1</f>
        <v>1.5417753512103616E-3</v>
      </c>
      <c r="AL149">
        <f t="shared" si="133"/>
        <v>5.8414403256621528</v>
      </c>
      <c r="AM149">
        <f>('Real assumptions'!$B$33/12)*O148*AV148</f>
        <v>5.8105186068160375</v>
      </c>
      <c r="AN149">
        <f t="shared" si="115"/>
        <v>117.02379840512343</v>
      </c>
      <c r="AO149">
        <f t="shared" si="92"/>
        <v>0.18042440788602973</v>
      </c>
      <c r="AP149" s="121">
        <f t="shared" si="116"/>
        <v>0.8702008572208545</v>
      </c>
      <c r="AQ149">
        <f t="shared" si="117"/>
        <v>0</v>
      </c>
      <c r="AR149">
        <v>0</v>
      </c>
      <c r="AS149">
        <f t="shared" si="98"/>
        <v>0</v>
      </c>
      <c r="AT149">
        <f t="shared" si="118"/>
        <v>0</v>
      </c>
      <c r="AU149">
        <f>IFERROR(HLOOKUP(B149,'Real assumptions'!$B$43:$AL$44,2,TRUE)*($W$3/$U$2),0)</f>
        <v>0</v>
      </c>
      <c r="AV149">
        <f>AV148*(1+'Real assumptions'!$B$35)^(1/12)</f>
        <v>1.1523735478319928</v>
      </c>
      <c r="AW149">
        <f t="shared" si="99"/>
        <v>2030</v>
      </c>
      <c r="AX149">
        <f t="shared" si="134"/>
        <v>112.87572532695762</v>
      </c>
      <c r="AY149">
        <f t="shared" si="135"/>
        <v>2.1243436125867556</v>
      </c>
      <c r="AZ149">
        <f t="shared" si="100"/>
        <v>438.90659830696137</v>
      </c>
      <c r="BA149">
        <f t="shared" si="119"/>
        <v>4.229295366756161</v>
      </c>
      <c r="BB149">
        <f t="shared" si="120"/>
        <v>87.5</v>
      </c>
      <c r="BC149">
        <f t="shared" si="101"/>
        <v>52.5</v>
      </c>
      <c r="BD149">
        <f t="shared" si="121"/>
        <v>0</v>
      </c>
      <c r="BE149">
        <f t="shared" si="102"/>
        <v>24</v>
      </c>
      <c r="BF149">
        <f t="shared" si="136"/>
        <v>5000</v>
      </c>
      <c r="BU149"/>
      <c r="FD149"/>
      <c r="FE149"/>
    </row>
    <row r="150" spans="1:161" x14ac:dyDescent="0.25">
      <c r="A150" s="7">
        <f t="shared" si="122"/>
        <v>47664</v>
      </c>
      <c r="B150">
        <f t="shared" si="103"/>
        <v>139</v>
      </c>
      <c r="C150">
        <f t="shared" si="104"/>
        <v>11.5</v>
      </c>
      <c r="D150">
        <f t="shared" si="105"/>
        <v>0</v>
      </c>
      <c r="E150">
        <f t="shared" si="106"/>
        <v>63</v>
      </c>
      <c r="F150">
        <f>IF(C150&gt;=$T$2,0,VLOOKUP($E150,EKM_F05!$A$3:$C$128,2,TRUE))</f>
        <v>9.4552564102564091E-3</v>
      </c>
      <c r="G150">
        <f>F150*'Real assumptions'!$B$3</f>
        <v>3.9456784999999999E-3</v>
      </c>
      <c r="H150">
        <f t="shared" si="123"/>
        <v>3.294026705347175E-4</v>
      </c>
      <c r="I150">
        <f t="shared" si="124"/>
        <v>1.6540869130639608E-4</v>
      </c>
      <c r="J150">
        <f>IF(B150&gt;$AJ$2,0,HLOOKUP(C150,'Real assumptions'!$B$5:$L$8,4,TRUE))</f>
        <v>3.7900000000000003E-2</v>
      </c>
      <c r="K150">
        <f t="shared" si="93"/>
        <v>1</v>
      </c>
      <c r="L150">
        <f t="shared" si="125"/>
        <v>8.3333333333333329E-2</v>
      </c>
      <c r="M150">
        <f t="shared" si="126"/>
        <v>3.2145624959929453E-3</v>
      </c>
      <c r="N150">
        <f t="shared" si="127"/>
        <v>1.6165165061086202E-3</v>
      </c>
      <c r="O150" s="8">
        <f t="shared" si="107"/>
        <v>0.50117385631522815</v>
      </c>
      <c r="P150">
        <f t="shared" si="108"/>
        <v>12.070938756303438</v>
      </c>
      <c r="Q150">
        <f t="shared" si="128"/>
        <v>0.82704345653198041</v>
      </c>
      <c r="R150" s="89">
        <f t="shared" si="94"/>
        <v>5000</v>
      </c>
      <c r="S150">
        <f t="shared" si="95"/>
        <v>0.41666666666666607</v>
      </c>
      <c r="U150">
        <f>O149*AV149*'Real assumptions'!$B$33/12+AX150*'Real assumptions'!$B$34</f>
        <v>5.8274177537551086</v>
      </c>
      <c r="V150">
        <f>IF(P150=0,0,IF(E150&lt;=$C$7,$AN$5*O149,0))*'Real assumptions'!$D$28</f>
        <v>3.0177346890758594</v>
      </c>
      <c r="X150" s="94">
        <f t="shared" si="109"/>
        <v>0</v>
      </c>
      <c r="Y150">
        <f t="shared" si="96"/>
        <v>24</v>
      </c>
      <c r="Z150">
        <f t="shared" si="129"/>
        <v>87</v>
      </c>
      <c r="AA150">
        <f t="shared" si="97"/>
        <v>87.416666666666671</v>
      </c>
      <c r="AB150">
        <f t="shared" si="110"/>
        <v>50.505050505050505</v>
      </c>
      <c r="AC150">
        <f t="shared" si="130"/>
        <v>4414.9831649831649</v>
      </c>
      <c r="AD150">
        <f t="shared" si="111"/>
        <v>80.505050505050505</v>
      </c>
      <c r="AE150">
        <f t="shared" si="112"/>
        <v>351.87415824915826</v>
      </c>
      <c r="AF150" s="94">
        <f t="shared" si="113"/>
        <v>233.14267676767685</v>
      </c>
      <c r="AG150">
        <f t="shared" si="131"/>
        <v>0.37687898527329633</v>
      </c>
      <c r="AH150">
        <f t="shared" si="114"/>
        <v>116.84501438731135</v>
      </c>
      <c r="AI150">
        <f>HLOOKUP(AW150,'Real assumptions'!$A$21:$AK$24,2,TRUE)</f>
        <v>1.8658999999999999</v>
      </c>
      <c r="AJ150" s="123">
        <f t="shared" si="132"/>
        <v>1.5417753512103616E-3</v>
      </c>
      <c r="AK150" s="122">
        <f>(1+HLOOKUP(YEAR(A150),'Real assumptions'!$A$21:$AK$24,2,TRUE)/100)^(1/12)-1</f>
        <v>1.5417753512103616E-3</v>
      </c>
      <c r="AL150">
        <f t="shared" si="133"/>
        <v>5.8274177537551086</v>
      </c>
      <c r="AM150">
        <f>('Real assumptions'!$B$33/12)*O149*AV149</f>
        <v>5.7959293834433723</v>
      </c>
      <c r="AN150">
        <f t="shared" si="115"/>
        <v>119.07091677026891</v>
      </c>
      <c r="AO150">
        <f t="shared" si="92"/>
        <v>0.18358060452242109</v>
      </c>
      <c r="AP150" s="121">
        <f t="shared" si="116"/>
        <v>1.0537814617432755</v>
      </c>
      <c r="AQ150">
        <f t="shared" si="117"/>
        <v>0</v>
      </c>
      <c r="AR150">
        <v>0</v>
      </c>
      <c r="AS150">
        <f t="shared" si="98"/>
        <v>0</v>
      </c>
      <c r="AT150">
        <f t="shared" si="118"/>
        <v>0</v>
      </c>
      <c r="AU150">
        <f>IFERROR(HLOOKUP(B150,'Real assumptions'!$B$43:$AL$44,2,TRUE)*($W$3/$U$2),0)</f>
        <v>0</v>
      </c>
      <c r="AV150">
        <f>AV149*(1+'Real assumptions'!$B$35)^(1/12)</f>
        <v>1.1535671141416035</v>
      </c>
      <c r="AW150">
        <f t="shared" si="99"/>
        <v>2030</v>
      </c>
      <c r="AX150">
        <f t="shared" si="134"/>
        <v>114.94421302997918</v>
      </c>
      <c r="AY150">
        <f t="shared" si="135"/>
        <v>2.116817262258599</v>
      </c>
      <c r="AZ150">
        <f t="shared" si="100"/>
        <v>441.60515755338184</v>
      </c>
      <c r="BA150">
        <f t="shared" si="119"/>
        <v>4.2216571308811357</v>
      </c>
      <c r="BB150">
        <f t="shared" si="120"/>
        <v>87.416666666666671</v>
      </c>
      <c r="BC150">
        <f t="shared" si="101"/>
        <v>52.45</v>
      </c>
      <c r="BD150">
        <f t="shared" si="121"/>
        <v>0</v>
      </c>
      <c r="BE150">
        <f t="shared" si="102"/>
        <v>24</v>
      </c>
      <c r="BF150">
        <f t="shared" si="136"/>
        <v>5000</v>
      </c>
      <c r="BU150"/>
      <c r="FD150"/>
      <c r="FE150"/>
    </row>
    <row r="151" spans="1:161" x14ac:dyDescent="0.25">
      <c r="A151" s="7">
        <f t="shared" si="122"/>
        <v>47695</v>
      </c>
      <c r="B151">
        <f t="shared" si="103"/>
        <v>140</v>
      </c>
      <c r="C151">
        <f t="shared" si="104"/>
        <v>11.583333333333334</v>
      </c>
      <c r="D151">
        <f t="shared" si="105"/>
        <v>0</v>
      </c>
      <c r="E151">
        <f t="shared" si="106"/>
        <v>63</v>
      </c>
      <c r="F151">
        <f>IF(C151&gt;=$T$2,0,VLOOKUP($E151,EKM_F05!$A$3:$C$128,2,TRUE))</f>
        <v>9.4552564102564091E-3</v>
      </c>
      <c r="G151">
        <f>F151*'Real assumptions'!$B$3</f>
        <v>3.9456784999999999E-3</v>
      </c>
      <c r="H151">
        <f t="shared" si="123"/>
        <v>3.294026705347175E-4</v>
      </c>
      <c r="I151">
        <f t="shared" si="124"/>
        <v>1.6482266381502523E-4</v>
      </c>
      <c r="J151">
        <f>IF(B151&gt;$AJ$2,0,HLOOKUP(C151,'Real assumptions'!$B$5:$L$8,4,TRUE))</f>
        <v>3.7900000000000003E-2</v>
      </c>
      <c r="K151">
        <f t="shared" si="93"/>
        <v>1</v>
      </c>
      <c r="L151">
        <f t="shared" si="125"/>
        <v>8.3333333333333329E-2</v>
      </c>
      <c r="M151">
        <f t="shared" si="126"/>
        <v>3.2145624959929453E-3</v>
      </c>
      <c r="N151">
        <f t="shared" si="127"/>
        <v>1.6107893396256959E-3</v>
      </c>
      <c r="O151" s="8">
        <f t="shared" si="107"/>
        <v>0.49939824431178742</v>
      </c>
      <c r="P151">
        <f t="shared" si="108"/>
        <v>12.028172551565476</v>
      </c>
      <c r="Q151">
        <f t="shared" si="128"/>
        <v>0.82411331907512619</v>
      </c>
      <c r="R151" s="89">
        <f t="shared" si="94"/>
        <v>5000</v>
      </c>
      <c r="S151">
        <f t="shared" si="95"/>
        <v>0.33333333333333393</v>
      </c>
      <c r="U151">
        <f>O150*AV150*'Real assumptions'!$B$33/12+AX151*'Real assumptions'!$B$34</f>
        <v>5.8134286268051714</v>
      </c>
      <c r="V151">
        <f>IF(P151=0,0,IF(E151&lt;=$C$7,$AN$5*O150,0))*'Real assumptions'!$D$28</f>
        <v>3.0070431378913689</v>
      </c>
      <c r="X151" s="94">
        <f t="shared" si="109"/>
        <v>0</v>
      </c>
      <c r="Y151">
        <f t="shared" si="96"/>
        <v>24</v>
      </c>
      <c r="Z151">
        <f t="shared" si="129"/>
        <v>87</v>
      </c>
      <c r="AA151">
        <f t="shared" si="97"/>
        <v>87.333333333333329</v>
      </c>
      <c r="AB151">
        <f t="shared" si="110"/>
        <v>50.505050505050505</v>
      </c>
      <c r="AC151">
        <f t="shared" si="130"/>
        <v>4410.7744107744102</v>
      </c>
      <c r="AD151">
        <f t="shared" si="111"/>
        <v>80.505050505050505</v>
      </c>
      <c r="AE151">
        <f t="shared" si="112"/>
        <v>351.5387205387205</v>
      </c>
      <c r="AF151" s="94">
        <f t="shared" si="113"/>
        <v>237.68686868686933</v>
      </c>
      <c r="AG151">
        <f t="shared" si="131"/>
        <v>0.38286347424982176</v>
      </c>
      <c r="AH151">
        <f t="shared" si="114"/>
        <v>118.70040491818891</v>
      </c>
      <c r="AI151">
        <f>HLOOKUP(AW151,'Real assumptions'!$A$21:$AK$24,2,TRUE)</f>
        <v>1.8658999999999999</v>
      </c>
      <c r="AJ151" s="123">
        <f t="shared" si="132"/>
        <v>1.5417753512103616E-3</v>
      </c>
      <c r="AK151" s="122">
        <f>(1+HLOOKUP(YEAR(A151),'Real assumptions'!$A$21:$AK$24,2,TRUE)/100)^(1/12)-1</f>
        <v>1.5417753512103616E-3</v>
      </c>
      <c r="AL151">
        <f t="shared" si="133"/>
        <v>5.8134286268051714</v>
      </c>
      <c r="AM151">
        <f>('Real assumptions'!$B$33/12)*O150*AV150</f>
        <v>5.781376791127764</v>
      </c>
      <c r="AN151">
        <f t="shared" si="115"/>
        <v>121.10649663592355</v>
      </c>
      <c r="AO151">
        <f t="shared" si="92"/>
        <v>0.18671901138470751</v>
      </c>
      <c r="AP151" s="121">
        <f t="shared" si="116"/>
        <v>1.2405004731279829</v>
      </c>
      <c r="AQ151">
        <f t="shared" si="117"/>
        <v>0</v>
      </c>
      <c r="AR151">
        <v>0</v>
      </c>
      <c r="AS151">
        <f t="shared" si="98"/>
        <v>0</v>
      </c>
      <c r="AT151">
        <f t="shared" si="118"/>
        <v>0</v>
      </c>
      <c r="AU151">
        <f>IFERROR(HLOOKUP(B151,'Real assumptions'!$B$43:$AL$44,2,TRUE)*($W$3/$U$2),0)</f>
        <v>0</v>
      </c>
      <c r="AV151">
        <f>AV150*(1+'Real assumptions'!$B$35)^(1/12)</f>
        <v>1.1547619166827627</v>
      </c>
      <c r="AW151">
        <f t="shared" si="99"/>
        <v>2030</v>
      </c>
      <c r="AX151">
        <f t="shared" si="134"/>
        <v>117.00107028824755</v>
      </c>
      <c r="AY151">
        <f t="shared" si="135"/>
        <v>2.1093175770842936</v>
      </c>
      <c r="AZ151">
        <f t="shared" si="100"/>
        <v>444.28673749380903</v>
      </c>
      <c r="BA151">
        <f t="shared" si="119"/>
        <v>4.2140199312163169</v>
      </c>
      <c r="BB151">
        <f t="shared" si="120"/>
        <v>87.333333333333329</v>
      </c>
      <c r="BC151">
        <f t="shared" si="101"/>
        <v>52.399999999999991</v>
      </c>
      <c r="BD151">
        <f t="shared" si="121"/>
        <v>0</v>
      </c>
      <c r="BE151">
        <f t="shared" si="102"/>
        <v>24</v>
      </c>
      <c r="BF151">
        <f t="shared" si="136"/>
        <v>5000</v>
      </c>
      <c r="BU151"/>
      <c r="FD151"/>
      <c r="FE151"/>
    </row>
    <row r="152" spans="1:161" x14ac:dyDescent="0.25">
      <c r="A152" s="7">
        <f t="shared" si="122"/>
        <v>47726</v>
      </c>
      <c r="B152">
        <f t="shared" si="103"/>
        <v>141</v>
      </c>
      <c r="C152">
        <f t="shared" si="104"/>
        <v>11.666666666666666</v>
      </c>
      <c r="D152">
        <f t="shared" si="105"/>
        <v>0</v>
      </c>
      <c r="E152">
        <f t="shared" si="106"/>
        <v>63</v>
      </c>
      <c r="F152">
        <f>IF(C152&gt;=$T$2,0,VLOOKUP($E152,EKM_F05!$A$3:$C$128,2,TRUE))</f>
        <v>9.4552564102564091E-3</v>
      </c>
      <c r="G152">
        <f>F152*'Real assumptions'!$B$3</f>
        <v>3.9456784999999999E-3</v>
      </c>
      <c r="H152">
        <f t="shared" si="123"/>
        <v>3.294026705347175E-4</v>
      </c>
      <c r="I152">
        <f t="shared" si="124"/>
        <v>1.6423871256413447E-4</v>
      </c>
      <c r="J152">
        <f>IF(B152&gt;$AJ$2,0,HLOOKUP(C152,'Real assumptions'!$B$5:$L$8,4,TRUE))</f>
        <v>3.7900000000000003E-2</v>
      </c>
      <c r="K152">
        <f t="shared" si="93"/>
        <v>1</v>
      </c>
      <c r="L152">
        <f t="shared" si="125"/>
        <v>8.3333333333333329E-2</v>
      </c>
      <c r="M152">
        <f t="shared" si="126"/>
        <v>3.2145624959929453E-3</v>
      </c>
      <c r="N152">
        <f t="shared" si="127"/>
        <v>1.6050824639568765E-3</v>
      </c>
      <c r="O152" s="8">
        <f t="shared" si="107"/>
        <v>0.49762892313526641</v>
      </c>
      <c r="P152">
        <f t="shared" si="108"/>
        <v>11.985557863482898</v>
      </c>
      <c r="Q152">
        <f t="shared" si="128"/>
        <v>0.82119356282067235</v>
      </c>
      <c r="R152" s="89">
        <f t="shared" si="94"/>
        <v>5000</v>
      </c>
      <c r="S152">
        <f t="shared" si="95"/>
        <v>0.25</v>
      </c>
      <c r="U152">
        <f>O151*AV151*'Real assumptions'!$B$33/12+AX152*'Real assumptions'!$B$34</f>
        <v>5.799472870174939</v>
      </c>
      <c r="V152">
        <f>IF(P152=0,0,IF(E152&lt;=$C$7,$AN$5*O151,0))*'Real assumptions'!$D$28</f>
        <v>2.9963894658707244</v>
      </c>
      <c r="X152" s="94">
        <f t="shared" si="109"/>
        <v>0</v>
      </c>
      <c r="Y152">
        <f t="shared" si="96"/>
        <v>24</v>
      </c>
      <c r="Z152">
        <f t="shared" si="129"/>
        <v>87</v>
      </c>
      <c r="AA152">
        <f t="shared" si="97"/>
        <v>87.25</v>
      </c>
      <c r="AB152">
        <f t="shared" si="110"/>
        <v>50.505050505050505</v>
      </c>
      <c r="AC152">
        <f t="shared" si="130"/>
        <v>4406.5656565656564</v>
      </c>
      <c r="AD152">
        <f t="shared" si="111"/>
        <v>80.505050505050505</v>
      </c>
      <c r="AE152">
        <f t="shared" si="112"/>
        <v>351.20328282828279</v>
      </c>
      <c r="AF152" s="94">
        <f t="shared" si="113"/>
        <v>242.23106060606085</v>
      </c>
      <c r="AG152">
        <f t="shared" si="131"/>
        <v>0.38880082760446361</v>
      </c>
      <c r="AH152">
        <f t="shared" si="114"/>
        <v>120.54118183930751</v>
      </c>
      <c r="AI152">
        <f>HLOOKUP(AW152,'Real assumptions'!$A$21:$AK$24,2,TRUE)</f>
        <v>1.8658999999999999</v>
      </c>
      <c r="AJ152" s="123">
        <f t="shared" si="132"/>
        <v>1.5417753512103616E-3</v>
      </c>
      <c r="AK152" s="122">
        <f>(1+HLOOKUP(YEAR(A152),'Real assumptions'!$A$21:$AK$24,2,TRUE)/100)^(1/12)-1</f>
        <v>1.5417753512103616E-3</v>
      </c>
      <c r="AL152">
        <f t="shared" si="133"/>
        <v>5.799472870174939</v>
      </c>
      <c r="AM152">
        <f>('Real assumptions'!$B$33/12)*O151*AV151</f>
        <v>5.766860737894862</v>
      </c>
      <c r="AN152">
        <f t="shared" si="115"/>
        <v>123.13060091875413</v>
      </c>
      <c r="AO152">
        <f t="shared" si="92"/>
        <v>0.18983972547625502</v>
      </c>
      <c r="AP152" s="121">
        <f t="shared" si="116"/>
        <v>1.4303401986042379</v>
      </c>
      <c r="AQ152">
        <f t="shared" si="117"/>
        <v>0</v>
      </c>
      <c r="AR152">
        <v>0</v>
      </c>
      <c r="AS152">
        <f t="shared" si="98"/>
        <v>0</v>
      </c>
      <c r="AT152">
        <f t="shared" si="118"/>
        <v>0</v>
      </c>
      <c r="AU152">
        <f>IFERROR(HLOOKUP(B152,'Real assumptions'!$B$43:$AL$44,2,TRUE)*($W$3/$U$2),0)</f>
        <v>0</v>
      </c>
      <c r="AV152">
        <f>AV151*(1+'Real assumptions'!$B$35)^(1/12)</f>
        <v>1.1559579567358924</v>
      </c>
      <c r="AW152">
        <f t="shared" si="99"/>
        <v>2030</v>
      </c>
      <c r="AX152">
        <f t="shared" si="134"/>
        <v>119.04636038803787</v>
      </c>
      <c r="AY152">
        <f t="shared" si="135"/>
        <v>2.1018444625916977</v>
      </c>
      <c r="AZ152">
        <f t="shared" si="100"/>
        <v>446.9514289715587</v>
      </c>
      <c r="BA152">
        <f t="shared" si="119"/>
        <v>4.2063838562958598</v>
      </c>
      <c r="BB152">
        <f t="shared" si="120"/>
        <v>87.25</v>
      </c>
      <c r="BC152">
        <f t="shared" si="101"/>
        <v>52.349999999999994</v>
      </c>
      <c r="BD152">
        <f t="shared" si="121"/>
        <v>0</v>
      </c>
      <c r="BE152">
        <f t="shared" si="102"/>
        <v>24</v>
      </c>
      <c r="BF152">
        <f t="shared" si="136"/>
        <v>5000</v>
      </c>
      <c r="BU152"/>
      <c r="FD152"/>
      <c r="FE152"/>
    </row>
    <row r="153" spans="1:161" x14ac:dyDescent="0.25">
      <c r="A153" s="7">
        <f t="shared" si="122"/>
        <v>47756</v>
      </c>
      <c r="B153">
        <f t="shared" si="103"/>
        <v>142</v>
      </c>
      <c r="C153">
        <f t="shared" si="104"/>
        <v>11.75</v>
      </c>
      <c r="D153">
        <f t="shared" si="105"/>
        <v>0</v>
      </c>
      <c r="E153">
        <f t="shared" si="106"/>
        <v>63</v>
      </c>
      <c r="F153">
        <f>IF(C153&gt;=$T$2,0,VLOOKUP($E153,EKM_F05!$A$3:$C$128,2,TRUE))</f>
        <v>9.4552564102564091E-3</v>
      </c>
      <c r="G153">
        <f>F153*'Real assumptions'!$B$3</f>
        <v>3.9456784999999999E-3</v>
      </c>
      <c r="H153">
        <f t="shared" si="123"/>
        <v>3.294026705347175E-4</v>
      </c>
      <c r="I153">
        <f t="shared" si="124"/>
        <v>1.6365683019779829E-4</v>
      </c>
      <c r="J153">
        <f>IF(B153&gt;$AJ$2,0,HLOOKUP(C153,'Real assumptions'!$B$5:$L$8,4,TRUE))</f>
        <v>3.7900000000000003E-2</v>
      </c>
      <c r="K153">
        <f t="shared" si="93"/>
        <v>1</v>
      </c>
      <c r="L153">
        <f t="shared" si="125"/>
        <v>8.3333333333333329E-2</v>
      </c>
      <c r="M153">
        <f t="shared" si="126"/>
        <v>3.2145624959929453E-3</v>
      </c>
      <c r="N153">
        <f t="shared" si="127"/>
        <v>1.5993958072137095E-3</v>
      </c>
      <c r="O153" s="8">
        <f t="shared" si="107"/>
        <v>0.49586587049785491</v>
      </c>
      <c r="P153">
        <f t="shared" si="108"/>
        <v>11.943094155246394</v>
      </c>
      <c r="Q153">
        <f t="shared" si="128"/>
        <v>0.81828415098899143</v>
      </c>
      <c r="R153" s="89">
        <f t="shared" si="94"/>
        <v>5000</v>
      </c>
      <c r="S153">
        <f t="shared" si="95"/>
        <v>0.16666666666666607</v>
      </c>
      <c r="U153">
        <f>O152*AV152*'Real assumptions'!$B$33/12+AX153*'Real assumptions'!$B$34</f>
        <v>5.7855504093779793</v>
      </c>
      <c r="V153">
        <f>IF(P153=0,0,IF(E153&lt;=$C$7,$AN$5*O152,0))*'Real assumptions'!$D$28</f>
        <v>2.9857735388115985</v>
      </c>
      <c r="X153" s="94">
        <f t="shared" si="109"/>
        <v>0</v>
      </c>
      <c r="Y153">
        <f t="shared" si="96"/>
        <v>24</v>
      </c>
      <c r="Z153">
        <f t="shared" si="129"/>
        <v>87</v>
      </c>
      <c r="AA153">
        <f t="shared" si="97"/>
        <v>87.166666666666671</v>
      </c>
      <c r="AB153">
        <f t="shared" si="110"/>
        <v>50.505050505050505</v>
      </c>
      <c r="AC153">
        <f t="shared" si="130"/>
        <v>4402.3569023569025</v>
      </c>
      <c r="AD153">
        <f t="shared" si="111"/>
        <v>80.505050505050505</v>
      </c>
      <c r="AE153">
        <f t="shared" si="112"/>
        <v>350.86784511784515</v>
      </c>
      <c r="AF153" s="94">
        <f t="shared" si="113"/>
        <v>246.77525252525231</v>
      </c>
      <c r="AG153">
        <f t="shared" si="131"/>
        <v>0.39469130421299292</v>
      </c>
      <c r="AH153">
        <f t="shared" si="114"/>
        <v>122.36742541076221</v>
      </c>
      <c r="AI153">
        <f>HLOOKUP(AW153,'Real assumptions'!$A$21:$AK$24,2,TRUE)</f>
        <v>1.8658999999999999</v>
      </c>
      <c r="AJ153" s="123">
        <f t="shared" si="132"/>
        <v>1.5417753512103616E-3</v>
      </c>
      <c r="AK153" s="122">
        <f>(1+HLOOKUP(YEAR(A153),'Real assumptions'!$A$21:$AK$24,2,TRUE)/100)^(1/12)-1</f>
        <v>1.5417753512103616E-3</v>
      </c>
      <c r="AL153">
        <f t="shared" si="133"/>
        <v>5.7855504093779793</v>
      </c>
      <c r="AM153">
        <f>('Real assumptions'!$B$33/12)*O152*AV152</f>
        <v>5.7523811320012506</v>
      </c>
      <c r="AN153">
        <f t="shared" si="115"/>
        <v>125.14329224496856</v>
      </c>
      <c r="AO153">
        <f t="shared" si="92"/>
        <v>0.19294284335260733</v>
      </c>
      <c r="AP153" s="121">
        <f t="shared" si="116"/>
        <v>1.6232830419568451</v>
      </c>
      <c r="AQ153">
        <f t="shared" si="117"/>
        <v>0</v>
      </c>
      <c r="AR153">
        <v>0</v>
      </c>
      <c r="AS153">
        <f t="shared" si="98"/>
        <v>0</v>
      </c>
      <c r="AT153">
        <f t="shared" si="118"/>
        <v>0</v>
      </c>
      <c r="AU153">
        <f>IFERROR(HLOOKUP(B153,'Real assumptions'!$B$43:$AL$44,2,TRUE)*($W$3/$U$2),0)</f>
        <v>0</v>
      </c>
      <c r="AV153">
        <f>AV152*(1+'Real assumptions'!$B$35)^(1/12)</f>
        <v>1.1571552355827404</v>
      </c>
      <c r="AW153">
        <f t="shared" si="99"/>
        <v>2030</v>
      </c>
      <c r="AX153">
        <f t="shared" si="134"/>
        <v>121.08014632374353</v>
      </c>
      <c r="AY153">
        <f t="shared" si="135"/>
        <v>2.094397824643377</v>
      </c>
      <c r="AZ153">
        <f t="shared" si="100"/>
        <v>449.59932241979016</v>
      </c>
      <c r="BA153">
        <f t="shared" si="119"/>
        <v>4.1987489940135827</v>
      </c>
      <c r="BB153">
        <f t="shared" si="120"/>
        <v>87.166666666666671</v>
      </c>
      <c r="BC153">
        <f t="shared" si="101"/>
        <v>52.3</v>
      </c>
      <c r="BD153">
        <f t="shared" si="121"/>
        <v>0</v>
      </c>
      <c r="BE153">
        <f t="shared" si="102"/>
        <v>24</v>
      </c>
      <c r="BF153">
        <f t="shared" si="136"/>
        <v>5000</v>
      </c>
      <c r="BU153"/>
      <c r="FD153"/>
      <c r="FE153"/>
    </row>
    <row r="154" spans="1:161" x14ac:dyDescent="0.25">
      <c r="A154" s="7">
        <f t="shared" si="122"/>
        <v>47787</v>
      </c>
      <c r="B154">
        <f t="shared" si="103"/>
        <v>143</v>
      </c>
      <c r="C154">
        <f t="shared" si="104"/>
        <v>11.833333333333334</v>
      </c>
      <c r="D154">
        <f t="shared" si="105"/>
        <v>0</v>
      </c>
      <c r="E154">
        <f t="shared" si="106"/>
        <v>63</v>
      </c>
      <c r="F154">
        <f>IF(C154&gt;=$T$2,0,VLOOKUP($E154,EKM_F05!$A$3:$C$128,2,TRUE))</f>
        <v>9.4552564102564091E-3</v>
      </c>
      <c r="G154">
        <f>F154*'Real assumptions'!$B$3</f>
        <v>3.9456784999999999E-3</v>
      </c>
      <c r="H154">
        <f t="shared" si="123"/>
        <v>3.294026705347175E-4</v>
      </c>
      <c r="I154">
        <f t="shared" si="124"/>
        <v>1.6307700938615266E-4</v>
      </c>
      <c r="J154">
        <f>IF(B154&gt;$AJ$2,0,HLOOKUP(C154,'Real assumptions'!$B$5:$L$8,4,TRUE))</f>
        <v>3.7900000000000003E-2</v>
      </c>
      <c r="K154">
        <f t="shared" si="93"/>
        <v>1</v>
      </c>
      <c r="L154">
        <f t="shared" si="125"/>
        <v>8.3333333333333329E-2</v>
      </c>
      <c r="M154">
        <f t="shared" si="126"/>
        <v>3.2145624959929453E-3</v>
      </c>
      <c r="N154">
        <f t="shared" si="127"/>
        <v>1.5937292977624359E-3</v>
      </c>
      <c r="O154" s="8">
        <f t="shared" si="107"/>
        <v>0.49410906419070633</v>
      </c>
      <c r="P154">
        <f t="shared" si="108"/>
        <v>11.900780891948518</v>
      </c>
      <c r="Q154">
        <f t="shared" si="128"/>
        <v>0.8153850469307633</v>
      </c>
      <c r="R154" s="89">
        <f t="shared" si="94"/>
        <v>5000</v>
      </c>
      <c r="S154">
        <f t="shared" si="95"/>
        <v>8.3333333333333925E-2</v>
      </c>
      <c r="U154">
        <f>O153*AV153*'Real assumptions'!$B$33/12+AX154*'Real assumptions'!$B$34</f>
        <v>5.7716611700786071</v>
      </c>
      <c r="V154">
        <f>IF(P154=0,0,IF(E154&lt;=$C$7,$AN$5*O153,0))*'Real assumptions'!$D$28</f>
        <v>2.9751952229871295</v>
      </c>
      <c r="X154" s="94">
        <f t="shared" si="109"/>
        <v>0</v>
      </c>
      <c r="Y154">
        <f t="shared" si="96"/>
        <v>24</v>
      </c>
      <c r="Z154">
        <f t="shared" si="129"/>
        <v>87</v>
      </c>
      <c r="AA154">
        <f t="shared" si="97"/>
        <v>87.083333333333329</v>
      </c>
      <c r="AB154">
        <f t="shared" si="110"/>
        <v>50.505050505050505</v>
      </c>
      <c r="AC154">
        <f t="shared" si="130"/>
        <v>4398.1481481481478</v>
      </c>
      <c r="AD154">
        <f t="shared" si="111"/>
        <v>80.505050505050505</v>
      </c>
      <c r="AE154">
        <f t="shared" si="112"/>
        <v>350.53240740740739</v>
      </c>
      <c r="AF154" s="94">
        <f t="shared" si="113"/>
        <v>251.3194444444448</v>
      </c>
      <c r="AG154">
        <f t="shared" si="131"/>
        <v>0.40053516170849052</v>
      </c>
      <c r="AH154">
        <f t="shared" si="114"/>
        <v>124.17921550737283</v>
      </c>
      <c r="AI154">
        <f>HLOOKUP(AW154,'Real assumptions'!$A$21:$AK$24,2,TRUE)</f>
        <v>1.8658999999999999</v>
      </c>
      <c r="AJ154" s="123">
        <f t="shared" si="132"/>
        <v>1.5417753512103616E-3</v>
      </c>
      <c r="AK154" s="122">
        <f>(1+HLOOKUP(YEAR(A154),'Real assumptions'!$A$21:$AK$24,2,TRUE)/100)^(1/12)-1</f>
        <v>1.5417753512103616E-3</v>
      </c>
      <c r="AL154">
        <f t="shared" si="133"/>
        <v>5.7716611700786071</v>
      </c>
      <c r="AM154">
        <f>('Real assumptions'!$B$33/12)*O153*AV153</f>
        <v>5.7379378819338589</v>
      </c>
      <c r="AN154">
        <f t="shared" si="115"/>
        <v>127.14463295160184</v>
      </c>
      <c r="AO154">
        <f t="shared" si="92"/>
        <v>0.19602846112346844</v>
      </c>
      <c r="AP154" s="121">
        <f t="shared" si="116"/>
        <v>1.8193115030803135</v>
      </c>
      <c r="AQ154">
        <f t="shared" si="117"/>
        <v>0</v>
      </c>
      <c r="AR154">
        <v>0</v>
      </c>
      <c r="AS154">
        <f t="shared" si="98"/>
        <v>0</v>
      </c>
      <c r="AT154">
        <f t="shared" si="118"/>
        <v>0</v>
      </c>
      <c r="AU154">
        <f>IFERROR(HLOOKUP(B154,'Real assumptions'!$B$43:$AL$44,2,TRUE)*($W$3/$U$2),0)</f>
        <v>0</v>
      </c>
      <c r="AV154">
        <f>AV153*(1+'Real assumptions'!$B$35)^(1/12)</f>
        <v>1.1583537545063824</v>
      </c>
      <c r="AW154">
        <f t="shared" si="99"/>
        <v>2030</v>
      </c>
      <c r="AX154">
        <f t="shared" si="134"/>
        <v>123.10249079916734</v>
      </c>
      <c r="AY154">
        <f t="shared" si="135"/>
        <v>2.0869775694354162</v>
      </c>
      <c r="AZ154">
        <f t="shared" si="100"/>
        <v>452.23050786326138</v>
      </c>
      <c r="BA154">
        <f t="shared" si="119"/>
        <v>4.1911154316263834</v>
      </c>
      <c r="BB154">
        <f t="shared" si="120"/>
        <v>87.083333333333329</v>
      </c>
      <c r="BC154">
        <f t="shared" si="101"/>
        <v>52.25</v>
      </c>
      <c r="BD154">
        <f t="shared" si="121"/>
        <v>0</v>
      </c>
      <c r="BE154">
        <f t="shared" si="102"/>
        <v>24</v>
      </c>
      <c r="BF154">
        <f t="shared" si="136"/>
        <v>5000</v>
      </c>
      <c r="BU154"/>
      <c r="FD154"/>
      <c r="FE154"/>
    </row>
    <row r="155" spans="1:161" s="118" customFormat="1" x14ac:dyDescent="0.25">
      <c r="A155" s="117">
        <f t="shared" si="122"/>
        <v>47817</v>
      </c>
      <c r="B155" s="118">
        <f t="shared" si="103"/>
        <v>144</v>
      </c>
      <c r="C155" s="118">
        <f t="shared" si="104"/>
        <v>11.916666666666666</v>
      </c>
      <c r="D155" s="118">
        <f t="shared" si="105"/>
        <v>0</v>
      </c>
      <c r="E155" s="118">
        <f t="shared" si="106"/>
        <v>63</v>
      </c>
      <c r="F155">
        <f>IF(C155&gt;=$T$2,0,VLOOKUP($E155,EKM_F05!$A$3:$C$128,2,TRUE))</f>
        <v>9.4552564102564091E-3</v>
      </c>
      <c r="G155" s="118">
        <f>F155*'Real assumptions'!$B$3</f>
        <v>3.9456784999999999E-3</v>
      </c>
      <c r="H155" s="118">
        <f t="shared" si="123"/>
        <v>3.294026705347175E-4</v>
      </c>
      <c r="I155" s="118">
        <f t="shared" si="124"/>
        <v>1.6249924282530249E-4</v>
      </c>
      <c r="J155">
        <f>IF(B155&gt;$AJ$2,0,HLOOKUP(C155,'Real assumptions'!$B$5:$L$8,4,TRUE))</f>
        <v>3.7900000000000003E-2</v>
      </c>
      <c r="K155">
        <f t="shared" si="93"/>
        <v>1</v>
      </c>
      <c r="L155">
        <f t="shared" si="125"/>
        <v>8.3333333333333329E-2</v>
      </c>
      <c r="M155" s="118">
        <f t="shared" si="126"/>
        <v>3.2145624959929453E-3</v>
      </c>
      <c r="N155" s="118">
        <f t="shared" si="127"/>
        <v>1.5880828642230891E-3</v>
      </c>
      <c r="O155" s="8">
        <f t="shared" si="107"/>
        <v>0.49235848208365796</v>
      </c>
      <c r="P155" s="118">
        <f t="shared" si="108"/>
        <v>11.858617540576951</v>
      </c>
      <c r="Q155">
        <f t="shared" si="128"/>
        <v>0.81249621412651241</v>
      </c>
      <c r="R155" s="89">
        <f t="shared" si="94"/>
        <v>5000</v>
      </c>
      <c r="S155" s="118">
        <f t="shared" si="95"/>
        <v>1</v>
      </c>
      <c r="T155"/>
      <c r="U155">
        <f>O154*AV154*'Real assumptions'!$B$33/12+AX155*'Real assumptions'!$B$34</f>
        <v>5.757805078091657</v>
      </c>
      <c r="V155">
        <f>IF(P155=0,0,IF(E155&lt;=$C$7,$AN$5*O154,0))*'Real assumptions'!$D$28</f>
        <v>2.9646543851442377</v>
      </c>
      <c r="W155"/>
      <c r="X155" s="94">
        <f t="shared" si="109"/>
        <v>0</v>
      </c>
      <c r="Y155">
        <f t="shared" si="96"/>
        <v>24</v>
      </c>
      <c r="Z155">
        <f t="shared" si="129"/>
        <v>87</v>
      </c>
      <c r="AA155">
        <f t="shared" si="97"/>
        <v>87</v>
      </c>
      <c r="AB155">
        <f t="shared" si="110"/>
        <v>50.505050505050505</v>
      </c>
      <c r="AC155">
        <f t="shared" si="130"/>
        <v>4393.939393939394</v>
      </c>
      <c r="AD155">
        <f t="shared" si="111"/>
        <v>80.505050505050505</v>
      </c>
      <c r="AE155">
        <f t="shared" si="112"/>
        <v>350.19696969696969</v>
      </c>
      <c r="AF155" s="94">
        <f t="shared" si="113"/>
        <v>255.86363636363632</v>
      </c>
      <c r="AG155">
        <f t="shared" si="131"/>
        <v>0.40633265648689848</v>
      </c>
      <c r="AH155">
        <f t="shared" si="114"/>
        <v>125.976631620405</v>
      </c>
      <c r="AI155">
        <f>HLOOKUP(AW155,'Real assumptions'!$A$21:$AK$24,2,TRUE)</f>
        <v>1.8658999999999999</v>
      </c>
      <c r="AJ155" s="123">
        <f t="shared" si="132"/>
        <v>1.5417753512103616E-3</v>
      </c>
      <c r="AK155" s="122">
        <f>(1+HLOOKUP(YEAR(A155),'Real assumptions'!$A$21:$AK$24,2,TRUE)/100)^(1/12)-1</f>
        <v>1.5417753512103616E-3</v>
      </c>
      <c r="AL155">
        <f t="shared" si="133"/>
        <v>5.757805078091657</v>
      </c>
      <c r="AM155">
        <f>('Real assumptions'!$B$33/12)*O154*AV154</f>
        <v>5.7235308964093985</v>
      </c>
      <c r="AN155">
        <f t="shared" si="115"/>
        <v>129.13468508779422</v>
      </c>
      <c r="AO155">
        <f t="shared" si="92"/>
        <v>0.19909667445467338</v>
      </c>
      <c r="AP155" s="121">
        <f t="shared" si="116"/>
        <v>2.0184081775349867</v>
      </c>
      <c r="AQ155">
        <f t="shared" si="117"/>
        <v>0</v>
      </c>
      <c r="AR155">
        <v>0</v>
      </c>
      <c r="AS155">
        <f t="shared" si="98"/>
        <v>0</v>
      </c>
      <c r="AT155">
        <f t="shared" si="118"/>
        <v>0</v>
      </c>
      <c r="AU155">
        <f>IFERROR(HLOOKUP(B155,'Real assumptions'!$B$43:$AL$44,2,TRUE)*($W$3/$U$2),0)</f>
        <v>0</v>
      </c>
      <c r="AV155" s="118">
        <f>AV154*(1+'Real assumptions'!$B$35)^(1/12)</f>
        <v>1.1595535147912233</v>
      </c>
      <c r="AW155">
        <f t="shared" si="99"/>
        <v>2030</v>
      </c>
      <c r="AX155">
        <f t="shared" si="134"/>
        <v>125.11345622880513</v>
      </c>
      <c r="AY155">
        <f t="shared" si="135"/>
        <v>2.0795836034962387</v>
      </c>
      <c r="AZ155">
        <f t="shared" si="100"/>
        <v>454.84507492007793</v>
      </c>
      <c r="BA155">
        <f t="shared" si="119"/>
        <v>4.1834832557576487</v>
      </c>
      <c r="BB155">
        <f t="shared" si="120"/>
        <v>87</v>
      </c>
      <c r="BC155">
        <f t="shared" si="101"/>
        <v>52.2</v>
      </c>
      <c r="BD155">
        <f t="shared" si="121"/>
        <v>0</v>
      </c>
      <c r="BE155">
        <f t="shared" si="102"/>
        <v>24</v>
      </c>
      <c r="BF155">
        <f t="shared" si="136"/>
        <v>5000</v>
      </c>
      <c r="BG155"/>
    </row>
    <row r="156" spans="1:161" x14ac:dyDescent="0.25">
      <c r="A156" s="7">
        <f t="shared" si="122"/>
        <v>47848</v>
      </c>
      <c r="B156">
        <f t="shared" si="103"/>
        <v>145</v>
      </c>
      <c r="C156">
        <f t="shared" si="104"/>
        <v>12</v>
      </c>
      <c r="D156">
        <f t="shared" si="105"/>
        <v>1</v>
      </c>
      <c r="E156">
        <f t="shared" si="106"/>
        <v>64</v>
      </c>
      <c r="F156">
        <f>IF(C156&gt;=$T$2,0,VLOOKUP($E156,EKM_F05!$A$3:$C$128,2,TRUE))</f>
        <v>9.9767948717948713E-3</v>
      </c>
      <c r="G156">
        <f>F156*'Real assumptions'!$B$3</f>
        <v>4.1633165E-3</v>
      </c>
      <c r="H156">
        <f t="shared" si="123"/>
        <v>3.4760684007484333E-4</v>
      </c>
      <c r="I156">
        <f t="shared" si="124"/>
        <v>1.7087209449428748E-4</v>
      </c>
      <c r="J156">
        <f>IF(B156&gt;$AJ$2,0,HLOOKUP(C156,'Real assumptions'!$B$5:$L$8,4,TRUE))</f>
        <v>3.7900000000000003E-2</v>
      </c>
      <c r="K156">
        <f t="shared" si="93"/>
        <v>1</v>
      </c>
      <c r="L156">
        <f t="shared" si="125"/>
        <v>8.3333333333333329E-2</v>
      </c>
      <c r="M156">
        <f t="shared" si="126"/>
        <v>3.2145624959929453E-3</v>
      </c>
      <c r="N156">
        <f t="shared" si="127"/>
        <v>1.5824420294432823E-3</v>
      </c>
      <c r="O156" s="8">
        <f t="shared" si="107"/>
        <v>0.49060516795972037</v>
      </c>
      <c r="P156">
        <f t="shared" si="108"/>
        <v>11.816603570007791</v>
      </c>
      <c r="Q156">
        <f t="shared" si="128"/>
        <v>0.85436047247143743</v>
      </c>
      <c r="R156" s="89">
        <f t="shared" si="94"/>
        <v>5000</v>
      </c>
      <c r="S156">
        <f t="shared" si="95"/>
        <v>0.91666666666666607</v>
      </c>
      <c r="U156">
        <f>O155*AV155*'Real assumptions'!$B$33/12+AX156*'Real assumptions'!$B$34</f>
        <v>5.7439820593822573</v>
      </c>
      <c r="V156">
        <f>IF(P156=0,0,IF(E156&lt;=$C$7,$AN$5*O155,0))*'Real assumptions'!$D$28</f>
        <v>2.9541508925019477</v>
      </c>
      <c r="X156" s="94">
        <f t="shared" si="109"/>
        <v>0</v>
      </c>
      <c r="Y156">
        <f t="shared" si="96"/>
        <v>24</v>
      </c>
      <c r="Z156">
        <f t="shared" si="129"/>
        <v>87</v>
      </c>
      <c r="AA156">
        <f t="shared" si="97"/>
        <v>86.916666666666671</v>
      </c>
      <c r="AB156">
        <f t="shared" si="110"/>
        <v>50.505050505050505</v>
      </c>
      <c r="AC156">
        <f t="shared" si="130"/>
        <v>4389.7306397306402</v>
      </c>
      <c r="AD156">
        <f t="shared" si="111"/>
        <v>80.505050505050505</v>
      </c>
      <c r="AE156">
        <f t="shared" si="112"/>
        <v>349.86153198653199</v>
      </c>
      <c r="AF156" s="94">
        <f t="shared" si="113"/>
        <v>260.40782828282784</v>
      </c>
      <c r="AG156">
        <f t="shared" si="131"/>
        <v>0.41208029227079584</v>
      </c>
      <c r="AH156">
        <f t="shared" si="114"/>
        <v>127.75742633272277</v>
      </c>
      <c r="AI156">
        <f>HLOOKUP(AW156,'Real assumptions'!$A$21:$AK$24,2,TRUE)</f>
        <v>1.8658999999999999</v>
      </c>
      <c r="AJ156" s="123">
        <f t="shared" si="132"/>
        <v>1.5417753512103616E-3</v>
      </c>
      <c r="AK156" s="122">
        <f>(1+HLOOKUP(YEAR(A156),'Real assumptions'!$A$21:$AK$24,2,TRUE)/100)^(1/12)-1</f>
        <v>1.5417753512103616E-3</v>
      </c>
      <c r="AL156">
        <f t="shared" si="133"/>
        <v>5.7439820593822573</v>
      </c>
      <c r="AM156">
        <f>('Real assumptions'!$B$33/12)*O155*AV155</f>
        <v>5.7091600843737709</v>
      </c>
      <c r="AN156">
        <f t="shared" si="115"/>
        <v>131.11351041606355</v>
      </c>
      <c r="AO156">
        <f t="shared" si="92"/>
        <v>0.20214757857014978</v>
      </c>
      <c r="AP156" s="121">
        <f t="shared" si="116"/>
        <v>0</v>
      </c>
      <c r="AQ156">
        <f t="shared" si="117"/>
        <v>0</v>
      </c>
      <c r="AR156">
        <v>0</v>
      </c>
      <c r="AS156">
        <f t="shared" si="98"/>
        <v>0</v>
      </c>
      <c r="AT156">
        <f t="shared" si="118"/>
        <v>0</v>
      </c>
      <c r="AU156">
        <f>IFERROR(HLOOKUP(B156,'Real assumptions'!$B$43:$AL$44,2,TRUE)*($W$3/$U$2),0)</f>
        <v>0</v>
      </c>
      <c r="AV156">
        <f>AV155*(1+'Real assumptions'!$B$35)^(1/12)</f>
        <v>1.1607545177229976</v>
      </c>
      <c r="AW156">
        <f t="shared" si="99"/>
        <v>2030</v>
      </c>
      <c r="AX156">
        <f t="shared" si="134"/>
        <v>127.11310473912349</v>
      </c>
      <c r="AY156">
        <f t="shared" si="135"/>
        <v>2.0722158336854291</v>
      </c>
      <c r="AZ156">
        <f t="shared" si="100"/>
        <v>457.39837369859049</v>
      </c>
      <c r="BA156">
        <f t="shared" si="119"/>
        <v>4.2205916572441815</v>
      </c>
      <c r="BB156">
        <f t="shared" si="120"/>
        <v>86.916666666666671</v>
      </c>
      <c r="BC156">
        <f t="shared" si="101"/>
        <v>52.150000000000006</v>
      </c>
      <c r="BD156">
        <f t="shared" si="121"/>
        <v>0</v>
      </c>
      <c r="BE156">
        <f t="shared" si="102"/>
        <v>24</v>
      </c>
      <c r="BF156">
        <f t="shared" si="136"/>
        <v>5000</v>
      </c>
      <c r="BU156"/>
      <c r="FD156"/>
      <c r="FE156"/>
    </row>
    <row r="157" spans="1:161" x14ac:dyDescent="0.25">
      <c r="A157" s="7">
        <f t="shared" si="122"/>
        <v>47879</v>
      </c>
      <c r="B157">
        <f t="shared" si="103"/>
        <v>146</v>
      </c>
      <c r="C157">
        <f t="shared" si="104"/>
        <v>12.083333333333334</v>
      </c>
      <c r="D157">
        <f t="shared" si="105"/>
        <v>0</v>
      </c>
      <c r="E157">
        <f t="shared" si="106"/>
        <v>64</v>
      </c>
      <c r="F157">
        <f>IF(C157&gt;=$T$2,0,VLOOKUP($E157,EKM_F05!$A$3:$C$128,2,TRUE))</f>
        <v>9.9767948717948713E-3</v>
      </c>
      <c r="G157">
        <f>F157*'Real assumptions'!$B$3</f>
        <v>4.1633165E-3</v>
      </c>
      <c r="H157">
        <f t="shared" si="123"/>
        <v>3.4760684007484333E-4</v>
      </c>
      <c r="I157">
        <f t="shared" si="124"/>
        <v>1.7026361009203701E-4</v>
      </c>
      <c r="J157">
        <f>IF(B157&gt;$AJ$2,0,HLOOKUP(C157,'Real assumptions'!$B$5:$L$8,4,TRUE))</f>
        <v>3.7900000000000003E-2</v>
      </c>
      <c r="K157">
        <f t="shared" si="93"/>
        <v>1</v>
      </c>
      <c r="L157">
        <f t="shared" si="125"/>
        <v>8.3333333333333329E-2</v>
      </c>
      <c r="M157">
        <f t="shared" si="126"/>
        <v>3.2145624959929453E-3</v>
      </c>
      <c r="N157">
        <f t="shared" si="127"/>
        <v>1.5768068711968077E-3</v>
      </c>
      <c r="O157" s="8">
        <f t="shared" si="107"/>
        <v>0.48885809747843151</v>
      </c>
      <c r="P157">
        <f t="shared" si="108"/>
        <v>11.774524031033289</v>
      </c>
      <c r="Q157">
        <f t="shared" si="128"/>
        <v>0.85131805046018505</v>
      </c>
      <c r="R157" s="89">
        <f t="shared" si="94"/>
        <v>5000</v>
      </c>
      <c r="S157">
        <f t="shared" si="95"/>
        <v>0.83333333333333393</v>
      </c>
      <c r="U157">
        <f>O156*AV156*'Real assumptions'!$B$33/12+AX157*'Real assumptions'!$B$34</f>
        <v>5.7294793936640476</v>
      </c>
      <c r="V157">
        <f>IF(P157=0,0,IF(E157&lt;=$C$7,$AN$5*O156,0))*'Real assumptions'!$D$28</f>
        <v>2.9436310077583223</v>
      </c>
      <c r="X157" s="94">
        <f t="shared" si="109"/>
        <v>0</v>
      </c>
      <c r="Y157">
        <f t="shared" si="96"/>
        <v>24</v>
      </c>
      <c r="Z157">
        <f t="shared" si="129"/>
        <v>86</v>
      </c>
      <c r="AA157">
        <f t="shared" si="97"/>
        <v>86.833333333333329</v>
      </c>
      <c r="AB157">
        <f t="shared" si="110"/>
        <v>50.505050505050505</v>
      </c>
      <c r="AC157">
        <f t="shared" si="130"/>
        <v>4385.5218855218855</v>
      </c>
      <c r="AD157">
        <f t="shared" si="111"/>
        <v>80.505050505050505</v>
      </c>
      <c r="AE157">
        <f t="shared" si="112"/>
        <v>349.52609427609423</v>
      </c>
      <c r="AF157" s="94">
        <f t="shared" si="113"/>
        <v>264.95202020202032</v>
      </c>
      <c r="AG157">
        <f t="shared" si="131"/>
        <v>0.41777816599202106</v>
      </c>
      <c r="AH157">
        <f t="shared" si="114"/>
        <v>129.52394051902661</v>
      </c>
      <c r="AI157">
        <f>HLOOKUP(AW157,'Real assumptions'!$A$21:$AK$24,2,TRUE)</f>
        <v>1.8266</v>
      </c>
      <c r="AJ157" s="123">
        <f t="shared" si="132"/>
        <v>1.5095699767524451E-3</v>
      </c>
      <c r="AK157" s="122">
        <f>(1+HLOOKUP(YEAR(A157),'Real assumptions'!$A$21:$AK$24,2,TRUE)/100)^(1/12)-1</f>
        <v>1.5095699767524451E-3</v>
      </c>
      <c r="AL157">
        <f t="shared" si="133"/>
        <v>5.7294793936640476</v>
      </c>
      <c r="AM157">
        <f>('Real assumptions'!$B$33/12)*O156*AV156</f>
        <v>5.6947216512749552</v>
      </c>
      <c r="AN157">
        <f t="shared" si="115"/>
        <v>130.85883996233372</v>
      </c>
      <c r="AO157">
        <f t="shared" si="92"/>
        <v>0.19754057599979205</v>
      </c>
      <c r="AP157" s="121">
        <f t="shared" si="116"/>
        <v>0.19754057599979205</v>
      </c>
      <c r="AQ157">
        <f t="shared" si="117"/>
        <v>0</v>
      </c>
      <c r="AR157">
        <v>0</v>
      </c>
      <c r="AS157">
        <f t="shared" si="98"/>
        <v>0</v>
      </c>
      <c r="AT157">
        <f t="shared" si="118"/>
        <v>0</v>
      </c>
      <c r="AU157">
        <f>IFERROR(HLOOKUP(B157,'Real assumptions'!$B$43:$AL$44,2,TRUE)*($W$3/$U$2),0)</f>
        <v>0</v>
      </c>
      <c r="AV157">
        <f>AV156*(1+'Real assumptions'!$B$35)^(1/12)</f>
        <v>1.1619567645887723</v>
      </c>
      <c r="AW157">
        <f t="shared" si="99"/>
        <v>2031</v>
      </c>
      <c r="AX157">
        <f t="shared" si="134"/>
        <v>126.87863189045149</v>
      </c>
      <c r="AY157">
        <f t="shared" si="135"/>
        <v>2.0648365654870386</v>
      </c>
      <c r="AZ157">
        <f t="shared" si="100"/>
        <v>459.9211659641</v>
      </c>
      <c r="BA157">
        <f t="shared" si="119"/>
        <v>4.2127272242105285</v>
      </c>
      <c r="BB157">
        <f t="shared" si="120"/>
        <v>86.833333333333329</v>
      </c>
      <c r="BC157">
        <f t="shared" si="101"/>
        <v>52.099999999999994</v>
      </c>
      <c r="BD157">
        <f t="shared" si="121"/>
        <v>0</v>
      </c>
      <c r="BE157">
        <f t="shared" si="102"/>
        <v>24</v>
      </c>
      <c r="BF157">
        <f t="shared" si="136"/>
        <v>5000</v>
      </c>
      <c r="BU157"/>
      <c r="FD157"/>
      <c r="FE157"/>
    </row>
    <row r="158" spans="1:161" x14ac:dyDescent="0.25">
      <c r="A158" s="7">
        <f t="shared" si="122"/>
        <v>47907</v>
      </c>
      <c r="B158">
        <f t="shared" si="103"/>
        <v>147</v>
      </c>
      <c r="C158">
        <f t="shared" si="104"/>
        <v>12.166666666666666</v>
      </c>
      <c r="D158">
        <f t="shared" si="105"/>
        <v>0</v>
      </c>
      <c r="E158">
        <f t="shared" si="106"/>
        <v>64</v>
      </c>
      <c r="F158">
        <f>IF(C158&gt;=$T$2,0,VLOOKUP($E158,EKM_F05!$A$3:$C$128,2,TRUE))</f>
        <v>9.9767948717948713E-3</v>
      </c>
      <c r="G158">
        <f>F158*'Real assumptions'!$B$3</f>
        <v>4.1633165E-3</v>
      </c>
      <c r="H158">
        <f t="shared" si="123"/>
        <v>3.4760684007484333E-4</v>
      </c>
      <c r="I158">
        <f t="shared" si="124"/>
        <v>1.6965729253434284E-4</v>
      </c>
      <c r="J158">
        <f>IF(B158&gt;$AJ$2,0,HLOOKUP(C158,'Real assumptions'!$B$5:$L$8,4,TRUE))</f>
        <v>3.7900000000000003E-2</v>
      </c>
      <c r="K158">
        <f t="shared" si="93"/>
        <v>1</v>
      </c>
      <c r="L158">
        <f t="shared" si="125"/>
        <v>8.3333333333333329E-2</v>
      </c>
      <c r="M158">
        <f t="shared" si="126"/>
        <v>3.2145624959929453E-3</v>
      </c>
      <c r="N158">
        <f t="shared" si="127"/>
        <v>1.5711917800414949E-3</v>
      </c>
      <c r="O158" s="8">
        <f t="shared" si="107"/>
        <v>0.48711724840585569</v>
      </c>
      <c r="P158">
        <f t="shared" si="108"/>
        <v>11.732594339482356</v>
      </c>
      <c r="Q158">
        <f t="shared" si="128"/>
        <v>0.84828646267171415</v>
      </c>
      <c r="R158" s="89">
        <f t="shared" si="94"/>
        <v>5000</v>
      </c>
      <c r="S158">
        <f t="shared" si="95"/>
        <v>0.75</v>
      </c>
      <c r="U158">
        <f>O157*AV157*'Real assumptions'!$B$33/12+AX158*'Real assumptions'!$B$34</f>
        <v>5.7156163751753049</v>
      </c>
      <c r="V158">
        <f>IF(P158=0,0,IF(E158&lt;=$C$7,$AN$5*O157,0))*'Real assumptions'!$D$28</f>
        <v>2.9331485848705889</v>
      </c>
      <c r="X158" s="94">
        <f t="shared" si="109"/>
        <v>0</v>
      </c>
      <c r="Y158">
        <f t="shared" si="96"/>
        <v>24</v>
      </c>
      <c r="Z158">
        <f t="shared" si="129"/>
        <v>86</v>
      </c>
      <c r="AA158">
        <f t="shared" si="97"/>
        <v>86.75</v>
      </c>
      <c r="AB158">
        <f t="shared" si="110"/>
        <v>50.505050505050505</v>
      </c>
      <c r="AC158">
        <f t="shared" si="130"/>
        <v>4381.3131313131316</v>
      </c>
      <c r="AD158">
        <f t="shared" si="111"/>
        <v>80.505050505050505</v>
      </c>
      <c r="AE158">
        <f t="shared" si="112"/>
        <v>349.19065656565652</v>
      </c>
      <c r="AF158" s="94">
        <f t="shared" si="113"/>
        <v>269.49621212121184</v>
      </c>
      <c r="AG158">
        <f t="shared" si="131"/>
        <v>0.42343023323716711</v>
      </c>
      <c r="AH158">
        <f t="shared" si="114"/>
        <v>131.27625330428552</v>
      </c>
      <c r="AI158">
        <f>HLOOKUP(AW158,'Real assumptions'!$A$21:$AK$24,2,TRUE)</f>
        <v>1.8266</v>
      </c>
      <c r="AJ158" s="123">
        <f t="shared" si="132"/>
        <v>1.5095699767524451E-3</v>
      </c>
      <c r="AK158" s="122">
        <f>(1+HLOOKUP(YEAR(A158),'Real assumptions'!$A$21:$AK$24,2,TRUE)/100)^(1/12)-1</f>
        <v>1.5095699767524451E-3</v>
      </c>
      <c r="AL158">
        <f t="shared" si="133"/>
        <v>5.7156163751753049</v>
      </c>
      <c r="AM158">
        <f>('Real assumptions'!$B$33/12)*O157*AV157</f>
        <v>5.6803197328906085</v>
      </c>
      <c r="AN158">
        <f t="shared" si="115"/>
        <v>132.80531047446286</v>
      </c>
      <c r="AO158">
        <f t="shared" ref="AO158:AO221" si="137">AN158*AJ158</f>
        <v>0.20047890944553615</v>
      </c>
      <c r="AP158" s="121">
        <f t="shared" si="116"/>
        <v>0.39801948544532817</v>
      </c>
      <c r="AQ158">
        <f t="shared" si="117"/>
        <v>0</v>
      </c>
      <c r="AR158">
        <v>0</v>
      </c>
      <c r="AS158">
        <f t="shared" si="98"/>
        <v>0</v>
      </c>
      <c r="AT158">
        <f t="shared" si="118"/>
        <v>0</v>
      </c>
      <c r="AU158">
        <f>IFERROR(HLOOKUP(B158,'Real assumptions'!$B$43:$AL$44,2,TRUE)*($W$3/$U$2),0)</f>
        <v>0</v>
      </c>
      <c r="AV158">
        <f>AV157*(1+'Real assumptions'!$B$35)^(1/12)</f>
        <v>1.163160256676947</v>
      </c>
      <c r="AW158">
        <f t="shared" si="99"/>
        <v>2031</v>
      </c>
      <c r="AX158">
        <f t="shared" si="134"/>
        <v>128.84581608540174</v>
      </c>
      <c r="AY158">
        <f t="shared" si="135"/>
        <v>2.0574835752459237</v>
      </c>
      <c r="AZ158">
        <f t="shared" si="100"/>
        <v>462.42756183143996</v>
      </c>
      <c r="BA158">
        <f t="shared" si="119"/>
        <v>4.2048652807794706</v>
      </c>
      <c r="BB158">
        <f t="shared" si="120"/>
        <v>86.75</v>
      </c>
      <c r="BC158">
        <f t="shared" si="101"/>
        <v>52.05</v>
      </c>
      <c r="BD158">
        <f t="shared" si="121"/>
        <v>0</v>
      </c>
      <c r="BE158">
        <f t="shared" si="102"/>
        <v>24</v>
      </c>
      <c r="BF158">
        <f t="shared" si="136"/>
        <v>5000</v>
      </c>
      <c r="BU158"/>
      <c r="FD158"/>
      <c r="FE158"/>
    </row>
    <row r="159" spans="1:161" x14ac:dyDescent="0.25">
      <c r="A159" s="7">
        <f t="shared" si="122"/>
        <v>47938</v>
      </c>
      <c r="B159">
        <f t="shared" si="103"/>
        <v>148</v>
      </c>
      <c r="C159">
        <f t="shared" si="104"/>
        <v>12.25</v>
      </c>
      <c r="D159">
        <f t="shared" si="105"/>
        <v>0</v>
      </c>
      <c r="E159">
        <f t="shared" si="106"/>
        <v>64</v>
      </c>
      <c r="F159">
        <f>IF(C159&gt;=$T$2,0,VLOOKUP($E159,EKM_F05!$A$3:$C$128,2,TRUE))</f>
        <v>9.9767948717948713E-3</v>
      </c>
      <c r="G159">
        <f>F159*'Real assumptions'!$B$3</f>
        <v>4.1633165E-3</v>
      </c>
      <c r="H159">
        <f t="shared" si="123"/>
        <v>3.4760684007484333E-4</v>
      </c>
      <c r="I159">
        <f t="shared" si="124"/>
        <v>1.6905313410495903E-4</v>
      </c>
      <c r="J159">
        <f>IF(B159&gt;$AJ$2,0,HLOOKUP(C159,'Real assumptions'!$B$5:$L$8,4,TRUE))</f>
        <v>3.7900000000000003E-2</v>
      </c>
      <c r="K159">
        <f t="shared" si="93"/>
        <v>1</v>
      </c>
      <c r="L159">
        <f t="shared" si="125"/>
        <v>8.3333333333333329E-2</v>
      </c>
      <c r="M159">
        <f t="shared" si="126"/>
        <v>3.2145624959929453E-3</v>
      </c>
      <c r="N159">
        <f t="shared" si="127"/>
        <v>1.5655966845173901E-3</v>
      </c>
      <c r="O159" s="8">
        <f t="shared" si="107"/>
        <v>0.48538259858723332</v>
      </c>
      <c r="P159">
        <f t="shared" si="108"/>
        <v>11.690813961740536</v>
      </c>
      <c r="Q159">
        <f t="shared" si="128"/>
        <v>0.84526567052479518</v>
      </c>
      <c r="R159" s="89">
        <f t="shared" si="94"/>
        <v>5000</v>
      </c>
      <c r="S159">
        <f t="shared" si="95"/>
        <v>0.66666666666666607</v>
      </c>
      <c r="U159">
        <f>O158*AV158*'Real assumptions'!$B$33/12+AX159*'Real assumptions'!$B$34</f>
        <v>5.7017866905437851</v>
      </c>
      <c r="V159">
        <f>IF(P159=0,0,IF(E159&lt;=$C$7,$AN$5*O158,0))*'Real assumptions'!$D$28</f>
        <v>2.9227034904351341</v>
      </c>
      <c r="X159" s="94">
        <f t="shared" si="109"/>
        <v>0</v>
      </c>
      <c r="Y159">
        <f t="shared" si="96"/>
        <v>24</v>
      </c>
      <c r="Z159">
        <f t="shared" si="129"/>
        <v>86</v>
      </c>
      <c r="AA159">
        <f t="shared" si="97"/>
        <v>86.666666666666671</v>
      </c>
      <c r="AB159">
        <f t="shared" si="110"/>
        <v>50.505050505050505</v>
      </c>
      <c r="AC159">
        <f t="shared" si="130"/>
        <v>4377.1043771043769</v>
      </c>
      <c r="AD159">
        <f t="shared" si="111"/>
        <v>80.505050505050505</v>
      </c>
      <c r="AE159">
        <f t="shared" si="112"/>
        <v>348.85521885521888</v>
      </c>
      <c r="AF159" s="94">
        <f t="shared" si="113"/>
        <v>274.04040404040421</v>
      </c>
      <c r="AG159">
        <f t="shared" si="131"/>
        <v>0.42903674798946284</v>
      </c>
      <c r="AH159">
        <f t="shared" si="114"/>
        <v>133.01444343102676</v>
      </c>
      <c r="AI159">
        <f>HLOOKUP(AW159,'Real assumptions'!$A$21:$AK$24,2,TRUE)</f>
        <v>1.8266</v>
      </c>
      <c r="AJ159" s="123">
        <f t="shared" si="132"/>
        <v>1.5095699767524451E-3</v>
      </c>
      <c r="AK159" s="122">
        <f>(1+HLOOKUP(YEAR(A159),'Real assumptions'!$A$21:$AK$24,2,TRUE)/100)^(1/12)-1</f>
        <v>1.5095699767524451E-3</v>
      </c>
      <c r="AL159">
        <f t="shared" si="133"/>
        <v>5.7017866905437851</v>
      </c>
      <c r="AM159">
        <f>('Real assumptions'!$B$33/12)*O158*AV158</f>
        <v>5.6659542368752316</v>
      </c>
      <c r="AN159">
        <f t="shared" si="115"/>
        <v>134.74059657049244</v>
      </c>
      <c r="AO159">
        <f t="shared" si="137"/>
        <v>0.20340035923252886</v>
      </c>
      <c r="AP159" s="121">
        <f t="shared" si="116"/>
        <v>0.60141984467785703</v>
      </c>
      <c r="AQ159">
        <f t="shared" si="117"/>
        <v>0</v>
      </c>
      <c r="AR159">
        <v>0</v>
      </c>
      <c r="AS159">
        <f t="shared" si="98"/>
        <v>0</v>
      </c>
      <c r="AT159">
        <f t="shared" si="118"/>
        <v>0</v>
      </c>
      <c r="AU159">
        <f>IFERROR(HLOOKUP(B159,'Real assumptions'!$B$43:$AL$44,2,TRUE)*($W$3/$U$2),0)</f>
        <v>0</v>
      </c>
      <c r="AV159">
        <f>AV158*(1+'Real assumptions'!$B$35)^(1/12)</f>
        <v>1.1643649952772557</v>
      </c>
      <c r="AW159">
        <f t="shared" si="99"/>
        <v>2031</v>
      </c>
      <c r="AX159">
        <f t="shared" si="134"/>
        <v>130.80172606868064</v>
      </c>
      <c r="AY159">
        <f t="shared" si="135"/>
        <v>2.0501567693849143</v>
      </c>
      <c r="AZ159">
        <f t="shared" si="100"/>
        <v>464.91764995745092</v>
      </c>
      <c r="BA159">
        <f t="shared" si="119"/>
        <v>4.1970059089493921</v>
      </c>
      <c r="BB159">
        <f t="shared" si="120"/>
        <v>86.666666666666671</v>
      </c>
      <c r="BC159">
        <f t="shared" si="101"/>
        <v>52</v>
      </c>
      <c r="BD159">
        <f t="shared" si="121"/>
        <v>0</v>
      </c>
      <c r="BE159">
        <f t="shared" si="102"/>
        <v>24</v>
      </c>
      <c r="BF159">
        <f t="shared" si="136"/>
        <v>5000</v>
      </c>
      <c r="BU159"/>
      <c r="FD159"/>
      <c r="FE159"/>
    </row>
    <row r="160" spans="1:161" x14ac:dyDescent="0.25">
      <c r="A160" s="7">
        <f t="shared" si="122"/>
        <v>47968</v>
      </c>
      <c r="B160">
        <f t="shared" si="103"/>
        <v>149</v>
      </c>
      <c r="C160">
        <f t="shared" si="104"/>
        <v>12.333333333333334</v>
      </c>
      <c r="D160">
        <f t="shared" si="105"/>
        <v>0</v>
      </c>
      <c r="E160">
        <f t="shared" si="106"/>
        <v>64</v>
      </c>
      <c r="F160">
        <f>IF(C160&gt;=$T$2,0,VLOOKUP($E160,EKM_F05!$A$3:$C$128,2,TRUE))</f>
        <v>9.9767948717948713E-3</v>
      </c>
      <c r="G160">
        <f>F160*'Real assumptions'!$B$3</f>
        <v>4.1633165E-3</v>
      </c>
      <c r="H160">
        <f t="shared" si="123"/>
        <v>3.4760684007484333E-4</v>
      </c>
      <c r="I160">
        <f t="shared" si="124"/>
        <v>1.6845112711511747E-4</v>
      </c>
      <c r="J160">
        <f>IF(B160&gt;$AJ$2,0,HLOOKUP(C160,'Real assumptions'!$B$5:$L$8,4,TRUE))</f>
        <v>3.7900000000000003E-2</v>
      </c>
      <c r="K160">
        <f t="shared" si="93"/>
        <v>1</v>
      </c>
      <c r="L160">
        <f t="shared" si="125"/>
        <v>8.3333333333333329E-2</v>
      </c>
      <c r="M160">
        <f t="shared" si="126"/>
        <v>3.2145624959929453E-3</v>
      </c>
      <c r="N160">
        <f t="shared" si="127"/>
        <v>1.5600215134190117E-3</v>
      </c>
      <c r="O160" s="8">
        <f t="shared" si="107"/>
        <v>0.48365412594669921</v>
      </c>
      <c r="P160">
        <f t="shared" si="108"/>
        <v>11.6491823660936</v>
      </c>
      <c r="Q160">
        <f t="shared" si="128"/>
        <v>0.84225563557558736</v>
      </c>
      <c r="R160" s="89">
        <f t="shared" si="94"/>
        <v>5000</v>
      </c>
      <c r="S160">
        <f t="shared" si="95"/>
        <v>0.58333333333333393</v>
      </c>
      <c r="U160">
        <f>O159*AV159*'Real assumptions'!$B$33/12+AX160*'Real assumptions'!$B$34</f>
        <v>5.6879902646143101</v>
      </c>
      <c r="V160">
        <f>IF(P160=0,0,IF(E160&lt;=$C$7,$AN$5*O159,0))*'Real assumptions'!$D$28</f>
        <v>2.9122955915233999</v>
      </c>
      <c r="X160" s="94">
        <f t="shared" si="109"/>
        <v>0</v>
      </c>
      <c r="Y160">
        <f t="shared" si="96"/>
        <v>24</v>
      </c>
      <c r="Z160">
        <f t="shared" si="129"/>
        <v>86</v>
      </c>
      <c r="AA160">
        <f t="shared" si="97"/>
        <v>86.583333333333329</v>
      </c>
      <c r="AB160">
        <f t="shared" si="110"/>
        <v>50.505050505050505</v>
      </c>
      <c r="AC160">
        <f t="shared" si="130"/>
        <v>4372.8956228956231</v>
      </c>
      <c r="AD160">
        <f t="shared" si="111"/>
        <v>80.505050505050505</v>
      </c>
      <c r="AE160">
        <f t="shared" si="112"/>
        <v>348.51978114478112</v>
      </c>
      <c r="AF160" s="94">
        <f t="shared" si="113"/>
        <v>278.58459595959579</v>
      </c>
      <c r="AG160">
        <f t="shared" si="131"/>
        <v>0.43459796300411252</v>
      </c>
      <c r="AH160">
        <f t="shared" si="114"/>
        <v>134.73858926105265</v>
      </c>
      <c r="AI160">
        <f>HLOOKUP(AW160,'Real assumptions'!$A$21:$AK$24,2,TRUE)</f>
        <v>1.8266</v>
      </c>
      <c r="AJ160" s="123">
        <f t="shared" si="132"/>
        <v>1.5095699767524451E-3</v>
      </c>
      <c r="AK160" s="122">
        <f>(1+HLOOKUP(YEAR(A160),'Real assumptions'!$A$21:$AK$24,2,TRUE)/100)^(1/12)-1</f>
        <v>1.5095699767524451E-3</v>
      </c>
      <c r="AL160">
        <f t="shared" si="133"/>
        <v>5.6879902646143101</v>
      </c>
      <c r="AM160">
        <f>('Real assumptions'!$B$33/12)*O159*AV159</f>
        <v>5.651625071116861</v>
      </c>
      <c r="AN160">
        <f t="shared" si="115"/>
        <v>136.66475978566052</v>
      </c>
      <c r="AO160">
        <f t="shared" si="137"/>
        <v>0.20630501825251804</v>
      </c>
      <c r="AP160" s="121">
        <f t="shared" si="116"/>
        <v>0.80772486293037504</v>
      </c>
      <c r="AQ160">
        <f t="shared" si="117"/>
        <v>0</v>
      </c>
      <c r="AR160">
        <v>0</v>
      </c>
      <c r="AS160">
        <f t="shared" si="98"/>
        <v>0</v>
      </c>
      <c r="AT160">
        <f t="shared" si="118"/>
        <v>0</v>
      </c>
      <c r="AU160">
        <f>IFERROR(HLOOKUP(B160,'Real assumptions'!$B$43:$AL$44,2,TRUE)*($W$3/$U$2),0)</f>
        <v>0</v>
      </c>
      <c r="AV160">
        <f>AV159*(1+'Real assumptions'!$B$35)^(1/12)</f>
        <v>1.1655709816807684</v>
      </c>
      <c r="AW160">
        <f t="shared" si="99"/>
        <v>2031</v>
      </c>
      <c r="AX160">
        <f t="shared" si="134"/>
        <v>132.74642373884129</v>
      </c>
      <c r="AY160">
        <f t="shared" si="135"/>
        <v>2.0428560546600729</v>
      </c>
      <c r="AZ160">
        <f t="shared" si="100"/>
        <v>467.3915185948652</v>
      </c>
      <c r="BA160">
        <f t="shared" si="119"/>
        <v>4.1891491901030999</v>
      </c>
      <c r="BB160">
        <f t="shared" si="120"/>
        <v>86.583333333333329</v>
      </c>
      <c r="BC160">
        <f t="shared" si="101"/>
        <v>51.949999999999996</v>
      </c>
      <c r="BD160">
        <f t="shared" si="121"/>
        <v>0</v>
      </c>
      <c r="BE160">
        <f t="shared" si="102"/>
        <v>24</v>
      </c>
      <c r="BF160">
        <f t="shared" si="136"/>
        <v>5000</v>
      </c>
      <c r="BU160"/>
      <c r="FD160"/>
      <c r="FE160"/>
    </row>
    <row r="161" spans="1:161" x14ac:dyDescent="0.25">
      <c r="A161" s="7">
        <f t="shared" si="122"/>
        <v>47999</v>
      </c>
      <c r="B161">
        <f t="shared" si="103"/>
        <v>150</v>
      </c>
      <c r="C161">
        <f t="shared" si="104"/>
        <v>12.416666666666666</v>
      </c>
      <c r="D161">
        <f t="shared" si="105"/>
        <v>0</v>
      </c>
      <c r="E161">
        <f t="shared" si="106"/>
        <v>64</v>
      </c>
      <c r="F161">
        <f>IF(C161&gt;=$T$2,0,VLOOKUP($E161,EKM_F05!$A$3:$C$128,2,TRUE))</f>
        <v>9.9767948717948713E-3</v>
      </c>
      <c r="G161">
        <f>F161*'Real assumptions'!$B$3</f>
        <v>4.1633165E-3</v>
      </c>
      <c r="H161">
        <f t="shared" si="123"/>
        <v>3.4760684007484333E-4</v>
      </c>
      <c r="I161">
        <f t="shared" si="124"/>
        <v>1.6785126390343025E-4</v>
      </c>
      <c r="J161">
        <f>IF(B161&gt;$AJ$2,0,HLOOKUP(C161,'Real assumptions'!$B$5:$L$8,4,TRUE))</f>
        <v>3.7900000000000003E-2</v>
      </c>
      <c r="K161">
        <f t="shared" si="93"/>
        <v>1</v>
      </c>
      <c r="L161">
        <f t="shared" si="125"/>
        <v>8.3333333333333329E-2</v>
      </c>
      <c r="M161">
        <f t="shared" si="126"/>
        <v>3.2145624959929453E-3</v>
      </c>
      <c r="N161">
        <f t="shared" si="127"/>
        <v>1.5544661957944456E-3</v>
      </c>
      <c r="O161" s="8">
        <f t="shared" si="107"/>
        <v>0.48193180848700129</v>
      </c>
      <c r="P161">
        <f t="shared" si="108"/>
        <v>11.60769902272078</v>
      </c>
      <c r="Q161">
        <f t="shared" si="128"/>
        <v>0.83925631951715129</v>
      </c>
      <c r="R161" s="89">
        <f t="shared" si="94"/>
        <v>5000</v>
      </c>
      <c r="S161">
        <f t="shared" si="95"/>
        <v>0.5</v>
      </c>
      <c r="U161">
        <f>O160*AV160*'Real assumptions'!$B$33/12+AX161*'Real assumptions'!$B$34</f>
        <v>5.6742270223857698</v>
      </c>
      <c r="V161">
        <f>IF(P161=0,0,IF(E161&lt;=$C$7,$AN$5*O160,0))*'Real assumptions'!$D$28</f>
        <v>2.901924755680195</v>
      </c>
      <c r="X161" s="94">
        <f t="shared" si="109"/>
        <v>0</v>
      </c>
      <c r="Y161">
        <f t="shared" si="96"/>
        <v>24</v>
      </c>
      <c r="Z161">
        <f t="shared" si="129"/>
        <v>86</v>
      </c>
      <c r="AA161">
        <f t="shared" si="97"/>
        <v>86.5</v>
      </c>
      <c r="AB161">
        <f t="shared" si="110"/>
        <v>50.505050505050505</v>
      </c>
      <c r="AC161">
        <f t="shared" si="130"/>
        <v>4368.6868686868684</v>
      </c>
      <c r="AD161">
        <f t="shared" si="111"/>
        <v>80.505050505050505</v>
      </c>
      <c r="AE161">
        <f t="shared" si="112"/>
        <v>348.18434343434342</v>
      </c>
      <c r="AF161" s="94">
        <f t="shared" si="113"/>
        <v>283.12878787878822</v>
      </c>
      <c r="AG161">
        <f t="shared" si="131"/>
        <v>0.44011412981383247</v>
      </c>
      <c r="AH161">
        <f t="shared" si="114"/>
        <v>136.44876877715697</v>
      </c>
      <c r="AI161">
        <f>HLOOKUP(AW161,'Real assumptions'!$A$21:$AK$24,2,TRUE)</f>
        <v>1.8266</v>
      </c>
      <c r="AJ161" s="123">
        <f t="shared" si="132"/>
        <v>1.5095699767524451E-3</v>
      </c>
      <c r="AK161" s="122">
        <f>(1+HLOOKUP(YEAR(A161),'Real assumptions'!$A$21:$AK$24,2,TRUE)/100)^(1/12)-1</f>
        <v>1.5095699767524451E-3</v>
      </c>
      <c r="AL161">
        <f t="shared" si="133"/>
        <v>5.6742270223857698</v>
      </c>
      <c r="AM161">
        <f>('Real assumptions'!$B$33/12)*O160*AV160</f>
        <v>5.6373321437364821</v>
      </c>
      <c r="AN161">
        <f t="shared" si="115"/>
        <v>138.57786136863785</v>
      </c>
      <c r="AO161">
        <f t="shared" si="137"/>
        <v>0.20919297896465822</v>
      </c>
      <c r="AP161" s="121">
        <f t="shared" si="116"/>
        <v>1.0169178418950333</v>
      </c>
      <c r="AQ161">
        <f t="shared" si="117"/>
        <v>0</v>
      </c>
      <c r="AR161">
        <v>0</v>
      </c>
      <c r="AS161">
        <f t="shared" si="98"/>
        <v>0</v>
      </c>
      <c r="AT161">
        <f t="shared" si="118"/>
        <v>0</v>
      </c>
      <c r="AU161">
        <f>IFERROR(HLOOKUP(B161,'Real assumptions'!$B$43:$AL$44,2,TRUE)*($W$3/$U$2),0)</f>
        <v>0</v>
      </c>
      <c r="AV161">
        <f>AV160*(1+'Real assumptions'!$B$35)^(1/12)</f>
        <v>1.1667782171798924</v>
      </c>
      <c r="AW161">
        <f t="shared" si="99"/>
        <v>2031</v>
      </c>
      <c r="AX161">
        <f t="shared" si="134"/>
        <v>134.67997070646234</v>
      </c>
      <c r="AY161">
        <f t="shared" si="135"/>
        <v>2.0355813381595085</v>
      </c>
      <c r="AZ161">
        <f t="shared" si="100"/>
        <v>469.8492555940486</v>
      </c>
      <c r="BA161">
        <f t="shared" si="119"/>
        <v>4.1812952050111791</v>
      </c>
      <c r="BB161">
        <f t="shared" si="120"/>
        <v>86.5</v>
      </c>
      <c r="BC161">
        <f t="shared" si="101"/>
        <v>51.9</v>
      </c>
      <c r="BD161">
        <f t="shared" si="121"/>
        <v>0</v>
      </c>
      <c r="BE161">
        <f t="shared" si="102"/>
        <v>24</v>
      </c>
      <c r="BF161">
        <f t="shared" si="136"/>
        <v>5000</v>
      </c>
      <c r="BU161"/>
      <c r="FD161"/>
      <c r="FE161"/>
    </row>
    <row r="162" spans="1:161" x14ac:dyDescent="0.25">
      <c r="A162" s="7">
        <f t="shared" si="122"/>
        <v>48029</v>
      </c>
      <c r="B162">
        <f t="shared" si="103"/>
        <v>151</v>
      </c>
      <c r="C162">
        <f t="shared" si="104"/>
        <v>12.5</v>
      </c>
      <c r="D162">
        <f t="shared" si="105"/>
        <v>0</v>
      </c>
      <c r="E162">
        <f t="shared" si="106"/>
        <v>64</v>
      </c>
      <c r="F162">
        <f>IF(C162&gt;=$T$2,0,VLOOKUP($E162,EKM_F05!$A$3:$C$128,2,TRUE))</f>
        <v>9.9767948717948713E-3</v>
      </c>
      <c r="G162">
        <f>F162*'Real assumptions'!$B$3</f>
        <v>4.1633165E-3</v>
      </c>
      <c r="H162">
        <f t="shared" si="123"/>
        <v>3.4760684007484333E-4</v>
      </c>
      <c r="I162">
        <f t="shared" si="124"/>
        <v>1.6725353683579207E-4</v>
      </c>
      <c r="J162">
        <f>IF(B162&gt;$AJ$2,0,HLOOKUP(C162,'Real assumptions'!$B$5:$L$8,4,TRUE))</f>
        <v>3.7900000000000003E-2</v>
      </c>
      <c r="K162">
        <f t="shared" si="93"/>
        <v>1</v>
      </c>
      <c r="L162">
        <f t="shared" si="125"/>
        <v>8.3333333333333329E-2</v>
      </c>
      <c r="M162">
        <f t="shared" si="126"/>
        <v>3.2145624959929453E-3</v>
      </c>
      <c r="N162">
        <f t="shared" si="127"/>
        <v>1.54893066094444E-3</v>
      </c>
      <c r="O162" s="8">
        <f t="shared" si="107"/>
        <v>0.4802156242892211</v>
      </c>
      <c r="P162">
        <f t="shared" si="108"/>
        <v>11.566363403688031</v>
      </c>
      <c r="Q162">
        <f t="shared" si="128"/>
        <v>0.83626768417896036</v>
      </c>
      <c r="R162" s="89">
        <f t="shared" si="94"/>
        <v>5000</v>
      </c>
      <c r="S162">
        <f t="shared" si="95"/>
        <v>0.41666666666666607</v>
      </c>
      <c r="U162">
        <f>O161*AV161*'Real assumptions'!$B$33/12+AX162*'Real assumptions'!$B$34</f>
        <v>5.6604968890108722</v>
      </c>
      <c r="V162">
        <f>IF(P162=0,0,IF(E162&lt;=$C$7,$AN$5*O161,0))*'Real assumptions'!$D$28</f>
        <v>2.8915908509220078</v>
      </c>
      <c r="X162" s="94">
        <f t="shared" si="109"/>
        <v>0</v>
      </c>
      <c r="Y162">
        <f t="shared" si="96"/>
        <v>24</v>
      </c>
      <c r="Z162">
        <f t="shared" si="129"/>
        <v>86</v>
      </c>
      <c r="AA162">
        <f t="shared" si="97"/>
        <v>86.416666666666671</v>
      </c>
      <c r="AB162">
        <f t="shared" si="110"/>
        <v>50.505050505050505</v>
      </c>
      <c r="AC162">
        <f t="shared" si="130"/>
        <v>4364.4781144781145</v>
      </c>
      <c r="AD162">
        <f t="shared" si="111"/>
        <v>80.505050505050505</v>
      </c>
      <c r="AE162">
        <f t="shared" si="112"/>
        <v>347.84890572390572</v>
      </c>
      <c r="AF162" s="94">
        <f t="shared" si="113"/>
        <v>287.67297979797974</v>
      </c>
      <c r="AG162">
        <f t="shared" si="131"/>
        <v>0.44558549873434128</v>
      </c>
      <c r="AH162">
        <f t="shared" si="114"/>
        <v>138.14505958482732</v>
      </c>
      <c r="AI162">
        <f>HLOOKUP(AW162,'Real assumptions'!$A$21:$AK$24,2,TRUE)</f>
        <v>1.8266</v>
      </c>
      <c r="AJ162" s="123">
        <f t="shared" si="132"/>
        <v>1.5095699767524451E-3</v>
      </c>
      <c r="AK162" s="122">
        <f>(1+HLOOKUP(YEAR(A162),'Real assumptions'!$A$21:$AK$24,2,TRUE)/100)^(1/12)-1</f>
        <v>1.5095699767524451E-3</v>
      </c>
      <c r="AL162">
        <f t="shared" si="133"/>
        <v>5.6604968890108722</v>
      </c>
      <c r="AM162">
        <f>('Real assumptions'!$B$33/12)*O161*AV161</f>
        <v>5.6230753630874473</v>
      </c>
      <c r="AN162">
        <f t="shared" si="115"/>
        <v>140.47996228280715</v>
      </c>
      <c r="AO162">
        <f t="shared" si="137"/>
        <v>0.21206433339744155</v>
      </c>
      <c r="AP162" s="121">
        <f t="shared" si="116"/>
        <v>1.2289821752924748</v>
      </c>
      <c r="AQ162">
        <f t="shared" si="117"/>
        <v>0</v>
      </c>
      <c r="AR162">
        <v>0</v>
      </c>
      <c r="AS162">
        <f t="shared" si="98"/>
        <v>0</v>
      </c>
      <c r="AT162">
        <f t="shared" si="118"/>
        <v>0</v>
      </c>
      <c r="AU162">
        <f>IFERROR(HLOOKUP(B162,'Real assumptions'!$B$43:$AL$44,2,TRUE)*($W$3/$U$2),0)</f>
        <v>0</v>
      </c>
      <c r="AV162">
        <f>AV161*(1+'Real assumptions'!$B$35)^(1/12)</f>
        <v>1.1679867030683733</v>
      </c>
      <c r="AW162">
        <f t="shared" si="99"/>
        <v>2031</v>
      </c>
      <c r="AX162">
        <f t="shared" si="134"/>
        <v>136.60242829543219</v>
      </c>
      <c r="AY162">
        <f t="shared" si="135"/>
        <v>2.0283325273021937</v>
      </c>
      <c r="AZ162">
        <f t="shared" si="100"/>
        <v>472.29094840473476</v>
      </c>
      <c r="BA162">
        <f t="shared" si="119"/>
        <v>4.1734440338353096</v>
      </c>
      <c r="BB162">
        <f t="shared" si="120"/>
        <v>86.416666666666671</v>
      </c>
      <c r="BC162">
        <f t="shared" si="101"/>
        <v>51.85</v>
      </c>
      <c r="BD162">
        <f t="shared" si="121"/>
        <v>0</v>
      </c>
      <c r="BE162">
        <f t="shared" si="102"/>
        <v>24</v>
      </c>
      <c r="BF162">
        <f t="shared" si="136"/>
        <v>5000</v>
      </c>
      <c r="BU162"/>
      <c r="FD162"/>
      <c r="FE162"/>
    </row>
    <row r="163" spans="1:161" x14ac:dyDescent="0.25">
      <c r="A163" s="7">
        <f t="shared" si="122"/>
        <v>48060</v>
      </c>
      <c r="B163">
        <f t="shared" si="103"/>
        <v>152</v>
      </c>
      <c r="C163">
        <f t="shared" si="104"/>
        <v>12.583333333333334</v>
      </c>
      <c r="D163">
        <f t="shared" si="105"/>
        <v>0</v>
      </c>
      <c r="E163">
        <f t="shared" si="106"/>
        <v>64</v>
      </c>
      <c r="F163">
        <f>IF(C163&gt;=$T$2,0,VLOOKUP($E163,EKM_F05!$A$3:$C$128,2,TRUE))</f>
        <v>9.9767948717948713E-3</v>
      </c>
      <c r="G163">
        <f>F163*'Real assumptions'!$B$3</f>
        <v>4.1633165E-3</v>
      </c>
      <c r="H163">
        <f t="shared" si="123"/>
        <v>3.4760684007484333E-4</v>
      </c>
      <c r="I163">
        <f t="shared" si="124"/>
        <v>1.6665793830528299E-4</v>
      </c>
      <c r="J163">
        <f>IF(B163&gt;$AJ$2,0,HLOOKUP(C163,'Real assumptions'!$B$5:$L$8,4,TRUE))</f>
        <v>3.7900000000000003E-2</v>
      </c>
      <c r="K163">
        <f t="shared" si="93"/>
        <v>1</v>
      </c>
      <c r="L163">
        <f t="shared" si="125"/>
        <v>8.3333333333333329E-2</v>
      </c>
      <c r="M163">
        <f t="shared" si="126"/>
        <v>3.2145624959929453E-3</v>
      </c>
      <c r="N163">
        <f t="shared" si="127"/>
        <v>1.5434148384215077E-3</v>
      </c>
      <c r="O163" s="8">
        <f t="shared" si="107"/>
        <v>0.4785055515124943</v>
      </c>
      <c r="P163">
        <f t="shared" si="108"/>
        <v>11.525174982941307</v>
      </c>
      <c r="Q163">
        <f t="shared" si="128"/>
        <v>0.83328969152641497</v>
      </c>
      <c r="R163" s="89">
        <f t="shared" si="94"/>
        <v>5000</v>
      </c>
      <c r="S163">
        <f t="shared" si="95"/>
        <v>0.33333333333333393</v>
      </c>
      <c r="U163">
        <f>O162*AV162*'Real assumptions'!$B$33/12+AX163*'Real assumptions'!$B$34</f>
        <v>5.6467997897959146</v>
      </c>
      <c r="V163">
        <f>IF(P163=0,0,IF(E163&lt;=$C$7,$AN$5*O162,0))*'Real assumptions'!$D$28</f>
        <v>2.8812937457353267</v>
      </c>
      <c r="X163" s="94">
        <f t="shared" si="109"/>
        <v>0</v>
      </c>
      <c r="Y163">
        <f t="shared" si="96"/>
        <v>24</v>
      </c>
      <c r="Z163">
        <f t="shared" si="129"/>
        <v>86</v>
      </c>
      <c r="AA163">
        <f t="shared" si="97"/>
        <v>86.333333333333329</v>
      </c>
      <c r="AB163">
        <f t="shared" si="110"/>
        <v>50.505050505050505</v>
      </c>
      <c r="AC163">
        <f t="shared" si="130"/>
        <v>4360.2693602693598</v>
      </c>
      <c r="AD163">
        <f t="shared" si="111"/>
        <v>80.505050505050505</v>
      </c>
      <c r="AE163">
        <f t="shared" si="112"/>
        <v>347.51346801346796</v>
      </c>
      <c r="AF163" s="94">
        <f t="shared" si="113"/>
        <v>292.21717171717222</v>
      </c>
      <c r="AG163">
        <f t="shared" si="131"/>
        <v>0.45101231886984933</v>
      </c>
      <c r="AH163">
        <f t="shared" si="114"/>
        <v>139.82753891394674</v>
      </c>
      <c r="AI163">
        <f>HLOOKUP(AW163,'Real assumptions'!$A$21:$AK$24,2,TRUE)</f>
        <v>1.8266</v>
      </c>
      <c r="AJ163" s="123">
        <f t="shared" si="132"/>
        <v>1.5095699767524451E-3</v>
      </c>
      <c r="AK163" s="122">
        <f>(1+HLOOKUP(YEAR(A163),'Real assumptions'!$A$21:$AK$24,2,TRUE)/100)^(1/12)-1</f>
        <v>1.5095699767524451E-3</v>
      </c>
      <c r="AL163">
        <f t="shared" si="133"/>
        <v>5.6467997897959146</v>
      </c>
      <c r="AM163">
        <f>('Real assumptions'!$B$33/12)*O162*AV162</f>
        <v>5.60885463775488</v>
      </c>
      <c r="AN163">
        <f t="shared" si="115"/>
        <v>142.37112320752988</v>
      </c>
      <c r="AO163">
        <f t="shared" si="137"/>
        <v>0.21491917315061038</v>
      </c>
      <c r="AP163" s="121">
        <f t="shared" si="116"/>
        <v>1.4439013484430852</v>
      </c>
      <c r="AQ163">
        <f t="shared" si="117"/>
        <v>0</v>
      </c>
      <c r="AR163">
        <v>0</v>
      </c>
      <c r="AS163">
        <f t="shared" si="98"/>
        <v>0</v>
      </c>
      <c r="AT163">
        <f t="shared" si="118"/>
        <v>0</v>
      </c>
      <c r="AU163">
        <f>IFERROR(HLOOKUP(B163,'Real assumptions'!$B$43:$AL$44,2,TRUE)*($W$3/$U$2),0)</f>
        <v>0</v>
      </c>
      <c r="AV163">
        <f>AV162*(1+'Real assumptions'!$B$35)^(1/12)</f>
        <v>1.1691964406412969</v>
      </c>
      <c r="AW163">
        <f t="shared" si="99"/>
        <v>2031</v>
      </c>
      <c r="AX163">
        <f t="shared" si="134"/>
        <v>138.51385754422128</v>
      </c>
      <c r="AY163">
        <f t="shared" si="135"/>
        <v>2.0211095298367892</v>
      </c>
      <c r="AZ163">
        <f t="shared" si="100"/>
        <v>474.71668407775223</v>
      </c>
      <c r="BA163">
        <f t="shared" si="119"/>
        <v>4.1655957561315908</v>
      </c>
      <c r="BB163">
        <f t="shared" si="120"/>
        <v>86.333333333333329</v>
      </c>
      <c r="BC163">
        <f t="shared" si="101"/>
        <v>51.8</v>
      </c>
      <c r="BD163">
        <f t="shared" si="121"/>
        <v>0</v>
      </c>
      <c r="BE163">
        <f t="shared" si="102"/>
        <v>24</v>
      </c>
      <c r="BF163">
        <f t="shared" si="136"/>
        <v>5000</v>
      </c>
      <c r="BU163"/>
      <c r="FD163"/>
      <c r="FE163"/>
    </row>
    <row r="164" spans="1:161" x14ac:dyDescent="0.25">
      <c r="A164" s="7">
        <f t="shared" si="122"/>
        <v>48091</v>
      </c>
      <c r="B164">
        <f t="shared" si="103"/>
        <v>153</v>
      </c>
      <c r="C164">
        <f t="shared" si="104"/>
        <v>12.666666666666666</v>
      </c>
      <c r="D164">
        <f t="shared" si="105"/>
        <v>0</v>
      </c>
      <c r="E164">
        <f t="shared" si="106"/>
        <v>64</v>
      </c>
      <c r="F164">
        <f>IF(C164&gt;=$T$2,0,VLOOKUP($E164,EKM_F05!$A$3:$C$128,2,TRUE))</f>
        <v>9.9767948717948713E-3</v>
      </c>
      <c r="G164">
        <f>F164*'Real assumptions'!$B$3</f>
        <v>4.1633165E-3</v>
      </c>
      <c r="H164">
        <f t="shared" si="123"/>
        <v>3.4760684007484333E-4</v>
      </c>
      <c r="I164">
        <f t="shared" si="124"/>
        <v>1.6606446073207174E-4</v>
      </c>
      <c r="J164">
        <f>IF(B164&gt;$AJ$2,0,HLOOKUP(C164,'Real assumptions'!$B$5:$L$8,4,TRUE))</f>
        <v>3.7900000000000003E-2</v>
      </c>
      <c r="K164">
        <f t="shared" si="93"/>
        <v>1</v>
      </c>
      <c r="L164">
        <f t="shared" si="125"/>
        <v>8.3333333333333329E-2</v>
      </c>
      <c r="M164">
        <f t="shared" si="126"/>
        <v>3.2145624959929453E-3</v>
      </c>
      <c r="N164">
        <f t="shared" si="127"/>
        <v>1.5379186580290281E-3</v>
      </c>
      <c r="O164" s="8">
        <f t="shared" si="107"/>
        <v>0.47680156839373317</v>
      </c>
      <c r="P164">
        <f t="shared" si="108"/>
        <v>11.484133236299863</v>
      </c>
      <c r="Q164">
        <f t="shared" si="128"/>
        <v>0.83032230366035875</v>
      </c>
      <c r="R164" s="89">
        <f t="shared" si="94"/>
        <v>5000</v>
      </c>
      <c r="S164">
        <f t="shared" si="95"/>
        <v>0.25</v>
      </c>
      <c r="U164">
        <f>O163*AV163*'Real assumptions'!$B$33/12+AX164*'Real assumptions'!$B$34</f>
        <v>5.6331356502005381</v>
      </c>
      <c r="V164">
        <f>IF(P164=0,0,IF(E164&lt;=$C$7,$AN$5*O163,0))*'Real assumptions'!$D$28</f>
        <v>2.8710333090749658</v>
      </c>
      <c r="X164" s="94">
        <f t="shared" si="109"/>
        <v>0</v>
      </c>
      <c r="Y164">
        <f t="shared" si="96"/>
        <v>24</v>
      </c>
      <c r="Z164">
        <f t="shared" si="129"/>
        <v>86</v>
      </c>
      <c r="AA164">
        <f t="shared" si="97"/>
        <v>86.25</v>
      </c>
      <c r="AB164">
        <f t="shared" si="110"/>
        <v>50.505050505050505</v>
      </c>
      <c r="AC164">
        <f t="shared" si="130"/>
        <v>4356.060606060606</v>
      </c>
      <c r="AD164">
        <f t="shared" si="111"/>
        <v>80.505050505050505</v>
      </c>
      <c r="AE164">
        <f t="shared" si="112"/>
        <v>347.17803030303031</v>
      </c>
      <c r="AF164" s="94">
        <f t="shared" si="113"/>
        <v>296.76136363636368</v>
      </c>
      <c r="AG164">
        <f t="shared" si="131"/>
        <v>0.45639483811850085</v>
      </c>
      <c r="AH164">
        <f t="shared" si="114"/>
        <v>141.49628362048117</v>
      </c>
      <c r="AI164">
        <f>HLOOKUP(AW164,'Real assumptions'!$A$21:$AK$24,2,TRUE)</f>
        <v>1.8266</v>
      </c>
      <c r="AJ164" s="123">
        <f t="shared" si="132"/>
        <v>1.5095699767524451E-3</v>
      </c>
      <c r="AK164" s="122">
        <f>(1+HLOOKUP(YEAR(A164),'Real assumptions'!$A$21:$AK$24,2,TRUE)/100)^(1/12)-1</f>
        <v>1.5095699767524451E-3</v>
      </c>
      <c r="AL164">
        <f t="shared" si="133"/>
        <v>5.6331356502005381</v>
      </c>
      <c r="AM164">
        <f>('Real assumptions'!$B$33/12)*O163*AV163</f>
        <v>5.5946698765550913</v>
      </c>
      <c r="AN164">
        <f t="shared" si="115"/>
        <v>144.25140453941421</v>
      </c>
      <c r="AO164">
        <f t="shared" si="137"/>
        <v>0.21775758939707107</v>
      </c>
      <c r="AP164" s="121">
        <f t="shared" si="116"/>
        <v>1.6616589378401563</v>
      </c>
      <c r="AQ164">
        <f t="shared" si="117"/>
        <v>0</v>
      </c>
      <c r="AR164">
        <v>0</v>
      </c>
      <c r="AS164">
        <f t="shared" si="98"/>
        <v>0</v>
      </c>
      <c r="AT164">
        <f t="shared" si="118"/>
        <v>0</v>
      </c>
      <c r="AU164">
        <f>IFERROR(HLOOKUP(B164,'Real assumptions'!$B$43:$AL$44,2,TRUE)*($W$3/$U$2),0)</f>
        <v>0</v>
      </c>
      <c r="AV164">
        <f>AV163*(1+'Real assumptions'!$B$35)^(1/12)</f>
        <v>1.1704074311950907</v>
      </c>
      <c r="AW164">
        <f t="shared" si="99"/>
        <v>2031</v>
      </c>
      <c r="AX164">
        <f t="shared" si="134"/>
        <v>140.41431920715533</v>
      </c>
      <c r="AY164">
        <f t="shared" si="135"/>
        <v>2.0139122538404641</v>
      </c>
      <c r="AZ164">
        <f t="shared" si="100"/>
        <v>477.12654926674497</v>
      </c>
      <c r="BA164">
        <f t="shared" si="119"/>
        <v>4.1577504508538254</v>
      </c>
      <c r="BB164">
        <f t="shared" si="120"/>
        <v>86.25</v>
      </c>
      <c r="BC164">
        <f t="shared" si="101"/>
        <v>51.75</v>
      </c>
      <c r="BD164">
        <f t="shared" si="121"/>
        <v>0</v>
      </c>
      <c r="BE164">
        <f t="shared" si="102"/>
        <v>24</v>
      </c>
      <c r="BF164">
        <f t="shared" si="136"/>
        <v>5000</v>
      </c>
      <c r="BU164"/>
      <c r="FD164"/>
      <c r="FE164"/>
    </row>
    <row r="165" spans="1:161" x14ac:dyDescent="0.25">
      <c r="A165" s="7">
        <f t="shared" si="122"/>
        <v>48121</v>
      </c>
      <c r="B165">
        <f t="shared" si="103"/>
        <v>154</v>
      </c>
      <c r="C165">
        <f t="shared" si="104"/>
        <v>12.75</v>
      </c>
      <c r="D165">
        <f t="shared" si="105"/>
        <v>0</v>
      </c>
      <c r="E165">
        <f t="shared" si="106"/>
        <v>64</v>
      </c>
      <c r="F165">
        <f>IF(C165&gt;=$T$2,0,VLOOKUP($E165,EKM_F05!$A$3:$C$128,2,TRUE))</f>
        <v>9.9767948717948713E-3</v>
      </c>
      <c r="G165">
        <f>F165*'Real assumptions'!$B$3</f>
        <v>4.1633165E-3</v>
      </c>
      <c r="H165">
        <f t="shared" si="123"/>
        <v>3.4760684007484333E-4</v>
      </c>
      <c r="I165">
        <f t="shared" si="124"/>
        <v>1.6547309656331932E-4</v>
      </c>
      <c r="J165">
        <f>IF(B165&gt;$AJ$2,0,HLOOKUP(C165,'Real assumptions'!$B$5:$L$8,4,TRUE))</f>
        <v>3.7900000000000003E-2</v>
      </c>
      <c r="K165">
        <f t="shared" si="93"/>
        <v>1</v>
      </c>
      <c r="L165">
        <f t="shared" si="125"/>
        <v>8.3333333333333329E-2</v>
      </c>
      <c r="M165">
        <f t="shared" si="126"/>
        <v>3.2145624959929453E-3</v>
      </c>
      <c r="N165">
        <f t="shared" si="127"/>
        <v>1.5324420498203544E-3</v>
      </c>
      <c r="O165" s="8">
        <f t="shared" si="107"/>
        <v>0.47510365324734949</v>
      </c>
      <c r="P165">
        <f t="shared" si="108"/>
        <v>11.443237641449596</v>
      </c>
      <c r="Q165">
        <f t="shared" si="128"/>
        <v>0.82736548281659661</v>
      </c>
      <c r="R165" s="89">
        <f t="shared" si="94"/>
        <v>5000</v>
      </c>
      <c r="S165">
        <f t="shared" si="95"/>
        <v>0.16666666666666607</v>
      </c>
      <c r="U165">
        <f>O164*AV164*'Real assumptions'!$B$33/12+AX165*'Real assumptions'!$B$34</f>
        <v>5.6195043958374988</v>
      </c>
      <c r="V165">
        <f>IF(P165=0,0,IF(E165&lt;=$C$7,$AN$5*O164,0))*'Real assumptions'!$D$28</f>
        <v>2.8608094103623989</v>
      </c>
      <c r="X165" s="94">
        <f t="shared" si="109"/>
        <v>0</v>
      </c>
      <c r="Y165">
        <f t="shared" si="96"/>
        <v>24</v>
      </c>
      <c r="Z165">
        <f t="shared" si="129"/>
        <v>86</v>
      </c>
      <c r="AA165">
        <f t="shared" si="97"/>
        <v>86.166666666666671</v>
      </c>
      <c r="AB165">
        <f t="shared" si="110"/>
        <v>50.505050505050505</v>
      </c>
      <c r="AC165">
        <f t="shared" si="130"/>
        <v>4351.8518518518522</v>
      </c>
      <c r="AD165">
        <f t="shared" si="111"/>
        <v>80.505050505050505</v>
      </c>
      <c r="AE165">
        <f t="shared" si="112"/>
        <v>346.84259259259261</v>
      </c>
      <c r="AF165" s="94">
        <f t="shared" si="113"/>
        <v>301.3055555555552</v>
      </c>
      <c r="AG165">
        <f t="shared" si="131"/>
        <v>0.46173330317781569</v>
      </c>
      <c r="AH165">
        <f t="shared" si="114"/>
        <v>143.15137018816651</v>
      </c>
      <c r="AI165">
        <f>HLOOKUP(AW165,'Real assumptions'!$A$21:$AK$24,2,TRUE)</f>
        <v>1.8266</v>
      </c>
      <c r="AJ165" s="123">
        <f t="shared" si="132"/>
        <v>1.5095699767524451E-3</v>
      </c>
      <c r="AK165" s="122">
        <f>(1+HLOOKUP(YEAR(A165),'Real assumptions'!$A$21:$AK$24,2,TRUE)/100)^(1/12)-1</f>
        <v>1.5095699767524451E-3</v>
      </c>
      <c r="AL165">
        <f t="shared" si="133"/>
        <v>5.6195043958374988</v>
      </c>
      <c r="AM165">
        <f>('Real assumptions'!$B$33/12)*O164*AV164</f>
        <v>5.580520988534996</v>
      </c>
      <c r="AN165">
        <f t="shared" si="115"/>
        <v>146.12086639357099</v>
      </c>
      <c r="AO165">
        <f t="shared" si="137"/>
        <v>0.22057967288479011</v>
      </c>
      <c r="AP165" s="121">
        <f t="shared" si="116"/>
        <v>1.8822386107249465</v>
      </c>
      <c r="AQ165">
        <f t="shared" si="117"/>
        <v>0</v>
      </c>
      <c r="AR165">
        <v>0</v>
      </c>
      <c r="AS165">
        <f t="shared" si="98"/>
        <v>0</v>
      </c>
      <c r="AT165">
        <f t="shared" si="118"/>
        <v>0</v>
      </c>
      <c r="AU165">
        <f>IFERROR(HLOOKUP(B165,'Real assumptions'!$B$43:$AL$44,2,TRUE)*($W$3/$U$2),0)</f>
        <v>0</v>
      </c>
      <c r="AV165">
        <f>AV164*(1+'Real assumptions'!$B$35)^(1/12)</f>
        <v>1.1716196760275244</v>
      </c>
      <c r="AW165">
        <f t="shared" si="99"/>
        <v>2031</v>
      </c>
      <c r="AX165">
        <f t="shared" si="134"/>
        <v>142.30387375567665</v>
      </c>
      <c r="AY165">
        <f t="shared" si="135"/>
        <v>2.0067406077177319</v>
      </c>
      <c r="AZ165">
        <f t="shared" si="100"/>
        <v>479.52063022988477</v>
      </c>
      <c r="BA165">
        <f t="shared" si="119"/>
        <v>4.1499081963568116</v>
      </c>
      <c r="BB165">
        <f t="shared" si="120"/>
        <v>86.166666666666671</v>
      </c>
      <c r="BC165">
        <f t="shared" si="101"/>
        <v>51.7</v>
      </c>
      <c r="BD165">
        <f t="shared" si="121"/>
        <v>0</v>
      </c>
      <c r="BE165">
        <f t="shared" si="102"/>
        <v>24</v>
      </c>
      <c r="BF165">
        <f t="shared" si="136"/>
        <v>5000</v>
      </c>
      <c r="BU165"/>
      <c r="FD165"/>
      <c r="FE165"/>
    </row>
    <row r="166" spans="1:161" x14ac:dyDescent="0.25">
      <c r="A166" s="7">
        <f t="shared" si="122"/>
        <v>48152</v>
      </c>
      <c r="B166">
        <f t="shared" si="103"/>
        <v>155</v>
      </c>
      <c r="C166">
        <f t="shared" si="104"/>
        <v>12.833333333333334</v>
      </c>
      <c r="D166">
        <f t="shared" si="105"/>
        <v>0</v>
      </c>
      <c r="E166">
        <f t="shared" si="106"/>
        <v>64</v>
      </c>
      <c r="F166">
        <f>IF(C166&gt;=$T$2,0,VLOOKUP($E166,EKM_F05!$A$3:$C$128,2,TRUE))</f>
        <v>9.9767948717948713E-3</v>
      </c>
      <c r="G166">
        <f>F166*'Real assumptions'!$B$3</f>
        <v>4.1633165E-3</v>
      </c>
      <c r="H166">
        <f t="shared" si="123"/>
        <v>3.4760684007484333E-4</v>
      </c>
      <c r="I166">
        <f t="shared" si="124"/>
        <v>1.6488383827308262E-4</v>
      </c>
      <c r="J166">
        <f>IF(B166&gt;$AJ$2,0,HLOOKUP(C166,'Real assumptions'!$B$5:$L$8,4,TRUE))</f>
        <v>3.7900000000000003E-2</v>
      </c>
      <c r="K166">
        <f t="shared" si="93"/>
        <v>1</v>
      </c>
      <c r="L166">
        <f t="shared" si="125"/>
        <v>8.3333333333333329E-2</v>
      </c>
      <c r="M166">
        <f t="shared" si="126"/>
        <v>3.2145624959929453E-3</v>
      </c>
      <c r="N166">
        <f t="shared" si="127"/>
        <v>1.5269849440979241E-3</v>
      </c>
      <c r="O166" s="8">
        <f t="shared" si="107"/>
        <v>0.4734117844649785</v>
      </c>
      <c r="P166">
        <f t="shared" si="108"/>
        <v>11.402487677936389</v>
      </c>
      <c r="Q166">
        <f t="shared" si="128"/>
        <v>0.82441919136541308</v>
      </c>
      <c r="R166" s="89">
        <f t="shared" si="94"/>
        <v>5000</v>
      </c>
      <c r="S166">
        <f t="shared" si="95"/>
        <v>8.3333333333333925E-2</v>
      </c>
      <c r="U166">
        <f>O165*AV165*'Real assumptions'!$B$33/12+AX166*'Real assumptions'!$B$34</f>
        <v>5.6059059524724182</v>
      </c>
      <c r="V166">
        <f>IF(P166=0,0,IF(E166&lt;=$C$7,$AN$5*O165,0))*'Real assumptions'!$D$28</f>
        <v>2.8506219194840972</v>
      </c>
      <c r="X166" s="94">
        <f t="shared" si="109"/>
        <v>0</v>
      </c>
      <c r="Y166">
        <f t="shared" si="96"/>
        <v>24</v>
      </c>
      <c r="Z166">
        <f t="shared" si="129"/>
        <v>86</v>
      </c>
      <c r="AA166">
        <f t="shared" si="97"/>
        <v>86.083333333333329</v>
      </c>
      <c r="AB166">
        <f t="shared" si="110"/>
        <v>50.505050505050505</v>
      </c>
      <c r="AC166">
        <f t="shared" si="130"/>
        <v>4347.6430976430975</v>
      </c>
      <c r="AD166">
        <f t="shared" si="111"/>
        <v>80.505050505050505</v>
      </c>
      <c r="AE166">
        <f t="shared" si="112"/>
        <v>346.50715488215485</v>
      </c>
      <c r="AF166" s="94">
        <f t="shared" si="113"/>
        <v>305.84974747474769</v>
      </c>
      <c r="AG166">
        <f t="shared" si="131"/>
        <v>0.4670279595500918</v>
      </c>
      <c r="AH166">
        <f t="shared" si="114"/>
        <v>144.79287473018334</v>
      </c>
      <c r="AI166">
        <f>HLOOKUP(AW166,'Real assumptions'!$A$21:$AK$24,2,TRUE)</f>
        <v>1.8266</v>
      </c>
      <c r="AJ166" s="123">
        <f t="shared" si="132"/>
        <v>1.5095699767524451E-3</v>
      </c>
      <c r="AK166" s="122">
        <f>(1+HLOOKUP(YEAR(A166),'Real assumptions'!$A$21:$AK$24,2,TRUE)/100)^(1/12)-1</f>
        <v>1.5095699767524451E-3</v>
      </c>
      <c r="AL166">
        <f t="shared" si="133"/>
        <v>5.6059059524724182</v>
      </c>
      <c r="AM166">
        <f>('Real assumptions'!$B$33/12)*O165*AV165</f>
        <v>5.5664078829715287</v>
      </c>
      <c r="AN166">
        <f t="shared" si="115"/>
        <v>147.97956860487133</v>
      </c>
      <c r="AO166">
        <f t="shared" si="137"/>
        <v>0.22338551393869246</v>
      </c>
      <c r="AP166" s="121">
        <f t="shared" si="116"/>
        <v>2.1056241246636391</v>
      </c>
      <c r="AQ166">
        <f t="shared" si="117"/>
        <v>0</v>
      </c>
      <c r="AR166">
        <v>0</v>
      </c>
      <c r="AS166">
        <f t="shared" si="98"/>
        <v>0</v>
      </c>
      <c r="AT166">
        <f t="shared" si="118"/>
        <v>0</v>
      </c>
      <c r="AU166">
        <f>IFERROR(HLOOKUP(B166,'Real assumptions'!$B$43:$AL$44,2,TRUE)*($W$3/$U$2),0)</f>
        <v>0</v>
      </c>
      <c r="AV166">
        <f>AV165*(1+'Real assumptions'!$B$35)^(1/12)</f>
        <v>1.172833176437712</v>
      </c>
      <c r="AW166">
        <f t="shared" si="99"/>
        <v>2031</v>
      </c>
      <c r="AX166">
        <f t="shared" si="134"/>
        <v>144.18258137960666</v>
      </c>
      <c r="AY166">
        <f t="shared" si="135"/>
        <v>1.9995945001992823</v>
      </c>
      <c r="AZ166">
        <f t="shared" si="100"/>
        <v>481.89901283157758</v>
      </c>
      <c r="BA166">
        <f t="shared" si="119"/>
        <v>4.1420690703996019</v>
      </c>
      <c r="BB166">
        <f t="shared" si="120"/>
        <v>86.083333333333329</v>
      </c>
      <c r="BC166">
        <f t="shared" si="101"/>
        <v>51.649999999999991</v>
      </c>
      <c r="BD166">
        <f t="shared" si="121"/>
        <v>0</v>
      </c>
      <c r="BE166">
        <f t="shared" si="102"/>
        <v>24</v>
      </c>
      <c r="BF166">
        <f t="shared" si="136"/>
        <v>5000</v>
      </c>
      <c r="BU166"/>
      <c r="FD166"/>
      <c r="FE166"/>
    </row>
    <row r="167" spans="1:161" x14ac:dyDescent="0.25">
      <c r="A167" s="7">
        <f t="shared" si="122"/>
        <v>48182</v>
      </c>
      <c r="B167">
        <f t="shared" si="103"/>
        <v>156</v>
      </c>
      <c r="C167">
        <f t="shared" si="104"/>
        <v>12.916666666666666</v>
      </c>
      <c r="D167">
        <f t="shared" si="105"/>
        <v>0</v>
      </c>
      <c r="E167">
        <f t="shared" si="106"/>
        <v>64</v>
      </c>
      <c r="F167">
        <f>IF(C167&gt;=$T$2,0,VLOOKUP($E167,EKM_F05!$A$3:$C$128,2,TRUE))</f>
        <v>9.9767948717948713E-3</v>
      </c>
      <c r="G167">
        <f>F167*'Real assumptions'!$B$3</f>
        <v>4.1633165E-3</v>
      </c>
      <c r="H167">
        <f t="shared" si="123"/>
        <v>3.4760684007484333E-4</v>
      </c>
      <c r="I167">
        <f t="shared" si="124"/>
        <v>1.6429667836221891E-4</v>
      </c>
      <c r="J167">
        <f>IF(B167&gt;$AJ$2,0,HLOOKUP(C167,'Real assumptions'!$B$5:$L$8,4,TRUE))</f>
        <v>3.7900000000000003E-2</v>
      </c>
      <c r="K167">
        <f t="shared" si="93"/>
        <v>1</v>
      </c>
      <c r="L167">
        <f t="shared" si="125"/>
        <v>8.3333333333333329E-2</v>
      </c>
      <c r="M167">
        <f t="shared" si="126"/>
        <v>3.2145624959929453E-3</v>
      </c>
      <c r="N167">
        <f t="shared" si="127"/>
        <v>1.5215472714123705E-3</v>
      </c>
      <c r="O167" s="8">
        <f t="shared" si="107"/>
        <v>0.47172594051520395</v>
      </c>
      <c r="P167">
        <f t="shared" si="108"/>
        <v>11.361882827159484</v>
      </c>
      <c r="Q167">
        <f t="shared" si="128"/>
        <v>0.82148339181109453</v>
      </c>
      <c r="R167" s="89">
        <f t="shared" si="94"/>
        <v>5000</v>
      </c>
      <c r="S167">
        <f t="shared" si="95"/>
        <v>1</v>
      </c>
      <c r="U167">
        <f>O166*AV166*'Real assumptions'!$B$33/12+AX167*'Real assumptions'!$B$34</f>
        <v>5.5923402460235518</v>
      </c>
      <c r="V167">
        <f>IF(P167=0,0,IF(E167&lt;=$C$7,$AN$5*O166,0))*'Real assumptions'!$D$28</f>
        <v>2.8404707067898709</v>
      </c>
      <c r="X167" s="94">
        <f t="shared" si="109"/>
        <v>0</v>
      </c>
      <c r="Y167">
        <f t="shared" si="96"/>
        <v>24</v>
      </c>
      <c r="Z167">
        <f t="shared" si="129"/>
        <v>86</v>
      </c>
      <c r="AA167">
        <f t="shared" si="97"/>
        <v>86</v>
      </c>
      <c r="AB167">
        <f t="shared" si="110"/>
        <v>50.505050505050505</v>
      </c>
      <c r="AC167">
        <f t="shared" si="130"/>
        <v>4343.4343434343436</v>
      </c>
      <c r="AD167">
        <f t="shared" si="111"/>
        <v>80.505050505050505</v>
      </c>
      <c r="AE167">
        <f t="shared" si="112"/>
        <v>346.17171717171715</v>
      </c>
      <c r="AF167" s="94">
        <f t="shared" si="113"/>
        <v>310.39393939393921</v>
      </c>
      <c r="AG167">
        <f t="shared" si="131"/>
        <v>0.47227905154778488</v>
      </c>
      <c r="AH167">
        <f t="shared" si="114"/>
        <v>146.42087299082519</v>
      </c>
      <c r="AI167">
        <f>HLOOKUP(AW167,'Real assumptions'!$A$21:$AK$24,2,TRUE)</f>
        <v>1.8266</v>
      </c>
      <c r="AJ167" s="123">
        <f t="shared" si="132"/>
        <v>1.5095699767524451E-3</v>
      </c>
      <c r="AK167" s="122">
        <f>(1+HLOOKUP(YEAR(A167),'Real assumptions'!$A$21:$AK$24,2,TRUE)/100)^(1/12)-1</f>
        <v>1.5095699767524451E-3</v>
      </c>
      <c r="AL167">
        <f t="shared" si="133"/>
        <v>5.5923402460235518</v>
      </c>
      <c r="AM167">
        <f>('Real assumptions'!$B$33/12)*O166*AV166</f>
        <v>5.5523304693710624</v>
      </c>
      <c r="AN167">
        <f t="shared" si="115"/>
        <v>149.82757072919304</v>
      </c>
      <c r="AO167">
        <f t="shared" si="137"/>
        <v>0.22617520246254327</v>
      </c>
      <c r="AP167" s="121">
        <f t="shared" si="116"/>
        <v>2.3317993271261823</v>
      </c>
      <c r="AQ167">
        <f t="shared" si="117"/>
        <v>0</v>
      </c>
      <c r="AR167">
        <v>0</v>
      </c>
      <c r="AS167">
        <f t="shared" si="98"/>
        <v>0</v>
      </c>
      <c r="AT167">
        <f t="shared" si="118"/>
        <v>0</v>
      </c>
      <c r="AU167">
        <f>IFERROR(HLOOKUP(B167,'Real assumptions'!$B$43:$AL$44,2,TRUE)*($W$3/$U$2),0)</f>
        <v>0</v>
      </c>
      <c r="AV167">
        <f>AV166*(1+'Real assumptions'!$B$35)^(1/12)</f>
        <v>1.1740479337261134</v>
      </c>
      <c r="AW167">
        <f t="shared" si="99"/>
        <v>2031</v>
      </c>
      <c r="AX167">
        <f t="shared" si="134"/>
        <v>146.05050198839794</v>
      </c>
      <c r="AY167">
        <f t="shared" si="135"/>
        <v>1.9924738403408184</v>
      </c>
      <c r="AZ167">
        <f t="shared" si="100"/>
        <v>484.26178254416197</v>
      </c>
      <c r="BA167">
        <f t="shared" si="119"/>
        <v>4.1342331501487504</v>
      </c>
      <c r="BB167">
        <f t="shared" si="120"/>
        <v>86</v>
      </c>
      <c r="BC167">
        <f t="shared" si="101"/>
        <v>51.599999999999994</v>
      </c>
      <c r="BD167">
        <f t="shared" si="121"/>
        <v>0</v>
      </c>
      <c r="BE167">
        <f t="shared" si="102"/>
        <v>24</v>
      </c>
      <c r="BF167">
        <f t="shared" si="136"/>
        <v>5000</v>
      </c>
      <c r="BU167"/>
      <c r="FD167"/>
      <c r="FE167"/>
    </row>
    <row r="168" spans="1:161" x14ac:dyDescent="0.25">
      <c r="A168" s="7">
        <f t="shared" si="122"/>
        <v>48213</v>
      </c>
      <c r="B168">
        <f t="shared" si="103"/>
        <v>157</v>
      </c>
      <c r="C168">
        <f t="shared" si="104"/>
        <v>13</v>
      </c>
      <c r="D168">
        <f t="shared" si="105"/>
        <v>1</v>
      </c>
      <c r="E168">
        <f t="shared" si="106"/>
        <v>65</v>
      </c>
      <c r="F168">
        <f>IF(C168&gt;=$T$2,0,VLOOKUP($E168,EKM_F05!$A$3:$C$128,2,TRUE))</f>
        <v>1.0828205128205128E-2</v>
      </c>
      <c r="G168">
        <f>F168*'Real assumptions'!$B$3</f>
        <v>4.5186100000000002E-3</v>
      </c>
      <c r="H168">
        <f t="shared" si="123"/>
        <v>3.7733294002784135E-4</v>
      </c>
      <c r="I168">
        <f t="shared" si="124"/>
        <v>1.7771164359870652E-4</v>
      </c>
      <c r="J168">
        <f>IF(B168&gt;$AJ$2,0,HLOOKUP(C168,'Real assumptions'!$B$5:$L$8,4,TRUE))</f>
        <v>3.7900000000000003E-2</v>
      </c>
      <c r="K168">
        <f t="shared" si="93"/>
        <v>1</v>
      </c>
      <c r="L168">
        <f t="shared" si="125"/>
        <v>8.3333333333333329E-2</v>
      </c>
      <c r="M168">
        <f t="shared" si="126"/>
        <v>3.2145624959929453E-3</v>
      </c>
      <c r="N168">
        <f t="shared" si="127"/>
        <v>1.5161064243438796E-3</v>
      </c>
      <c r="O168" s="8">
        <f t="shared" si="107"/>
        <v>0.47003212244726139</v>
      </c>
      <c r="P168">
        <f t="shared" si="108"/>
        <v>11.321422572364895</v>
      </c>
      <c r="Q168">
        <f t="shared" si="128"/>
        <v>0.88855821799353263</v>
      </c>
      <c r="R168" s="89">
        <f t="shared" si="94"/>
        <v>5000</v>
      </c>
      <c r="S168">
        <f t="shared" si="95"/>
        <v>0.91666666666666607</v>
      </c>
      <c r="U168">
        <f>O167*AV167*'Real assumptions'!$B$33/12+AX168*'Real assumptions'!$B$34</f>
        <v>5.57880720256155</v>
      </c>
      <c r="V168">
        <f>IF(P168=0,0,IF(E168&lt;=$C$7,$AN$5*O167,0))*'Real assumptions'!$D$28</f>
        <v>2.8303556430912238</v>
      </c>
      <c r="X168" s="94">
        <f t="shared" si="109"/>
        <v>0</v>
      </c>
      <c r="Y168">
        <f t="shared" si="96"/>
        <v>24</v>
      </c>
      <c r="Z168">
        <f t="shared" si="129"/>
        <v>86</v>
      </c>
      <c r="AA168">
        <f t="shared" si="97"/>
        <v>85.916666666666671</v>
      </c>
      <c r="AB168">
        <f t="shared" si="110"/>
        <v>50.505050505050505</v>
      </c>
      <c r="AC168">
        <f t="shared" si="130"/>
        <v>4339.2255892255898</v>
      </c>
      <c r="AD168">
        <f t="shared" si="111"/>
        <v>80.505050505050505</v>
      </c>
      <c r="AE168">
        <f t="shared" si="112"/>
        <v>345.83627946127945</v>
      </c>
      <c r="AF168" s="94">
        <f t="shared" si="113"/>
        <v>314.93813131313073</v>
      </c>
      <c r="AG168">
        <f t="shared" si="131"/>
        <v>0.47747972415469386</v>
      </c>
      <c r="AH168">
        <f t="shared" si="114"/>
        <v>148.03103830068514</v>
      </c>
      <c r="AI168">
        <f>HLOOKUP(AW168,'Real assumptions'!$A$21:$AK$24,2,TRUE)</f>
        <v>1.8266</v>
      </c>
      <c r="AJ168" s="123">
        <f t="shared" si="132"/>
        <v>1.5095699767524451E-3</v>
      </c>
      <c r="AK168" s="122">
        <f>(1+HLOOKUP(YEAR(A168),'Real assumptions'!$A$21:$AK$24,2,TRUE)/100)^(1/12)-1</f>
        <v>1.5095699767524451E-3</v>
      </c>
      <c r="AL168">
        <f t="shared" si="133"/>
        <v>5.57880720256155</v>
      </c>
      <c r="AM168">
        <f>('Real assumptions'!$B$33/12)*O167*AV167</f>
        <v>5.5382886574688266</v>
      </c>
      <c r="AN168">
        <f t="shared" si="115"/>
        <v>151.66493204466349</v>
      </c>
      <c r="AO168">
        <f t="shared" si="137"/>
        <v>0.22894882794082383</v>
      </c>
      <c r="AP168" s="121">
        <f t="shared" si="116"/>
        <v>0</v>
      </c>
      <c r="AQ168">
        <f t="shared" si="117"/>
        <v>0</v>
      </c>
      <c r="AR168">
        <v>0</v>
      </c>
      <c r="AS168">
        <f t="shared" si="98"/>
        <v>0</v>
      </c>
      <c r="AT168">
        <f t="shared" si="118"/>
        <v>0</v>
      </c>
      <c r="AU168">
        <f>IFERROR(HLOOKUP(B168,'Real assumptions'!$B$43:$AL$44,2,TRUE)*($W$3/$U$2),0)</f>
        <v>0</v>
      </c>
      <c r="AV168">
        <f>AV167*(1+'Real assumptions'!$B$35)^(1/12)</f>
        <v>1.1752639491945351</v>
      </c>
      <c r="AW168">
        <f t="shared" si="99"/>
        <v>2031</v>
      </c>
      <c r="AX168">
        <f t="shared" si="134"/>
        <v>147.90769521238207</v>
      </c>
      <c r="AY168">
        <f t="shared" si="135"/>
        <v>1.985378537521902</v>
      </c>
      <c r="AZ168">
        <f t="shared" si="100"/>
        <v>486.53903137654316</v>
      </c>
      <c r="BA168">
        <f t="shared" si="119"/>
        <v>4.1963935852394503</v>
      </c>
      <c r="BB168">
        <f t="shared" si="120"/>
        <v>85.916666666666671</v>
      </c>
      <c r="BC168">
        <f t="shared" si="101"/>
        <v>51.55</v>
      </c>
      <c r="BD168">
        <f t="shared" si="121"/>
        <v>0</v>
      </c>
      <c r="BE168">
        <f t="shared" si="102"/>
        <v>24</v>
      </c>
      <c r="BF168">
        <f t="shared" si="136"/>
        <v>5000</v>
      </c>
      <c r="BU168"/>
      <c r="FD168"/>
      <c r="FE168"/>
    </row>
    <row r="169" spans="1:161" x14ac:dyDescent="0.25">
      <c r="A169" s="7">
        <f t="shared" si="122"/>
        <v>48244</v>
      </c>
      <c r="B169">
        <f t="shared" si="103"/>
        <v>158</v>
      </c>
      <c r="C169">
        <f t="shared" si="104"/>
        <v>13.083333333333334</v>
      </c>
      <c r="D169">
        <f t="shared" si="105"/>
        <v>0</v>
      </c>
      <c r="E169">
        <f t="shared" si="106"/>
        <v>65</v>
      </c>
      <c r="F169">
        <f>IF(C169&gt;=$T$2,0,VLOOKUP($E169,EKM_F05!$A$3:$C$128,2,TRUE))</f>
        <v>1.0828205128205128E-2</v>
      </c>
      <c r="G169">
        <f>F169*'Real assumptions'!$B$3</f>
        <v>4.5186100000000002E-3</v>
      </c>
      <c r="H169">
        <f t="shared" si="123"/>
        <v>3.7733294002784135E-4</v>
      </c>
      <c r="I169">
        <f t="shared" si="124"/>
        <v>1.7707353751430821E-4</v>
      </c>
      <c r="J169">
        <f>IF(B169&gt;$AJ$2,0,HLOOKUP(C169,'Real assumptions'!$B$5:$L$8,4,TRUE))</f>
        <v>3.7900000000000003E-2</v>
      </c>
      <c r="K169">
        <f t="shared" si="93"/>
        <v>1</v>
      </c>
      <c r="L169">
        <f t="shared" si="125"/>
        <v>8.3333333333333329E-2</v>
      </c>
      <c r="M169">
        <f t="shared" si="126"/>
        <v>3.2145624959929453E-3</v>
      </c>
      <c r="N169">
        <f t="shared" si="127"/>
        <v>1.510662567574687E-3</v>
      </c>
      <c r="O169" s="8">
        <f t="shared" si="107"/>
        <v>0.4683443863421724</v>
      </c>
      <c r="P169">
        <f t="shared" si="108"/>
        <v>11.280770938734273</v>
      </c>
      <c r="Q169">
        <f t="shared" si="128"/>
        <v>0.88536768757154105</v>
      </c>
      <c r="R169" s="89">
        <f t="shared" si="94"/>
        <v>5000</v>
      </c>
      <c r="S169">
        <f t="shared" si="95"/>
        <v>0.83333333333333393</v>
      </c>
      <c r="U169">
        <f>O168*AV168*'Real assumptions'!$B$33/12+AX169*'Real assumptions'!$B$34</f>
        <v>5.5644397731180888</v>
      </c>
      <c r="V169">
        <f>IF(P169=0,0,IF(E169&lt;=$C$7,$AN$5*O168,0))*'Real assumptions'!$D$28</f>
        <v>2.8201927346835682</v>
      </c>
      <c r="X169" s="94">
        <f t="shared" si="109"/>
        <v>0</v>
      </c>
      <c r="Y169">
        <f t="shared" si="96"/>
        <v>24</v>
      </c>
      <c r="Z169">
        <f t="shared" si="129"/>
        <v>85</v>
      </c>
      <c r="AA169">
        <f t="shared" si="97"/>
        <v>85.833333333333329</v>
      </c>
      <c r="AB169">
        <f t="shared" si="110"/>
        <v>50.505050505050505</v>
      </c>
      <c r="AC169">
        <f t="shared" si="130"/>
        <v>4335.0168350168351</v>
      </c>
      <c r="AD169">
        <f t="shared" si="111"/>
        <v>80.505050505050505</v>
      </c>
      <c r="AE169">
        <f t="shared" si="112"/>
        <v>345.50084175084174</v>
      </c>
      <c r="AF169" s="94">
        <f t="shared" si="113"/>
        <v>319.48232323232315</v>
      </c>
      <c r="AG169">
        <f t="shared" si="131"/>
        <v>0.48262998670886736</v>
      </c>
      <c r="AH169">
        <f t="shared" si="114"/>
        <v>149.62775262141395</v>
      </c>
      <c r="AI169">
        <f>HLOOKUP(AW169,'Real assumptions'!$A$21:$AK$24,2,TRUE)</f>
        <v>1.819</v>
      </c>
      <c r="AJ169" s="123">
        <f t="shared" si="132"/>
        <v>1.5033406506879121E-3</v>
      </c>
      <c r="AK169" s="122">
        <f>(1+HLOOKUP(YEAR(A169),'Real assumptions'!$A$21:$AK$24,2,TRUE)/100)^(1/12)-1</f>
        <v>1.5033406506879121E-3</v>
      </c>
      <c r="AL169">
        <f t="shared" si="133"/>
        <v>5.5644397731180888</v>
      </c>
      <c r="AM169">
        <f>('Real assumptions'!$B$33/12)*O168*AV168</f>
        <v>5.5241180847565765</v>
      </c>
      <c r="AN169">
        <f t="shared" si="115"/>
        <v>150.92717673161775</v>
      </c>
      <c r="AO169">
        <f t="shared" si="137"/>
        <v>0.22689496007419974</v>
      </c>
      <c r="AP169" s="121">
        <f t="shared" si="116"/>
        <v>0.22689496007419974</v>
      </c>
      <c r="AQ169">
        <f t="shared" si="117"/>
        <v>0</v>
      </c>
      <c r="AR169">
        <v>0</v>
      </c>
      <c r="AS169">
        <f t="shared" si="98"/>
        <v>0</v>
      </c>
      <c r="AT169">
        <f t="shared" si="118"/>
        <v>0</v>
      </c>
      <c r="AU169">
        <f>IFERROR(HLOOKUP(B169,'Real assumptions'!$B$43:$AL$44,2,TRUE)*($W$3/$U$2),0)</f>
        <v>0</v>
      </c>
      <c r="AV169">
        <f>AV168*(1+'Real assumptions'!$B$35)^(1/12)</f>
        <v>1.176481224146132</v>
      </c>
      <c r="AW169">
        <f t="shared" si="99"/>
        <v>2032</v>
      </c>
      <c r="AX169">
        <f t="shared" si="134"/>
        <v>147.18909523960116</v>
      </c>
      <c r="AY169">
        <f t="shared" si="135"/>
        <v>1.9782496735995849</v>
      </c>
      <c r="AZ169">
        <f t="shared" si="100"/>
        <v>488.79860603721011</v>
      </c>
      <c r="BA169">
        <f t="shared" si="119"/>
        <v>4.1881904089639761</v>
      </c>
      <c r="BB169">
        <f t="shared" si="120"/>
        <v>85.833333333333329</v>
      </c>
      <c r="BC169">
        <f t="shared" si="101"/>
        <v>51.5</v>
      </c>
      <c r="BD169">
        <f t="shared" si="121"/>
        <v>0</v>
      </c>
      <c r="BE169">
        <f t="shared" si="102"/>
        <v>24</v>
      </c>
      <c r="BF169">
        <f t="shared" si="136"/>
        <v>5000</v>
      </c>
      <c r="BU169"/>
      <c r="FD169"/>
      <c r="FE169"/>
    </row>
    <row r="170" spans="1:161" x14ac:dyDescent="0.25">
      <c r="A170" s="7">
        <f t="shared" si="122"/>
        <v>48273</v>
      </c>
      <c r="B170">
        <f t="shared" si="103"/>
        <v>159</v>
      </c>
      <c r="C170">
        <f t="shared" si="104"/>
        <v>13.166666666666666</v>
      </c>
      <c r="D170">
        <f t="shared" si="105"/>
        <v>0</v>
      </c>
      <c r="E170">
        <f t="shared" si="106"/>
        <v>65</v>
      </c>
      <c r="F170">
        <f>IF(C170&gt;=$T$2,0,VLOOKUP($E170,EKM_F05!$A$3:$C$128,2,TRUE))</f>
        <v>1.0828205128205128E-2</v>
      </c>
      <c r="G170">
        <f>F170*'Real assumptions'!$B$3</f>
        <v>4.5186100000000002E-3</v>
      </c>
      <c r="H170">
        <f t="shared" si="123"/>
        <v>3.7733294002784135E-4</v>
      </c>
      <c r="I170">
        <f t="shared" si="124"/>
        <v>1.7643772266624482E-4</v>
      </c>
      <c r="J170">
        <f>IF(B170&gt;$AJ$2,0,HLOOKUP(C170,'Real assumptions'!$B$5:$L$8,4,TRUE))</f>
        <v>3.7900000000000003E-2</v>
      </c>
      <c r="K170">
        <f t="shared" si="93"/>
        <v>1</v>
      </c>
      <c r="L170">
        <f t="shared" si="125"/>
        <v>8.3333333333333329E-2</v>
      </c>
      <c r="M170">
        <f t="shared" si="126"/>
        <v>3.2145624959929453E-3</v>
      </c>
      <c r="N170">
        <f t="shared" si="127"/>
        <v>1.5052382579665957E-3</v>
      </c>
      <c r="O170" s="8">
        <f t="shared" si="107"/>
        <v>0.46666271036153956</v>
      </c>
      <c r="P170">
        <f t="shared" si="108"/>
        <v>11.240265272212138</v>
      </c>
      <c r="Q170">
        <f t="shared" si="128"/>
        <v>0.88218861333122411</v>
      </c>
      <c r="R170" s="89">
        <f t="shared" si="94"/>
        <v>5000</v>
      </c>
      <c r="S170">
        <f t="shared" si="95"/>
        <v>0.75</v>
      </c>
      <c r="U170">
        <f>O169*AV169*'Real assumptions'!$B$33/12+AX170*'Real assumptions'!$B$34</f>
        <v>5.5508058544892753</v>
      </c>
      <c r="V170">
        <f>IF(P170=0,0,IF(E170&lt;=$C$7,$AN$5*O169,0))*'Real assumptions'!$D$28</f>
        <v>2.8100663180530345</v>
      </c>
      <c r="X170" s="94">
        <f t="shared" si="109"/>
        <v>0</v>
      </c>
      <c r="Y170">
        <f t="shared" si="96"/>
        <v>24</v>
      </c>
      <c r="Z170">
        <f t="shared" si="129"/>
        <v>85</v>
      </c>
      <c r="AA170">
        <f t="shared" si="97"/>
        <v>85.75</v>
      </c>
      <c r="AB170">
        <f t="shared" si="110"/>
        <v>50.505050505050505</v>
      </c>
      <c r="AC170">
        <f t="shared" si="130"/>
        <v>4330.8080808080804</v>
      </c>
      <c r="AD170">
        <f t="shared" si="111"/>
        <v>80.505050505050505</v>
      </c>
      <c r="AE170">
        <f t="shared" si="112"/>
        <v>345.16540404040404</v>
      </c>
      <c r="AF170" s="94">
        <f t="shared" si="113"/>
        <v>324.02651515151558</v>
      </c>
      <c r="AG170">
        <f t="shared" si="131"/>
        <v>0.48773710720165403</v>
      </c>
      <c r="AH170">
        <f t="shared" si="114"/>
        <v>151.21109178961072</v>
      </c>
      <c r="AI170">
        <f>HLOOKUP(AW170,'Real assumptions'!$A$21:$AK$24,2,TRUE)</f>
        <v>1.819</v>
      </c>
      <c r="AJ170" s="123">
        <f t="shared" si="132"/>
        <v>1.5033406506879121E-3</v>
      </c>
      <c r="AK170" s="122">
        <f>(1+HLOOKUP(YEAR(A170),'Real assumptions'!$A$21:$AK$24,2,TRUE)/100)^(1/12)-1</f>
        <v>1.5033406506879121E-3</v>
      </c>
      <c r="AL170">
        <f t="shared" si="133"/>
        <v>5.5508058544892753</v>
      </c>
      <c r="AM170">
        <f>('Real assumptions'!$B$33/12)*O169*AV169</f>
        <v>5.5099837696580796</v>
      </c>
      <c r="AN170">
        <f t="shared" si="115"/>
        <v>152.73404068115798</v>
      </c>
      <c r="AO170">
        <f t="shared" si="137"/>
        <v>0.22961129209980607</v>
      </c>
      <c r="AP170" s="121">
        <f t="shared" si="116"/>
        <v>0.45650625217400581</v>
      </c>
      <c r="AQ170">
        <f t="shared" si="117"/>
        <v>0</v>
      </c>
      <c r="AR170">
        <v>0</v>
      </c>
      <c r="AS170">
        <f t="shared" si="98"/>
        <v>0</v>
      </c>
      <c r="AT170">
        <f t="shared" si="118"/>
        <v>0</v>
      </c>
      <c r="AU170">
        <f>IFERROR(HLOOKUP(B170,'Real assumptions'!$B$43:$AL$44,2,TRUE)*($W$3/$U$2),0)</f>
        <v>0</v>
      </c>
      <c r="AV170">
        <f>AV169*(1+'Real assumptions'!$B$35)^(1/12)</f>
        <v>1.1776997598854089</v>
      </c>
      <c r="AW170">
        <f t="shared" si="99"/>
        <v>2032</v>
      </c>
      <c r="AX170">
        <f t="shared" si="134"/>
        <v>149.01572767059912</v>
      </c>
      <c r="AY170">
        <f t="shared" si="135"/>
        <v>1.9711464071640252</v>
      </c>
      <c r="AZ170">
        <f t="shared" si="100"/>
        <v>491.04290423080238</v>
      </c>
      <c r="BA170">
        <f t="shared" si="119"/>
        <v>4.1799920385859126</v>
      </c>
      <c r="BB170">
        <f t="shared" si="120"/>
        <v>85.75</v>
      </c>
      <c r="BC170">
        <f t="shared" si="101"/>
        <v>51.45</v>
      </c>
      <c r="BD170">
        <f t="shared" si="121"/>
        <v>0</v>
      </c>
      <c r="BE170">
        <f t="shared" si="102"/>
        <v>24</v>
      </c>
      <c r="BF170">
        <f t="shared" si="136"/>
        <v>5000</v>
      </c>
      <c r="BU170"/>
      <c r="FD170"/>
      <c r="FE170"/>
    </row>
    <row r="171" spans="1:161" x14ac:dyDescent="0.25">
      <c r="A171" s="7">
        <f t="shared" si="122"/>
        <v>48304</v>
      </c>
      <c r="B171">
        <f t="shared" si="103"/>
        <v>160</v>
      </c>
      <c r="C171">
        <f t="shared" si="104"/>
        <v>13.25</v>
      </c>
      <c r="D171">
        <f t="shared" si="105"/>
        <v>0</v>
      </c>
      <c r="E171">
        <f t="shared" si="106"/>
        <v>65</v>
      </c>
      <c r="F171">
        <f>IF(C171&gt;=$T$2,0,VLOOKUP($E171,EKM_F05!$A$3:$C$128,2,TRUE))</f>
        <v>1.0828205128205128E-2</v>
      </c>
      <c r="G171">
        <f>F171*'Real assumptions'!$B$3</f>
        <v>4.5186100000000002E-3</v>
      </c>
      <c r="H171">
        <f t="shared" si="123"/>
        <v>3.7733294002784135E-4</v>
      </c>
      <c r="I171">
        <f t="shared" si="124"/>
        <v>1.7580419082741412E-4</v>
      </c>
      <c r="J171">
        <f>IF(B171&gt;$AJ$2,0,HLOOKUP(C171,'Real assumptions'!$B$5:$L$8,4,TRUE))</f>
        <v>3.7900000000000003E-2</v>
      </c>
      <c r="K171">
        <f t="shared" si="93"/>
        <v>1</v>
      </c>
      <c r="L171">
        <f t="shared" si="125"/>
        <v>8.3333333333333329E-2</v>
      </c>
      <c r="M171">
        <f t="shared" si="126"/>
        <v>3.2145624959929453E-3</v>
      </c>
      <c r="N171">
        <f t="shared" si="127"/>
        <v>1.4998334253319568E-3</v>
      </c>
      <c r="O171" s="8">
        <f t="shared" si="107"/>
        <v>0.4649870727453802</v>
      </c>
      <c r="P171">
        <f t="shared" si="108"/>
        <v>11.19990504867695</v>
      </c>
      <c r="Q171">
        <f t="shared" si="128"/>
        <v>0.8790209541370706</v>
      </c>
      <c r="R171" s="89">
        <f t="shared" si="94"/>
        <v>5000</v>
      </c>
      <c r="S171">
        <f t="shared" si="95"/>
        <v>0.66666666666666607</v>
      </c>
      <c r="U171">
        <f>O170*AV170*'Real assumptions'!$B$33/12+AX171*'Real assumptions'!$B$34</f>
        <v>5.5372051778012201</v>
      </c>
      <c r="V171">
        <f>IF(P171=0,0,IF(E171&lt;=$C$7,$AN$5*O170,0))*'Real assumptions'!$D$28</f>
        <v>2.7999762621692375</v>
      </c>
      <c r="X171" s="94">
        <f t="shared" si="109"/>
        <v>0</v>
      </c>
      <c r="Y171">
        <f t="shared" si="96"/>
        <v>24</v>
      </c>
      <c r="Z171">
        <f t="shared" si="129"/>
        <v>85</v>
      </c>
      <c r="AA171">
        <f t="shared" si="97"/>
        <v>85.666666666666671</v>
      </c>
      <c r="AB171">
        <f t="shared" si="110"/>
        <v>50.505050505050505</v>
      </c>
      <c r="AC171">
        <f t="shared" si="130"/>
        <v>4326.5993265993266</v>
      </c>
      <c r="AD171">
        <f t="shared" si="111"/>
        <v>80.505050505050505</v>
      </c>
      <c r="AE171">
        <f t="shared" si="112"/>
        <v>344.82996632996634</v>
      </c>
      <c r="AF171" s="94">
        <f t="shared" si="113"/>
        <v>328.5707070707071</v>
      </c>
      <c r="AG171">
        <f t="shared" si="131"/>
        <v>0.49280132904960167</v>
      </c>
      <c r="AH171">
        <f t="shared" si="114"/>
        <v>152.78113127068789</v>
      </c>
      <c r="AI171">
        <f>HLOOKUP(AW171,'Real assumptions'!$A$21:$AK$24,2,TRUE)</f>
        <v>1.819</v>
      </c>
      <c r="AJ171" s="123">
        <f t="shared" si="132"/>
        <v>1.5033406506879121E-3</v>
      </c>
      <c r="AK171" s="122">
        <f>(1+HLOOKUP(YEAR(A171),'Real assumptions'!$A$21:$AK$24,2,TRUE)/100)^(1/12)-1</f>
        <v>1.5033406506879121E-3</v>
      </c>
      <c r="AL171">
        <f t="shared" si="133"/>
        <v>5.5372051778012201</v>
      </c>
      <c r="AM171">
        <f>('Real assumptions'!$B$33/12)*O170*AV170</f>
        <v>5.4958856194025927</v>
      </c>
      <c r="AN171">
        <f t="shared" si="115"/>
        <v>154.53032165049123</v>
      </c>
      <c r="AO171">
        <f t="shared" si="137"/>
        <v>0.23231171430106184</v>
      </c>
      <c r="AP171" s="121">
        <f t="shared" si="116"/>
        <v>0.68881796647506766</v>
      </c>
      <c r="AQ171">
        <f t="shared" si="117"/>
        <v>0</v>
      </c>
      <c r="AR171">
        <v>0</v>
      </c>
      <c r="AS171">
        <f t="shared" si="98"/>
        <v>0</v>
      </c>
      <c r="AT171">
        <f t="shared" si="118"/>
        <v>0</v>
      </c>
      <c r="AU171">
        <f>IFERROR(HLOOKUP(B171,'Real assumptions'!$B$43:$AL$44,2,TRUE)*($W$3/$U$2),0)</f>
        <v>0</v>
      </c>
      <c r="AV171">
        <f>AV170*(1+'Real assumptions'!$B$35)^(1/12)</f>
        <v>1.1789195577182214</v>
      </c>
      <c r="AW171">
        <f t="shared" si="99"/>
        <v>2032</v>
      </c>
      <c r="AX171">
        <f t="shared" si="134"/>
        <v>150.83169042591825</v>
      </c>
      <c r="AY171">
        <f t="shared" si="135"/>
        <v>1.9640686463027759</v>
      </c>
      <c r="AZ171">
        <f t="shared" si="100"/>
        <v>493.27201031548424</v>
      </c>
      <c r="BA171">
        <f t="shared" si="119"/>
        <v>4.1717985453559097</v>
      </c>
      <c r="BB171">
        <f t="shared" si="120"/>
        <v>85.666666666666671</v>
      </c>
      <c r="BC171">
        <f t="shared" si="101"/>
        <v>51.400000000000006</v>
      </c>
      <c r="BD171">
        <f t="shared" si="121"/>
        <v>0</v>
      </c>
      <c r="BE171">
        <f t="shared" si="102"/>
        <v>24</v>
      </c>
      <c r="BF171">
        <f t="shared" si="136"/>
        <v>5000</v>
      </c>
      <c r="BU171"/>
      <c r="FD171"/>
      <c r="FE171"/>
    </row>
    <row r="172" spans="1:161" x14ac:dyDescent="0.25">
      <c r="A172" s="7">
        <f t="shared" si="122"/>
        <v>48334</v>
      </c>
      <c r="B172">
        <f t="shared" si="103"/>
        <v>161</v>
      </c>
      <c r="C172">
        <f t="shared" si="104"/>
        <v>13.333333333333334</v>
      </c>
      <c r="D172">
        <f t="shared" si="105"/>
        <v>0</v>
      </c>
      <c r="E172">
        <f t="shared" si="106"/>
        <v>65</v>
      </c>
      <c r="F172">
        <f>IF(C172&gt;=$T$2,0,VLOOKUP($E172,EKM_F05!$A$3:$C$128,2,TRUE))</f>
        <v>1.0828205128205128E-2</v>
      </c>
      <c r="G172">
        <f>F172*'Real assumptions'!$B$3</f>
        <v>4.5186100000000002E-3</v>
      </c>
      <c r="H172">
        <f t="shared" si="123"/>
        <v>3.7733294002784135E-4</v>
      </c>
      <c r="I172">
        <f t="shared" si="124"/>
        <v>1.7517293380025497E-4</v>
      </c>
      <c r="J172">
        <f>IF(B172&gt;$AJ$2,0,HLOOKUP(C172,'Real assumptions'!$B$5:$L$8,4,TRUE))</f>
        <v>3.7900000000000003E-2</v>
      </c>
      <c r="K172">
        <f t="shared" si="93"/>
        <v>1</v>
      </c>
      <c r="L172">
        <f t="shared" si="125"/>
        <v>8.3333333333333329E-2</v>
      </c>
      <c r="M172">
        <f t="shared" si="126"/>
        <v>3.2145624959929453E-3</v>
      </c>
      <c r="N172">
        <f t="shared" si="127"/>
        <v>1.4944479997351435E-3</v>
      </c>
      <c r="O172" s="8">
        <f t="shared" si="107"/>
        <v>0.4633174518118448</v>
      </c>
      <c r="P172">
        <f t="shared" si="108"/>
        <v>11.159689745889125</v>
      </c>
      <c r="Q172">
        <f t="shared" si="128"/>
        <v>0.87586466900127491</v>
      </c>
      <c r="R172" s="89">
        <f t="shared" si="94"/>
        <v>5000</v>
      </c>
      <c r="S172">
        <f t="shared" si="95"/>
        <v>0.58333333333333393</v>
      </c>
      <c r="U172">
        <f>O171*AV171*'Real assumptions'!$B$33/12+AX172*'Real assumptions'!$B$34</f>
        <v>5.5236376668461737</v>
      </c>
      <c r="V172">
        <f>IF(P172=0,0,IF(E172&lt;=$C$7,$AN$5*O171,0))*'Real assumptions'!$D$28</f>
        <v>2.7899224364722812</v>
      </c>
      <c r="X172" s="94">
        <f t="shared" si="109"/>
        <v>0</v>
      </c>
      <c r="Y172">
        <f t="shared" si="96"/>
        <v>24</v>
      </c>
      <c r="Z172">
        <f t="shared" si="129"/>
        <v>85</v>
      </c>
      <c r="AA172">
        <f t="shared" si="97"/>
        <v>85.583333333333329</v>
      </c>
      <c r="AB172">
        <f t="shared" si="110"/>
        <v>50.505050505050505</v>
      </c>
      <c r="AC172">
        <f t="shared" si="130"/>
        <v>4322.3905723905718</v>
      </c>
      <c r="AD172">
        <f t="shared" si="111"/>
        <v>80.505050505050505</v>
      </c>
      <c r="AE172">
        <f t="shared" si="112"/>
        <v>344.49452861952858</v>
      </c>
      <c r="AF172" s="94">
        <f t="shared" si="113"/>
        <v>333.11489898989959</v>
      </c>
      <c r="AG172">
        <f t="shared" si="131"/>
        <v>0.49782289447742983</v>
      </c>
      <c r="AH172">
        <f t="shared" si="114"/>
        <v>154.33794616056036</v>
      </c>
      <c r="AI172">
        <f>HLOOKUP(AW172,'Real assumptions'!$A$21:$AK$24,2,TRUE)</f>
        <v>1.819</v>
      </c>
      <c r="AJ172" s="123">
        <f t="shared" si="132"/>
        <v>1.5033406506879121E-3</v>
      </c>
      <c r="AK172" s="122">
        <f>(1+HLOOKUP(YEAR(A172),'Real assumptions'!$A$21:$AK$24,2,TRUE)/100)^(1/12)-1</f>
        <v>1.5033406506879121E-3</v>
      </c>
      <c r="AL172">
        <f t="shared" si="133"/>
        <v>5.5236376668461737</v>
      </c>
      <c r="AM172">
        <f>('Real assumptions'!$B$33/12)*O171*AV171</f>
        <v>5.4818235414567411</v>
      </c>
      <c r="AN172">
        <f t="shared" si="115"/>
        <v>156.3160788797336</v>
      </c>
      <c r="AO172">
        <f t="shared" si="137"/>
        <v>0.23499631573604171</v>
      </c>
      <c r="AP172" s="121">
        <f t="shared" si="116"/>
        <v>0.92381428221110939</v>
      </c>
      <c r="AQ172">
        <f t="shared" si="117"/>
        <v>0</v>
      </c>
      <c r="AR172">
        <v>0</v>
      </c>
      <c r="AS172">
        <f t="shared" si="98"/>
        <v>0</v>
      </c>
      <c r="AT172">
        <f t="shared" si="118"/>
        <v>0</v>
      </c>
      <c r="AU172">
        <f>IFERROR(HLOOKUP(B172,'Real assumptions'!$B$43:$AL$44,2,TRUE)*($W$3/$U$2),0)</f>
        <v>0</v>
      </c>
      <c r="AV172">
        <f>AV171*(1+'Real assumptions'!$B$35)^(1/12)</f>
        <v>1.180140618951778</v>
      </c>
      <c r="AW172">
        <f t="shared" si="99"/>
        <v>2032</v>
      </c>
      <c r="AX172">
        <f t="shared" si="134"/>
        <v>152.63704310012406</v>
      </c>
      <c r="AY172">
        <f t="shared" si="135"/>
        <v>1.9570162994334181</v>
      </c>
      <c r="AZ172">
        <f t="shared" si="100"/>
        <v>495.48600825952997</v>
      </c>
      <c r="BA172">
        <f t="shared" si="119"/>
        <v>4.1636099999509861</v>
      </c>
      <c r="BB172">
        <f t="shared" si="120"/>
        <v>85.583333333333329</v>
      </c>
      <c r="BC172">
        <f t="shared" si="101"/>
        <v>51.349999999999994</v>
      </c>
      <c r="BD172">
        <f t="shared" si="121"/>
        <v>0</v>
      </c>
      <c r="BE172">
        <f t="shared" si="102"/>
        <v>24</v>
      </c>
      <c r="BF172">
        <f t="shared" si="136"/>
        <v>5000</v>
      </c>
      <c r="BU172"/>
      <c r="FD172"/>
      <c r="FE172"/>
    </row>
    <row r="173" spans="1:161" x14ac:dyDescent="0.25">
      <c r="A173" s="7">
        <f t="shared" si="122"/>
        <v>48365</v>
      </c>
      <c r="B173">
        <f t="shared" si="103"/>
        <v>162</v>
      </c>
      <c r="C173">
        <f t="shared" si="104"/>
        <v>13.416666666666666</v>
      </c>
      <c r="D173">
        <f t="shared" si="105"/>
        <v>0</v>
      </c>
      <c r="E173">
        <f t="shared" si="106"/>
        <v>65</v>
      </c>
      <c r="F173">
        <f>IF(C173&gt;=$T$2,0,VLOOKUP($E173,EKM_F05!$A$3:$C$128,2,TRUE))</f>
        <v>1.0828205128205128E-2</v>
      </c>
      <c r="G173">
        <f>F173*'Real assumptions'!$B$3</f>
        <v>4.5186100000000002E-3</v>
      </c>
      <c r="H173">
        <f t="shared" si="123"/>
        <v>3.7733294002784135E-4</v>
      </c>
      <c r="I173">
        <f t="shared" si="124"/>
        <v>1.7454394341664086E-4</v>
      </c>
      <c r="J173">
        <f>IF(B173&gt;$AJ$2,0,HLOOKUP(C173,'Real assumptions'!$B$5:$L$8,4,TRUE))</f>
        <v>3.7900000000000003E-2</v>
      </c>
      <c r="K173">
        <f t="shared" si="93"/>
        <v>1</v>
      </c>
      <c r="L173">
        <f t="shared" si="125"/>
        <v>8.3333333333333329E-2</v>
      </c>
      <c r="M173">
        <f t="shared" si="126"/>
        <v>3.2145624959929453E-3</v>
      </c>
      <c r="N173">
        <f t="shared" si="127"/>
        <v>1.4890819114916447E-3</v>
      </c>
      <c r="O173" s="8">
        <f t="shared" si="107"/>
        <v>0.46165382595693649</v>
      </c>
      <c r="P173">
        <f t="shared" si="108"/>
        <v>11.119618843484275</v>
      </c>
      <c r="Q173">
        <f t="shared" si="128"/>
        <v>0.87271971708320428</v>
      </c>
      <c r="R173" s="89">
        <f t="shared" si="94"/>
        <v>5000</v>
      </c>
      <c r="S173">
        <f t="shared" si="95"/>
        <v>0.5</v>
      </c>
      <c r="U173">
        <f>O172*AV172*'Real assumptions'!$B$33/12+AX173*'Real assumptions'!$B$34</f>
        <v>5.5101032455762793</v>
      </c>
      <c r="V173">
        <f>IF(P173=0,0,IF(E173&lt;=$C$7,$AN$5*O172,0))*'Real assumptions'!$D$28</f>
        <v>2.7799047108710688</v>
      </c>
      <c r="X173" s="94">
        <f t="shared" si="109"/>
        <v>0</v>
      </c>
      <c r="Y173">
        <f t="shared" si="96"/>
        <v>24</v>
      </c>
      <c r="Z173">
        <f t="shared" si="129"/>
        <v>85</v>
      </c>
      <c r="AA173">
        <f t="shared" si="97"/>
        <v>85.5</v>
      </c>
      <c r="AB173">
        <f t="shared" si="110"/>
        <v>50.505050505050505</v>
      </c>
      <c r="AC173">
        <f t="shared" si="130"/>
        <v>4318.181818181818</v>
      </c>
      <c r="AD173">
        <f t="shared" si="111"/>
        <v>80.505050505050505</v>
      </c>
      <c r="AE173">
        <f t="shared" si="112"/>
        <v>344.15909090909088</v>
      </c>
      <c r="AF173" s="94">
        <f t="shared" si="113"/>
        <v>337.65909090909111</v>
      </c>
      <c r="AG173">
        <f t="shared" si="131"/>
        <v>0.50280204452344046</v>
      </c>
      <c r="AH173">
        <f t="shared" si="114"/>
        <v>155.88161118732293</v>
      </c>
      <c r="AI173">
        <f>HLOOKUP(AW173,'Real assumptions'!$A$21:$AK$24,2,TRUE)</f>
        <v>1.819</v>
      </c>
      <c r="AJ173" s="123">
        <f t="shared" si="132"/>
        <v>1.5033406506879121E-3</v>
      </c>
      <c r="AK173" s="122">
        <f>(1+HLOOKUP(YEAR(A173),'Real assumptions'!$A$21:$AK$24,2,TRUE)/100)^(1/12)-1</f>
        <v>1.5033406506879121E-3</v>
      </c>
      <c r="AL173">
        <f t="shared" si="133"/>
        <v>5.5101032455762793</v>
      </c>
      <c r="AM173">
        <f>('Real assumptions'!$B$33/12)*O172*AV172</f>
        <v>5.4677974435239109</v>
      </c>
      <c r="AN173">
        <f t="shared" si="115"/>
        <v>158.09137132980837</v>
      </c>
      <c r="AO173">
        <f t="shared" si="137"/>
        <v>0.23766518504309844</v>
      </c>
      <c r="AP173" s="121">
        <f t="shared" si="116"/>
        <v>1.1614794672542079</v>
      </c>
      <c r="AQ173">
        <f t="shared" si="117"/>
        <v>0</v>
      </c>
      <c r="AR173">
        <v>0</v>
      </c>
      <c r="AS173">
        <f t="shared" si="98"/>
        <v>0</v>
      </c>
      <c r="AT173">
        <f t="shared" si="118"/>
        <v>0</v>
      </c>
      <c r="AU173">
        <f>IFERROR(HLOOKUP(B173,'Real assumptions'!$B$43:$AL$44,2,TRUE)*($W$3/$U$2),0)</f>
        <v>0</v>
      </c>
      <c r="AV173">
        <f>AV172*(1+'Real assumptions'!$B$35)^(1/12)</f>
        <v>1.181362944894641</v>
      </c>
      <c r="AW173">
        <f t="shared" si="99"/>
        <v>2032</v>
      </c>
      <c r="AX173">
        <f t="shared" si="134"/>
        <v>154.43184500720278</v>
      </c>
      <c r="AY173">
        <f t="shared" si="135"/>
        <v>1.9499892753023771</v>
      </c>
      <c r="AZ173">
        <f t="shared" si="100"/>
        <v>497.68498164302389</v>
      </c>
      <c r="BA173">
        <f t="shared" si="119"/>
        <v>4.1554264724777132</v>
      </c>
      <c r="BB173">
        <f t="shared" si="120"/>
        <v>85.5</v>
      </c>
      <c r="BC173">
        <f t="shared" si="101"/>
        <v>51.3</v>
      </c>
      <c r="BD173">
        <f t="shared" si="121"/>
        <v>0</v>
      </c>
      <c r="BE173">
        <f t="shared" si="102"/>
        <v>24</v>
      </c>
      <c r="BF173">
        <f t="shared" si="136"/>
        <v>5000</v>
      </c>
      <c r="BU173"/>
      <c r="FD173"/>
      <c r="FE173"/>
    </row>
    <row r="174" spans="1:161" x14ac:dyDescent="0.25">
      <c r="A174" s="7">
        <f t="shared" si="122"/>
        <v>48395</v>
      </c>
      <c r="B174">
        <f t="shared" si="103"/>
        <v>163</v>
      </c>
      <c r="C174">
        <f t="shared" si="104"/>
        <v>13.5</v>
      </c>
      <c r="D174">
        <f t="shared" si="105"/>
        <v>0</v>
      </c>
      <c r="E174">
        <f t="shared" si="106"/>
        <v>65</v>
      </c>
      <c r="F174">
        <f>IF(C174&gt;=$T$2,0,VLOOKUP($E174,EKM_F05!$A$3:$C$128,2,TRUE))</f>
        <v>1.0828205128205128E-2</v>
      </c>
      <c r="G174">
        <f>F174*'Real assumptions'!$B$3</f>
        <v>4.5186100000000002E-3</v>
      </c>
      <c r="H174">
        <f t="shared" si="123"/>
        <v>3.7733294002784135E-4</v>
      </c>
      <c r="I174">
        <f t="shared" si="124"/>
        <v>1.7391721153777457E-4</v>
      </c>
      <c r="J174">
        <f>IF(B174&gt;$AJ$2,0,HLOOKUP(C174,'Real assumptions'!$B$5:$L$8,4,TRUE))</f>
        <v>3.7900000000000003E-2</v>
      </c>
      <c r="K174">
        <f t="shared" si="93"/>
        <v>1</v>
      </c>
      <c r="L174">
        <f t="shared" si="125"/>
        <v>8.3333333333333329E-2</v>
      </c>
      <c r="M174">
        <f t="shared" si="126"/>
        <v>3.2145624959929453E-3</v>
      </c>
      <c r="N174">
        <f t="shared" si="127"/>
        <v>1.4837350911671649E-3</v>
      </c>
      <c r="O174" s="8">
        <f t="shared" si="107"/>
        <v>0.45999617365423157</v>
      </c>
      <c r="P174">
        <f t="shared" si="108"/>
        <v>11.079691822966476</v>
      </c>
      <c r="Q174">
        <f t="shared" si="128"/>
        <v>0.86958605768887287</v>
      </c>
      <c r="R174" s="89">
        <f t="shared" si="94"/>
        <v>5000</v>
      </c>
      <c r="S174">
        <f t="shared" si="95"/>
        <v>0.41666666666666607</v>
      </c>
      <c r="U174">
        <f>O173*AV173*'Real assumptions'!$B$33/12+AX174*'Real assumptions'!$B$34</f>
        <v>5.4966018381033193</v>
      </c>
      <c r="V174">
        <f>IF(P174=0,0,IF(E174&lt;=$C$7,$AN$5*O173,0))*'Real assumptions'!$D$28</f>
        <v>2.769922955741619</v>
      </c>
      <c r="X174" s="94">
        <f t="shared" si="109"/>
        <v>0</v>
      </c>
      <c r="Y174">
        <f t="shared" si="96"/>
        <v>24</v>
      </c>
      <c r="Z174">
        <f t="shared" si="129"/>
        <v>85</v>
      </c>
      <c r="AA174">
        <f t="shared" si="97"/>
        <v>85.416666666666671</v>
      </c>
      <c r="AB174">
        <f t="shared" si="110"/>
        <v>50.505050505050505</v>
      </c>
      <c r="AC174">
        <f t="shared" si="130"/>
        <v>4313.9730639730642</v>
      </c>
      <c r="AD174">
        <f t="shared" si="111"/>
        <v>80.505050505050505</v>
      </c>
      <c r="AE174">
        <f t="shared" si="112"/>
        <v>343.82365319865318</v>
      </c>
      <c r="AF174" s="94">
        <f t="shared" si="113"/>
        <v>342.20328282828262</v>
      </c>
      <c r="AG174">
        <f t="shared" si="131"/>
        <v>0.50773901904492502</v>
      </c>
      <c r="AH174">
        <f t="shared" si="114"/>
        <v>157.41220071292682</v>
      </c>
      <c r="AI174">
        <f>HLOOKUP(AW174,'Real assumptions'!$A$21:$AK$24,2,TRUE)</f>
        <v>1.819</v>
      </c>
      <c r="AJ174" s="123">
        <f t="shared" si="132"/>
        <v>1.5033406506879121E-3</v>
      </c>
      <c r="AK174" s="122">
        <f>(1+HLOOKUP(YEAR(A174),'Real assumptions'!$A$21:$AK$24,2,TRUE)/100)^(1/12)-1</f>
        <v>1.5033406506879121E-3</v>
      </c>
      <c r="AL174">
        <f t="shared" si="133"/>
        <v>5.4966018381033193</v>
      </c>
      <c r="AM174">
        <f>('Real assumptions'!$B$33/12)*O173*AV173</f>
        <v>5.453807233543646</v>
      </c>
      <c r="AN174">
        <f t="shared" si="115"/>
        <v>159.85625768369869</v>
      </c>
      <c r="AO174">
        <f t="shared" si="137"/>
        <v>0.24031841044274613</v>
      </c>
      <c r="AP174" s="121">
        <f t="shared" si="116"/>
        <v>1.401797877696954</v>
      </c>
      <c r="AQ174">
        <f t="shared" si="117"/>
        <v>0</v>
      </c>
      <c r="AR174">
        <v>0</v>
      </c>
      <c r="AS174">
        <f t="shared" si="98"/>
        <v>0</v>
      </c>
      <c r="AT174">
        <f t="shared" si="118"/>
        <v>0</v>
      </c>
      <c r="AU174">
        <f>IFERROR(HLOOKUP(B174,'Real assumptions'!$B$43:$AL$44,2,TRUE)*($W$3/$U$2),0)</f>
        <v>0</v>
      </c>
      <c r="AV174">
        <f>AV173*(1+'Real assumptions'!$B$35)^(1/12)</f>
        <v>1.1825865368567279</v>
      </c>
      <c r="AW174">
        <f t="shared" si="99"/>
        <v>2032</v>
      </c>
      <c r="AX174">
        <f t="shared" si="134"/>
        <v>156.21615518181926</v>
      </c>
      <c r="AY174">
        <f t="shared" si="135"/>
        <v>1.9429874829837392</v>
      </c>
      <c r="AZ174">
        <f t="shared" si="100"/>
        <v>499.86901365955242</v>
      </c>
      <c r="BA174">
        <f t="shared" si="119"/>
        <v>4.1472480324754173</v>
      </c>
      <c r="BB174">
        <f t="shared" si="120"/>
        <v>85.416666666666671</v>
      </c>
      <c r="BC174">
        <f t="shared" si="101"/>
        <v>51.25</v>
      </c>
      <c r="BD174">
        <f t="shared" si="121"/>
        <v>0</v>
      </c>
      <c r="BE174">
        <f t="shared" si="102"/>
        <v>24</v>
      </c>
      <c r="BF174">
        <f t="shared" si="136"/>
        <v>5000</v>
      </c>
      <c r="BU174"/>
      <c r="FD174"/>
      <c r="FE174"/>
    </row>
    <row r="175" spans="1:161" x14ac:dyDescent="0.25">
      <c r="A175" s="7">
        <f t="shared" si="122"/>
        <v>48426</v>
      </c>
      <c r="B175">
        <f t="shared" si="103"/>
        <v>164</v>
      </c>
      <c r="C175">
        <f t="shared" si="104"/>
        <v>13.583333333333334</v>
      </c>
      <c r="D175">
        <f t="shared" si="105"/>
        <v>0</v>
      </c>
      <c r="E175">
        <f t="shared" si="106"/>
        <v>65</v>
      </c>
      <c r="F175">
        <f>IF(C175&gt;=$T$2,0,VLOOKUP($E175,EKM_F05!$A$3:$C$128,2,TRUE))</f>
        <v>1.0828205128205128E-2</v>
      </c>
      <c r="G175">
        <f>F175*'Real assumptions'!$B$3</f>
        <v>4.5186100000000002E-3</v>
      </c>
      <c r="H175">
        <f t="shared" si="123"/>
        <v>3.7733294002784135E-4</v>
      </c>
      <c r="I175">
        <f t="shared" si="124"/>
        <v>1.7329273005408269E-4</v>
      </c>
      <c r="J175">
        <f>IF(B175&gt;$AJ$2,0,HLOOKUP(C175,'Real assumptions'!$B$5:$L$8,4,TRUE))</f>
        <v>3.7900000000000003E-2</v>
      </c>
      <c r="K175">
        <f t="shared" si="93"/>
        <v>1</v>
      </c>
      <c r="L175">
        <f t="shared" si="125"/>
        <v>8.3333333333333329E-2</v>
      </c>
      <c r="M175">
        <f t="shared" si="126"/>
        <v>3.2145624959929453E-3</v>
      </c>
      <c r="N175">
        <f t="shared" si="127"/>
        <v>1.4784074695767249E-3</v>
      </c>
      <c r="O175" s="8">
        <f t="shared" si="107"/>
        <v>0.45834447345460078</v>
      </c>
      <c r="P175">
        <f t="shared" si="108"/>
        <v>11.039908167701558</v>
      </c>
      <c r="Q175">
        <f t="shared" si="128"/>
        <v>0.8664636502704135</v>
      </c>
      <c r="R175" s="89">
        <f t="shared" si="94"/>
        <v>5000</v>
      </c>
      <c r="S175">
        <f t="shared" si="95"/>
        <v>0.33333333333333393</v>
      </c>
      <c r="U175">
        <f>O174*AV174*'Real assumptions'!$B$33/12+AX175*'Real assumptions'!$B$34</f>
        <v>5.4831333686984527</v>
      </c>
      <c r="V175">
        <f>IF(P175=0,0,IF(E175&lt;=$C$7,$AN$5*O174,0))*'Real assumptions'!$D$28</f>
        <v>2.7599770419253895</v>
      </c>
      <c r="X175" s="94">
        <f t="shared" si="109"/>
        <v>0</v>
      </c>
      <c r="Y175">
        <f t="shared" si="96"/>
        <v>24</v>
      </c>
      <c r="Z175">
        <f t="shared" si="129"/>
        <v>85</v>
      </c>
      <c r="AA175">
        <f t="shared" si="97"/>
        <v>85.333333333333329</v>
      </c>
      <c r="AB175">
        <f t="shared" si="110"/>
        <v>50.505050505050505</v>
      </c>
      <c r="AC175">
        <f t="shared" si="130"/>
        <v>4309.7643097643095</v>
      </c>
      <c r="AD175">
        <f t="shared" si="111"/>
        <v>80.505050505050505</v>
      </c>
      <c r="AE175">
        <f t="shared" si="112"/>
        <v>343.48821548821547</v>
      </c>
      <c r="AF175" s="94">
        <f t="shared" si="113"/>
        <v>346.74747474747505</v>
      </c>
      <c r="AG175">
        <f t="shared" si="131"/>
        <v>0.5126340567235339</v>
      </c>
      <c r="AH175">
        <f t="shared" si="114"/>
        <v>158.92978873484392</v>
      </c>
      <c r="AI175">
        <f>HLOOKUP(AW175,'Real assumptions'!$A$21:$AK$24,2,TRUE)</f>
        <v>1.819</v>
      </c>
      <c r="AJ175" s="123">
        <f t="shared" si="132"/>
        <v>1.5033406506879121E-3</v>
      </c>
      <c r="AK175" s="122">
        <f>(1+HLOOKUP(YEAR(A175),'Real assumptions'!$A$21:$AK$24,2,TRUE)/100)^(1/12)-1</f>
        <v>1.5033406506879121E-3</v>
      </c>
      <c r="AL175">
        <f t="shared" si="133"/>
        <v>5.4831333686984527</v>
      </c>
      <c r="AM175">
        <f>('Real assumptions'!$B$33/12)*O174*AV174</f>
        <v>5.439852819691037</v>
      </c>
      <c r="AN175">
        <f t="shared" si="115"/>
        <v>161.61079634770149</v>
      </c>
      <c r="AO175">
        <f t="shared" si="137"/>
        <v>0.24295607973954522</v>
      </c>
      <c r="AP175" s="121">
        <f t="shared" si="116"/>
        <v>1.6447539574364991</v>
      </c>
      <c r="AQ175">
        <f t="shared" si="117"/>
        <v>0</v>
      </c>
      <c r="AR175">
        <v>0</v>
      </c>
      <c r="AS175">
        <f t="shared" si="98"/>
        <v>0</v>
      </c>
      <c r="AT175">
        <f t="shared" si="118"/>
        <v>0</v>
      </c>
      <c r="AU175">
        <f>IFERROR(HLOOKUP(B175,'Real assumptions'!$B$43:$AL$44,2,TRUE)*($W$3/$U$2),0)</f>
        <v>0</v>
      </c>
      <c r="AV175">
        <f>AV174*(1+'Real assumptions'!$B$35)^(1/12)</f>
        <v>1.1838113961493131</v>
      </c>
      <c r="AW175">
        <f t="shared" si="99"/>
        <v>2032</v>
      </c>
      <c r="AX175">
        <f t="shared" si="134"/>
        <v>157.99003238057645</v>
      </c>
      <c r="AY175">
        <f t="shared" si="135"/>
        <v>1.9360108318780789</v>
      </c>
      <c r="AZ175">
        <f t="shared" si="100"/>
        <v>502.03818711788989</v>
      </c>
      <c r="BA175">
        <f t="shared" si="119"/>
        <v>4.1390747489193362</v>
      </c>
      <c r="BB175">
        <f t="shared" si="120"/>
        <v>85.333333333333329</v>
      </c>
      <c r="BC175">
        <f t="shared" si="101"/>
        <v>51.199999999999996</v>
      </c>
      <c r="BD175">
        <f t="shared" si="121"/>
        <v>0</v>
      </c>
      <c r="BE175">
        <f t="shared" si="102"/>
        <v>24</v>
      </c>
      <c r="BF175">
        <f t="shared" si="136"/>
        <v>5000</v>
      </c>
      <c r="BU175"/>
      <c r="FD175"/>
      <c r="FE175"/>
    </row>
    <row r="176" spans="1:161" x14ac:dyDescent="0.25">
      <c r="A176" s="7">
        <f t="shared" si="122"/>
        <v>48457</v>
      </c>
      <c r="B176">
        <f t="shared" si="103"/>
        <v>165</v>
      </c>
      <c r="C176">
        <f t="shared" si="104"/>
        <v>13.666666666666666</v>
      </c>
      <c r="D176">
        <f t="shared" si="105"/>
        <v>0</v>
      </c>
      <c r="E176">
        <f t="shared" si="106"/>
        <v>65</v>
      </c>
      <c r="F176">
        <f>IF(C176&gt;=$T$2,0,VLOOKUP($E176,EKM_F05!$A$3:$C$128,2,TRUE))</f>
        <v>1.0828205128205128E-2</v>
      </c>
      <c r="G176">
        <f>F176*'Real assumptions'!$B$3</f>
        <v>4.5186100000000002E-3</v>
      </c>
      <c r="H176">
        <f t="shared" si="123"/>
        <v>3.7733294002784135E-4</v>
      </c>
      <c r="I176">
        <f t="shared" si="124"/>
        <v>1.7267049088511073E-4</v>
      </c>
      <c r="J176">
        <f>IF(B176&gt;$AJ$2,0,HLOOKUP(C176,'Real assumptions'!$B$5:$L$8,4,TRUE))</f>
        <v>3.7900000000000003E-2</v>
      </c>
      <c r="K176">
        <f t="shared" si="93"/>
        <v>1</v>
      </c>
      <c r="L176">
        <f t="shared" si="125"/>
        <v>8.3333333333333329E-2</v>
      </c>
      <c r="M176">
        <f t="shared" si="126"/>
        <v>3.2145624959929453E-3</v>
      </c>
      <c r="N176">
        <f t="shared" si="127"/>
        <v>1.4730989777837671E-3</v>
      </c>
      <c r="O176" s="8">
        <f t="shared" si="107"/>
        <v>0.45669870398593193</v>
      </c>
      <c r="P176">
        <f t="shared" si="108"/>
        <v>11.000267362910419</v>
      </c>
      <c r="Q176">
        <f t="shared" si="128"/>
        <v>0.86335245442555364</v>
      </c>
      <c r="R176" s="89">
        <f t="shared" si="94"/>
        <v>5000</v>
      </c>
      <c r="S176">
        <f t="shared" si="95"/>
        <v>0.25</v>
      </c>
      <c r="U176">
        <f>O175*AV175*'Real assumptions'!$B$33/12+AX176*'Real assumptions'!$B$34</f>
        <v>5.4696977617919558</v>
      </c>
      <c r="V176">
        <f>IF(P176=0,0,IF(E176&lt;=$C$7,$AN$5*O175,0))*'Real assumptions'!$D$28</f>
        <v>2.7500668407276048</v>
      </c>
      <c r="X176" s="94">
        <f t="shared" si="109"/>
        <v>0</v>
      </c>
      <c r="Y176">
        <f t="shared" si="96"/>
        <v>24</v>
      </c>
      <c r="Z176">
        <f t="shared" si="129"/>
        <v>85</v>
      </c>
      <c r="AA176">
        <f t="shared" si="97"/>
        <v>85.25</v>
      </c>
      <c r="AB176">
        <f t="shared" si="110"/>
        <v>50.505050505050505</v>
      </c>
      <c r="AC176">
        <f t="shared" si="130"/>
        <v>4305.5555555555557</v>
      </c>
      <c r="AD176">
        <f t="shared" si="111"/>
        <v>80.505050505050505</v>
      </c>
      <c r="AE176">
        <f t="shared" si="112"/>
        <v>343.15277777777777</v>
      </c>
      <c r="AF176" s="94">
        <f t="shared" si="113"/>
        <v>351.29166666666657</v>
      </c>
      <c r="AG176">
        <f t="shared" si="131"/>
        <v>0.51748739507062236</v>
      </c>
      <c r="AH176">
        <f t="shared" si="114"/>
        <v>160.43444888772464</v>
      </c>
      <c r="AI176">
        <f>HLOOKUP(AW176,'Real assumptions'!$A$21:$AK$24,2,TRUE)</f>
        <v>1.819</v>
      </c>
      <c r="AJ176" s="123">
        <f t="shared" si="132"/>
        <v>1.5033406506879121E-3</v>
      </c>
      <c r="AK176" s="122">
        <f>(1+HLOOKUP(YEAR(A176),'Real assumptions'!$A$21:$AK$24,2,TRUE)/100)^(1/12)-1</f>
        <v>1.5033406506879121E-3</v>
      </c>
      <c r="AL176">
        <f t="shared" si="133"/>
        <v>5.4696977617919558</v>
      </c>
      <c r="AM176">
        <f>('Real assumptions'!$B$33/12)*O175*AV175</f>
        <v>5.4259341103761276</v>
      </c>
      <c r="AN176">
        <f t="shared" si="115"/>
        <v>163.35504545267128</v>
      </c>
      <c r="AO176">
        <f t="shared" si="137"/>
        <v>0.2455782803239723</v>
      </c>
      <c r="AP176" s="121">
        <f t="shared" si="116"/>
        <v>1.8903322377604714</v>
      </c>
      <c r="AQ176">
        <f t="shared" si="117"/>
        <v>0</v>
      </c>
      <c r="AR176">
        <v>0</v>
      </c>
      <c r="AS176">
        <f t="shared" si="98"/>
        <v>0</v>
      </c>
      <c r="AT176">
        <f t="shared" si="118"/>
        <v>0</v>
      </c>
      <c r="AU176">
        <f>IFERROR(HLOOKUP(B176,'Real assumptions'!$B$43:$AL$44,2,TRUE)*($W$3/$U$2),0)</f>
        <v>0</v>
      </c>
      <c r="AV176">
        <f>AV175*(1+'Real assumptions'!$B$35)^(1/12)</f>
        <v>1.1850375240850293</v>
      </c>
      <c r="AW176">
        <f t="shared" si="99"/>
        <v>2032</v>
      </c>
      <c r="AX176">
        <f t="shared" si="134"/>
        <v>159.7535350832641</v>
      </c>
      <c r="AY176">
        <f t="shared" si="135"/>
        <v>1.9290592317112827</v>
      </c>
      <c r="AZ176">
        <f t="shared" si="100"/>
        <v>504.19258444367654</v>
      </c>
      <c r="BA176">
        <f t="shared" si="119"/>
        <v>4.1309066902237808</v>
      </c>
      <c r="BB176">
        <f t="shared" si="120"/>
        <v>85.25</v>
      </c>
      <c r="BC176">
        <f t="shared" si="101"/>
        <v>51.15</v>
      </c>
      <c r="BD176">
        <f t="shared" si="121"/>
        <v>0</v>
      </c>
      <c r="BE176">
        <f t="shared" si="102"/>
        <v>24</v>
      </c>
      <c r="BF176">
        <f t="shared" si="136"/>
        <v>5000</v>
      </c>
      <c r="BU176"/>
      <c r="FD176"/>
      <c r="FE176"/>
    </row>
    <row r="177" spans="1:161" x14ac:dyDescent="0.25">
      <c r="A177" s="7">
        <f t="shared" si="122"/>
        <v>48487</v>
      </c>
      <c r="B177">
        <f t="shared" si="103"/>
        <v>166</v>
      </c>
      <c r="C177">
        <f t="shared" si="104"/>
        <v>13.75</v>
      </c>
      <c r="D177">
        <f t="shared" si="105"/>
        <v>0</v>
      </c>
      <c r="E177">
        <f t="shared" si="106"/>
        <v>65</v>
      </c>
      <c r="F177">
        <f>IF(C177&gt;=$T$2,0,VLOOKUP($E177,EKM_F05!$A$3:$C$128,2,TRUE))</f>
        <v>1.0828205128205128E-2</v>
      </c>
      <c r="G177">
        <f>F177*'Real assumptions'!$B$3</f>
        <v>4.5186100000000002E-3</v>
      </c>
      <c r="H177">
        <f t="shared" si="123"/>
        <v>3.7733294002784135E-4</v>
      </c>
      <c r="I177">
        <f t="shared" si="124"/>
        <v>1.720504859794185E-4</v>
      </c>
      <c r="J177">
        <f>IF(B177&gt;$AJ$2,0,HLOOKUP(C177,'Real assumptions'!$B$5:$L$8,4,TRUE))</f>
        <v>3.7900000000000003E-2</v>
      </c>
      <c r="K177">
        <f t="shared" si="93"/>
        <v>1</v>
      </c>
      <c r="L177">
        <f t="shared" si="125"/>
        <v>8.3333333333333329E-2</v>
      </c>
      <c r="M177">
        <f t="shared" si="126"/>
        <v>3.2145624959929453E-3</v>
      </c>
      <c r="N177">
        <f t="shared" si="127"/>
        <v>1.4678095470992626E-3</v>
      </c>
      <c r="O177" s="8">
        <f t="shared" si="107"/>
        <v>0.45505884395285329</v>
      </c>
      <c r="P177">
        <f t="shared" si="108"/>
        <v>10.960768895662365</v>
      </c>
      <c r="Q177">
        <f t="shared" si="128"/>
        <v>0.8602524298970925</v>
      </c>
      <c r="R177" s="89">
        <f t="shared" si="94"/>
        <v>5000</v>
      </c>
      <c r="S177">
        <f t="shared" si="95"/>
        <v>0.16666666666666607</v>
      </c>
      <c r="U177">
        <f>O176*AV176*'Real assumptions'!$B$33/12+AX177*'Real assumptions'!$B$34</f>
        <v>5.4562949419729625</v>
      </c>
      <c r="V177">
        <f>IF(P177=0,0,IF(E177&lt;=$C$7,$AN$5*O176,0))*'Real assumptions'!$D$28</f>
        <v>2.7401922239155914</v>
      </c>
      <c r="X177" s="94">
        <f t="shared" si="109"/>
        <v>0</v>
      </c>
      <c r="Y177">
        <f t="shared" si="96"/>
        <v>24</v>
      </c>
      <c r="Z177">
        <f t="shared" si="129"/>
        <v>85</v>
      </c>
      <c r="AA177">
        <f t="shared" si="97"/>
        <v>85.166666666666671</v>
      </c>
      <c r="AB177">
        <f t="shared" si="110"/>
        <v>50.505050505050505</v>
      </c>
      <c r="AC177">
        <f t="shared" si="130"/>
        <v>4301.3468013468018</v>
      </c>
      <c r="AD177">
        <f t="shared" si="111"/>
        <v>80.505050505050505</v>
      </c>
      <c r="AE177">
        <f t="shared" si="112"/>
        <v>342.81734006734007</v>
      </c>
      <c r="AF177" s="94">
        <f t="shared" si="113"/>
        <v>355.83585858585809</v>
      </c>
      <c r="AG177">
        <f t="shared" si="131"/>
        <v>0.52229927043258562</v>
      </c>
      <c r="AH177">
        <f t="shared" si="114"/>
        <v>161.92625444505157</v>
      </c>
      <c r="AI177">
        <f>HLOOKUP(AW177,'Real assumptions'!$A$21:$AK$24,2,TRUE)</f>
        <v>1.819</v>
      </c>
      <c r="AJ177" s="123">
        <f t="shared" si="132"/>
        <v>1.5033406506879121E-3</v>
      </c>
      <c r="AK177" s="122">
        <f>(1+HLOOKUP(YEAR(A177),'Real assumptions'!$A$21:$AK$24,2,TRUE)/100)^(1/12)-1</f>
        <v>1.5033406506879121E-3</v>
      </c>
      <c r="AL177">
        <f t="shared" si="133"/>
        <v>5.4562949419729625</v>
      </c>
      <c r="AM177">
        <f>('Real assumptions'!$B$33/12)*O176*AV176</f>
        <v>5.4120510142433051</v>
      </c>
      <c r="AN177">
        <f t="shared" si="115"/>
        <v>165.08906285525893</v>
      </c>
      <c r="AO177">
        <f t="shared" si="137"/>
        <v>0.24818509917428258</v>
      </c>
      <c r="AP177" s="121">
        <f t="shared" si="116"/>
        <v>2.1385173369347541</v>
      </c>
      <c r="AQ177">
        <f t="shared" si="117"/>
        <v>0</v>
      </c>
      <c r="AR177">
        <v>0</v>
      </c>
      <c r="AS177">
        <f t="shared" si="98"/>
        <v>0</v>
      </c>
      <c r="AT177">
        <f t="shared" si="118"/>
        <v>0</v>
      </c>
      <c r="AU177">
        <f>IFERROR(HLOOKUP(B177,'Real assumptions'!$B$43:$AL$44,2,TRUE)*($W$3/$U$2),0)</f>
        <v>0</v>
      </c>
      <c r="AV177">
        <f>AV176*(1+'Real assumptions'!$B$35)^(1/12)</f>
        <v>1.1862649219778683</v>
      </c>
      <c r="AW177">
        <f t="shared" si="99"/>
        <v>2032</v>
      </c>
      <c r="AX177">
        <f t="shared" si="134"/>
        <v>161.50672149410292</v>
      </c>
      <c r="AY177">
        <f t="shared" si="135"/>
        <v>1.9221325925333834</v>
      </c>
      <c r="AZ177">
        <f t="shared" si="100"/>
        <v>506.33228768109029</v>
      </c>
      <c r="BA177">
        <f t="shared" si="119"/>
        <v>4.1227439242452695</v>
      </c>
      <c r="BB177">
        <f t="shared" si="120"/>
        <v>85.166666666666671</v>
      </c>
      <c r="BC177">
        <f t="shared" si="101"/>
        <v>51.1</v>
      </c>
      <c r="BD177">
        <f t="shared" si="121"/>
        <v>0</v>
      </c>
      <c r="BE177">
        <f t="shared" si="102"/>
        <v>24</v>
      </c>
      <c r="BF177">
        <f t="shared" si="136"/>
        <v>5000</v>
      </c>
      <c r="BU177"/>
      <c r="FD177"/>
      <c r="FE177"/>
    </row>
    <row r="178" spans="1:161" x14ac:dyDescent="0.25">
      <c r="A178" s="7">
        <f t="shared" si="122"/>
        <v>48518</v>
      </c>
      <c r="B178">
        <f t="shared" si="103"/>
        <v>167</v>
      </c>
      <c r="C178">
        <f t="shared" si="104"/>
        <v>13.833333333333334</v>
      </c>
      <c r="D178">
        <f t="shared" si="105"/>
        <v>0</v>
      </c>
      <c r="E178">
        <f t="shared" si="106"/>
        <v>65</v>
      </c>
      <c r="F178">
        <f>IF(C178&gt;=$T$2,0,VLOOKUP($E178,EKM_F05!$A$3:$C$128,2,TRUE))</f>
        <v>1.0828205128205128E-2</v>
      </c>
      <c r="G178">
        <f>F178*'Real assumptions'!$B$3</f>
        <v>4.5186100000000002E-3</v>
      </c>
      <c r="H178">
        <f t="shared" si="123"/>
        <v>3.7733294002784135E-4</v>
      </c>
      <c r="I178">
        <f t="shared" si="124"/>
        <v>1.7143270731447599E-4</v>
      </c>
      <c r="J178">
        <f>IF(B178&gt;$AJ$2,0,HLOOKUP(C178,'Real assumptions'!$B$5:$L$8,4,TRUE))</f>
        <v>3.7900000000000003E-2</v>
      </c>
      <c r="K178">
        <f t="shared" si="93"/>
        <v>1</v>
      </c>
      <c r="L178">
        <f t="shared" si="125"/>
        <v>8.3333333333333329E-2</v>
      </c>
      <c r="M178">
        <f t="shared" si="126"/>
        <v>3.2145624959929453E-3</v>
      </c>
      <c r="N178">
        <f t="shared" si="127"/>
        <v>1.4625391090808235E-3</v>
      </c>
      <c r="O178" s="8">
        <f t="shared" si="107"/>
        <v>0.45342487213645799</v>
      </c>
      <c r="P178">
        <f t="shared" si="108"/>
        <v>10.921412254868478</v>
      </c>
      <c r="Q178">
        <f t="shared" si="128"/>
        <v>0.85716353657237998</v>
      </c>
      <c r="R178" s="89">
        <f t="shared" si="94"/>
        <v>5000</v>
      </c>
      <c r="S178">
        <f t="shared" si="95"/>
        <v>8.3333333333333925E-2</v>
      </c>
      <c r="U178">
        <f>O177*AV177*'Real assumptions'!$B$33/12+AX178*'Real assumptions'!$B$34</f>
        <v>5.4429248339892009</v>
      </c>
      <c r="V178">
        <f>IF(P178=0,0,IF(E178&lt;=$C$7,$AN$5*O177,0))*'Real assumptions'!$D$28</f>
        <v>2.7303530637171196</v>
      </c>
      <c r="X178" s="94">
        <f t="shared" si="109"/>
        <v>0</v>
      </c>
      <c r="Y178">
        <f t="shared" si="96"/>
        <v>24</v>
      </c>
      <c r="Z178">
        <f t="shared" si="129"/>
        <v>85</v>
      </c>
      <c r="AA178">
        <f t="shared" si="97"/>
        <v>85.083333333333329</v>
      </c>
      <c r="AB178">
        <f t="shared" si="110"/>
        <v>50.505050505050505</v>
      </c>
      <c r="AC178">
        <f t="shared" si="130"/>
        <v>4297.1380471380471</v>
      </c>
      <c r="AD178">
        <f t="shared" si="111"/>
        <v>80.505050505050505</v>
      </c>
      <c r="AE178">
        <f t="shared" si="112"/>
        <v>342.48190235690231</v>
      </c>
      <c r="AF178" s="94">
        <f t="shared" si="113"/>
        <v>360.38005050505058</v>
      </c>
      <c r="AG178">
        <f t="shared" si="131"/>
        <v>0.52706991799615888</v>
      </c>
      <c r="AH178">
        <f t="shared" si="114"/>
        <v>163.40527832078283</v>
      </c>
      <c r="AI178">
        <f>HLOOKUP(AW178,'Real assumptions'!$A$21:$AK$24,2,TRUE)</f>
        <v>1.819</v>
      </c>
      <c r="AJ178" s="123">
        <f t="shared" si="132"/>
        <v>1.5033406506879121E-3</v>
      </c>
      <c r="AK178" s="122">
        <f>(1+HLOOKUP(YEAR(A178),'Real assumptions'!$A$21:$AK$24,2,TRUE)/100)^(1/12)-1</f>
        <v>1.5033406506879121E-3</v>
      </c>
      <c r="AL178">
        <f t="shared" si="133"/>
        <v>5.4429248339892009</v>
      </c>
      <c r="AM178">
        <f>('Real assumptions'!$B$33/12)*O177*AV177</f>
        <v>5.3982034401707049</v>
      </c>
      <c r="AN178">
        <f t="shared" si="115"/>
        <v>166.81290613914848</v>
      </c>
      <c r="AO178">
        <f t="shared" si="137"/>
        <v>0.2507766228583691</v>
      </c>
      <c r="AP178" s="121">
        <f t="shared" si="116"/>
        <v>2.3892939597931231</v>
      </c>
      <c r="AQ178">
        <f t="shared" si="117"/>
        <v>0</v>
      </c>
      <c r="AR178">
        <v>0</v>
      </c>
      <c r="AS178">
        <f t="shared" si="98"/>
        <v>0</v>
      </c>
      <c r="AT178">
        <f t="shared" si="118"/>
        <v>0</v>
      </c>
      <c r="AU178">
        <f>IFERROR(HLOOKUP(B178,'Real assumptions'!$B$43:$AL$44,2,TRUE)*($W$3/$U$2),0)</f>
        <v>0</v>
      </c>
      <c r="AV178">
        <f>AV177*(1+'Real assumptions'!$B$35)^(1/12)</f>
        <v>1.1874935911431832</v>
      </c>
      <c r="AW178">
        <f t="shared" si="99"/>
        <v>2032</v>
      </c>
      <c r="AX178">
        <f t="shared" si="134"/>
        <v>163.24964954298659</v>
      </c>
      <c r="AY178">
        <f t="shared" si="135"/>
        <v>1.9152308247173959</v>
      </c>
      <c r="AZ178">
        <f t="shared" si="100"/>
        <v>508.45737849451064</v>
      </c>
      <c r="BA178">
        <f t="shared" si="119"/>
        <v>4.1145865182856589</v>
      </c>
      <c r="BB178">
        <f t="shared" si="120"/>
        <v>85.083333333333329</v>
      </c>
      <c r="BC178">
        <f t="shared" si="101"/>
        <v>51.05</v>
      </c>
      <c r="BD178">
        <f t="shared" si="121"/>
        <v>0</v>
      </c>
      <c r="BE178">
        <f t="shared" si="102"/>
        <v>24</v>
      </c>
      <c r="BF178">
        <f t="shared" si="136"/>
        <v>5000</v>
      </c>
      <c r="BU178"/>
      <c r="FD178"/>
      <c r="FE178"/>
    </row>
    <row r="179" spans="1:161" x14ac:dyDescent="0.25">
      <c r="A179" s="7">
        <f t="shared" si="122"/>
        <v>48548</v>
      </c>
      <c r="B179">
        <f t="shared" si="103"/>
        <v>168</v>
      </c>
      <c r="C179">
        <f t="shared" si="104"/>
        <v>13.916666666666666</v>
      </c>
      <c r="D179">
        <f t="shared" si="105"/>
        <v>0</v>
      </c>
      <c r="E179">
        <f t="shared" si="106"/>
        <v>65</v>
      </c>
      <c r="F179">
        <f>IF(C179&gt;=$T$2,0,VLOOKUP($E179,EKM_F05!$A$3:$C$128,2,TRUE))</f>
        <v>1.0828205128205128E-2</v>
      </c>
      <c r="G179">
        <f>F179*'Real assumptions'!$B$3</f>
        <v>4.5186100000000002E-3</v>
      </c>
      <c r="H179">
        <f t="shared" si="123"/>
        <v>3.7733294002784135E-4</v>
      </c>
      <c r="I179">
        <f t="shared" si="124"/>
        <v>1.7081714689655953E-4</v>
      </c>
      <c r="J179">
        <f>IF(B179&gt;$AJ$2,0,HLOOKUP(C179,'Real assumptions'!$B$5:$L$8,4,TRUE))</f>
        <v>3.7900000000000003E-2</v>
      </c>
      <c r="K179">
        <f t="shared" si="93"/>
        <v>1</v>
      </c>
      <c r="L179">
        <f t="shared" si="125"/>
        <v>8.3333333333333329E-2</v>
      </c>
      <c r="M179">
        <f t="shared" si="126"/>
        <v>3.2145624959929453E-3</v>
      </c>
      <c r="N179">
        <f t="shared" si="127"/>
        <v>1.4572875955318164E-3</v>
      </c>
      <c r="O179" s="8">
        <f t="shared" si="107"/>
        <v>0.45179676739402963</v>
      </c>
      <c r="P179">
        <f t="shared" si="108"/>
        <v>10.882196931274992</v>
      </c>
      <c r="Q179">
        <f t="shared" si="128"/>
        <v>0.85408573448279768</v>
      </c>
      <c r="R179" s="89">
        <f t="shared" si="94"/>
        <v>5000</v>
      </c>
      <c r="S179">
        <f t="shared" si="95"/>
        <v>1</v>
      </c>
      <c r="U179">
        <f>O178*AV178*'Real assumptions'!$B$33/12+AX179*'Real assumptions'!$B$34</f>
        <v>5.4295873627467355</v>
      </c>
      <c r="V179">
        <f>IF(P179=0,0,IF(E179&lt;=$C$7,$AN$5*O178,0))*'Real assumptions'!$D$28</f>
        <v>2.7205492328187479</v>
      </c>
      <c r="X179" s="94">
        <f t="shared" si="109"/>
        <v>0</v>
      </c>
      <c r="Y179">
        <f t="shared" si="96"/>
        <v>24</v>
      </c>
      <c r="Z179">
        <f t="shared" si="129"/>
        <v>85</v>
      </c>
      <c r="AA179">
        <f t="shared" si="97"/>
        <v>85</v>
      </c>
      <c r="AB179">
        <f t="shared" si="110"/>
        <v>50.505050505050505</v>
      </c>
      <c r="AC179">
        <f t="shared" si="130"/>
        <v>4292.9292929292933</v>
      </c>
      <c r="AD179">
        <f t="shared" si="111"/>
        <v>80.505050505050505</v>
      </c>
      <c r="AE179">
        <f t="shared" si="112"/>
        <v>342.14646464646461</v>
      </c>
      <c r="AF179" s="94">
        <f t="shared" si="113"/>
        <v>364.9242424242421</v>
      </c>
      <c r="AG179">
        <f t="shared" si="131"/>
        <v>0.53179957179369342</v>
      </c>
      <c r="AH179">
        <f t="shared" si="114"/>
        <v>164.87159307098779</v>
      </c>
      <c r="AI179">
        <f>HLOOKUP(AW179,'Real assumptions'!$A$21:$AK$24,2,TRUE)</f>
        <v>1.819</v>
      </c>
      <c r="AJ179" s="123">
        <f t="shared" si="132"/>
        <v>1.5033406506879121E-3</v>
      </c>
      <c r="AK179" s="122">
        <f>(1+HLOOKUP(YEAR(A179),'Real assumptions'!$A$21:$AK$24,2,TRUE)/100)^(1/12)-1</f>
        <v>1.5033406506879121E-3</v>
      </c>
      <c r="AL179">
        <f t="shared" si="133"/>
        <v>5.4295873627467355</v>
      </c>
      <c r="AM179">
        <f>('Real assumptions'!$B$33/12)*O178*AV178</f>
        <v>5.3843912972696124</v>
      </c>
      <c r="AN179">
        <f t="shared" si="115"/>
        <v>168.52663261628547</v>
      </c>
      <c r="AO179">
        <f t="shared" si="137"/>
        <v>0.25335293753560933</v>
      </c>
      <c r="AP179" s="121">
        <f t="shared" si="116"/>
        <v>2.6426468973287323</v>
      </c>
      <c r="AQ179">
        <f t="shared" si="117"/>
        <v>0</v>
      </c>
      <c r="AR179">
        <v>0</v>
      </c>
      <c r="AS179">
        <f t="shared" si="98"/>
        <v>0</v>
      </c>
      <c r="AT179">
        <f t="shared" si="118"/>
        <v>0</v>
      </c>
      <c r="AU179">
        <f>IFERROR(HLOOKUP(B179,'Real assumptions'!$B$43:$AL$44,2,TRUE)*($W$3/$U$2),0)</f>
        <v>0</v>
      </c>
      <c r="AV179">
        <f>AV178*(1+'Real assumptions'!$B$35)^(1/12)</f>
        <v>1.1887235328976895</v>
      </c>
      <c r="AW179">
        <f t="shared" si="99"/>
        <v>2032</v>
      </c>
      <c r="AX179">
        <f t="shared" si="134"/>
        <v>164.98237688671537</v>
      </c>
      <c r="AY179">
        <f t="shared" si="135"/>
        <v>1.9083538389581565</v>
      </c>
      <c r="AZ179">
        <f t="shared" si="100"/>
        <v>510.56793817017666</v>
      </c>
      <c r="BA179">
        <f t="shared" si="119"/>
        <v>4.1064345390952388</v>
      </c>
      <c r="BB179">
        <f t="shared" si="120"/>
        <v>85</v>
      </c>
      <c r="BC179">
        <f t="shared" si="101"/>
        <v>51</v>
      </c>
      <c r="BD179">
        <f t="shared" si="121"/>
        <v>0</v>
      </c>
      <c r="BE179">
        <f t="shared" si="102"/>
        <v>24</v>
      </c>
      <c r="BF179">
        <f t="shared" si="136"/>
        <v>5000</v>
      </c>
      <c r="BU179"/>
      <c r="FD179"/>
      <c r="FE179"/>
    </row>
    <row r="180" spans="1:161" x14ac:dyDescent="0.25">
      <c r="A180" s="7">
        <f t="shared" si="122"/>
        <v>48579</v>
      </c>
      <c r="B180">
        <f t="shared" si="103"/>
        <v>169</v>
      </c>
      <c r="C180">
        <f t="shared" si="104"/>
        <v>14</v>
      </c>
      <c r="D180">
        <f t="shared" si="105"/>
        <v>1</v>
      </c>
      <c r="E180">
        <f t="shared" si="106"/>
        <v>66</v>
      </c>
      <c r="F180">
        <f>IF(C180&gt;=$T$2,0,VLOOKUP($E180,EKM_F05!$A$3:$C$128,2,TRUE))</f>
        <v>1.0438461538461539E-2</v>
      </c>
      <c r="G180">
        <f>F180*'Real assumptions'!$B$3</f>
        <v>4.3559699999999998E-3</v>
      </c>
      <c r="H180">
        <f t="shared" si="123"/>
        <v>3.6372424282604676E-4</v>
      </c>
      <c r="I180">
        <f t="shared" si="124"/>
        <v>1.6406531350885348E-4</v>
      </c>
      <c r="J180">
        <f>IF(B180&gt;$AJ$2,0,HLOOKUP(C180,'Real assumptions'!$B$5:$L$8,4,TRUE))</f>
        <v>3.7900000000000003E-2</v>
      </c>
      <c r="K180">
        <f t="shared" si="93"/>
        <v>1</v>
      </c>
      <c r="L180">
        <f t="shared" si="125"/>
        <v>8.3333333333333329E-2</v>
      </c>
      <c r="M180">
        <f t="shared" si="126"/>
        <v>3.2145624959929453E-3</v>
      </c>
      <c r="N180">
        <f t="shared" si="127"/>
        <v>1.4520648206529005E-3</v>
      </c>
      <c r="O180" s="8">
        <f t="shared" si="107"/>
        <v>0.45018063725986784</v>
      </c>
      <c r="P180">
        <f t="shared" si="108"/>
        <v>10.843122417456712</v>
      </c>
      <c r="Q180">
        <f t="shared" si="128"/>
        <v>0.82032656754426736</v>
      </c>
      <c r="R180" s="89">
        <f t="shared" si="94"/>
        <v>5000</v>
      </c>
      <c r="S180">
        <f t="shared" si="95"/>
        <v>0.91666666666666607</v>
      </c>
      <c r="U180">
        <f>O179*AV179*'Real assumptions'!$B$33/12+AX180*'Real assumptions'!$B$34</f>
        <v>5.4162824533097105</v>
      </c>
      <c r="V180">
        <f>IF(P180=0,0,IF(E180&lt;=$C$7,$AN$5*O179,0))*'Real assumptions'!$D$28</f>
        <v>2.710780604364178</v>
      </c>
      <c r="X180" s="94">
        <f t="shared" si="109"/>
        <v>0</v>
      </c>
      <c r="Y180">
        <f t="shared" si="96"/>
        <v>24</v>
      </c>
      <c r="Z180">
        <f t="shared" si="129"/>
        <v>85</v>
      </c>
      <c r="AA180">
        <f t="shared" si="97"/>
        <v>84.916666666666671</v>
      </c>
      <c r="AB180">
        <f t="shared" si="110"/>
        <v>50.505050505050505</v>
      </c>
      <c r="AC180">
        <f t="shared" si="130"/>
        <v>4288.7205387205386</v>
      </c>
      <c r="AD180">
        <f t="shared" si="111"/>
        <v>80.505050505050505</v>
      </c>
      <c r="AE180">
        <f t="shared" si="112"/>
        <v>341.81102693602696</v>
      </c>
      <c r="AF180" s="94">
        <f t="shared" si="113"/>
        <v>369.46843434343447</v>
      </c>
      <c r="AG180">
        <f t="shared" si="131"/>
        <v>0.53649211585180712</v>
      </c>
      <c r="AH180">
        <f t="shared" si="114"/>
        <v>166.32753522013297</v>
      </c>
      <c r="AI180">
        <f>HLOOKUP(AW180,'Real assumptions'!$A$21:$AK$24,2,TRUE)</f>
        <v>1.819</v>
      </c>
      <c r="AJ180" s="123">
        <f t="shared" si="132"/>
        <v>1.5033406506879121E-3</v>
      </c>
      <c r="AK180" s="122">
        <f>(1+HLOOKUP(YEAR(A180),'Real assumptions'!$A$21:$AK$24,2,TRUE)/100)^(1/12)-1</f>
        <v>1.5033406506879121E-3</v>
      </c>
      <c r="AL180">
        <f t="shared" si="133"/>
        <v>5.4162824533097105</v>
      </c>
      <c r="AM180">
        <f>('Real assumptions'!$B$33/12)*O179*AV179</f>
        <v>5.3706144948838652</v>
      </c>
      <c r="AN180">
        <f t="shared" si="115"/>
        <v>170.23029932809933</v>
      </c>
      <c r="AO180">
        <f t="shared" si="137"/>
        <v>0.25591412895870291</v>
      </c>
      <c r="AP180" s="121">
        <f t="shared" si="116"/>
        <v>0</v>
      </c>
      <c r="AQ180">
        <f t="shared" si="117"/>
        <v>0</v>
      </c>
      <c r="AR180">
        <v>0</v>
      </c>
      <c r="AS180">
        <f t="shared" si="98"/>
        <v>0</v>
      </c>
      <c r="AT180">
        <f t="shared" si="118"/>
        <v>0</v>
      </c>
      <c r="AU180">
        <f>IFERROR(HLOOKUP(B180,'Real assumptions'!$B$43:$AL$44,2,TRUE)*($W$3/$U$2),0)</f>
        <v>0</v>
      </c>
      <c r="AV180">
        <f>AV179*(1+'Real assumptions'!$B$35)^(1/12)</f>
        <v>1.1899547485594664</v>
      </c>
      <c r="AW180">
        <f t="shared" si="99"/>
        <v>2032</v>
      </c>
      <c r="AX180">
        <f t="shared" si="134"/>
        <v>166.70496091022352</v>
      </c>
      <c r="AY180">
        <f t="shared" si="135"/>
        <v>1.9015015462711684</v>
      </c>
      <c r="AZ180">
        <f t="shared" si="100"/>
        <v>512.69473638295256</v>
      </c>
      <c r="BA180">
        <f t="shared" si="119"/>
        <v>4.0675992877602525</v>
      </c>
      <c r="BB180">
        <f t="shared" si="120"/>
        <v>84.916666666666671</v>
      </c>
      <c r="BC180">
        <f t="shared" si="101"/>
        <v>50.95</v>
      </c>
      <c r="BD180">
        <f t="shared" si="121"/>
        <v>0</v>
      </c>
      <c r="BE180">
        <f t="shared" si="102"/>
        <v>24</v>
      </c>
      <c r="BF180">
        <f t="shared" si="136"/>
        <v>5000</v>
      </c>
      <c r="BU180"/>
      <c r="FD180"/>
      <c r="FE180"/>
    </row>
    <row r="181" spans="1:161" x14ac:dyDescent="0.25">
      <c r="A181" s="7">
        <f t="shared" si="122"/>
        <v>48610</v>
      </c>
      <c r="B181">
        <f t="shared" si="103"/>
        <v>170</v>
      </c>
      <c r="C181">
        <f t="shared" si="104"/>
        <v>14.083333333333334</v>
      </c>
      <c r="D181">
        <f t="shared" si="105"/>
        <v>0</v>
      </c>
      <c r="E181">
        <f t="shared" si="106"/>
        <v>66</v>
      </c>
      <c r="F181">
        <f>IF(C181&gt;=$T$2,0,VLOOKUP($E181,EKM_F05!$A$3:$C$128,2,TRUE))</f>
        <v>1.0438461538461539E-2</v>
      </c>
      <c r="G181">
        <f>F181*'Real assumptions'!$B$3</f>
        <v>4.3559699999999998E-3</v>
      </c>
      <c r="H181">
        <f t="shared" si="123"/>
        <v>3.6372424282604676E-4</v>
      </c>
      <c r="I181">
        <f t="shared" si="124"/>
        <v>1.6347843260073686E-4</v>
      </c>
      <c r="J181">
        <f>IF(B181&gt;$AJ$2,0,HLOOKUP(C181,'Real assumptions'!$B$5:$L$8,4,TRUE))</f>
        <v>3.7900000000000003E-2</v>
      </c>
      <c r="K181">
        <f t="shared" si="93"/>
        <v>1</v>
      </c>
      <c r="L181">
        <f t="shared" si="125"/>
        <v>8.3333333333333329E-2</v>
      </c>
      <c r="M181">
        <f t="shared" si="126"/>
        <v>3.2145624959929453E-3</v>
      </c>
      <c r="N181">
        <f t="shared" si="127"/>
        <v>1.4468706141362198E-3</v>
      </c>
      <c r="O181" s="8">
        <f t="shared" si="107"/>
        <v>0.44857028821313089</v>
      </c>
      <c r="P181">
        <f t="shared" si="108"/>
        <v>10.804335294236829</v>
      </c>
      <c r="Q181">
        <f t="shared" si="128"/>
        <v>0.81739216300368434</v>
      </c>
      <c r="R181" s="89">
        <f t="shared" si="94"/>
        <v>5000</v>
      </c>
      <c r="S181">
        <f t="shared" si="95"/>
        <v>0.83333333333333393</v>
      </c>
      <c r="U181">
        <f>O180*AV180*'Real assumptions'!$B$33/12+AX181*'Real assumptions'!$B$34</f>
        <v>5.4022895300301803</v>
      </c>
      <c r="V181">
        <f>IF(P181=0,0,IF(E181&lt;=$C$7,$AN$5*O180,0))*'Real assumptions'!$D$28</f>
        <v>2.7010838235592072</v>
      </c>
      <c r="X181" s="94">
        <f t="shared" si="109"/>
        <v>0</v>
      </c>
      <c r="Y181">
        <f t="shared" si="96"/>
        <v>24</v>
      </c>
      <c r="Z181">
        <f t="shared" si="129"/>
        <v>84</v>
      </c>
      <c r="AA181">
        <f t="shared" si="97"/>
        <v>84.833333333333329</v>
      </c>
      <c r="AB181">
        <f t="shared" si="110"/>
        <v>50.505050505050505</v>
      </c>
      <c r="AC181">
        <f t="shared" si="130"/>
        <v>4284.5117845117838</v>
      </c>
      <c r="AD181">
        <f t="shared" si="111"/>
        <v>80.505050505050505</v>
      </c>
      <c r="AE181">
        <f t="shared" si="112"/>
        <v>341.4755892255892</v>
      </c>
      <c r="AF181" s="94">
        <f t="shared" si="113"/>
        <v>374.01262626262695</v>
      </c>
      <c r="AG181">
        <f t="shared" si="131"/>
        <v>0.54114787825530752</v>
      </c>
      <c r="AH181">
        <f t="shared" si="114"/>
        <v>167.77095155797659</v>
      </c>
      <c r="AI181">
        <f>HLOOKUP(AW181,'Real assumptions'!$A$21:$AK$24,2,TRUE)</f>
        <v>1.9679</v>
      </c>
      <c r="AJ181" s="123">
        <f t="shared" si="132"/>
        <v>1.6253087084154849E-3</v>
      </c>
      <c r="AK181" s="122">
        <f>(1+HLOOKUP(YEAR(A181),'Real assumptions'!$A$21:$AK$24,2,TRUE)/100)^(1/12)-1</f>
        <v>1.6253087084154849E-3</v>
      </c>
      <c r="AL181">
        <f t="shared" si="133"/>
        <v>5.4022895300301803</v>
      </c>
      <c r="AM181">
        <f>('Real assumptions'!$B$33/12)*O180*AV180</f>
        <v>5.3569458701690635</v>
      </c>
      <c r="AN181">
        <f t="shared" si="115"/>
        <v>169.02849716078043</v>
      </c>
      <c r="AO181">
        <f t="shared" si="137"/>
        <v>0.27472348840579852</v>
      </c>
      <c r="AP181" s="121">
        <f t="shared" si="116"/>
        <v>0.27472348840579852</v>
      </c>
      <c r="AQ181">
        <f t="shared" si="117"/>
        <v>0</v>
      </c>
      <c r="AR181">
        <v>0</v>
      </c>
      <c r="AS181">
        <f t="shared" si="98"/>
        <v>0</v>
      </c>
      <c r="AT181">
        <f t="shared" si="118"/>
        <v>0</v>
      </c>
      <c r="AU181">
        <f>IFERROR(HLOOKUP(B181,'Real assumptions'!$B$43:$AL$44,2,TRUE)*($W$3/$U$2),0)</f>
        <v>0</v>
      </c>
      <c r="AV181">
        <f>AV180*(1+'Real assumptions'!$B$35)^(1/12)</f>
        <v>1.1911872394479581</v>
      </c>
      <c r="AW181">
        <f t="shared" si="99"/>
        <v>2033</v>
      </c>
      <c r="AX181">
        <f t="shared" si="134"/>
        <v>165.5211510483409</v>
      </c>
      <c r="AY181">
        <f t="shared" si="135"/>
        <v>1.8946996517671204</v>
      </c>
      <c r="AZ181">
        <f t="shared" si="100"/>
        <v>514.87044550214296</v>
      </c>
      <c r="BA181">
        <f t="shared" si="119"/>
        <v>4.0596238648181995</v>
      </c>
      <c r="BB181">
        <f t="shared" si="120"/>
        <v>84.833333333333329</v>
      </c>
      <c r="BC181">
        <f t="shared" si="101"/>
        <v>50.899999999999991</v>
      </c>
      <c r="BD181">
        <f t="shared" si="121"/>
        <v>0</v>
      </c>
      <c r="BE181">
        <f t="shared" si="102"/>
        <v>24</v>
      </c>
      <c r="BF181">
        <f t="shared" si="136"/>
        <v>5000</v>
      </c>
      <c r="BU181"/>
      <c r="FD181"/>
      <c r="FE181"/>
    </row>
    <row r="182" spans="1:161" x14ac:dyDescent="0.25">
      <c r="A182" s="7">
        <f t="shared" si="122"/>
        <v>48638</v>
      </c>
      <c r="B182">
        <f t="shared" si="103"/>
        <v>171</v>
      </c>
      <c r="C182">
        <f t="shared" si="104"/>
        <v>14.166666666666666</v>
      </c>
      <c r="D182">
        <f t="shared" si="105"/>
        <v>0</v>
      </c>
      <c r="E182">
        <f t="shared" si="106"/>
        <v>66</v>
      </c>
      <c r="F182">
        <f>IF(C182&gt;=$T$2,0,VLOOKUP($E182,EKM_F05!$A$3:$C$128,2,TRUE))</f>
        <v>1.0438461538461539E-2</v>
      </c>
      <c r="G182">
        <f>F182*'Real assumptions'!$B$3</f>
        <v>4.3559699999999998E-3</v>
      </c>
      <c r="H182">
        <f t="shared" si="123"/>
        <v>3.6372424282604676E-4</v>
      </c>
      <c r="I182">
        <f t="shared" si="124"/>
        <v>1.628936510346015E-4</v>
      </c>
      <c r="J182">
        <f>IF(B182&gt;$AJ$2,0,HLOOKUP(C182,'Real assumptions'!$B$5:$L$8,4,TRUE))</f>
        <v>3.7900000000000003E-2</v>
      </c>
      <c r="K182">
        <f t="shared" si="93"/>
        <v>1</v>
      </c>
      <c r="L182">
        <f t="shared" si="125"/>
        <v>8.3333333333333329E-2</v>
      </c>
      <c r="M182">
        <f t="shared" si="126"/>
        <v>3.2145624959929453E-3</v>
      </c>
      <c r="N182">
        <f t="shared" si="127"/>
        <v>1.4416949879066958E-3</v>
      </c>
      <c r="O182" s="8">
        <f t="shared" si="107"/>
        <v>0.44696569957418958</v>
      </c>
      <c r="P182">
        <f t="shared" si="108"/>
        <v>10.765686917115142</v>
      </c>
      <c r="Q182">
        <f t="shared" si="128"/>
        <v>0.81446825517300747</v>
      </c>
      <c r="R182" s="89">
        <f t="shared" si="94"/>
        <v>5000</v>
      </c>
      <c r="S182">
        <f t="shared" si="95"/>
        <v>0.75</v>
      </c>
      <c r="U182">
        <f>O181*AV181*'Real assumptions'!$B$33/12+AX182*'Real assumptions'!$B$34</f>
        <v>5.3891271586970957</v>
      </c>
      <c r="V182">
        <f>IF(P182=0,0,IF(E182&lt;=$C$7,$AN$5*O181,0))*'Real assumptions'!$D$28</f>
        <v>2.6914217292787854</v>
      </c>
      <c r="X182" s="94">
        <f t="shared" si="109"/>
        <v>0</v>
      </c>
      <c r="Y182">
        <f t="shared" si="96"/>
        <v>24</v>
      </c>
      <c r="Z182">
        <f t="shared" si="129"/>
        <v>84</v>
      </c>
      <c r="AA182">
        <f t="shared" si="97"/>
        <v>84.75</v>
      </c>
      <c r="AB182">
        <f t="shared" si="110"/>
        <v>50.505050505050505</v>
      </c>
      <c r="AC182">
        <f t="shared" si="130"/>
        <v>4280.30303030303</v>
      </c>
      <c r="AD182">
        <f t="shared" si="111"/>
        <v>80.505050505050505</v>
      </c>
      <c r="AE182">
        <f t="shared" si="112"/>
        <v>341.1401515151515</v>
      </c>
      <c r="AF182" s="94">
        <f t="shared" si="113"/>
        <v>378.55681818181847</v>
      </c>
      <c r="AG182">
        <f t="shared" si="131"/>
        <v>0.54576346741063397</v>
      </c>
      <c r="AH182">
        <f t="shared" si="114"/>
        <v>169.20191306721577</v>
      </c>
      <c r="AI182">
        <f>HLOOKUP(AW182,'Real assumptions'!$A$21:$AK$24,2,TRUE)</f>
        <v>1.9679</v>
      </c>
      <c r="AJ182" s="123">
        <f t="shared" si="132"/>
        <v>1.6253087084154849E-3</v>
      </c>
      <c r="AK182" s="122">
        <f>(1+HLOOKUP(YEAR(A182),'Real assumptions'!$A$21:$AK$24,2,TRUE)/100)^(1/12)-1</f>
        <v>1.6253087084154849E-3</v>
      </c>
      <c r="AL182">
        <f t="shared" si="133"/>
        <v>5.3891271586970957</v>
      </c>
      <c r="AM182">
        <f>('Real assumptions'!$B$33/12)*O181*AV181</f>
        <v>5.3433120331497435</v>
      </c>
      <c r="AN182">
        <f t="shared" si="115"/>
        <v>170.73081307552164</v>
      </c>
      <c r="AO182">
        <f t="shared" si="137"/>
        <v>0.27749027728650166</v>
      </c>
      <c r="AP182" s="121">
        <f t="shared" si="116"/>
        <v>0.55221376569230018</v>
      </c>
      <c r="AQ182">
        <f t="shared" si="117"/>
        <v>0</v>
      </c>
      <c r="AR182">
        <v>0</v>
      </c>
      <c r="AS182">
        <f t="shared" si="98"/>
        <v>0</v>
      </c>
      <c r="AT182">
        <f t="shared" si="118"/>
        <v>0</v>
      </c>
      <c r="AU182">
        <f>IFERROR(HLOOKUP(B182,'Real assumptions'!$B$43:$AL$44,2,TRUE)*($W$3/$U$2),0)</f>
        <v>0</v>
      </c>
      <c r="AV182">
        <f>AV181*(1+'Real assumptions'!$B$35)^(1/12)</f>
        <v>1.1924210068839758</v>
      </c>
      <c r="AW182">
        <f t="shared" si="99"/>
        <v>2033</v>
      </c>
      <c r="AX182">
        <f t="shared" si="134"/>
        <v>167.24217540554272</v>
      </c>
      <c r="AY182">
        <f t="shared" si="135"/>
        <v>1.887922088439103</v>
      </c>
      <c r="AZ182">
        <f t="shared" si="100"/>
        <v>517.03217522747889</v>
      </c>
      <c r="BA182">
        <f t="shared" si="119"/>
        <v>4.0516534518624274</v>
      </c>
      <c r="BB182">
        <f t="shared" si="120"/>
        <v>84.75</v>
      </c>
      <c r="BC182">
        <f t="shared" si="101"/>
        <v>50.849999999999994</v>
      </c>
      <c r="BD182">
        <f t="shared" si="121"/>
        <v>0</v>
      </c>
      <c r="BE182">
        <f t="shared" si="102"/>
        <v>24</v>
      </c>
      <c r="BF182">
        <f t="shared" si="136"/>
        <v>5000</v>
      </c>
      <c r="BU182"/>
      <c r="FD182"/>
      <c r="FE182"/>
    </row>
    <row r="183" spans="1:161" x14ac:dyDescent="0.25">
      <c r="A183" s="7">
        <f t="shared" si="122"/>
        <v>48669</v>
      </c>
      <c r="B183">
        <f t="shared" si="103"/>
        <v>172</v>
      </c>
      <c r="C183">
        <f t="shared" si="104"/>
        <v>14.25</v>
      </c>
      <c r="D183">
        <f t="shared" si="105"/>
        <v>0</v>
      </c>
      <c r="E183">
        <f t="shared" si="106"/>
        <v>66</v>
      </c>
      <c r="F183">
        <f>IF(C183&gt;=$T$2,0,VLOOKUP($E183,EKM_F05!$A$3:$C$128,2,TRUE))</f>
        <v>1.0438461538461539E-2</v>
      </c>
      <c r="G183">
        <f>F183*'Real assumptions'!$B$3</f>
        <v>4.3559699999999998E-3</v>
      </c>
      <c r="H183">
        <f t="shared" si="123"/>
        <v>3.6372424282604676E-4</v>
      </c>
      <c r="I183">
        <f t="shared" si="124"/>
        <v>1.6231096130085436E-4</v>
      </c>
      <c r="J183">
        <f>IF(B183&gt;$AJ$2,0,HLOOKUP(C183,'Real assumptions'!$B$5:$L$8,4,TRUE))</f>
        <v>3.7900000000000003E-2</v>
      </c>
      <c r="K183">
        <f t="shared" si="93"/>
        <v>1</v>
      </c>
      <c r="L183">
        <f t="shared" si="125"/>
        <v>8.3333333333333329E-2</v>
      </c>
      <c r="M183">
        <f t="shared" si="126"/>
        <v>3.2145624959929453E-3</v>
      </c>
      <c r="N183">
        <f t="shared" si="127"/>
        <v>1.4365378755004576E-3</v>
      </c>
      <c r="O183" s="8">
        <f t="shared" si="107"/>
        <v>0.44536685073738824</v>
      </c>
      <c r="P183">
        <f t="shared" si="108"/>
        <v>10.72717678978055</v>
      </c>
      <c r="Q183">
        <f t="shared" si="128"/>
        <v>0.81155480650427181</v>
      </c>
      <c r="R183" s="89">
        <f t="shared" si="94"/>
        <v>5000</v>
      </c>
      <c r="S183">
        <f t="shared" si="95"/>
        <v>0.66666666666666607</v>
      </c>
      <c r="U183">
        <f>O182*AV182*'Real assumptions'!$B$33/12+AX183*'Real assumptions'!$B$34</f>
        <v>5.3759968297073231</v>
      </c>
      <c r="V183">
        <f>IF(P183=0,0,IF(E183&lt;=$C$7,$AN$5*O182,0))*'Real assumptions'!$D$28</f>
        <v>2.6817941974451376</v>
      </c>
      <c r="X183" s="94">
        <f t="shared" si="109"/>
        <v>0</v>
      </c>
      <c r="Y183">
        <f t="shared" si="96"/>
        <v>24</v>
      </c>
      <c r="Z183">
        <f t="shared" si="129"/>
        <v>84</v>
      </c>
      <c r="AA183">
        <f t="shared" si="97"/>
        <v>84.666666666666671</v>
      </c>
      <c r="AB183">
        <f t="shared" si="110"/>
        <v>50.505050505050505</v>
      </c>
      <c r="AC183">
        <f t="shared" si="130"/>
        <v>4276.0942760942762</v>
      </c>
      <c r="AD183">
        <f t="shared" si="111"/>
        <v>80.505050505050505</v>
      </c>
      <c r="AE183">
        <f t="shared" si="112"/>
        <v>340.8047138047138</v>
      </c>
      <c r="AF183" s="94">
        <f t="shared" si="113"/>
        <v>383.10101010100999</v>
      </c>
      <c r="AG183">
        <f t="shared" si="131"/>
        <v>0.55033911115258427</v>
      </c>
      <c r="AH183">
        <f t="shared" si="114"/>
        <v>170.62049038299918</v>
      </c>
      <c r="AI183">
        <f>HLOOKUP(AW183,'Real assumptions'!$A$21:$AK$24,2,TRUE)</f>
        <v>1.9679</v>
      </c>
      <c r="AJ183" s="123">
        <f t="shared" si="132"/>
        <v>1.6253087084154849E-3</v>
      </c>
      <c r="AK183" s="122">
        <f>(1+HLOOKUP(YEAR(A183),'Real assumptions'!$A$21:$AK$24,2,TRUE)/100)^(1/12)-1</f>
        <v>1.6253087084154849E-3</v>
      </c>
      <c r="AL183">
        <f t="shared" si="133"/>
        <v>5.3759968297073231</v>
      </c>
      <c r="AM183">
        <f>('Real assumptions'!$B$33/12)*O182*AV182</f>
        <v>5.3297128952885577</v>
      </c>
      <c r="AN183">
        <f t="shared" si="115"/>
        <v>172.42351259553615</v>
      </c>
      <c r="AO183">
        <f t="shared" si="137"/>
        <v>0.28024143655711198</v>
      </c>
      <c r="AP183" s="121">
        <f t="shared" si="116"/>
        <v>0.83245520224941216</v>
      </c>
      <c r="AQ183">
        <f t="shared" si="117"/>
        <v>0</v>
      </c>
      <c r="AR183">
        <v>0</v>
      </c>
      <c r="AS183">
        <f t="shared" si="98"/>
        <v>0</v>
      </c>
      <c r="AT183">
        <f t="shared" si="118"/>
        <v>0</v>
      </c>
      <c r="AU183">
        <f>IFERROR(HLOOKUP(B183,'Real assumptions'!$B$43:$AL$44,2,TRUE)*($W$3/$U$2),0)</f>
        <v>0</v>
      </c>
      <c r="AV183">
        <f>AV182*(1+'Real assumptions'!$B$35)^(1/12)</f>
        <v>1.1936560521896984</v>
      </c>
      <c r="AW183">
        <f t="shared" si="99"/>
        <v>2033</v>
      </c>
      <c r="AX183">
        <f t="shared" si="134"/>
        <v>168.95350140471459</v>
      </c>
      <c r="AY183">
        <f t="shared" si="135"/>
        <v>1.8811687692516394</v>
      </c>
      <c r="AZ183">
        <f t="shared" si="100"/>
        <v>519.18000396937828</v>
      </c>
      <c r="BA183">
        <f t="shared" si="119"/>
        <v>4.0436881151019932</v>
      </c>
      <c r="BB183">
        <f t="shared" si="120"/>
        <v>84.666666666666671</v>
      </c>
      <c r="BC183">
        <f t="shared" si="101"/>
        <v>50.8</v>
      </c>
      <c r="BD183">
        <f t="shared" si="121"/>
        <v>0</v>
      </c>
      <c r="BE183">
        <f t="shared" si="102"/>
        <v>24</v>
      </c>
      <c r="BF183">
        <f t="shared" si="136"/>
        <v>5000</v>
      </c>
      <c r="BU183"/>
      <c r="FD183"/>
      <c r="FE183"/>
    </row>
    <row r="184" spans="1:161" x14ac:dyDescent="0.25">
      <c r="A184" s="7">
        <f t="shared" si="122"/>
        <v>48699</v>
      </c>
      <c r="B184">
        <f t="shared" si="103"/>
        <v>173</v>
      </c>
      <c r="C184">
        <f t="shared" si="104"/>
        <v>14.333333333333334</v>
      </c>
      <c r="D184">
        <f t="shared" si="105"/>
        <v>0</v>
      </c>
      <c r="E184">
        <f t="shared" si="106"/>
        <v>66</v>
      </c>
      <c r="F184">
        <f>IF(C184&gt;=$T$2,0,VLOOKUP($E184,EKM_F05!$A$3:$C$128,2,TRUE))</f>
        <v>1.0438461538461539E-2</v>
      </c>
      <c r="G184">
        <f>F184*'Real assumptions'!$B$3</f>
        <v>4.3559699999999998E-3</v>
      </c>
      <c r="H184">
        <f t="shared" si="123"/>
        <v>3.6372424282604676E-4</v>
      </c>
      <c r="I184">
        <f t="shared" si="124"/>
        <v>1.6173035591676512E-4</v>
      </c>
      <c r="J184">
        <f>IF(B184&gt;$AJ$2,0,HLOOKUP(C184,'Real assumptions'!$B$5:$L$8,4,TRUE))</f>
        <v>3.7900000000000003E-2</v>
      </c>
      <c r="K184">
        <f t="shared" si="93"/>
        <v>1</v>
      </c>
      <c r="L184">
        <f t="shared" si="125"/>
        <v>8.3333333333333329E-2</v>
      </c>
      <c r="M184">
        <f t="shared" si="126"/>
        <v>3.2145624959929453E-3</v>
      </c>
      <c r="N184">
        <f t="shared" si="127"/>
        <v>1.4313992106913837E-3</v>
      </c>
      <c r="O184" s="8">
        <f t="shared" si="107"/>
        <v>0.44377372117078007</v>
      </c>
      <c r="P184">
        <f t="shared" si="108"/>
        <v>10.688804417697318</v>
      </c>
      <c r="Q184">
        <f t="shared" si="128"/>
        <v>0.80865177958382561</v>
      </c>
      <c r="R184" s="89">
        <f t="shared" si="94"/>
        <v>5000</v>
      </c>
      <c r="S184">
        <f t="shared" si="95"/>
        <v>0.58333333333333393</v>
      </c>
      <c r="U184">
        <f>O183*AV183*'Real assumptions'!$B$33/12+AX184*'Real assumptions'!$B$34</f>
        <v>5.3628984698274431</v>
      </c>
      <c r="V184">
        <f>IF(P184=0,0,IF(E184&lt;=$C$7,$AN$5*O183,0))*'Real assumptions'!$D$28</f>
        <v>2.6722011044243295</v>
      </c>
      <c r="X184" s="94">
        <f t="shared" si="109"/>
        <v>0</v>
      </c>
      <c r="Y184">
        <f t="shared" si="96"/>
        <v>24</v>
      </c>
      <c r="Z184">
        <f t="shared" si="129"/>
        <v>84</v>
      </c>
      <c r="AA184">
        <f t="shared" si="97"/>
        <v>84.583333333333329</v>
      </c>
      <c r="AB184">
        <f t="shared" si="110"/>
        <v>50.505050505050505</v>
      </c>
      <c r="AC184">
        <f t="shared" si="130"/>
        <v>4271.8855218855215</v>
      </c>
      <c r="AD184">
        <f t="shared" si="111"/>
        <v>80.505050505050505</v>
      </c>
      <c r="AE184">
        <f t="shared" si="112"/>
        <v>340.46927609427604</v>
      </c>
      <c r="AF184" s="94">
        <f t="shared" si="113"/>
        <v>387.64520202020248</v>
      </c>
      <c r="AG184">
        <f t="shared" si="131"/>
        <v>0.55487503620001977</v>
      </c>
      <c r="AH184">
        <f t="shared" si="114"/>
        <v>172.02675379450403</v>
      </c>
      <c r="AI184">
        <f>HLOOKUP(AW184,'Real assumptions'!$A$21:$AK$24,2,TRUE)</f>
        <v>1.9679</v>
      </c>
      <c r="AJ184" s="123">
        <f t="shared" si="132"/>
        <v>1.6253087084154849E-3</v>
      </c>
      <c r="AK184" s="122">
        <f>(1+HLOOKUP(YEAR(A184),'Real assumptions'!$A$21:$AK$24,2,TRUE)/100)^(1/12)-1</f>
        <v>1.6253087084154849E-3</v>
      </c>
      <c r="AL184">
        <f t="shared" si="133"/>
        <v>5.3628984698274431</v>
      </c>
      <c r="AM184">
        <f>('Real assumptions'!$B$33/12)*O183*AV183</f>
        <v>5.3161483682734945</v>
      </c>
      <c r="AN184">
        <f t="shared" si="115"/>
        <v>174.10665042869414</v>
      </c>
      <c r="AO184">
        <f t="shared" si="137"/>
        <v>0.2829770551348072</v>
      </c>
      <c r="AP184" s="121">
        <f t="shared" si="116"/>
        <v>1.1154322573842195</v>
      </c>
      <c r="AQ184">
        <f t="shared" si="117"/>
        <v>0</v>
      </c>
      <c r="AR184">
        <v>0</v>
      </c>
      <c r="AS184">
        <f t="shared" si="98"/>
        <v>0</v>
      </c>
      <c r="AT184">
        <f t="shared" si="118"/>
        <v>0</v>
      </c>
      <c r="AU184">
        <f>IFERROR(HLOOKUP(B184,'Real assumptions'!$B$43:$AL$44,2,TRUE)*($W$3/$U$2),0)</f>
        <v>0</v>
      </c>
      <c r="AV184">
        <f>AV183*(1+'Real assumptions'!$B$35)^(1/12)</f>
        <v>1.1948923766886745</v>
      </c>
      <c r="AW184">
        <f t="shared" si="99"/>
        <v>2033</v>
      </c>
      <c r="AX184">
        <f t="shared" si="134"/>
        <v>170.65518408830485</v>
      </c>
      <c r="AY184">
        <f t="shared" si="135"/>
        <v>1.87443960748059</v>
      </c>
      <c r="AZ184">
        <f t="shared" si="100"/>
        <v>521.31400977872659</v>
      </c>
      <c r="BA184">
        <f t="shared" si="119"/>
        <v>4.0357279202081751</v>
      </c>
      <c r="BB184">
        <f t="shared" si="120"/>
        <v>84.583333333333329</v>
      </c>
      <c r="BC184">
        <f t="shared" si="101"/>
        <v>50.75</v>
      </c>
      <c r="BD184">
        <f t="shared" si="121"/>
        <v>0</v>
      </c>
      <c r="BE184">
        <f t="shared" si="102"/>
        <v>24</v>
      </c>
      <c r="BF184">
        <f t="shared" si="136"/>
        <v>5000</v>
      </c>
      <c r="BU184"/>
      <c r="FD184"/>
      <c r="FE184"/>
    </row>
    <row r="185" spans="1:161" x14ac:dyDescent="0.25">
      <c r="A185" s="7">
        <f t="shared" si="122"/>
        <v>48730</v>
      </c>
      <c r="B185">
        <f t="shared" si="103"/>
        <v>174</v>
      </c>
      <c r="C185">
        <f t="shared" si="104"/>
        <v>14.416666666666666</v>
      </c>
      <c r="D185">
        <f t="shared" si="105"/>
        <v>0</v>
      </c>
      <c r="E185">
        <f t="shared" si="106"/>
        <v>66</v>
      </c>
      <c r="F185">
        <f>IF(C185&gt;=$T$2,0,VLOOKUP($E185,EKM_F05!$A$3:$C$128,2,TRUE))</f>
        <v>1.0438461538461539E-2</v>
      </c>
      <c r="G185">
        <f>F185*'Real assumptions'!$B$3</f>
        <v>4.3559699999999998E-3</v>
      </c>
      <c r="H185">
        <f t="shared" si="123"/>
        <v>3.6372424282604676E-4</v>
      </c>
      <c r="I185">
        <f t="shared" si="124"/>
        <v>1.6115182742637015E-4</v>
      </c>
      <c r="J185">
        <f>IF(B185&gt;$AJ$2,0,HLOOKUP(C185,'Real assumptions'!$B$5:$L$8,4,TRUE))</f>
        <v>3.7900000000000003E-2</v>
      </c>
      <c r="K185">
        <f t="shared" si="93"/>
        <v>1</v>
      </c>
      <c r="L185">
        <f t="shared" si="125"/>
        <v>8.3333333333333329E-2</v>
      </c>
      <c r="M185">
        <f t="shared" si="126"/>
        <v>3.2145624959929453E-3</v>
      </c>
      <c r="N185">
        <f t="shared" si="127"/>
        <v>1.4262789274902511E-3</v>
      </c>
      <c r="O185" s="8">
        <f t="shared" si="107"/>
        <v>0.44218629041586344</v>
      </c>
      <c r="P185">
        <f t="shared" si="108"/>
        <v>10.650569308098721</v>
      </c>
      <c r="Q185">
        <f t="shared" si="128"/>
        <v>0.80575913713185077</v>
      </c>
      <c r="R185" s="89">
        <f t="shared" si="94"/>
        <v>5000</v>
      </c>
      <c r="S185">
        <f t="shared" si="95"/>
        <v>0.5</v>
      </c>
      <c r="U185">
        <f>O184*AV184*'Real assumptions'!$B$33/12+AX185*'Real assumptions'!$B$34</f>
        <v>5.3498320059783424</v>
      </c>
      <c r="V185">
        <f>IF(P185=0,0,IF(E185&lt;=$C$7,$AN$5*O184,0))*'Real assumptions'!$D$28</f>
        <v>2.6626423270246802</v>
      </c>
      <c r="X185" s="94">
        <f t="shared" si="109"/>
        <v>0</v>
      </c>
      <c r="Y185">
        <f t="shared" si="96"/>
        <v>24</v>
      </c>
      <c r="Z185">
        <f t="shared" si="129"/>
        <v>84</v>
      </c>
      <c r="AA185">
        <f t="shared" si="97"/>
        <v>84.5</v>
      </c>
      <c r="AB185">
        <f t="shared" si="110"/>
        <v>50.505050505050505</v>
      </c>
      <c r="AC185">
        <f t="shared" si="130"/>
        <v>4267.6767676767677</v>
      </c>
      <c r="AD185">
        <f t="shared" si="111"/>
        <v>80.505050505050505</v>
      </c>
      <c r="AE185">
        <f t="shared" si="112"/>
        <v>340.13383838383839</v>
      </c>
      <c r="AF185" s="94">
        <f t="shared" si="113"/>
        <v>392.18939393939394</v>
      </c>
      <c r="AG185">
        <f t="shared" si="131"/>
        <v>0.55937146816093031</v>
      </c>
      <c r="AH185">
        <f t="shared" si="114"/>
        <v>173.42077324650631</v>
      </c>
      <c r="AI185">
        <f>HLOOKUP(AW185,'Real assumptions'!$A$21:$AK$24,2,TRUE)</f>
        <v>1.9679</v>
      </c>
      <c r="AJ185" s="123">
        <f t="shared" si="132"/>
        <v>1.6253087084154849E-3</v>
      </c>
      <c r="AK185" s="122">
        <f>(1+HLOOKUP(YEAR(A185),'Real assumptions'!$A$21:$AK$24,2,TRUE)/100)^(1/12)-1</f>
        <v>1.6253087084154849E-3</v>
      </c>
      <c r="AL185">
        <f t="shared" si="133"/>
        <v>5.3498320059783424</v>
      </c>
      <c r="AM185">
        <f>('Real assumptions'!$B$33/12)*O184*AV184</f>
        <v>5.3026183640173059</v>
      </c>
      <c r="AN185">
        <f t="shared" si="115"/>
        <v>175.78028102698397</v>
      </c>
      <c r="AO185">
        <f t="shared" si="137"/>
        <v>0.28569722152087829</v>
      </c>
      <c r="AP185" s="121">
        <f t="shared" si="116"/>
        <v>1.4011294789050979</v>
      </c>
      <c r="AQ185">
        <f t="shared" si="117"/>
        <v>0</v>
      </c>
      <c r="AR185">
        <v>0</v>
      </c>
      <c r="AS185">
        <f t="shared" si="98"/>
        <v>0</v>
      </c>
      <c r="AT185">
        <f t="shared" si="118"/>
        <v>0</v>
      </c>
      <c r="AU185">
        <f>IFERROR(HLOOKUP(B185,'Real assumptions'!$B$43:$AL$44,2,TRUE)*($W$3/$U$2),0)</f>
        <v>0</v>
      </c>
      <c r="AV185">
        <f>AV184*(1+'Real assumptions'!$B$35)^(1/12)</f>
        <v>1.1961299817058233</v>
      </c>
      <c r="AW185">
        <f t="shared" si="99"/>
        <v>2033</v>
      </c>
      <c r="AX185">
        <f t="shared" si="134"/>
        <v>172.34727824157559</v>
      </c>
      <c r="AY185">
        <f t="shared" si="135"/>
        <v>1.8677345167120372</v>
      </c>
      <c r="AZ185">
        <f t="shared" si="100"/>
        <v>523.43427034844183</v>
      </c>
      <c r="BA185">
        <f t="shared" si="119"/>
        <v>4.0277729323174611</v>
      </c>
      <c r="BB185">
        <f t="shared" si="120"/>
        <v>84.5</v>
      </c>
      <c r="BC185">
        <f t="shared" si="101"/>
        <v>50.7</v>
      </c>
      <c r="BD185">
        <f t="shared" si="121"/>
        <v>0</v>
      </c>
      <c r="BE185">
        <f t="shared" si="102"/>
        <v>24</v>
      </c>
      <c r="BF185">
        <f t="shared" si="136"/>
        <v>5000</v>
      </c>
      <c r="BU185"/>
      <c r="FD185"/>
      <c r="FE185"/>
    </row>
    <row r="186" spans="1:161" x14ac:dyDescent="0.25">
      <c r="A186" s="7">
        <f t="shared" si="122"/>
        <v>48760</v>
      </c>
      <c r="B186">
        <f t="shared" si="103"/>
        <v>175</v>
      </c>
      <c r="C186">
        <f t="shared" si="104"/>
        <v>14.5</v>
      </c>
      <c r="D186">
        <f t="shared" si="105"/>
        <v>0</v>
      </c>
      <c r="E186">
        <f t="shared" si="106"/>
        <v>66</v>
      </c>
      <c r="F186">
        <f>IF(C186&gt;=$T$2,0,VLOOKUP($E186,EKM_F05!$A$3:$C$128,2,TRUE))</f>
        <v>1.0438461538461539E-2</v>
      </c>
      <c r="G186">
        <f>F186*'Real assumptions'!$B$3</f>
        <v>4.3559699999999998E-3</v>
      </c>
      <c r="H186">
        <f t="shared" si="123"/>
        <v>3.6372424282604676E-4</v>
      </c>
      <c r="I186">
        <f t="shared" si="124"/>
        <v>1.605753684003766E-4</v>
      </c>
      <c r="J186">
        <f>IF(B186&gt;$AJ$2,0,HLOOKUP(C186,'Real assumptions'!$B$5:$L$8,4,TRUE))</f>
        <v>3.7900000000000003E-2</v>
      </c>
      <c r="K186">
        <f t="shared" si="93"/>
        <v>1</v>
      </c>
      <c r="L186">
        <f t="shared" si="125"/>
        <v>8.3333333333333329E-2</v>
      </c>
      <c r="M186">
        <f t="shared" si="126"/>
        <v>3.2145624959929453E-3</v>
      </c>
      <c r="N186">
        <f t="shared" si="127"/>
        <v>1.4211769601438877E-3</v>
      </c>
      <c r="O186" s="8">
        <f t="shared" si="107"/>
        <v>0.4406045380873192</v>
      </c>
      <c r="P186">
        <f t="shared" si="108"/>
        <v>10.612470969980723</v>
      </c>
      <c r="Q186">
        <f t="shared" si="128"/>
        <v>0.80287684200188303</v>
      </c>
      <c r="R186" s="89">
        <f t="shared" si="94"/>
        <v>5000</v>
      </c>
      <c r="S186">
        <f t="shared" si="95"/>
        <v>0.41666666666666607</v>
      </c>
      <c r="U186">
        <f>O185*AV185*'Real assumptions'!$B$33/12+AX186*'Real assumptions'!$B$34</f>
        <v>5.3367973652349612</v>
      </c>
      <c r="V186">
        <f>IF(P186=0,0,IF(E186&lt;=$C$7,$AN$5*O185,0))*'Real assumptions'!$D$28</f>
        <v>2.6531177424951808</v>
      </c>
      <c r="X186" s="94">
        <f t="shared" si="109"/>
        <v>0</v>
      </c>
      <c r="Y186">
        <f t="shared" si="96"/>
        <v>24</v>
      </c>
      <c r="Z186">
        <f t="shared" si="129"/>
        <v>84</v>
      </c>
      <c r="AA186">
        <f t="shared" si="97"/>
        <v>84.416666666666671</v>
      </c>
      <c r="AB186">
        <f t="shared" si="110"/>
        <v>50.505050505050505</v>
      </c>
      <c r="AC186">
        <f t="shared" si="130"/>
        <v>4263.4680134680139</v>
      </c>
      <c r="AD186">
        <f t="shared" si="111"/>
        <v>80.505050505050505</v>
      </c>
      <c r="AE186">
        <f t="shared" si="112"/>
        <v>339.79840067340069</v>
      </c>
      <c r="AF186" s="94">
        <f t="shared" si="113"/>
        <v>396.73358585858546</v>
      </c>
      <c r="AG186">
        <f t="shared" si="131"/>
        <v>0.56382863153748852</v>
      </c>
      <c r="AH186">
        <f t="shared" si="114"/>
        <v>174.80261834094784</v>
      </c>
      <c r="AI186">
        <f>HLOOKUP(AW186,'Real assumptions'!$A$21:$AK$24,2,TRUE)</f>
        <v>1.9679</v>
      </c>
      <c r="AJ186" s="123">
        <f t="shared" si="132"/>
        <v>1.6253087084154849E-3</v>
      </c>
      <c r="AK186" s="122">
        <f>(1+HLOOKUP(YEAR(A186),'Real assumptions'!$A$21:$AK$24,2,TRUE)/100)^(1/12)-1</f>
        <v>1.6253087084154849E-3</v>
      </c>
      <c r="AL186">
        <f t="shared" si="133"/>
        <v>5.3367973652349612</v>
      </c>
      <c r="AM186">
        <f>('Real assumptions'!$B$33/12)*O185*AV185</f>
        <v>5.2891227946569259</v>
      </c>
      <c r="AN186">
        <f t="shared" si="115"/>
        <v>177.44445858766201</v>
      </c>
      <c r="AO186">
        <f t="shared" si="137"/>
        <v>0.28840202380259794</v>
      </c>
      <c r="AP186" s="121">
        <f t="shared" si="116"/>
        <v>1.6895315027076958</v>
      </c>
      <c r="AQ186">
        <f t="shared" si="117"/>
        <v>0</v>
      </c>
      <c r="AR186">
        <v>0</v>
      </c>
      <c r="AS186">
        <f t="shared" si="98"/>
        <v>0</v>
      </c>
      <c r="AT186">
        <f t="shared" si="118"/>
        <v>0</v>
      </c>
      <c r="AU186">
        <f>IFERROR(HLOOKUP(B186,'Real assumptions'!$B$43:$AL$44,2,TRUE)*($W$3/$U$2),0)</f>
        <v>0</v>
      </c>
      <c r="AV186">
        <f>AV185*(1+'Real assumptions'!$B$35)^(1/12)</f>
        <v>1.1973688685674364</v>
      </c>
      <c r="AW186">
        <f t="shared" si="99"/>
        <v>2033</v>
      </c>
      <c r="AX186">
        <f t="shared" si="134"/>
        <v>174.02983839375742</v>
      </c>
      <c r="AY186">
        <f t="shared" si="135"/>
        <v>1.861053410841176</v>
      </c>
      <c r="AZ186">
        <f t="shared" si="100"/>
        <v>525.54086301503344</v>
      </c>
      <c r="BA186">
        <f t="shared" si="119"/>
        <v>4.0198232160345526</v>
      </c>
      <c r="BB186">
        <f t="shared" si="120"/>
        <v>84.416666666666671</v>
      </c>
      <c r="BC186">
        <f t="shared" si="101"/>
        <v>50.650000000000006</v>
      </c>
      <c r="BD186">
        <f t="shared" si="121"/>
        <v>0</v>
      </c>
      <c r="BE186">
        <f t="shared" si="102"/>
        <v>24</v>
      </c>
      <c r="BF186">
        <f t="shared" si="136"/>
        <v>5000</v>
      </c>
      <c r="BU186"/>
      <c r="FD186"/>
      <c r="FE186"/>
    </row>
    <row r="187" spans="1:161" x14ac:dyDescent="0.25">
      <c r="A187" s="7">
        <f t="shared" si="122"/>
        <v>48791</v>
      </c>
      <c r="B187">
        <f t="shared" si="103"/>
        <v>176</v>
      </c>
      <c r="C187">
        <f t="shared" si="104"/>
        <v>14.583333333333334</v>
      </c>
      <c r="D187">
        <f t="shared" si="105"/>
        <v>0</v>
      </c>
      <c r="E187">
        <f t="shared" si="106"/>
        <v>66</v>
      </c>
      <c r="F187">
        <f>IF(C187&gt;=$T$2,0,VLOOKUP($E187,EKM_F05!$A$3:$C$128,2,TRUE))</f>
        <v>1.0438461538461539E-2</v>
      </c>
      <c r="G187">
        <f>F187*'Real assumptions'!$B$3</f>
        <v>4.3559699999999998E-3</v>
      </c>
      <c r="H187">
        <f t="shared" si="123"/>
        <v>3.6372424282604676E-4</v>
      </c>
      <c r="I187">
        <f t="shared" si="124"/>
        <v>1.6000097143606715E-4</v>
      </c>
      <c r="J187">
        <f>IF(B187&gt;$AJ$2,0,HLOOKUP(C187,'Real assumptions'!$B$5:$L$8,4,TRUE))</f>
        <v>3.7900000000000003E-2</v>
      </c>
      <c r="K187">
        <f t="shared" si="93"/>
        <v>1</v>
      </c>
      <c r="L187">
        <f t="shared" si="125"/>
        <v>8.3333333333333329E-2</v>
      </c>
      <c r="M187">
        <f t="shared" si="126"/>
        <v>3.2145624959929453E-3</v>
      </c>
      <c r="N187">
        <f t="shared" si="127"/>
        <v>1.4160932431343284E-3</v>
      </c>
      <c r="O187" s="8">
        <f t="shared" si="107"/>
        <v>0.43902844387274875</v>
      </c>
      <c r="P187">
        <f t="shared" si="108"/>
        <v>10.574508914095661</v>
      </c>
      <c r="Q187">
        <f t="shared" si="128"/>
        <v>0.80000485718033576</v>
      </c>
      <c r="R187" s="89">
        <f t="shared" si="94"/>
        <v>5000</v>
      </c>
      <c r="S187">
        <f t="shared" si="95"/>
        <v>0.33333333333333393</v>
      </c>
      <c r="U187">
        <f>O186*AV186*'Real assumptions'!$B$33/12+AX187*'Real assumptions'!$B$34</f>
        <v>5.3237944748260277</v>
      </c>
      <c r="V187">
        <f>IF(P187=0,0,IF(E187&lt;=$C$7,$AN$5*O186,0))*'Real assumptions'!$D$28</f>
        <v>2.6436272285239153</v>
      </c>
      <c r="X187" s="94">
        <f t="shared" si="109"/>
        <v>0</v>
      </c>
      <c r="Y187">
        <f t="shared" si="96"/>
        <v>24</v>
      </c>
      <c r="Z187">
        <f t="shared" si="129"/>
        <v>84</v>
      </c>
      <c r="AA187">
        <f t="shared" si="97"/>
        <v>84.333333333333329</v>
      </c>
      <c r="AB187">
        <f t="shared" si="110"/>
        <v>50.505050505050505</v>
      </c>
      <c r="AC187">
        <f t="shared" si="130"/>
        <v>4259.2592592592591</v>
      </c>
      <c r="AD187">
        <f t="shared" si="111"/>
        <v>80.505050505050505</v>
      </c>
      <c r="AE187">
        <f t="shared" si="112"/>
        <v>339.46296296296293</v>
      </c>
      <c r="AF187" s="94">
        <f t="shared" si="113"/>
        <v>401.27777777777794</v>
      </c>
      <c r="AG187">
        <f t="shared" si="131"/>
        <v>0.56824674973106992</v>
      </c>
      <c r="AH187">
        <f t="shared" si="114"/>
        <v>176.17235833849253</v>
      </c>
      <c r="AI187">
        <f>HLOOKUP(AW187,'Real assumptions'!$A$21:$AK$24,2,TRUE)</f>
        <v>1.9679</v>
      </c>
      <c r="AJ187" s="123">
        <f t="shared" si="132"/>
        <v>1.6253087084154849E-3</v>
      </c>
      <c r="AK187" s="122">
        <f>(1+HLOOKUP(YEAR(A187),'Real assumptions'!$A$21:$AK$24,2,TRUE)/100)^(1/12)-1</f>
        <v>1.6253087084154849E-3</v>
      </c>
      <c r="AL187">
        <f t="shared" si="133"/>
        <v>5.3237944748260277</v>
      </c>
      <c r="AM187">
        <f>('Real assumptions'!$B$33/12)*O186*AV186</f>
        <v>5.2756615725529139</v>
      </c>
      <c r="AN187">
        <f t="shared" si="115"/>
        <v>179.09923705440127</v>
      </c>
      <c r="AO187">
        <f t="shared" si="137"/>
        <v>0.29109154965508771</v>
      </c>
      <c r="AP187" s="121">
        <f t="shared" si="116"/>
        <v>1.9806230523627835</v>
      </c>
      <c r="AQ187">
        <f t="shared" si="117"/>
        <v>0</v>
      </c>
      <c r="AR187">
        <v>0</v>
      </c>
      <c r="AS187">
        <f t="shared" si="98"/>
        <v>0</v>
      </c>
      <c r="AT187">
        <f t="shared" si="118"/>
        <v>0</v>
      </c>
      <c r="AU187">
        <f>IFERROR(HLOOKUP(B187,'Real assumptions'!$B$43:$AL$44,2,TRUE)*($W$3/$U$2),0)</f>
        <v>0</v>
      </c>
      <c r="AV187">
        <f>AV186*(1+'Real assumptions'!$B$35)^(1/12)</f>
        <v>1.198609038601179</v>
      </c>
      <c r="AW187">
        <f t="shared" si="99"/>
        <v>2033</v>
      </c>
      <c r="AX187">
        <f t="shared" si="134"/>
        <v>175.70291881920284</v>
      </c>
      <c r="AY187">
        <f t="shared" si="135"/>
        <v>1.8543962040712085</v>
      </c>
      <c r="AZ187">
        <f t="shared" si="100"/>
        <v>527.63386476015421</v>
      </c>
      <c r="BA187">
        <f t="shared" si="119"/>
        <v>4.0118788354353212</v>
      </c>
      <c r="BB187">
        <f t="shared" si="120"/>
        <v>84.333333333333329</v>
      </c>
      <c r="BC187">
        <f t="shared" si="101"/>
        <v>50.599999999999994</v>
      </c>
      <c r="BD187">
        <f t="shared" si="121"/>
        <v>0</v>
      </c>
      <c r="BE187">
        <f t="shared" si="102"/>
        <v>24</v>
      </c>
      <c r="BF187">
        <f t="shared" si="136"/>
        <v>5000</v>
      </c>
      <c r="BU187"/>
      <c r="FD187"/>
      <c r="FE187"/>
    </row>
    <row r="188" spans="1:161" x14ac:dyDescent="0.25">
      <c r="A188" s="7">
        <f t="shared" si="122"/>
        <v>48822</v>
      </c>
      <c r="B188">
        <f t="shared" si="103"/>
        <v>177</v>
      </c>
      <c r="C188">
        <f t="shared" si="104"/>
        <v>14.666666666666666</v>
      </c>
      <c r="D188">
        <f t="shared" si="105"/>
        <v>0</v>
      </c>
      <c r="E188">
        <f t="shared" si="106"/>
        <v>66</v>
      </c>
      <c r="F188">
        <f>IF(C188&gt;=$T$2,0,VLOOKUP($E188,EKM_F05!$A$3:$C$128,2,TRUE))</f>
        <v>1.0438461538461539E-2</v>
      </c>
      <c r="G188">
        <f>F188*'Real assumptions'!$B$3</f>
        <v>4.3559699999999998E-3</v>
      </c>
      <c r="H188">
        <f t="shared" si="123"/>
        <v>3.6372424282604676E-4</v>
      </c>
      <c r="I188">
        <f t="shared" si="124"/>
        <v>1.5942862915720467E-4</v>
      </c>
      <c r="J188">
        <f>IF(B188&gt;$AJ$2,0,HLOOKUP(C188,'Real assumptions'!$B$5:$L$8,4,TRUE))</f>
        <v>3.7900000000000003E-2</v>
      </c>
      <c r="K188">
        <f t="shared" si="93"/>
        <v>1</v>
      </c>
      <c r="L188">
        <f t="shared" si="125"/>
        <v>8.3333333333333329E-2</v>
      </c>
      <c r="M188">
        <f t="shared" si="126"/>
        <v>3.2145624959929453E-3</v>
      </c>
      <c r="N188">
        <f t="shared" si="127"/>
        <v>1.4110277111779735E-3</v>
      </c>
      <c r="O188" s="8">
        <f t="shared" si="107"/>
        <v>0.43745798753241361</v>
      </c>
      <c r="P188">
        <f t="shared" si="108"/>
        <v>10.53668265294597</v>
      </c>
      <c r="Q188">
        <f t="shared" si="128"/>
        <v>0.7971431457860233</v>
      </c>
      <c r="R188" s="89">
        <f t="shared" si="94"/>
        <v>5000</v>
      </c>
      <c r="S188">
        <f t="shared" si="95"/>
        <v>0.25</v>
      </c>
      <c r="U188">
        <f>O187*AV187*'Real assumptions'!$B$33/12+AX188*'Real assumptions'!$B$34</f>
        <v>5.3108232621338178</v>
      </c>
      <c r="V188">
        <f>IF(P188=0,0,IF(E188&lt;=$C$7,$AN$5*O187,0))*'Real assumptions'!$D$28</f>
        <v>2.6341706632364925</v>
      </c>
      <c r="X188" s="94">
        <f t="shared" si="109"/>
        <v>0</v>
      </c>
      <c r="Y188">
        <f t="shared" si="96"/>
        <v>24</v>
      </c>
      <c r="Z188">
        <f t="shared" si="129"/>
        <v>84</v>
      </c>
      <c r="AA188">
        <f t="shared" si="97"/>
        <v>84.25</v>
      </c>
      <c r="AB188">
        <f t="shared" si="110"/>
        <v>50.505050505050505</v>
      </c>
      <c r="AC188">
        <f t="shared" si="130"/>
        <v>4255.0505050505053</v>
      </c>
      <c r="AD188">
        <f t="shared" si="111"/>
        <v>80.505050505050505</v>
      </c>
      <c r="AE188">
        <f t="shared" si="112"/>
        <v>339.12752525252523</v>
      </c>
      <c r="AF188" s="94">
        <f t="shared" si="113"/>
        <v>405.82196969696946</v>
      </c>
      <c r="AG188">
        <f t="shared" si="131"/>
        <v>0.57262604504725179</v>
      </c>
      <c r="AH188">
        <f t="shared" si="114"/>
        <v>177.5300621600764</v>
      </c>
      <c r="AI188">
        <f>HLOOKUP(AW188,'Real assumptions'!$A$21:$AK$24,2,TRUE)</f>
        <v>1.9679</v>
      </c>
      <c r="AJ188" s="123">
        <f t="shared" si="132"/>
        <v>1.6253087084154849E-3</v>
      </c>
      <c r="AK188" s="122">
        <f>(1+HLOOKUP(YEAR(A188),'Real assumptions'!$A$21:$AK$24,2,TRUE)/100)^(1/12)-1</f>
        <v>1.6253087084154849E-3</v>
      </c>
      <c r="AL188">
        <f t="shared" si="133"/>
        <v>5.3108232621338178</v>
      </c>
      <c r="AM188">
        <f>('Real assumptions'!$B$33/12)*O187*AV187</f>
        <v>5.2622346102888704</v>
      </c>
      <c r="AN188">
        <f t="shared" si="115"/>
        <v>180.74467011843097</v>
      </c>
      <c r="AO188">
        <f t="shared" si="137"/>
        <v>0.29376588634316991</v>
      </c>
      <c r="AP188" s="121">
        <f t="shared" si="116"/>
        <v>2.2743889387059535</v>
      </c>
      <c r="AQ188">
        <f t="shared" si="117"/>
        <v>0</v>
      </c>
      <c r="AR188">
        <v>0</v>
      </c>
      <c r="AS188">
        <f t="shared" si="98"/>
        <v>0</v>
      </c>
      <c r="AT188">
        <f t="shared" si="118"/>
        <v>0</v>
      </c>
      <c r="AU188">
        <f>IFERROR(HLOOKUP(B188,'Real assumptions'!$B$43:$AL$44,2,TRUE)*($W$3/$U$2),0)</f>
        <v>0</v>
      </c>
      <c r="AV188">
        <f>AV187*(1+'Real assumptions'!$B$35)^(1/12)</f>
        <v>1.1998504931360916</v>
      </c>
      <c r="AW188">
        <f t="shared" si="99"/>
        <v>2033</v>
      </c>
      <c r="AX188">
        <f t="shared" si="134"/>
        <v>177.36657353853104</v>
      </c>
      <c r="AY188">
        <f t="shared" si="135"/>
        <v>1.8477628109122421</v>
      </c>
      <c r="AZ188">
        <f t="shared" si="100"/>
        <v>529.71335221214611</v>
      </c>
      <c r="BA188">
        <f t="shared" si="119"/>
        <v>4.0039398540697677</v>
      </c>
      <c r="BB188">
        <f t="shared" si="120"/>
        <v>84.25</v>
      </c>
      <c r="BC188">
        <f t="shared" si="101"/>
        <v>50.55</v>
      </c>
      <c r="BD188">
        <f t="shared" si="121"/>
        <v>0</v>
      </c>
      <c r="BE188">
        <f t="shared" si="102"/>
        <v>24</v>
      </c>
      <c r="BF188">
        <f t="shared" si="136"/>
        <v>5000</v>
      </c>
      <c r="BU188"/>
      <c r="FD188"/>
      <c r="FE188"/>
    </row>
    <row r="189" spans="1:161" x14ac:dyDescent="0.25">
      <c r="A189" s="7">
        <f t="shared" si="122"/>
        <v>48852</v>
      </c>
      <c r="B189">
        <f t="shared" si="103"/>
        <v>178</v>
      </c>
      <c r="C189">
        <f t="shared" si="104"/>
        <v>14.75</v>
      </c>
      <c r="D189">
        <f t="shared" si="105"/>
        <v>0</v>
      </c>
      <c r="E189">
        <f t="shared" si="106"/>
        <v>66</v>
      </c>
      <c r="F189">
        <f>IF(C189&gt;=$T$2,0,VLOOKUP($E189,EKM_F05!$A$3:$C$128,2,TRUE))</f>
        <v>1.0438461538461539E-2</v>
      </c>
      <c r="G189">
        <f>F189*'Real assumptions'!$B$3</f>
        <v>4.3559699999999998E-3</v>
      </c>
      <c r="H189">
        <f t="shared" si="123"/>
        <v>3.6372424282604676E-4</v>
      </c>
      <c r="I189">
        <f t="shared" si="124"/>
        <v>1.5885833421393799E-4</v>
      </c>
      <c r="J189">
        <f>IF(B189&gt;$AJ$2,0,HLOOKUP(C189,'Real assumptions'!$B$5:$L$8,4,TRUE))</f>
        <v>3.7900000000000003E-2</v>
      </c>
      <c r="K189">
        <f t="shared" si="93"/>
        <v>1</v>
      </c>
      <c r="L189">
        <f t="shared" si="125"/>
        <v>8.3333333333333329E-2</v>
      </c>
      <c r="M189">
        <f t="shared" si="126"/>
        <v>3.2145624959929453E-3</v>
      </c>
      <c r="N189">
        <f t="shared" si="127"/>
        <v>1.4059802992247509E-3</v>
      </c>
      <c r="O189" s="8">
        <f t="shared" si="107"/>
        <v>0.43589314889897496</v>
      </c>
      <c r="P189">
        <f t="shared" si="108"/>
        <v>10.498991700777927</v>
      </c>
      <c r="Q189">
        <f t="shared" si="128"/>
        <v>0.79429167106969001</v>
      </c>
      <c r="R189" s="89">
        <f t="shared" si="94"/>
        <v>5000</v>
      </c>
      <c r="S189">
        <f t="shared" si="95"/>
        <v>0.16666666666666607</v>
      </c>
      <c r="U189">
        <f>O188*AV188*'Real assumptions'!$B$33/12+AX189*'Real assumptions'!$B$34</f>
        <v>5.2978836546938908</v>
      </c>
      <c r="V189">
        <f>IF(P189=0,0,IF(E189&lt;=$C$7,$AN$5*O188,0))*'Real assumptions'!$D$28</f>
        <v>2.6247479251944816</v>
      </c>
      <c r="X189" s="94">
        <f t="shared" si="109"/>
        <v>0</v>
      </c>
      <c r="Y189">
        <f t="shared" si="96"/>
        <v>24</v>
      </c>
      <c r="Z189">
        <f t="shared" si="129"/>
        <v>84</v>
      </c>
      <c r="AA189">
        <f t="shared" si="97"/>
        <v>84.166666666666671</v>
      </c>
      <c r="AB189">
        <f t="shared" si="110"/>
        <v>50.505050505050505</v>
      </c>
      <c r="AC189">
        <f t="shared" si="130"/>
        <v>4250.8417508417515</v>
      </c>
      <c r="AD189">
        <f t="shared" si="111"/>
        <v>80.505050505050505</v>
      </c>
      <c r="AE189">
        <f t="shared" si="112"/>
        <v>338.79208754208753</v>
      </c>
      <c r="AF189" s="94">
        <f t="shared" si="113"/>
        <v>410.36616161616098</v>
      </c>
      <c r="AG189">
        <f t="shared" si="131"/>
        <v>0.57696673870080251</v>
      </c>
      <c r="AH189">
        <f t="shared" si="114"/>
        <v>178.87579838845409</v>
      </c>
      <c r="AI189">
        <f>HLOOKUP(AW189,'Real assumptions'!$A$21:$AK$24,2,TRUE)</f>
        <v>1.9679</v>
      </c>
      <c r="AJ189" s="123">
        <f t="shared" si="132"/>
        <v>1.6253087084154849E-3</v>
      </c>
      <c r="AK189" s="122">
        <f>(1+HLOOKUP(YEAR(A189),'Real assumptions'!$A$21:$AK$24,2,TRUE)/100)^(1/12)-1</f>
        <v>1.6253087084154849E-3</v>
      </c>
      <c r="AL189">
        <f t="shared" si="133"/>
        <v>5.2978836546938908</v>
      </c>
      <c r="AM189">
        <f>('Real assumptions'!$B$33/12)*O188*AV188</f>
        <v>5.2488418206708864</v>
      </c>
      <c r="AN189">
        <f t="shared" si="115"/>
        <v>182.38081121967193</v>
      </c>
      <c r="AO189">
        <f t="shared" si="137"/>
        <v>0.29642512072321336</v>
      </c>
      <c r="AP189" s="121">
        <f t="shared" si="116"/>
        <v>2.5708140594291669</v>
      </c>
      <c r="AQ189">
        <f t="shared" si="117"/>
        <v>0</v>
      </c>
      <c r="AR189">
        <v>0</v>
      </c>
      <c r="AS189">
        <f t="shared" si="98"/>
        <v>0</v>
      </c>
      <c r="AT189">
        <f t="shared" si="118"/>
        <v>0</v>
      </c>
      <c r="AU189">
        <f>IFERROR(HLOOKUP(B189,'Real assumptions'!$B$43:$AL$44,2,TRUE)*($W$3/$U$2),0)</f>
        <v>0</v>
      </c>
      <c r="AV189">
        <f>AV188*(1+'Real assumptions'!$B$35)^(1/12)</f>
        <v>1.2010932335025912</v>
      </c>
      <c r="AW189">
        <f t="shared" si="99"/>
        <v>2033</v>
      </c>
      <c r="AX189">
        <f t="shared" si="134"/>
        <v>179.02085631976809</v>
      </c>
      <c r="AY189">
        <f t="shared" si="135"/>
        <v>1.8411531461801918</v>
      </c>
      <c r="AZ189">
        <f t="shared" si="100"/>
        <v>531.77940164757945</v>
      </c>
      <c r="BA189">
        <f t="shared" si="119"/>
        <v>3.9960063349649739</v>
      </c>
      <c r="BB189">
        <f t="shared" si="120"/>
        <v>84.166666666666671</v>
      </c>
      <c r="BC189">
        <f t="shared" si="101"/>
        <v>50.5</v>
      </c>
      <c r="BD189">
        <f t="shared" si="121"/>
        <v>0</v>
      </c>
      <c r="BE189">
        <f t="shared" si="102"/>
        <v>24</v>
      </c>
      <c r="BF189">
        <f t="shared" si="136"/>
        <v>5000</v>
      </c>
      <c r="BU189"/>
      <c r="FD189"/>
      <c r="FE189"/>
    </row>
    <row r="190" spans="1:161" x14ac:dyDescent="0.25">
      <c r="A190" s="7">
        <f t="shared" si="122"/>
        <v>48883</v>
      </c>
      <c r="B190">
        <f t="shared" si="103"/>
        <v>179</v>
      </c>
      <c r="C190">
        <f t="shared" si="104"/>
        <v>14.833333333333334</v>
      </c>
      <c r="D190">
        <f t="shared" si="105"/>
        <v>0</v>
      </c>
      <c r="E190">
        <f t="shared" si="106"/>
        <v>66</v>
      </c>
      <c r="F190">
        <f>IF(C190&gt;=$T$2,0,VLOOKUP($E190,EKM_F05!$A$3:$C$128,2,TRUE))</f>
        <v>1.0438461538461539E-2</v>
      </c>
      <c r="G190">
        <f>F190*'Real assumptions'!$B$3</f>
        <v>4.3559699999999998E-3</v>
      </c>
      <c r="H190">
        <f t="shared" si="123"/>
        <v>3.6372424282604676E-4</v>
      </c>
      <c r="I190">
        <f t="shared" si="124"/>
        <v>1.5829007928270698E-4</v>
      </c>
      <c r="J190">
        <f>IF(B190&gt;$AJ$2,0,HLOOKUP(C190,'Real assumptions'!$B$5:$L$8,4,TRUE))</f>
        <v>3.7900000000000003E-2</v>
      </c>
      <c r="K190">
        <f t="shared" si="93"/>
        <v>1</v>
      </c>
      <c r="L190">
        <f t="shared" si="125"/>
        <v>8.3333333333333329E-2</v>
      </c>
      <c r="M190">
        <f t="shared" si="126"/>
        <v>3.2145624959929453E-3</v>
      </c>
      <c r="N190">
        <f t="shared" si="127"/>
        <v>1.4009509424572795E-3</v>
      </c>
      <c r="O190" s="8">
        <f t="shared" si="107"/>
        <v>0.43433390787723497</v>
      </c>
      <c r="P190">
        <f t="shared" si="108"/>
        <v>10.461435573575399</v>
      </c>
      <c r="Q190">
        <f t="shared" si="128"/>
        <v>0.79145039641353487</v>
      </c>
      <c r="R190" s="89">
        <f t="shared" si="94"/>
        <v>5000</v>
      </c>
      <c r="S190">
        <f t="shared" si="95"/>
        <v>8.3333333333333925E-2</v>
      </c>
      <c r="U190">
        <f>O189*AV189*'Real assumptions'!$B$33/12+AX190*'Real assumptions'!$B$34</f>
        <v>5.2849755801948346</v>
      </c>
      <c r="V190">
        <f>IF(P190=0,0,IF(E190&lt;=$C$7,$AN$5*O189,0))*'Real assumptions'!$D$28</f>
        <v>2.6153588933938496</v>
      </c>
      <c r="X190" s="94">
        <f t="shared" si="109"/>
        <v>0</v>
      </c>
      <c r="Y190">
        <f t="shared" si="96"/>
        <v>24</v>
      </c>
      <c r="Z190">
        <f t="shared" si="129"/>
        <v>84</v>
      </c>
      <c r="AA190">
        <f t="shared" si="97"/>
        <v>84.083333333333329</v>
      </c>
      <c r="AB190">
        <f t="shared" si="110"/>
        <v>50.505050505050505</v>
      </c>
      <c r="AC190">
        <f t="shared" si="130"/>
        <v>4246.6329966329968</v>
      </c>
      <c r="AD190">
        <f t="shared" si="111"/>
        <v>80.505050505050505</v>
      </c>
      <c r="AE190">
        <f t="shared" si="112"/>
        <v>338.45664983164977</v>
      </c>
      <c r="AF190" s="94">
        <f t="shared" si="113"/>
        <v>414.91035353535347</v>
      </c>
      <c r="AG190">
        <f t="shared" si="131"/>
        <v>0.58126905082063651</v>
      </c>
      <c r="AH190">
        <f t="shared" si="114"/>
        <v>180.2096352697352</v>
      </c>
      <c r="AI190">
        <f>HLOOKUP(AW190,'Real assumptions'!$A$21:$AK$24,2,TRUE)</f>
        <v>1.9679</v>
      </c>
      <c r="AJ190" s="123">
        <f t="shared" si="132"/>
        <v>1.6253087084154849E-3</v>
      </c>
      <c r="AK190" s="122">
        <f>(1+HLOOKUP(YEAR(A190),'Real assumptions'!$A$21:$AK$24,2,TRUE)/100)^(1/12)-1</f>
        <v>1.6253087084154849E-3</v>
      </c>
      <c r="AL190">
        <f t="shared" si="133"/>
        <v>5.2849755801948346</v>
      </c>
      <c r="AM190">
        <f>('Real assumptions'!$B$33/12)*O189*AV189</f>
        <v>5.2354831167269626</v>
      </c>
      <c r="AN190">
        <f t="shared" si="115"/>
        <v>184.00771354786997</v>
      </c>
      <c r="AO190">
        <f t="shared" si="137"/>
        <v>0.29906933924497509</v>
      </c>
      <c r="AP190" s="121">
        <f t="shared" si="116"/>
        <v>2.8698833986741419</v>
      </c>
      <c r="AQ190">
        <f t="shared" si="117"/>
        <v>0</v>
      </c>
      <c r="AR190">
        <v>0</v>
      </c>
      <c r="AS190">
        <f t="shared" si="98"/>
        <v>0</v>
      </c>
      <c r="AT190">
        <f t="shared" si="118"/>
        <v>0</v>
      </c>
      <c r="AU190">
        <f>IFERROR(HLOOKUP(B190,'Real assumptions'!$B$43:$AL$44,2,TRUE)*($W$3/$U$2),0)</f>
        <v>0</v>
      </c>
      <c r="AV190">
        <f>AV189*(1+'Real assumptions'!$B$35)^(1/12)</f>
        <v>1.2023372610324727</v>
      </c>
      <c r="AW190">
        <f t="shared" si="99"/>
        <v>2033</v>
      </c>
      <c r="AX190">
        <f t="shared" si="134"/>
        <v>180.66582067948508</v>
      </c>
      <c r="AY190">
        <f t="shared" si="135"/>
        <v>1.8345671249956856</v>
      </c>
      <c r="AZ190">
        <f t="shared" si="100"/>
        <v>533.83208899278577</v>
      </c>
      <c r="BA190">
        <f t="shared" si="119"/>
        <v>3.9880783406280207</v>
      </c>
      <c r="BB190">
        <f t="shared" si="120"/>
        <v>84.083333333333329</v>
      </c>
      <c r="BC190">
        <f t="shared" si="101"/>
        <v>50.449999999999996</v>
      </c>
      <c r="BD190">
        <f t="shared" si="121"/>
        <v>0</v>
      </c>
      <c r="BE190">
        <f t="shared" si="102"/>
        <v>24</v>
      </c>
      <c r="BF190">
        <f t="shared" si="136"/>
        <v>5000</v>
      </c>
      <c r="BU190"/>
      <c r="FD190"/>
      <c r="FE190"/>
    </row>
    <row r="191" spans="1:161" x14ac:dyDescent="0.25">
      <c r="A191" s="7">
        <f t="shared" si="122"/>
        <v>48913</v>
      </c>
      <c r="B191">
        <f t="shared" si="103"/>
        <v>180</v>
      </c>
      <c r="C191">
        <f t="shared" si="104"/>
        <v>14.916666666666666</v>
      </c>
      <c r="D191">
        <f t="shared" si="105"/>
        <v>0</v>
      </c>
      <c r="E191">
        <f t="shared" si="106"/>
        <v>66</v>
      </c>
      <c r="F191">
        <f>IF(C191&gt;=$T$2,0,VLOOKUP($E191,EKM_F05!$A$3:$C$128,2,TRUE))</f>
        <v>1.0438461538461539E-2</v>
      </c>
      <c r="G191">
        <f>F191*'Real assumptions'!$B$3</f>
        <v>4.3559699999999998E-3</v>
      </c>
      <c r="H191">
        <f t="shared" si="123"/>
        <v>3.6372424282604676E-4</v>
      </c>
      <c r="I191">
        <f t="shared" si="124"/>
        <v>1.5772385706614887E-4</v>
      </c>
      <c r="J191">
        <f>IF(B191&gt;$AJ$2,0,HLOOKUP(C191,'Real assumptions'!$B$5:$L$8,4,TRUE))</f>
        <v>3.7900000000000003E-2</v>
      </c>
      <c r="K191">
        <f t="shared" si="93"/>
        <v>1</v>
      </c>
      <c r="L191">
        <f t="shared" si="125"/>
        <v>8.3333333333333329E-2</v>
      </c>
      <c r="M191">
        <f t="shared" si="126"/>
        <v>3.2145624959929453E-3</v>
      </c>
      <c r="N191">
        <f t="shared" si="127"/>
        <v>1.3959395762900382E-3</v>
      </c>
      <c r="O191" s="8">
        <f t="shared" si="107"/>
        <v>0.4327802444438788</v>
      </c>
      <c r="P191">
        <f t="shared" si="108"/>
        <v>10.424013789053639</v>
      </c>
      <c r="Q191">
        <f t="shared" si="128"/>
        <v>0.78861928533074432</v>
      </c>
      <c r="R191" s="89">
        <f t="shared" si="94"/>
        <v>5000</v>
      </c>
      <c r="S191">
        <f t="shared" si="95"/>
        <v>1</v>
      </c>
      <c r="U191">
        <f>O190*AV190*'Real assumptions'!$B$33/12+AX191*'Real assumptions'!$B$34</f>
        <v>5.2720989664780102</v>
      </c>
      <c r="V191">
        <f>IF(P191=0,0,IF(E191&lt;=$C$7,$AN$5*O190,0))*'Real assumptions'!$D$28</f>
        <v>2.6060034472634097</v>
      </c>
      <c r="X191" s="94">
        <f t="shared" si="109"/>
        <v>0</v>
      </c>
      <c r="Y191">
        <f t="shared" si="96"/>
        <v>24</v>
      </c>
      <c r="Z191">
        <f t="shared" si="129"/>
        <v>84</v>
      </c>
      <c r="AA191">
        <f t="shared" si="97"/>
        <v>84</v>
      </c>
      <c r="AB191">
        <f t="shared" si="110"/>
        <v>50.505050505050505</v>
      </c>
      <c r="AC191">
        <f t="shared" si="130"/>
        <v>4242.424242424242</v>
      </c>
      <c r="AD191">
        <f t="shared" si="111"/>
        <v>80.505050505050505</v>
      </c>
      <c r="AE191">
        <f t="shared" si="112"/>
        <v>338.12121212121212</v>
      </c>
      <c r="AF191" s="94">
        <f t="shared" si="113"/>
        <v>419.45454545454584</v>
      </c>
      <c r="AG191">
        <f t="shared" si="131"/>
        <v>0.58553320045474921</v>
      </c>
      <c r="AH191">
        <f t="shared" si="114"/>
        <v>181.53164071491443</v>
      </c>
      <c r="AI191">
        <f>HLOOKUP(AW191,'Real assumptions'!$A$21:$AK$24,2,TRUE)</f>
        <v>1.9679</v>
      </c>
      <c r="AJ191" s="123">
        <f t="shared" si="132"/>
        <v>1.6253087084154849E-3</v>
      </c>
      <c r="AK191" s="122">
        <f>(1+HLOOKUP(YEAR(A191),'Real assumptions'!$A$21:$AK$24,2,TRUE)/100)^(1/12)-1</f>
        <v>1.6253087084154849E-3</v>
      </c>
      <c r="AL191">
        <f t="shared" si="133"/>
        <v>5.2720989664780102</v>
      </c>
      <c r="AM191">
        <f>('Real assumptions'!$B$33/12)*O190*AV190</f>
        <v>5.2221584117064506</v>
      </c>
      <c r="AN191">
        <f t="shared" si="115"/>
        <v>185.62543004372156</v>
      </c>
      <c r="AO191">
        <f t="shared" si="137"/>
        <v>0.30169862795343005</v>
      </c>
      <c r="AP191" s="121">
        <f t="shared" si="116"/>
        <v>3.171582026627572</v>
      </c>
      <c r="AQ191">
        <f t="shared" si="117"/>
        <v>0</v>
      </c>
      <c r="AR191">
        <v>0</v>
      </c>
      <c r="AS191">
        <f t="shared" si="98"/>
        <v>0</v>
      </c>
      <c r="AT191">
        <f t="shared" si="118"/>
        <v>0</v>
      </c>
      <c r="AU191">
        <f>IFERROR(HLOOKUP(B191,'Real assumptions'!$B$43:$AL$44,2,TRUE)*($W$3/$U$2),0)</f>
        <v>0</v>
      </c>
      <c r="AV191">
        <f>AV190*(1+'Real assumptions'!$B$35)^(1/12)</f>
        <v>1.2035825770589104</v>
      </c>
      <c r="AW191">
        <f t="shared" si="99"/>
        <v>2033</v>
      </c>
      <c r="AX191">
        <f t="shared" si="134"/>
        <v>182.3015198839289</v>
      </c>
      <c r="AY191">
        <f t="shared" si="135"/>
        <v>1.8280046627829754</v>
      </c>
      <c r="AZ191">
        <f t="shared" si="100"/>
        <v>535.87148982538417</v>
      </c>
      <c r="BA191">
        <f t="shared" si="119"/>
        <v>3.9801559330489029</v>
      </c>
      <c r="BB191">
        <f t="shared" si="120"/>
        <v>84</v>
      </c>
      <c r="BC191">
        <f t="shared" si="101"/>
        <v>50.4</v>
      </c>
      <c r="BD191">
        <f t="shared" si="121"/>
        <v>0</v>
      </c>
      <c r="BE191">
        <f t="shared" si="102"/>
        <v>24</v>
      </c>
      <c r="BF191">
        <f t="shared" si="136"/>
        <v>5000</v>
      </c>
      <c r="BU191"/>
      <c r="FD191"/>
      <c r="FE191"/>
    </row>
    <row r="192" spans="1:161" x14ac:dyDescent="0.25">
      <c r="A192" s="7">
        <f t="shared" si="122"/>
        <v>48944</v>
      </c>
      <c r="B192">
        <f t="shared" si="103"/>
        <v>181</v>
      </c>
      <c r="C192">
        <f t="shared" si="104"/>
        <v>15</v>
      </c>
      <c r="D192">
        <f t="shared" si="105"/>
        <v>1</v>
      </c>
      <c r="E192">
        <f t="shared" si="106"/>
        <v>67</v>
      </c>
      <c r="F192">
        <f>IF(C192&gt;=$T$2,0,VLOOKUP($E192,EKM_F05!$A$3:$C$128,2,TRUE))</f>
        <v>1.282653846153846E-2</v>
      </c>
      <c r="G192">
        <f>F192*'Real assumptions'!$B$3</f>
        <v>5.3525144999999998E-3</v>
      </c>
      <c r="H192">
        <f t="shared" si="123"/>
        <v>4.4714087998032337E-4</v>
      </c>
      <c r="I192">
        <f t="shared" si="124"/>
        <v>1.9320270833426658E-4</v>
      </c>
      <c r="J192">
        <f>IF(B192&gt;$AJ$2,0,HLOOKUP(C192,'Real assumptions'!$B$5:$L$8,4,TRUE))</f>
        <v>3.7900000000000003E-2</v>
      </c>
      <c r="K192">
        <f t="shared" si="93"/>
        <v>1</v>
      </c>
      <c r="L192">
        <f t="shared" si="125"/>
        <v>8.3333333333333329E-2</v>
      </c>
      <c r="M192">
        <f t="shared" si="126"/>
        <v>3.2145624959929453E-3</v>
      </c>
      <c r="N192">
        <f t="shared" si="127"/>
        <v>1.390888111791483E-3</v>
      </c>
      <c r="O192" s="8">
        <f t="shared" si="107"/>
        <v>0.43119615362375302</v>
      </c>
      <c r="P192">
        <f t="shared" si="108"/>
        <v>10.386725866653091</v>
      </c>
      <c r="Q192">
        <f t="shared" si="128"/>
        <v>0.96601354167133291</v>
      </c>
      <c r="R192" s="89">
        <f t="shared" si="94"/>
        <v>5000</v>
      </c>
      <c r="S192">
        <f t="shared" si="95"/>
        <v>0.91666666666666607</v>
      </c>
      <c r="U192">
        <f>O191*AV191*'Real assumptions'!$B$33/12+AX192*'Real assumptions'!$B$34</f>
        <v>5.2592537415373046</v>
      </c>
      <c r="V192">
        <f>IF(P192=0,0,IF(E192&lt;=$C$7,$AN$5*O191,0))*'Real assumptions'!$D$28</f>
        <v>2.5966814666632727</v>
      </c>
      <c r="X192" s="94">
        <f t="shared" si="109"/>
        <v>0</v>
      </c>
      <c r="Y192">
        <f t="shared" si="96"/>
        <v>24</v>
      </c>
      <c r="Z192">
        <f t="shared" si="129"/>
        <v>84</v>
      </c>
      <c r="AA192">
        <f t="shared" si="97"/>
        <v>83.916666666666671</v>
      </c>
      <c r="AB192">
        <f t="shared" si="110"/>
        <v>50.505050505050505</v>
      </c>
      <c r="AC192">
        <f t="shared" si="130"/>
        <v>4238.2154882154882</v>
      </c>
      <c r="AD192">
        <f t="shared" si="111"/>
        <v>80.505050505050505</v>
      </c>
      <c r="AE192">
        <f t="shared" si="112"/>
        <v>337.78577441077442</v>
      </c>
      <c r="AF192" s="94">
        <f t="shared" si="113"/>
        <v>423.99873737373736</v>
      </c>
      <c r="AG192">
        <f t="shared" si="131"/>
        <v>0.58973480322773042</v>
      </c>
      <c r="AH192">
        <f t="shared" si="114"/>
        <v>182.82662469688336</v>
      </c>
      <c r="AI192">
        <f>HLOOKUP(AW192,'Real assumptions'!$A$21:$AK$24,2,TRUE)</f>
        <v>1.9679</v>
      </c>
      <c r="AJ192" s="123">
        <f t="shared" si="132"/>
        <v>1.6253087084154849E-3</v>
      </c>
      <c r="AK192" s="122">
        <f>(1+HLOOKUP(YEAR(A192),'Real assumptions'!$A$21:$AK$24,2,TRUE)/100)^(1/12)-1</f>
        <v>1.6253087084154849E-3</v>
      </c>
      <c r="AL192">
        <f t="shared" si="133"/>
        <v>5.2592537415373046</v>
      </c>
      <c r="AM192">
        <f>('Real assumptions'!$B$33/12)*O191*AV191</f>
        <v>5.2088676190794887</v>
      </c>
      <c r="AN192">
        <f t="shared" si="115"/>
        <v>187.23401339999452</v>
      </c>
      <c r="AO192">
        <f t="shared" si="137"/>
        <v>0.3043130724905927</v>
      </c>
      <c r="AP192" s="121">
        <f t="shared" si="116"/>
        <v>0</v>
      </c>
      <c r="AQ192">
        <f t="shared" si="117"/>
        <v>0</v>
      </c>
      <c r="AR192">
        <v>0</v>
      </c>
      <c r="AS192">
        <f t="shared" si="98"/>
        <v>0</v>
      </c>
      <c r="AT192">
        <f t="shared" si="118"/>
        <v>0</v>
      </c>
      <c r="AU192">
        <f>IFERROR(HLOOKUP(B192,'Real assumptions'!$B$43:$AL$44,2,TRUE)*($W$3/$U$2),0)</f>
        <v>0</v>
      </c>
      <c r="AV192">
        <f>AV191*(1+'Real assumptions'!$B$35)^(1/12)</f>
        <v>1.2048291829164595</v>
      </c>
      <c r="AW192">
        <f t="shared" si="99"/>
        <v>2033</v>
      </c>
      <c r="AX192">
        <f t="shared" si="134"/>
        <v>183.92800695014756</v>
      </c>
      <c r="AY192">
        <f t="shared" si="135"/>
        <v>1.8214656752688501</v>
      </c>
      <c r="AZ192">
        <f t="shared" si="100"/>
        <v>537.7174887379424</v>
      </c>
      <c r="BA192">
        <f t="shared" si="119"/>
        <v>4.1524298115623361</v>
      </c>
      <c r="BB192">
        <f t="shared" si="120"/>
        <v>83.916666666666671</v>
      </c>
      <c r="BC192">
        <f t="shared" si="101"/>
        <v>50.35</v>
      </c>
      <c r="BD192">
        <f t="shared" si="121"/>
        <v>0</v>
      </c>
      <c r="BE192">
        <f t="shared" si="102"/>
        <v>24</v>
      </c>
      <c r="BF192">
        <f t="shared" si="136"/>
        <v>5000</v>
      </c>
      <c r="BU192"/>
      <c r="FD192"/>
      <c r="FE192"/>
    </row>
    <row r="193" spans="1:161" x14ac:dyDescent="0.25">
      <c r="A193" s="7">
        <f t="shared" si="122"/>
        <v>48975</v>
      </c>
      <c r="B193">
        <f t="shared" si="103"/>
        <v>182</v>
      </c>
      <c r="C193">
        <f t="shared" si="104"/>
        <v>15.083333333333332</v>
      </c>
      <c r="D193">
        <f t="shared" si="105"/>
        <v>0</v>
      </c>
      <c r="E193">
        <f t="shared" si="106"/>
        <v>67</v>
      </c>
      <c r="F193">
        <f>IF(C193&gt;=$T$2,0,VLOOKUP($E193,EKM_F05!$A$3:$C$128,2,TRUE))</f>
        <v>1.282653846153846E-2</v>
      </c>
      <c r="G193">
        <f>F193*'Real assumptions'!$B$3</f>
        <v>5.3525144999999998E-3</v>
      </c>
      <c r="H193">
        <f t="shared" si="123"/>
        <v>4.4714087998032337E-4</v>
      </c>
      <c r="I193">
        <f t="shared" si="124"/>
        <v>1.9249553502720165E-4</v>
      </c>
      <c r="J193">
        <f>IF(B193&gt;$AJ$2,0,HLOOKUP(C193,'Real assumptions'!$B$5:$L$8,4,TRUE))</f>
        <v>3.7900000000000003E-2</v>
      </c>
      <c r="K193">
        <f t="shared" si="93"/>
        <v>1</v>
      </c>
      <c r="L193">
        <f t="shared" si="125"/>
        <v>8.3333333333333329E-2</v>
      </c>
      <c r="M193">
        <f t="shared" si="126"/>
        <v>3.2145624959929453E-3</v>
      </c>
      <c r="N193">
        <f t="shared" si="127"/>
        <v>1.385797091307075E-3</v>
      </c>
      <c r="O193" s="8">
        <f t="shared" si="107"/>
        <v>0.42961786099741872</v>
      </c>
      <c r="P193">
        <f t="shared" si="108"/>
        <v>10.348707686970073</v>
      </c>
      <c r="Q193">
        <f t="shared" si="128"/>
        <v>0.96247767513600824</v>
      </c>
      <c r="R193" s="89">
        <f t="shared" si="94"/>
        <v>5000</v>
      </c>
      <c r="S193">
        <f t="shared" si="95"/>
        <v>0.83333333333333393</v>
      </c>
      <c r="U193">
        <f>O192*AV192*'Real assumptions'!$B$33/12+AX193*'Real assumptions'!$B$34</f>
        <v>5.2450499099572827</v>
      </c>
      <c r="V193">
        <f>IF(P193=0,0,IF(E193&lt;=$C$7,$AN$5*O192,0))*'Real assumptions'!$D$28</f>
        <v>2.5871769217425182</v>
      </c>
      <c r="X193" s="94">
        <f t="shared" si="109"/>
        <v>0</v>
      </c>
      <c r="Y193">
        <f t="shared" si="96"/>
        <v>24</v>
      </c>
      <c r="Z193">
        <f t="shared" si="129"/>
        <v>83</v>
      </c>
      <c r="AA193">
        <f t="shared" si="97"/>
        <v>83.833333333333329</v>
      </c>
      <c r="AB193">
        <f t="shared" si="110"/>
        <v>50.505050505050505</v>
      </c>
      <c r="AC193">
        <f t="shared" si="130"/>
        <v>4234.0067340067335</v>
      </c>
      <c r="AD193">
        <f t="shared" si="111"/>
        <v>80.505050505050505</v>
      </c>
      <c r="AE193">
        <f t="shared" si="112"/>
        <v>337.45033670033666</v>
      </c>
      <c r="AF193" s="94">
        <f t="shared" si="113"/>
        <v>428.54292929292984</v>
      </c>
      <c r="AG193">
        <f t="shared" si="131"/>
        <v>0.59387354491435562</v>
      </c>
      <c r="AH193">
        <f t="shared" si="114"/>
        <v>184.10969662839656</v>
      </c>
      <c r="AI193">
        <f>HLOOKUP(AW193,'Real assumptions'!$A$21:$AK$24,2,TRUE)</f>
        <v>1.7808999999999999</v>
      </c>
      <c r="AJ193" s="123">
        <f t="shared" si="132"/>
        <v>1.4721056298669932E-3</v>
      </c>
      <c r="AK193" s="122">
        <f>(1+HLOOKUP(YEAR(A193),'Real assumptions'!$A$21:$AK$24,2,TRUE)/100)^(1/12)-1</f>
        <v>1.4721056298669932E-3</v>
      </c>
      <c r="AL193">
        <f t="shared" si="133"/>
        <v>5.2450499099572827</v>
      </c>
      <c r="AM193">
        <f>('Real assumptions'!$B$33/12)*O192*AV192</f>
        <v>5.1951770944722648</v>
      </c>
      <c r="AN193">
        <f t="shared" si="115"/>
        <v>185.34310555215362</v>
      </c>
      <c r="AO193">
        <f t="shared" si="137"/>
        <v>0.27284462914035773</v>
      </c>
      <c r="AP193" s="121">
        <f t="shared" si="116"/>
        <v>0.27284462914035773</v>
      </c>
      <c r="AQ193">
        <f t="shared" si="117"/>
        <v>0</v>
      </c>
      <c r="AR193">
        <v>0</v>
      </c>
      <c r="AS193">
        <f t="shared" si="98"/>
        <v>0</v>
      </c>
      <c r="AT193">
        <f t="shared" si="118"/>
        <v>0</v>
      </c>
      <c r="AU193">
        <f>IFERROR(HLOOKUP(B193,'Real assumptions'!$B$43:$AL$44,2,TRUE)*($W$3/$U$2),0)</f>
        <v>0</v>
      </c>
      <c r="AV193">
        <f>AV192*(1+'Real assumptions'!$B$35)^(1/12)</f>
        <v>1.2060770799410574</v>
      </c>
      <c r="AW193">
        <f t="shared" si="99"/>
        <v>2034</v>
      </c>
      <c r="AX193">
        <f t="shared" si="134"/>
        <v>182.05424640150343</v>
      </c>
      <c r="AY193">
        <f t="shared" si="135"/>
        <v>1.8147986263625968</v>
      </c>
      <c r="AZ193">
        <f t="shared" si="100"/>
        <v>539.46919531561139</v>
      </c>
      <c r="BA193">
        <f t="shared" si="119"/>
        <v>4.1435281417928822</v>
      </c>
      <c r="BB193">
        <f t="shared" si="120"/>
        <v>83.833333333333329</v>
      </c>
      <c r="BC193">
        <f t="shared" si="101"/>
        <v>50.3</v>
      </c>
      <c r="BD193">
        <f t="shared" si="121"/>
        <v>0</v>
      </c>
      <c r="BE193">
        <f t="shared" si="102"/>
        <v>24</v>
      </c>
      <c r="BF193">
        <f t="shared" si="136"/>
        <v>5000</v>
      </c>
      <c r="BU193"/>
      <c r="FD193"/>
      <c r="FE193"/>
    </row>
    <row r="194" spans="1:161" x14ac:dyDescent="0.25">
      <c r="A194" s="7">
        <f t="shared" si="122"/>
        <v>49003</v>
      </c>
      <c r="B194">
        <f t="shared" si="103"/>
        <v>183</v>
      </c>
      <c r="C194">
        <f t="shared" si="104"/>
        <v>15.166666666666668</v>
      </c>
      <c r="D194">
        <f t="shared" si="105"/>
        <v>0</v>
      </c>
      <c r="E194">
        <f t="shared" si="106"/>
        <v>67</v>
      </c>
      <c r="F194">
        <f>IF(C194&gt;=$T$2,0,VLOOKUP($E194,EKM_F05!$A$3:$C$128,2,TRUE))</f>
        <v>1.282653846153846E-2</v>
      </c>
      <c r="G194">
        <f>F194*'Real assumptions'!$B$3</f>
        <v>5.3525144999999998E-3</v>
      </c>
      <c r="H194">
        <f t="shared" si="123"/>
        <v>4.4714087998032337E-4</v>
      </c>
      <c r="I194">
        <f t="shared" si="124"/>
        <v>1.9179095016255834E-4</v>
      </c>
      <c r="J194">
        <f>IF(B194&gt;$AJ$2,0,HLOOKUP(C194,'Real assumptions'!$B$5:$L$8,4,TRUE))</f>
        <v>3.7900000000000003E-2</v>
      </c>
      <c r="K194">
        <f t="shared" si="93"/>
        <v>1</v>
      </c>
      <c r="L194">
        <f t="shared" si="125"/>
        <v>8.3333333333333329E-2</v>
      </c>
      <c r="M194">
        <f t="shared" si="126"/>
        <v>3.2145624959929453E-3</v>
      </c>
      <c r="N194">
        <f t="shared" si="127"/>
        <v>1.3807247053119207E-3</v>
      </c>
      <c r="O194" s="8">
        <f t="shared" si="107"/>
        <v>0.42804534534194422</v>
      </c>
      <c r="P194">
        <f t="shared" si="108"/>
        <v>10.31082866393805</v>
      </c>
      <c r="Q194">
        <f t="shared" si="128"/>
        <v>0.95895475081279169</v>
      </c>
      <c r="R194" s="89">
        <f t="shared" si="94"/>
        <v>5000</v>
      </c>
      <c r="S194">
        <f t="shared" si="95"/>
        <v>0.75</v>
      </c>
      <c r="U194">
        <f>O193*AV193*'Real assumptions'!$B$33/12+AX194*'Real assumptions'!$B$34</f>
        <v>5.2318223780427209</v>
      </c>
      <c r="V194">
        <f>IF(P194=0,0,IF(E194&lt;=$C$7,$AN$5*O193,0))*'Real assumptions'!$D$28</f>
        <v>2.5777071659845125</v>
      </c>
      <c r="X194" s="94">
        <f t="shared" si="109"/>
        <v>0</v>
      </c>
      <c r="Y194">
        <f t="shared" si="96"/>
        <v>24</v>
      </c>
      <c r="Z194">
        <f t="shared" si="129"/>
        <v>83</v>
      </c>
      <c r="AA194">
        <f t="shared" si="97"/>
        <v>83.75</v>
      </c>
      <c r="AB194">
        <f t="shared" si="110"/>
        <v>50.505050505050505</v>
      </c>
      <c r="AC194">
        <f t="shared" si="130"/>
        <v>4229.7979797979797</v>
      </c>
      <c r="AD194">
        <f t="shared" si="111"/>
        <v>80.505050505050505</v>
      </c>
      <c r="AE194">
        <f t="shared" si="112"/>
        <v>337.11489898989896</v>
      </c>
      <c r="AF194" s="94">
        <f t="shared" si="113"/>
        <v>433.08712121212136</v>
      </c>
      <c r="AG194">
        <f t="shared" si="131"/>
        <v>0.59797408780999439</v>
      </c>
      <c r="AH194">
        <f t="shared" si="114"/>
        <v>185.38092636239094</v>
      </c>
      <c r="AI194">
        <f>HLOOKUP(AW194,'Real assumptions'!$A$21:$AK$24,2,TRUE)</f>
        <v>1.7808999999999999</v>
      </c>
      <c r="AJ194" s="123">
        <f t="shared" si="132"/>
        <v>1.4721056298669932E-3</v>
      </c>
      <c r="AK194" s="122">
        <f>(1+HLOOKUP(YEAR(A194),'Real assumptions'!$A$21:$AK$24,2,TRUE)/100)^(1/12)-1</f>
        <v>1.4721056298669932E-3</v>
      </c>
      <c r="AL194">
        <f t="shared" si="133"/>
        <v>5.2318223780427209</v>
      </c>
      <c r="AM194">
        <f>('Real assumptions'!$B$33/12)*O193*AV193</f>
        <v>5.1815225528228988</v>
      </c>
      <c r="AN194">
        <f t="shared" si="115"/>
        <v>186.88384037744774</v>
      </c>
      <c r="AO194">
        <f t="shared" si="137"/>
        <v>0.27511275355080533</v>
      </c>
      <c r="AP194" s="121">
        <f t="shared" si="116"/>
        <v>0.54795738269116301</v>
      </c>
      <c r="AQ194">
        <f t="shared" si="117"/>
        <v>0</v>
      </c>
      <c r="AR194">
        <v>0</v>
      </c>
      <c r="AS194">
        <f t="shared" si="98"/>
        <v>0</v>
      </c>
      <c r="AT194">
        <f t="shared" si="118"/>
        <v>0</v>
      </c>
      <c r="AU194">
        <f>IFERROR(HLOOKUP(B194,'Real assumptions'!$B$43:$AL$44,2,TRUE)*($W$3/$U$2),0)</f>
        <v>0</v>
      </c>
      <c r="AV194">
        <f>AV193*(1+'Real assumptions'!$B$35)^(1/12)</f>
        <v>1.2073262694700253</v>
      </c>
      <c r="AW194">
        <f t="shared" si="99"/>
        <v>2034</v>
      </c>
      <c r="AX194">
        <f t="shared" si="134"/>
        <v>183.61299007218128</v>
      </c>
      <c r="AY194">
        <f t="shared" si="135"/>
        <v>1.8081559806288665</v>
      </c>
      <c r="AZ194">
        <f t="shared" si="100"/>
        <v>541.20772123646339</v>
      </c>
      <c r="BA194">
        <f t="shared" si="119"/>
        <v>4.134636004607299</v>
      </c>
      <c r="BB194">
        <f t="shared" si="120"/>
        <v>83.75</v>
      </c>
      <c r="BC194">
        <f t="shared" si="101"/>
        <v>50.25</v>
      </c>
      <c r="BD194">
        <f t="shared" si="121"/>
        <v>0</v>
      </c>
      <c r="BE194">
        <f t="shared" si="102"/>
        <v>24</v>
      </c>
      <c r="BF194">
        <f t="shared" si="136"/>
        <v>5000</v>
      </c>
      <c r="BU194"/>
      <c r="FD194"/>
      <c r="FE194"/>
    </row>
    <row r="195" spans="1:161" x14ac:dyDescent="0.25">
      <c r="A195" s="7">
        <f t="shared" si="122"/>
        <v>49034</v>
      </c>
      <c r="B195">
        <f t="shared" si="103"/>
        <v>184</v>
      </c>
      <c r="C195">
        <f t="shared" si="104"/>
        <v>15.25</v>
      </c>
      <c r="D195">
        <f t="shared" si="105"/>
        <v>0</v>
      </c>
      <c r="E195">
        <f t="shared" si="106"/>
        <v>67</v>
      </c>
      <c r="F195">
        <f>IF(C195&gt;=$T$2,0,VLOOKUP($E195,EKM_F05!$A$3:$C$128,2,TRUE))</f>
        <v>1.282653846153846E-2</v>
      </c>
      <c r="G195">
        <f>F195*'Real assumptions'!$B$3</f>
        <v>5.3525144999999998E-3</v>
      </c>
      <c r="H195">
        <f t="shared" si="123"/>
        <v>4.4714087998032337E-4</v>
      </c>
      <c r="I195">
        <f t="shared" si="124"/>
        <v>1.9108894426594884E-4</v>
      </c>
      <c r="J195">
        <f>IF(B195&gt;$AJ$2,0,HLOOKUP(C195,'Real assumptions'!$B$5:$L$8,4,TRUE))</f>
        <v>3.7900000000000003E-2</v>
      </c>
      <c r="K195">
        <f t="shared" si="93"/>
        <v>1</v>
      </c>
      <c r="L195">
        <f t="shared" si="125"/>
        <v>8.3333333333333329E-2</v>
      </c>
      <c r="M195">
        <f t="shared" si="126"/>
        <v>3.2145624959929453E-3</v>
      </c>
      <c r="N195">
        <f t="shared" si="127"/>
        <v>1.375670885598833E-3</v>
      </c>
      <c r="O195" s="8">
        <f t="shared" si="107"/>
        <v>0.42647858551207946</v>
      </c>
      <c r="P195">
        <f t="shared" si="108"/>
        <v>10.273088288206662</v>
      </c>
      <c r="Q195">
        <f t="shared" si="128"/>
        <v>0.95544472132974423</v>
      </c>
      <c r="R195" s="89">
        <f t="shared" si="94"/>
        <v>5000</v>
      </c>
      <c r="S195">
        <f t="shared" si="95"/>
        <v>0.66666666666666607</v>
      </c>
      <c r="U195">
        <f>O194*AV194*'Real assumptions'!$B$33/12+AX195*'Real assumptions'!$B$34</f>
        <v>5.2186281089092219</v>
      </c>
      <c r="V195">
        <f>IF(P195=0,0,IF(E195&lt;=$C$7,$AN$5*O194,0))*'Real assumptions'!$D$28</f>
        <v>2.5682720720516654</v>
      </c>
      <c r="X195" s="94">
        <f t="shared" si="109"/>
        <v>0</v>
      </c>
      <c r="Y195">
        <f t="shared" si="96"/>
        <v>24</v>
      </c>
      <c r="Z195">
        <f t="shared" si="129"/>
        <v>83</v>
      </c>
      <c r="AA195">
        <f t="shared" si="97"/>
        <v>83.666666666666671</v>
      </c>
      <c r="AB195">
        <f t="shared" si="110"/>
        <v>50.505050505050505</v>
      </c>
      <c r="AC195">
        <f t="shared" si="130"/>
        <v>4225.5892255892259</v>
      </c>
      <c r="AD195">
        <f t="shared" si="111"/>
        <v>80.505050505050505</v>
      </c>
      <c r="AE195">
        <f t="shared" si="112"/>
        <v>336.77946127946126</v>
      </c>
      <c r="AF195" s="94">
        <f t="shared" si="113"/>
        <v>437.63131313131288</v>
      </c>
      <c r="AG195">
        <f t="shared" si="131"/>
        <v>0.60203665610113344</v>
      </c>
      <c r="AH195">
        <f t="shared" si="114"/>
        <v>186.64038340003623</v>
      </c>
      <c r="AI195">
        <f>HLOOKUP(AW195,'Real assumptions'!$A$21:$AK$24,2,TRUE)</f>
        <v>1.7808999999999999</v>
      </c>
      <c r="AJ195" s="123">
        <f t="shared" si="132"/>
        <v>1.4721056298669932E-3</v>
      </c>
      <c r="AK195" s="122">
        <f>(1+HLOOKUP(YEAR(A195),'Real assumptions'!$A$21:$AK$24,2,TRUE)/100)^(1/12)-1</f>
        <v>1.4721056298669932E-3</v>
      </c>
      <c r="AL195">
        <f t="shared" si="133"/>
        <v>5.2186281089092219</v>
      </c>
      <c r="AM195">
        <f>('Real assumptions'!$B$33/12)*O194*AV194</f>
        <v>5.1679038995569817</v>
      </c>
      <c r="AN195">
        <f t="shared" si="115"/>
        <v>188.41507185232788</v>
      </c>
      <c r="AO195">
        <f t="shared" si="137"/>
        <v>0.27736688802560594</v>
      </c>
      <c r="AP195" s="121">
        <f t="shared" si="116"/>
        <v>0.82532427071676895</v>
      </c>
      <c r="AQ195">
        <f t="shared" si="117"/>
        <v>0</v>
      </c>
      <c r="AR195">
        <v>0</v>
      </c>
      <c r="AS195">
        <f t="shared" si="98"/>
        <v>0</v>
      </c>
      <c r="AT195">
        <f t="shared" si="118"/>
        <v>0</v>
      </c>
      <c r="AU195">
        <f>IFERROR(HLOOKUP(B195,'Real assumptions'!$B$43:$AL$44,2,TRUE)*($W$3/$U$2),0)</f>
        <v>0</v>
      </c>
      <c r="AV195">
        <f>AV194*(1+'Real assumptions'!$B$35)^(1/12)</f>
        <v>1.2085767528420694</v>
      </c>
      <c r="AW195">
        <f t="shared" si="99"/>
        <v>2034</v>
      </c>
      <c r="AX195">
        <f t="shared" si="134"/>
        <v>185.16214932177598</v>
      </c>
      <c r="AY195">
        <f t="shared" si="135"/>
        <v>1.8015376487455563</v>
      </c>
      <c r="AZ195">
        <f t="shared" si="100"/>
        <v>542.93314289963791</v>
      </c>
      <c r="BA195">
        <f t="shared" si="119"/>
        <v>4.1257534494825432</v>
      </c>
      <c r="BB195">
        <f t="shared" si="120"/>
        <v>83.666666666666671</v>
      </c>
      <c r="BC195">
        <f t="shared" si="101"/>
        <v>50.2</v>
      </c>
      <c r="BD195">
        <f t="shared" si="121"/>
        <v>0</v>
      </c>
      <c r="BE195">
        <f t="shared" si="102"/>
        <v>24</v>
      </c>
      <c r="BF195">
        <f t="shared" si="136"/>
        <v>5000</v>
      </c>
      <c r="BU195"/>
      <c r="FD195"/>
      <c r="FE195"/>
    </row>
    <row r="196" spans="1:161" x14ac:dyDescent="0.25">
      <c r="A196" s="7">
        <f t="shared" si="122"/>
        <v>49064</v>
      </c>
      <c r="B196">
        <f t="shared" si="103"/>
        <v>185</v>
      </c>
      <c r="C196">
        <f t="shared" si="104"/>
        <v>15.333333333333332</v>
      </c>
      <c r="D196">
        <f t="shared" si="105"/>
        <v>0</v>
      </c>
      <c r="E196">
        <f t="shared" si="106"/>
        <v>67</v>
      </c>
      <c r="F196">
        <f>IF(C196&gt;=$T$2,0,VLOOKUP($E196,EKM_F05!$A$3:$C$128,2,TRUE))</f>
        <v>1.282653846153846E-2</v>
      </c>
      <c r="G196">
        <f>F196*'Real assumptions'!$B$3</f>
        <v>5.3525144999999998E-3</v>
      </c>
      <c r="H196">
        <f t="shared" si="123"/>
        <v>4.4714087998032337E-4</v>
      </c>
      <c r="I196">
        <f t="shared" si="124"/>
        <v>1.9038950789766409E-4</v>
      </c>
      <c r="J196">
        <f>IF(B196&gt;$AJ$2,0,HLOOKUP(C196,'Real assumptions'!$B$5:$L$8,4,TRUE))</f>
        <v>3.7900000000000003E-2</v>
      </c>
      <c r="K196">
        <f t="shared" si="93"/>
        <v>1</v>
      </c>
      <c r="L196">
        <f t="shared" si="125"/>
        <v>8.3333333333333329E-2</v>
      </c>
      <c r="M196">
        <f t="shared" si="126"/>
        <v>3.2145624959929453E-3</v>
      </c>
      <c r="N196">
        <f t="shared" si="127"/>
        <v>1.3706355642102801E-3</v>
      </c>
      <c r="O196" s="8">
        <f t="shared" si="107"/>
        <v>0.42491756043997148</v>
      </c>
      <c r="P196">
        <f t="shared" si="108"/>
        <v>10.235486052289907</v>
      </c>
      <c r="Q196">
        <f t="shared" si="128"/>
        <v>0.95194753948832045</v>
      </c>
      <c r="R196" s="89">
        <f t="shared" si="94"/>
        <v>5000</v>
      </c>
      <c r="S196">
        <f t="shared" si="95"/>
        <v>0.58333333333333393</v>
      </c>
      <c r="U196">
        <f>O195*AV195*'Real assumptions'!$B$33/12+AX196*'Real assumptions'!$B$34</f>
        <v>5.2054670234483371</v>
      </c>
      <c r="V196">
        <f>IF(P196=0,0,IF(E196&lt;=$C$7,$AN$5*O195,0))*'Real assumptions'!$D$28</f>
        <v>2.5588715130724768</v>
      </c>
      <c r="X196" s="94">
        <f t="shared" si="109"/>
        <v>0</v>
      </c>
      <c r="Y196">
        <f t="shared" si="96"/>
        <v>24</v>
      </c>
      <c r="Z196">
        <f t="shared" si="129"/>
        <v>83</v>
      </c>
      <c r="AA196">
        <f t="shared" si="97"/>
        <v>83.583333333333329</v>
      </c>
      <c r="AB196">
        <f t="shared" si="110"/>
        <v>50.505050505050505</v>
      </c>
      <c r="AC196">
        <f t="shared" si="130"/>
        <v>4221.3804713804711</v>
      </c>
      <c r="AD196">
        <f t="shared" si="111"/>
        <v>80.505050505050505</v>
      </c>
      <c r="AE196">
        <f t="shared" si="112"/>
        <v>336.44402356902356</v>
      </c>
      <c r="AF196" s="94">
        <f>MAX(($AI$2+$Y$2-AC196-AE196+X196+BD196),0)</f>
        <v>442.17550505050531</v>
      </c>
      <c r="AG196">
        <f t="shared" si="131"/>
        <v>0.60606147284486489</v>
      </c>
      <c r="AH196">
        <f t="shared" si="114"/>
        <v>187.88813689237301</v>
      </c>
      <c r="AI196">
        <f>HLOOKUP(AW196,'Real assumptions'!$A$21:$AK$24,2,TRUE)</f>
        <v>1.7808999999999999</v>
      </c>
      <c r="AJ196" s="123">
        <f t="shared" si="132"/>
        <v>1.4721056298669932E-3</v>
      </c>
      <c r="AK196" s="122">
        <f>(1+HLOOKUP(YEAR(A196),'Real assumptions'!$A$21:$AK$24,2,TRUE)/100)^(1/12)-1</f>
        <v>1.4721056298669932E-3</v>
      </c>
      <c r="AL196">
        <f t="shared" si="133"/>
        <v>5.2054670234483371</v>
      </c>
      <c r="AM196">
        <f>('Real assumptions'!$B$33/12)*O195*AV195</f>
        <v>5.1543210403486786</v>
      </c>
      <c r="AN196">
        <f t="shared" si="115"/>
        <v>189.93685518652208</v>
      </c>
      <c r="AO196">
        <f t="shared" si="137"/>
        <v>0.27960711383931097</v>
      </c>
      <c r="AP196" s="121">
        <f t="shared" si="116"/>
        <v>1.10493138455608</v>
      </c>
      <c r="AQ196">
        <f t="shared" si="117"/>
        <v>0</v>
      </c>
      <c r="AR196">
        <v>0</v>
      </c>
      <c r="AS196">
        <f t="shared" si="98"/>
        <v>0</v>
      </c>
      <c r="AT196">
        <f t="shared" si="118"/>
        <v>0</v>
      </c>
      <c r="AU196">
        <f>IFERROR(HLOOKUP(B196,'Real assumptions'!$B$43:$AL$44,2,TRUE)*($W$3/$U$2),0)</f>
        <v>0</v>
      </c>
      <c r="AV196">
        <f>AV195*(1+'Real assumptions'!$B$35)^(1/12)</f>
        <v>1.2098285313972827</v>
      </c>
      <c r="AW196">
        <f t="shared" si="99"/>
        <v>2034</v>
      </c>
      <c r="AX196">
        <f t="shared" si="134"/>
        <v>186.70177969939803</v>
      </c>
      <c r="AY196">
        <f t="shared" si="135"/>
        <v>1.7949435417175059</v>
      </c>
      <c r="AZ196">
        <f t="shared" si="100"/>
        <v>544.64553633937771</v>
      </c>
      <c r="BA196">
        <f t="shared" si="119"/>
        <v>4.1168805254056622</v>
      </c>
      <c r="BB196">
        <f t="shared" si="120"/>
        <v>83.583333333333329</v>
      </c>
      <c r="BC196">
        <f t="shared" si="101"/>
        <v>50.149999999999991</v>
      </c>
      <c r="BD196">
        <f t="shared" si="121"/>
        <v>0</v>
      </c>
      <c r="BE196">
        <f t="shared" si="102"/>
        <v>24</v>
      </c>
      <c r="BF196">
        <f t="shared" si="136"/>
        <v>5000</v>
      </c>
      <c r="BU196"/>
      <c r="FD196"/>
      <c r="FE196"/>
    </row>
    <row r="197" spans="1:161" x14ac:dyDescent="0.25">
      <c r="A197" s="7">
        <f t="shared" si="122"/>
        <v>49095</v>
      </c>
      <c r="B197">
        <f t="shared" si="103"/>
        <v>186</v>
      </c>
      <c r="C197">
        <f t="shared" si="104"/>
        <v>15.416666666666668</v>
      </c>
      <c r="D197">
        <f t="shared" si="105"/>
        <v>0</v>
      </c>
      <c r="E197">
        <f t="shared" si="106"/>
        <v>67</v>
      </c>
      <c r="F197">
        <f>IF(C197&gt;=$T$2,0,VLOOKUP($E197,EKM_F05!$A$3:$C$128,2,TRUE))</f>
        <v>1.282653846153846E-2</v>
      </c>
      <c r="G197">
        <f>F197*'Real assumptions'!$B$3</f>
        <v>5.3525144999999998E-3</v>
      </c>
      <c r="H197">
        <f t="shared" si="123"/>
        <v>4.4714087998032337E-4</v>
      </c>
      <c r="I197">
        <f t="shared" si="124"/>
        <v>1.8969263165254688E-4</v>
      </c>
      <c r="J197">
        <f>IF(B197&gt;$AJ$2,0,HLOOKUP(C197,'Real assumptions'!$B$5:$L$8,4,TRUE))</f>
        <v>3.7900000000000003E-2</v>
      </c>
      <c r="K197">
        <f t="shared" si="93"/>
        <v>1</v>
      </c>
      <c r="L197">
        <f t="shared" si="125"/>
        <v>8.3333333333333329E-2</v>
      </c>
      <c r="M197">
        <f t="shared" si="126"/>
        <v>3.2145624959929453E-3</v>
      </c>
      <c r="N197">
        <f t="shared" si="127"/>
        <v>1.3656186734374736E-3</v>
      </c>
      <c r="O197" s="8">
        <f t="shared" si="107"/>
        <v>0.42336224913488146</v>
      </c>
      <c r="P197">
        <f t="shared" si="108"/>
        <v>10.198021450559315</v>
      </c>
      <c r="Q197">
        <f t="shared" si="128"/>
        <v>0.94846315826273442</v>
      </c>
      <c r="R197" s="89">
        <f t="shared" si="94"/>
        <v>5000</v>
      </c>
      <c r="S197">
        <f t="shared" si="95"/>
        <v>0.5</v>
      </c>
      <c r="U197">
        <f>O196*AV196*'Real assumptions'!$B$33/12+AX197*'Real assumptions'!$B$34</f>
        <v>5.1923390427258491</v>
      </c>
      <c r="V197">
        <f>IF(P197=0,0,IF(E197&lt;=$C$7,$AN$5*O196,0))*'Real assumptions'!$D$28</f>
        <v>2.5495053626398287</v>
      </c>
      <c r="X197" s="94">
        <f t="shared" si="109"/>
        <v>0</v>
      </c>
      <c r="Y197">
        <f t="shared" si="96"/>
        <v>24</v>
      </c>
      <c r="Z197">
        <f t="shared" si="129"/>
        <v>83</v>
      </c>
      <c r="AA197">
        <f t="shared" si="97"/>
        <v>83.5</v>
      </c>
      <c r="AB197">
        <f t="shared" si="110"/>
        <v>50.505050505050505</v>
      </c>
      <c r="AC197">
        <f t="shared" si="130"/>
        <v>4217.1717171717173</v>
      </c>
      <c r="AD197">
        <f t="shared" si="111"/>
        <v>80.505050505050505</v>
      </c>
      <c r="AE197">
        <f t="shared" si="112"/>
        <v>336.10858585858585</v>
      </c>
      <c r="AF197" s="94">
        <f t="shared" si="113"/>
        <v>446.71969696969683</v>
      </c>
      <c r="AG197">
        <f>IF(B197&lt;=$C$8,0,AF197*N197)</f>
        <v>0.61004875997414754</v>
      </c>
      <c r="AH197">
        <f t="shared" si="114"/>
        <v>189.12425564194353</v>
      </c>
      <c r="AI197">
        <f>HLOOKUP(AW197,'Real assumptions'!$A$21:$AK$24,2,TRUE)</f>
        <v>1.7808999999999999</v>
      </c>
      <c r="AJ197" s="123">
        <f t="shared" si="132"/>
        <v>1.4721056298669932E-3</v>
      </c>
      <c r="AK197" s="122">
        <f>(1+HLOOKUP(YEAR(A197),'Real assumptions'!$A$21:$AK$24,2,TRUE)/100)^(1/12)-1</f>
        <v>1.4721056298669932E-3</v>
      </c>
      <c r="AL197">
        <f t="shared" si="133"/>
        <v>5.1923390427258491</v>
      </c>
      <c r="AM197">
        <f>('Real assumptions'!$B$33/12)*O196*AV196</f>
        <v>5.1407738811200678</v>
      </c>
      <c r="AN197">
        <f t="shared" si="115"/>
        <v>191.44924532212275</v>
      </c>
      <c r="AO197">
        <f t="shared" si="137"/>
        <v>0.28183351187248401</v>
      </c>
      <c r="AP197" s="121">
        <f t="shared" si="116"/>
        <v>1.3867648964285639</v>
      </c>
      <c r="AQ197">
        <f t="shared" si="117"/>
        <v>0</v>
      </c>
      <c r="AR197">
        <v>0</v>
      </c>
      <c r="AS197">
        <f t="shared" si="98"/>
        <v>0</v>
      </c>
      <c r="AT197">
        <f t="shared" si="118"/>
        <v>0</v>
      </c>
      <c r="AU197">
        <f>IFERROR(HLOOKUP(B197,'Real assumptions'!$B$43:$AL$44,2,TRUE)*($W$3/$U$2),0)</f>
        <v>0</v>
      </c>
      <c r="AV197">
        <f>AV196*(1+'Real assumptions'!$B$35)^(1/12)</f>
        <v>1.2110816064771459</v>
      </c>
      <c r="AW197">
        <f t="shared" si="99"/>
        <v>2034</v>
      </c>
      <c r="AX197">
        <f t="shared" si="134"/>
        <v>188.23193648516457</v>
      </c>
      <c r="AY197">
        <f t="shared" si="135"/>
        <v>1.7883735708753008</v>
      </c>
      <c r="AZ197">
        <f t="shared" si="100"/>
        <v>546.34497722666151</v>
      </c>
      <c r="BA197">
        <f t="shared" si="119"/>
        <v>4.1080172808767106</v>
      </c>
      <c r="BB197">
        <f t="shared" si="120"/>
        <v>83.5</v>
      </c>
      <c r="BC197">
        <f t="shared" si="101"/>
        <v>50.099999999999994</v>
      </c>
      <c r="BD197">
        <f t="shared" si="121"/>
        <v>0</v>
      </c>
      <c r="BE197">
        <f t="shared" si="102"/>
        <v>24</v>
      </c>
      <c r="BF197">
        <f t="shared" si="136"/>
        <v>5000</v>
      </c>
      <c r="BU197"/>
      <c r="FD197"/>
      <c r="FE197"/>
    </row>
    <row r="198" spans="1:161" x14ac:dyDescent="0.25">
      <c r="A198" s="7">
        <f t="shared" si="122"/>
        <v>49125</v>
      </c>
      <c r="B198">
        <f t="shared" si="103"/>
        <v>187</v>
      </c>
      <c r="C198">
        <f t="shared" si="104"/>
        <v>15.5</v>
      </c>
      <c r="D198">
        <f t="shared" si="105"/>
        <v>0</v>
      </c>
      <c r="E198">
        <f t="shared" si="106"/>
        <v>67</v>
      </c>
      <c r="F198">
        <f>IF(C198&gt;=$T$2,0,VLOOKUP($E198,EKM_F05!$A$3:$C$128,2,TRUE))</f>
        <v>1.282653846153846E-2</v>
      </c>
      <c r="G198">
        <f>F198*'Real assumptions'!$B$3</f>
        <v>5.3525144999999998E-3</v>
      </c>
      <c r="H198">
        <f t="shared" si="123"/>
        <v>4.4714087998032337E-4</v>
      </c>
      <c r="I198">
        <f t="shared" si="124"/>
        <v>1.8899830615986545E-4</v>
      </c>
      <c r="J198">
        <f>IF(B198&gt;$AJ$2,0,HLOOKUP(C198,'Real assumptions'!$B$5:$L$8,4,TRUE))</f>
        <v>3.7900000000000003E-2</v>
      </c>
      <c r="K198">
        <f t="shared" si="93"/>
        <v>1</v>
      </c>
      <c r="L198">
        <f t="shared" si="125"/>
        <v>8.3333333333333329E-2</v>
      </c>
      <c r="M198">
        <f t="shared" si="126"/>
        <v>3.2145624959929453E-3</v>
      </c>
      <c r="N198">
        <f t="shared" si="127"/>
        <v>1.3606201458194573E-3</v>
      </c>
      <c r="O198" s="8">
        <f t="shared" si="107"/>
        <v>0.42181263068290215</v>
      </c>
      <c r="P198">
        <f t="shared" si="108"/>
        <v>10.160693979237156</v>
      </c>
      <c r="Q198">
        <f t="shared" si="128"/>
        <v>0.9449915307993273</v>
      </c>
      <c r="R198" s="89">
        <f t="shared" si="94"/>
        <v>5000</v>
      </c>
      <c r="S198">
        <f t="shared" si="95"/>
        <v>0.41666666666666607</v>
      </c>
      <c r="U198">
        <f>O197*AV197*'Real assumptions'!$B$33/12+AX198*'Real assumptions'!$B$34</f>
        <v>5.1792440879814556</v>
      </c>
      <c r="V198">
        <f>IF(P198=0,0,IF(E198&lt;=$C$7,$AN$5*O197,0))*'Real assumptions'!$D$28</f>
        <v>2.5401734948092889</v>
      </c>
      <c r="X198" s="94">
        <f t="shared" si="109"/>
        <v>0</v>
      </c>
      <c r="Y198">
        <f t="shared" si="96"/>
        <v>24</v>
      </c>
      <c r="Z198">
        <f t="shared" si="129"/>
        <v>83</v>
      </c>
      <c r="AA198">
        <f t="shared" si="97"/>
        <v>83.416666666666671</v>
      </c>
      <c r="AB198">
        <f t="shared" si="110"/>
        <v>50.505050505050505</v>
      </c>
      <c r="AC198">
        <f t="shared" si="130"/>
        <v>4212.9629629629635</v>
      </c>
      <c r="AD198">
        <f t="shared" si="111"/>
        <v>80.505050505050505</v>
      </c>
      <c r="AE198">
        <f t="shared" si="112"/>
        <v>335.77314814814815</v>
      </c>
      <c r="AF198" s="94">
        <f t="shared" si="113"/>
        <v>451.26388888888835</v>
      </c>
      <c r="AG198">
        <f t="shared" si="131"/>
        <v>0.61399873830305463</v>
      </c>
      <c r="AH198">
        <f t="shared" si="114"/>
        <v>190.34880810441885</v>
      </c>
      <c r="AI198">
        <f>HLOOKUP(AW198,'Real assumptions'!$A$21:$AK$24,2,TRUE)</f>
        <v>1.7808999999999999</v>
      </c>
      <c r="AJ198" s="123">
        <f t="shared" si="132"/>
        <v>1.4721056298669932E-3</v>
      </c>
      <c r="AK198" s="122">
        <f>(1+HLOOKUP(YEAR(A198),'Real assumptions'!$A$21:$AK$24,2,TRUE)/100)^(1/12)-1</f>
        <v>1.4721056298669932E-3</v>
      </c>
      <c r="AL198">
        <f t="shared" si="133"/>
        <v>5.1792440879814556</v>
      </c>
      <c r="AM198">
        <f>('Real assumptions'!$B$33/12)*O197*AV197</f>
        <v>5.1272623280404988</v>
      </c>
      <c r="AN198">
        <f t="shared" si="115"/>
        <v>192.95229693481849</v>
      </c>
      <c r="AO198">
        <f t="shared" si="137"/>
        <v>0.28404616261351406</v>
      </c>
      <c r="AP198" s="121">
        <f t="shared" si="116"/>
        <v>1.6708110590420779</v>
      </c>
      <c r="AQ198">
        <f t="shared" si="117"/>
        <v>0</v>
      </c>
      <c r="AR198">
        <v>0</v>
      </c>
      <c r="AS198">
        <f t="shared" si="98"/>
        <v>0</v>
      </c>
      <c r="AT198">
        <f t="shared" si="118"/>
        <v>0</v>
      </c>
      <c r="AU198">
        <f>IFERROR(HLOOKUP(B198,'Real assumptions'!$B$43:$AL$44,2,TRUE)*($W$3/$U$2),0)</f>
        <v>0</v>
      </c>
      <c r="AV198">
        <f>AV197*(1+'Real assumptions'!$B$35)^(1/12)</f>
        <v>1.2123359794245292</v>
      </c>
      <c r="AW198">
        <f t="shared" si="99"/>
        <v>2034</v>
      </c>
      <c r="AX198">
        <f t="shared" si="134"/>
        <v>189.75267469143688</v>
      </c>
      <c r="AY198">
        <f t="shared" si="135"/>
        <v>1.7818276478740802</v>
      </c>
      <c r="AZ198">
        <f t="shared" si="100"/>
        <v>548.03154087083044</v>
      </c>
      <c r="BA198">
        <f t="shared" si="119"/>
        <v>4.0991637639116707</v>
      </c>
      <c r="BB198">
        <f t="shared" si="120"/>
        <v>83.416666666666671</v>
      </c>
      <c r="BC198">
        <f t="shared" si="101"/>
        <v>50.05</v>
      </c>
      <c r="BD198">
        <f t="shared" si="121"/>
        <v>0</v>
      </c>
      <c r="BE198">
        <f t="shared" si="102"/>
        <v>24</v>
      </c>
      <c r="BF198">
        <f t="shared" si="136"/>
        <v>5000</v>
      </c>
      <c r="BU198"/>
      <c r="FD198"/>
      <c r="FE198"/>
    </row>
    <row r="199" spans="1:161" x14ac:dyDescent="0.25">
      <c r="A199" s="7">
        <f t="shared" si="122"/>
        <v>49156</v>
      </c>
      <c r="B199">
        <f t="shared" si="103"/>
        <v>188</v>
      </c>
      <c r="C199">
        <f t="shared" si="104"/>
        <v>15.583333333333332</v>
      </c>
      <c r="D199">
        <f t="shared" si="105"/>
        <v>0</v>
      </c>
      <c r="E199">
        <f t="shared" si="106"/>
        <v>67</v>
      </c>
      <c r="F199">
        <f>IF(C199&gt;=$T$2,0,VLOOKUP($E199,EKM_F05!$A$3:$C$128,2,TRUE))</f>
        <v>1.282653846153846E-2</v>
      </c>
      <c r="G199">
        <f>F199*'Real assumptions'!$B$3</f>
        <v>5.3525144999999998E-3</v>
      </c>
      <c r="H199">
        <f t="shared" si="123"/>
        <v>4.4714087998032337E-4</v>
      </c>
      <c r="I199">
        <f t="shared" si="124"/>
        <v>1.8830652208318727E-4</v>
      </c>
      <c r="J199">
        <f>IF(B199&gt;$AJ$2,0,HLOOKUP(C199,'Real assumptions'!$B$5:$L$8,4,TRUE))</f>
        <v>3.7900000000000003E-2</v>
      </c>
      <c r="K199">
        <f t="shared" si="93"/>
        <v>1</v>
      </c>
      <c r="L199">
        <f t="shared" si="125"/>
        <v>8.3333333333333329E-2</v>
      </c>
      <c r="M199">
        <f t="shared" si="126"/>
        <v>3.2145624959929453E-3</v>
      </c>
      <c r="N199">
        <f t="shared" si="127"/>
        <v>1.3556399141421995E-3</v>
      </c>
      <c r="O199" s="8">
        <f t="shared" si="107"/>
        <v>0.42026868424667674</v>
      </c>
      <c r="P199">
        <f t="shared" si="108"/>
        <v>10.123503136389651</v>
      </c>
      <c r="Q199">
        <f t="shared" si="128"/>
        <v>0.94153261041593628</v>
      </c>
      <c r="R199" s="89">
        <f t="shared" si="94"/>
        <v>5000</v>
      </c>
      <c r="S199">
        <f t="shared" si="95"/>
        <v>0.33333333333333393</v>
      </c>
      <c r="U199">
        <f>O198*AV198*'Real assumptions'!$B$33/12+AX199*'Real assumptions'!$B$34</f>
        <v>5.1661820806284569</v>
      </c>
      <c r="V199">
        <f>IF(P199=0,0,IF(E199&lt;=$C$7,$AN$5*O198,0))*'Real assumptions'!$D$28</f>
        <v>2.5308757840974128</v>
      </c>
      <c r="X199" s="94">
        <f t="shared" si="109"/>
        <v>0</v>
      </c>
      <c r="Y199">
        <f t="shared" si="96"/>
        <v>24</v>
      </c>
      <c r="Z199">
        <f t="shared" si="129"/>
        <v>83</v>
      </c>
      <c r="AA199">
        <f t="shared" si="97"/>
        <v>83.333333333333329</v>
      </c>
      <c r="AB199">
        <f t="shared" si="110"/>
        <v>50.505050505050505</v>
      </c>
      <c r="AC199">
        <f t="shared" si="130"/>
        <v>4208.7542087542088</v>
      </c>
      <c r="AD199">
        <f t="shared" si="111"/>
        <v>80.505050505050505</v>
      </c>
      <c r="AE199">
        <f t="shared" si="112"/>
        <v>335.43771043771039</v>
      </c>
      <c r="AF199" s="94">
        <f t="shared" si="113"/>
        <v>455.80808080808083</v>
      </c>
      <c r="AG199">
        <f t="shared" si="131"/>
        <v>0.61791162753198747</v>
      </c>
      <c r="AH199">
        <f t="shared" si="114"/>
        <v>191.56186239021503</v>
      </c>
      <c r="AI199">
        <f>HLOOKUP(AW199,'Real assumptions'!$A$21:$AK$24,2,TRUE)</f>
        <v>1.7808999999999999</v>
      </c>
      <c r="AJ199" s="123">
        <f t="shared" si="132"/>
        <v>1.4721056298669932E-3</v>
      </c>
      <c r="AK199" s="122">
        <f>(1+HLOOKUP(YEAR(A199),'Real assumptions'!$A$21:$AK$24,2,TRUE)/100)^(1/12)-1</f>
        <v>1.4721056298669932E-3</v>
      </c>
      <c r="AL199">
        <f t="shared" si="133"/>
        <v>5.1661820806284569</v>
      </c>
      <c r="AM199">
        <f>('Real assumptions'!$B$33/12)*O198*AV198</f>
        <v>5.1137862875259339</v>
      </c>
      <c r="AN199">
        <f t="shared" si="115"/>
        <v>194.4460644351247</v>
      </c>
      <c r="AO199">
        <f t="shared" si="137"/>
        <v>0.28624514616042718</v>
      </c>
      <c r="AP199" s="121">
        <f t="shared" si="116"/>
        <v>1.9570562052025051</v>
      </c>
      <c r="AQ199">
        <f t="shared" si="117"/>
        <v>0</v>
      </c>
      <c r="AR199">
        <v>0</v>
      </c>
      <c r="AS199">
        <f t="shared" si="98"/>
        <v>0</v>
      </c>
      <c r="AT199">
        <f t="shared" si="118"/>
        <v>0</v>
      </c>
      <c r="AU199">
        <f>IFERROR(HLOOKUP(B199,'Real assumptions'!$B$43:$AL$44,2,TRUE)*($W$3/$U$2),0)</f>
        <v>0</v>
      </c>
      <c r="AV199">
        <f>AV198*(1+'Real assumptions'!$B$35)^(1/12)</f>
        <v>1.2135916515836935</v>
      </c>
      <c r="AW199">
        <f t="shared" si="99"/>
        <v>2034</v>
      </c>
      <c r="AX199">
        <f t="shared" si="134"/>
        <v>191.26404906405585</v>
      </c>
      <c r="AY199">
        <f t="shared" si="135"/>
        <v>1.775305684692349</v>
      </c>
      <c r="AZ199">
        <f t="shared" si="100"/>
        <v>549.70530222120692</v>
      </c>
      <c r="BA199">
        <f t="shared" si="119"/>
        <v>4.0903200220453364</v>
      </c>
      <c r="BB199">
        <f t="shared" si="120"/>
        <v>83.333333333333329</v>
      </c>
      <c r="BC199">
        <f t="shared" si="101"/>
        <v>50</v>
      </c>
      <c r="BD199">
        <f t="shared" si="121"/>
        <v>0</v>
      </c>
      <c r="BE199">
        <f t="shared" si="102"/>
        <v>24</v>
      </c>
      <c r="BF199">
        <f t="shared" si="136"/>
        <v>5000</v>
      </c>
      <c r="BU199"/>
      <c r="FD199"/>
      <c r="FE199"/>
    </row>
    <row r="200" spans="1:161" x14ac:dyDescent="0.25">
      <c r="A200" s="7">
        <f t="shared" si="122"/>
        <v>49187</v>
      </c>
      <c r="B200">
        <f t="shared" si="103"/>
        <v>189</v>
      </c>
      <c r="C200">
        <f t="shared" si="104"/>
        <v>15.666666666666668</v>
      </c>
      <c r="D200">
        <f t="shared" si="105"/>
        <v>0</v>
      </c>
      <c r="E200">
        <f t="shared" si="106"/>
        <v>67</v>
      </c>
      <c r="F200">
        <f>IF(C200&gt;=$T$2,0,VLOOKUP($E200,EKM_F05!$A$3:$C$128,2,TRUE))</f>
        <v>1.282653846153846E-2</v>
      </c>
      <c r="G200">
        <f>F200*'Real assumptions'!$B$3</f>
        <v>5.3525144999999998E-3</v>
      </c>
      <c r="H200">
        <f t="shared" si="123"/>
        <v>4.4714087998032337E-4</v>
      </c>
      <c r="I200">
        <f t="shared" si="124"/>
        <v>1.8761727012025378E-4</v>
      </c>
      <c r="J200">
        <f>IF(B200&gt;$AJ$2,0,HLOOKUP(C200,'Real assumptions'!$B$5:$L$8,4,TRUE))</f>
        <v>3.7900000000000003E-2</v>
      </c>
      <c r="K200">
        <f t="shared" si="93"/>
        <v>1</v>
      </c>
      <c r="L200">
        <f t="shared" si="125"/>
        <v>8.3333333333333329E-2</v>
      </c>
      <c r="M200">
        <f t="shared" si="126"/>
        <v>3.2145624959929453E-3</v>
      </c>
      <c r="N200">
        <f t="shared" si="127"/>
        <v>1.3506779114376903E-3</v>
      </c>
      <c r="O200" s="8">
        <f t="shared" si="107"/>
        <v>0.41873038906511884</v>
      </c>
      <c r="P200">
        <f t="shared" si="108"/>
        <v>10.086448421920242</v>
      </c>
      <c r="Q200">
        <f t="shared" si="128"/>
        <v>0.93808635060126888</v>
      </c>
      <c r="R200" s="89">
        <f t="shared" si="94"/>
        <v>5000</v>
      </c>
      <c r="S200">
        <f t="shared" si="95"/>
        <v>0.25</v>
      </c>
      <c r="U200">
        <f>O199*AV199*'Real assumptions'!$B$33/12+AX200*'Real assumptions'!$B$34</f>
        <v>5.1531529422534481</v>
      </c>
      <c r="V200">
        <f>IF(P200=0,0,IF(E200&lt;=$C$7,$AN$5*O199,0))*'Real assumptions'!$D$28</f>
        <v>2.5216121054800604</v>
      </c>
      <c r="X200" s="94">
        <f t="shared" si="109"/>
        <v>0</v>
      </c>
      <c r="Y200">
        <f t="shared" si="96"/>
        <v>24</v>
      </c>
      <c r="Z200">
        <f t="shared" si="129"/>
        <v>83</v>
      </c>
      <c r="AA200">
        <f t="shared" si="97"/>
        <v>83.25</v>
      </c>
      <c r="AB200">
        <f t="shared" si="110"/>
        <v>50.505050505050505</v>
      </c>
      <c r="AC200">
        <f t="shared" si="130"/>
        <v>4204.545454545455</v>
      </c>
      <c r="AD200">
        <f t="shared" si="111"/>
        <v>80.505050505050505</v>
      </c>
      <c r="AE200">
        <f t="shared" si="112"/>
        <v>335.10227272727269</v>
      </c>
      <c r="AF200" s="94">
        <f t="shared" si="113"/>
        <v>460.35227272727235</v>
      </c>
      <c r="AG200">
        <f t="shared" si="131"/>
        <v>0.6217876462528662</v>
      </c>
      <c r="AH200">
        <f t="shared" si="114"/>
        <v>192.76348626610243</v>
      </c>
      <c r="AI200">
        <f>HLOOKUP(AW200,'Real assumptions'!$A$21:$AK$24,2,TRUE)</f>
        <v>1.7808999999999999</v>
      </c>
      <c r="AJ200" s="123">
        <f t="shared" si="132"/>
        <v>1.4721056298669932E-3</v>
      </c>
      <c r="AK200" s="122">
        <f>(1+HLOOKUP(YEAR(A200),'Real assumptions'!$A$21:$AK$24,2,TRUE)/100)^(1/12)-1</f>
        <v>1.4721056298669932E-3</v>
      </c>
      <c r="AL200">
        <f t="shared" si="133"/>
        <v>5.1531529422534481</v>
      </c>
      <c r="AM200">
        <f>('Real assumptions'!$B$33/12)*O199*AV199</f>
        <v>5.1003456662383027</v>
      </c>
      <c r="AN200">
        <f t="shared" si="115"/>
        <v>195.93060196960425</v>
      </c>
      <c r="AO200">
        <f t="shared" si="137"/>
        <v>0.28843054222268344</v>
      </c>
      <c r="AP200" s="121">
        <f t="shared" si="116"/>
        <v>2.2454867474251885</v>
      </c>
      <c r="AQ200">
        <f t="shared" si="117"/>
        <v>0</v>
      </c>
      <c r="AR200">
        <v>0</v>
      </c>
      <c r="AS200">
        <f t="shared" si="98"/>
        <v>0</v>
      </c>
      <c r="AT200">
        <f t="shared" si="118"/>
        <v>0</v>
      </c>
      <c r="AU200">
        <f>IFERROR(HLOOKUP(B200,'Real assumptions'!$B$43:$AL$44,2,TRUE)*($W$3/$U$2),0)</f>
        <v>0</v>
      </c>
      <c r="AV200">
        <f>AV199*(1+'Real assumptions'!$B$35)^(1/12)</f>
        <v>1.2148486243002925</v>
      </c>
      <c r="AW200">
        <f t="shared" si="99"/>
        <v>2034</v>
      </c>
      <c r="AX200">
        <f t="shared" si="134"/>
        <v>192.76611408356823</v>
      </c>
      <c r="AY200">
        <f t="shared" si="135"/>
        <v>1.7688075936307943</v>
      </c>
      <c r="AZ200">
        <f t="shared" si="100"/>
        <v>551.3663358687071</v>
      </c>
      <c r="BA200">
        <f t="shared" si="119"/>
        <v>4.0814861023341953</v>
      </c>
      <c r="BB200">
        <f t="shared" si="120"/>
        <v>83.25</v>
      </c>
      <c r="BC200">
        <f t="shared" si="101"/>
        <v>49.95</v>
      </c>
      <c r="BD200">
        <f t="shared" si="121"/>
        <v>0</v>
      </c>
      <c r="BE200">
        <f t="shared" si="102"/>
        <v>24</v>
      </c>
      <c r="BF200">
        <f t="shared" si="136"/>
        <v>5000</v>
      </c>
      <c r="BU200"/>
      <c r="FD200"/>
      <c r="FE200"/>
    </row>
    <row r="201" spans="1:161" x14ac:dyDescent="0.25">
      <c r="A201" s="7">
        <f t="shared" si="122"/>
        <v>49217</v>
      </c>
      <c r="B201">
        <f t="shared" si="103"/>
        <v>190</v>
      </c>
      <c r="C201">
        <f t="shared" si="104"/>
        <v>15.75</v>
      </c>
      <c r="D201">
        <f t="shared" si="105"/>
        <v>0</v>
      </c>
      <c r="E201">
        <f t="shared" si="106"/>
        <v>67</v>
      </c>
      <c r="F201">
        <f>IF(C201&gt;=$T$2,0,VLOOKUP($E201,EKM_F05!$A$3:$C$128,2,TRUE))</f>
        <v>1.282653846153846E-2</v>
      </c>
      <c r="G201">
        <f>F201*'Real assumptions'!$B$3</f>
        <v>5.3525144999999998E-3</v>
      </c>
      <c r="H201">
        <f t="shared" si="123"/>
        <v>4.4714087998032337E-4</v>
      </c>
      <c r="I201">
        <f t="shared" si="124"/>
        <v>1.8693054100285509E-4</v>
      </c>
      <c r="J201">
        <f>IF(B201&gt;$AJ$2,0,HLOOKUP(C201,'Real assumptions'!$B$5:$L$8,4,TRUE))</f>
        <v>3.7900000000000003E-2</v>
      </c>
      <c r="K201">
        <f t="shared" si="93"/>
        <v>1</v>
      </c>
      <c r="L201">
        <f t="shared" si="125"/>
        <v>8.3333333333333329E-2</v>
      </c>
      <c r="M201">
        <f t="shared" si="126"/>
        <v>3.2145624959929453E-3</v>
      </c>
      <c r="N201">
        <f t="shared" si="127"/>
        <v>1.3457340709830401E-3</v>
      </c>
      <c r="O201" s="8">
        <f t="shared" si="107"/>
        <v>0.41719772445313297</v>
      </c>
      <c r="P201">
        <f t="shared" si="108"/>
        <v>10.049529337562852</v>
      </c>
      <c r="Q201">
        <f t="shared" si="128"/>
        <v>0.93465270501427544</v>
      </c>
      <c r="R201" s="89">
        <f t="shared" si="94"/>
        <v>5000</v>
      </c>
      <c r="S201">
        <f t="shared" si="95"/>
        <v>0.16666666666666607</v>
      </c>
      <c r="U201">
        <f>O200*AV200*'Real assumptions'!$B$33/12+AX201*'Real assumptions'!$B$34</f>
        <v>5.1401565946160037</v>
      </c>
      <c r="V201">
        <f>IF(P201=0,0,IF(E201&lt;=$C$7,$AN$5*O200,0))*'Real assumptions'!$D$28</f>
        <v>2.512382334390713</v>
      </c>
      <c r="X201" s="94">
        <f t="shared" si="109"/>
        <v>0</v>
      </c>
      <c r="Y201">
        <f t="shared" si="96"/>
        <v>24</v>
      </c>
      <c r="Z201">
        <f t="shared" si="129"/>
        <v>83</v>
      </c>
      <c r="AA201">
        <f t="shared" si="97"/>
        <v>83.166666666666671</v>
      </c>
      <c r="AB201">
        <f t="shared" si="110"/>
        <v>50.505050505050505</v>
      </c>
      <c r="AC201">
        <f t="shared" si="130"/>
        <v>4200.3367003367002</v>
      </c>
      <c r="AD201">
        <f t="shared" si="111"/>
        <v>80.505050505050505</v>
      </c>
      <c r="AE201">
        <f t="shared" si="112"/>
        <v>334.76683501683505</v>
      </c>
      <c r="AF201" s="94">
        <f t="shared" si="113"/>
        <v>464.89646464646472</v>
      </c>
      <c r="AG201">
        <f t="shared" si="131"/>
        <v>0.62562701195430992</v>
      </c>
      <c r="AH201">
        <f t="shared" si="114"/>
        <v>193.95374715681146</v>
      </c>
      <c r="AI201">
        <f>HLOOKUP(AW201,'Real assumptions'!$A$21:$AK$24,2,TRUE)</f>
        <v>1.7808999999999999</v>
      </c>
      <c r="AJ201" s="123">
        <f t="shared" si="132"/>
        <v>1.4721056298669932E-3</v>
      </c>
      <c r="AK201" s="122">
        <f>(1+HLOOKUP(YEAR(A201),'Real assumptions'!$A$21:$AK$24,2,TRUE)/100)^(1/12)-1</f>
        <v>1.4721056298669932E-3</v>
      </c>
      <c r="AL201">
        <f t="shared" si="133"/>
        <v>5.1401565946160037</v>
      </c>
      <c r="AM201">
        <f>('Real assumptions'!$B$33/12)*O200*AV200</f>
        <v>5.0869403710848582</v>
      </c>
      <c r="AN201">
        <f t="shared" si="115"/>
        <v>197.40596342208377</v>
      </c>
      <c r="AO201">
        <f t="shared" si="137"/>
        <v>0.29060243012296727</v>
      </c>
      <c r="AP201" s="121">
        <f t="shared" si="116"/>
        <v>2.5360891775481558</v>
      </c>
      <c r="AQ201">
        <f t="shared" si="117"/>
        <v>0</v>
      </c>
      <c r="AR201">
        <v>0</v>
      </c>
      <c r="AS201">
        <f t="shared" si="98"/>
        <v>0</v>
      </c>
      <c r="AT201">
        <f t="shared" si="118"/>
        <v>0</v>
      </c>
      <c r="AU201">
        <f>IFERROR(HLOOKUP(B201,'Real assumptions'!$B$43:$AL$44,2,TRUE)*($W$3/$U$2),0)</f>
        <v>0</v>
      </c>
      <c r="AV201">
        <f>AV200*(1+'Real assumptions'!$B$35)^(1/12)</f>
        <v>1.2161068989213732</v>
      </c>
      <c r="AW201">
        <f t="shared" si="99"/>
        <v>2034</v>
      </c>
      <c r="AX201">
        <f t="shared" si="134"/>
        <v>194.25892396644801</v>
      </c>
      <c r="AY201">
        <f t="shared" si="135"/>
        <v>1.7623332873111062</v>
      </c>
      <c r="AZ201">
        <f t="shared" si="100"/>
        <v>553.01471604744609</v>
      </c>
      <c r="BA201">
        <f t="shared" si="119"/>
        <v>4.0726620513592984</v>
      </c>
      <c r="BB201">
        <f t="shared" si="120"/>
        <v>83.166666666666671</v>
      </c>
      <c r="BC201">
        <f t="shared" si="101"/>
        <v>49.900000000000006</v>
      </c>
      <c r="BD201">
        <f t="shared" si="121"/>
        <v>0</v>
      </c>
      <c r="BE201">
        <f t="shared" si="102"/>
        <v>24</v>
      </c>
      <c r="BF201">
        <f t="shared" si="136"/>
        <v>5000</v>
      </c>
      <c r="BU201"/>
      <c r="FD201"/>
      <c r="FE201"/>
    </row>
    <row r="202" spans="1:161" x14ac:dyDescent="0.25">
      <c r="A202" s="7">
        <f t="shared" si="122"/>
        <v>49248</v>
      </c>
      <c r="B202">
        <f t="shared" si="103"/>
        <v>191</v>
      </c>
      <c r="C202">
        <f t="shared" si="104"/>
        <v>15.833333333333332</v>
      </c>
      <c r="D202">
        <f t="shared" si="105"/>
        <v>0</v>
      </c>
      <c r="E202">
        <f t="shared" si="106"/>
        <v>67</v>
      </c>
      <c r="F202">
        <f>IF(C202&gt;=$T$2,0,VLOOKUP($E202,EKM_F05!$A$3:$C$128,2,TRUE))</f>
        <v>1.282653846153846E-2</v>
      </c>
      <c r="G202">
        <f>F202*'Real assumptions'!$B$3</f>
        <v>5.3525144999999998E-3</v>
      </c>
      <c r="H202">
        <f t="shared" si="123"/>
        <v>4.4714087998032337E-4</v>
      </c>
      <c r="I202">
        <f t="shared" si="124"/>
        <v>1.8624632549670537E-4</v>
      </c>
      <c r="J202">
        <f>IF(B202&gt;$AJ$2,0,HLOOKUP(C202,'Real assumptions'!$B$5:$L$8,4,TRUE))</f>
        <v>3.7900000000000003E-2</v>
      </c>
      <c r="K202">
        <f t="shared" si="93"/>
        <v>1</v>
      </c>
      <c r="L202">
        <f t="shared" si="125"/>
        <v>8.3333333333333329E-2</v>
      </c>
      <c r="M202">
        <f t="shared" si="126"/>
        <v>3.2145624959929453E-3</v>
      </c>
      <c r="N202">
        <f t="shared" si="127"/>
        <v>1.340808326299583E-3</v>
      </c>
      <c r="O202" s="8">
        <f t="shared" si="107"/>
        <v>0.41567066980133671</v>
      </c>
      <c r="P202">
        <f t="shared" si="108"/>
        <v>10.012745386875192</v>
      </c>
      <c r="Q202">
        <f t="shared" si="128"/>
        <v>0.93123162748352684</v>
      </c>
      <c r="R202" s="89">
        <f t="shared" si="94"/>
        <v>5000</v>
      </c>
      <c r="S202">
        <f t="shared" si="95"/>
        <v>8.3333333333333925E-2</v>
      </c>
      <c r="U202">
        <f>O201*AV201*'Real assumptions'!$B$33/12+AX202*'Real assumptions'!$B$34</f>
        <v>5.127192959648367</v>
      </c>
      <c r="V202">
        <f>IF(P202=0,0,IF(E202&lt;=$C$7,$AN$5*O201,0))*'Real assumptions'!$D$28</f>
        <v>2.503186346718798</v>
      </c>
      <c r="X202" s="94">
        <f t="shared" si="109"/>
        <v>0</v>
      </c>
      <c r="Y202">
        <f t="shared" si="96"/>
        <v>24</v>
      </c>
      <c r="Z202">
        <f t="shared" si="129"/>
        <v>83</v>
      </c>
      <c r="AA202">
        <f t="shared" si="97"/>
        <v>83.083333333333329</v>
      </c>
      <c r="AB202">
        <f t="shared" si="110"/>
        <v>50.505050505050505</v>
      </c>
      <c r="AC202">
        <f t="shared" si="130"/>
        <v>4196.1279461279455</v>
      </c>
      <c r="AD202">
        <f t="shared" si="111"/>
        <v>80.505050505050505</v>
      </c>
      <c r="AE202">
        <f t="shared" si="112"/>
        <v>334.43139730639729</v>
      </c>
      <c r="AF202" s="94">
        <f t="shared" si="113"/>
        <v>469.44065656565721</v>
      </c>
      <c r="AG202">
        <f t="shared" si="131"/>
        <v>0.62942994102677619</v>
      </c>
      <c r="AH202">
        <f t="shared" si="114"/>
        <v>195.13271214662601</v>
      </c>
      <c r="AI202">
        <f>HLOOKUP(AW202,'Real assumptions'!$A$21:$AK$24,2,TRUE)</f>
        <v>1.7808999999999999</v>
      </c>
      <c r="AJ202" s="123">
        <f t="shared" si="132"/>
        <v>1.4721056298669932E-3</v>
      </c>
      <c r="AK202" s="122">
        <f>(1+HLOOKUP(YEAR(A202),'Real assumptions'!$A$21:$AK$24,2,TRUE)/100)^(1/12)-1</f>
        <v>1.4721056298669932E-3</v>
      </c>
      <c r="AL202">
        <f t="shared" si="133"/>
        <v>5.127192959648367</v>
      </c>
      <c r="AM202">
        <f>('Real assumptions'!$B$33/12)*O201*AV201</f>
        <v>5.0735703092175308</v>
      </c>
      <c r="AN202">
        <f t="shared" si="115"/>
        <v>198.87220241486764</v>
      </c>
      <c r="AO202">
        <f t="shared" si="137"/>
        <v>0.29276088879897488</v>
      </c>
      <c r="AP202" s="121">
        <f t="shared" si="116"/>
        <v>2.8288500663471305</v>
      </c>
      <c r="AQ202">
        <f t="shared" si="117"/>
        <v>0</v>
      </c>
      <c r="AR202">
        <v>0</v>
      </c>
      <c r="AS202">
        <f t="shared" si="98"/>
        <v>0</v>
      </c>
      <c r="AT202">
        <f t="shared" si="118"/>
        <v>0</v>
      </c>
      <c r="AU202">
        <f>IFERROR(HLOOKUP(B202,'Real assumptions'!$B$43:$AL$44,2,TRUE)*($W$3/$U$2),0)</f>
        <v>0</v>
      </c>
      <c r="AV202">
        <f>AV201*(1+'Real assumptions'!$B$35)^(1/12)</f>
        <v>1.2173664767953782</v>
      </c>
      <c r="AW202">
        <f t="shared" si="99"/>
        <v>2034</v>
      </c>
      <c r="AX202">
        <f t="shared" si="134"/>
        <v>195.74253266631561</v>
      </c>
      <c r="AY202">
        <f t="shared" si="135"/>
        <v>1.7558826786748019</v>
      </c>
      <c r="AZ202">
        <f t="shared" si="100"/>
        <v>554.65051663633653</v>
      </c>
      <c r="BA202">
        <f t="shared" si="119"/>
        <v>4.0638479152291005</v>
      </c>
      <c r="BB202">
        <f t="shared" si="120"/>
        <v>83.083333333333329</v>
      </c>
      <c r="BC202">
        <f t="shared" si="101"/>
        <v>49.849999999999994</v>
      </c>
      <c r="BD202">
        <f t="shared" si="121"/>
        <v>0</v>
      </c>
      <c r="BE202">
        <f t="shared" si="102"/>
        <v>24</v>
      </c>
      <c r="BF202">
        <f t="shared" si="136"/>
        <v>5000</v>
      </c>
      <c r="BU202"/>
      <c r="FD202"/>
      <c r="FE202"/>
    </row>
    <row r="203" spans="1:161" x14ac:dyDescent="0.25">
      <c r="A203" s="7">
        <f t="shared" si="122"/>
        <v>49278</v>
      </c>
      <c r="B203">
        <f t="shared" si="103"/>
        <v>192</v>
      </c>
      <c r="C203">
        <f t="shared" si="104"/>
        <v>15.916666666666668</v>
      </c>
      <c r="D203">
        <f t="shared" si="105"/>
        <v>0</v>
      </c>
      <c r="E203">
        <f t="shared" si="106"/>
        <v>67</v>
      </c>
      <c r="F203">
        <f>IF(C203&gt;=$T$2,0,VLOOKUP($E203,EKM_F05!$A$3:$C$128,2,TRUE))</f>
        <v>1.282653846153846E-2</v>
      </c>
      <c r="G203">
        <f>F203*'Real assumptions'!$B$3</f>
        <v>5.3525144999999998E-3</v>
      </c>
      <c r="H203">
        <f t="shared" si="123"/>
        <v>4.4714087998032337E-4</v>
      </c>
      <c r="I203">
        <f t="shared" si="124"/>
        <v>1.8556461440131887E-4</v>
      </c>
      <c r="J203">
        <f>IF(B203&gt;$AJ$2,0,HLOOKUP(C203,'Real assumptions'!$B$5:$L$8,4,TRUE))</f>
        <v>3.7900000000000003E-2</v>
      </c>
      <c r="K203">
        <f t="shared" si="93"/>
        <v>1</v>
      </c>
      <c r="L203">
        <f t="shared" si="125"/>
        <v>8.3333333333333329E-2</v>
      </c>
      <c r="M203">
        <f t="shared" si="126"/>
        <v>3.2145624959929453E-3</v>
      </c>
      <c r="N203">
        <f t="shared" si="127"/>
        <v>1.3359006111519829E-3</v>
      </c>
      <c r="O203" s="8">
        <f t="shared" si="107"/>
        <v>0.41414920457578341</v>
      </c>
      <c r="P203">
        <f t="shared" si="108"/>
        <v>9.976096075232082</v>
      </c>
      <c r="Q203">
        <f t="shared" si="128"/>
        <v>0.92782307200659431</v>
      </c>
      <c r="R203" s="89">
        <f t="shared" si="94"/>
        <v>5000</v>
      </c>
      <c r="S203">
        <f t="shared" si="95"/>
        <v>1</v>
      </c>
      <c r="U203">
        <f>O202*AV202*'Real assumptions'!$B$33/12+AX203*'Real assumptions'!$B$34</f>
        <v>5.1142619594551384</v>
      </c>
      <c r="V203">
        <f>IF(P203=0,0,IF(E203&lt;=$C$7,$AN$5*O202,0))*'Real assumptions'!$D$28</f>
        <v>2.4940240188080205</v>
      </c>
      <c r="X203" s="94">
        <f t="shared" si="109"/>
        <v>0</v>
      </c>
      <c r="Y203">
        <f t="shared" si="96"/>
        <v>24</v>
      </c>
      <c r="Z203">
        <f t="shared" si="129"/>
        <v>83</v>
      </c>
      <c r="AA203">
        <f t="shared" si="97"/>
        <v>83</v>
      </c>
      <c r="AB203">
        <f t="shared" si="110"/>
        <v>50.505050505050505</v>
      </c>
      <c r="AC203">
        <f t="shared" si="130"/>
        <v>4191.9191919191917</v>
      </c>
      <c r="AD203">
        <f t="shared" si="111"/>
        <v>80.505050505050505</v>
      </c>
      <c r="AE203">
        <f t="shared" si="112"/>
        <v>334.09595959595958</v>
      </c>
      <c r="AF203" s="94">
        <f t="shared" si="113"/>
        <v>473.98484848484873</v>
      </c>
      <c r="AG203">
        <f t="shared" si="131"/>
        <v>0.63319664876768944</v>
      </c>
      <c r="AH203">
        <f t="shared" si="114"/>
        <v>196.30044798097333</v>
      </c>
      <c r="AI203">
        <f>HLOOKUP(AW203,'Real assumptions'!$A$21:$AK$24,2,TRUE)</f>
        <v>1.7808999999999999</v>
      </c>
      <c r="AJ203" s="123">
        <f t="shared" si="132"/>
        <v>1.4721056298669932E-3</v>
      </c>
      <c r="AK203" s="122">
        <f>(1+HLOOKUP(YEAR(A203),'Real assumptions'!$A$21:$AK$24,2,TRUE)/100)^(1/12)-1</f>
        <v>1.4721056298669932E-3</v>
      </c>
      <c r="AL203">
        <f t="shared" si="133"/>
        <v>5.1142619594551384</v>
      </c>
      <c r="AM203">
        <f>('Real assumptions'!$B$33/12)*O202*AV202</f>
        <v>5.0602353880322823</v>
      </c>
      <c r="AN203">
        <f t="shared" si="115"/>
        <v>200.32937230994204</v>
      </c>
      <c r="AO203">
        <f t="shared" si="137"/>
        <v>0.29490599680518664</v>
      </c>
      <c r="AP203" s="121">
        <f t="shared" si="116"/>
        <v>3.1237560631523174</v>
      </c>
      <c r="AQ203">
        <f t="shared" si="117"/>
        <v>0</v>
      </c>
      <c r="AR203">
        <v>0</v>
      </c>
      <c r="AS203">
        <f t="shared" si="98"/>
        <v>0</v>
      </c>
      <c r="AT203">
        <f t="shared" si="118"/>
        <v>0</v>
      </c>
      <c r="AU203">
        <f>IFERROR(HLOOKUP(B203,'Real assumptions'!$B$43:$AL$44,2,TRUE)*($W$3/$U$2),0)</f>
        <v>0</v>
      </c>
      <c r="AV203">
        <f>AV202*(1+'Real assumptions'!$B$35)^(1/12)</f>
        <v>1.2186273592721464</v>
      </c>
      <c r="AW203">
        <f t="shared" si="99"/>
        <v>2034</v>
      </c>
      <c r="AX203">
        <f t="shared" si="134"/>
        <v>197.21699387514718</v>
      </c>
      <c r="AY203">
        <f t="shared" si="135"/>
        <v>1.7494556809820567</v>
      </c>
      <c r="AZ203">
        <f t="shared" si="100"/>
        <v>556.27381116068022</v>
      </c>
      <c r="BA203">
        <f t="shared" si="119"/>
        <v>4.0550437395823042</v>
      </c>
      <c r="BB203">
        <f t="shared" si="120"/>
        <v>83</v>
      </c>
      <c r="BC203">
        <f t="shared" si="101"/>
        <v>49.8</v>
      </c>
      <c r="BD203">
        <f t="shared" si="121"/>
        <v>0</v>
      </c>
      <c r="BE203">
        <f t="shared" si="102"/>
        <v>24</v>
      </c>
      <c r="BF203">
        <f t="shared" si="136"/>
        <v>5000</v>
      </c>
      <c r="BU203"/>
      <c r="FD203"/>
      <c r="FE203"/>
    </row>
    <row r="204" spans="1:161" x14ac:dyDescent="0.25">
      <c r="A204" s="6">
        <f t="shared" si="122"/>
        <v>49309</v>
      </c>
      <c r="B204">
        <f t="shared" si="103"/>
        <v>193</v>
      </c>
      <c r="C204">
        <f t="shared" si="104"/>
        <v>16</v>
      </c>
      <c r="D204">
        <f t="shared" si="105"/>
        <v>1</v>
      </c>
      <c r="E204">
        <f t="shared" si="106"/>
        <v>68</v>
      </c>
      <c r="F204">
        <f>IF(C204&gt;=$T$2,0,VLOOKUP($E204,EKM_F05!$A$3:$C$128,2,TRUE))</f>
        <v>1.4196794871794871E-2</v>
      </c>
      <c r="G204">
        <f>F204*'Real assumptions'!$B$3</f>
        <v>5.9243224999999998E-3</v>
      </c>
      <c r="H204">
        <f t="shared" si="123"/>
        <v>4.9503917080573334E-4</v>
      </c>
      <c r="I204">
        <f t="shared" si="124"/>
        <v>2.0469055389489481E-4</v>
      </c>
      <c r="J204">
        <f>IF(B204&gt;$AJ$2,0,HLOOKUP(C204,'Real assumptions'!$B$5:$L$8,4,TRUE))</f>
        <v>3.7900000000000003E-2</v>
      </c>
      <c r="K204">
        <f t="shared" ref="K204:K267" si="138">IF(B204&gt;$AJ$2,0,IF(($U$2*(B204+11))/12-INT(($U$2*(B204+11))/12)=0,1,0))</f>
        <v>1</v>
      </c>
      <c r="L204">
        <f t="shared" si="125"/>
        <v>8.3333333333333329E-2</v>
      </c>
      <c r="M204">
        <f t="shared" si="126"/>
        <v>3.2145624959929453E-3</v>
      </c>
      <c r="N204">
        <f t="shared" si="127"/>
        <v>1.3309789758464681E-3</v>
      </c>
      <c r="O204" s="8">
        <f t="shared" si="107"/>
        <v>0.41261353504604209</v>
      </c>
      <c r="P204">
        <f t="shared" si="108"/>
        <v>9.939580909818801</v>
      </c>
      <c r="Q204">
        <f t="shared" si="128"/>
        <v>1.0234527694744742</v>
      </c>
      <c r="R204" s="89">
        <f t="shared" ref="R204:R267" si="139">$AI$2</f>
        <v>5000</v>
      </c>
      <c r="S204">
        <f t="shared" ref="S204:S267" si="140">INT(B204/12)+1-B204/12</f>
        <v>0.91666666666666785</v>
      </c>
      <c r="U204">
        <f>O203*AV203*'Real assumptions'!$B$33/12+AX204*'Real assumptions'!$B$34</f>
        <v>5.1013635163129667</v>
      </c>
      <c r="V204">
        <f>IF(P204=0,0,IF(E204&lt;=$C$7,$AN$5*O203,0))*'Real assumptions'!$D$28</f>
        <v>2.4848952274547003</v>
      </c>
      <c r="X204" s="94">
        <f t="shared" si="109"/>
        <v>0</v>
      </c>
      <c r="Y204">
        <f t="shared" ref="Y204:Y267" si="141">IF(P204=0,0,$AN$5)</f>
        <v>24</v>
      </c>
      <c r="Z204">
        <f t="shared" si="129"/>
        <v>83</v>
      </c>
      <c r="AA204">
        <f t="shared" ref="AA204:AA267" si="142">99-(B204/12)</f>
        <v>82.916666666666671</v>
      </c>
      <c r="AB204">
        <f t="shared" si="110"/>
        <v>50.505050505050505</v>
      </c>
      <c r="AC204">
        <f t="shared" si="130"/>
        <v>4187.7104377104379</v>
      </c>
      <c r="AD204">
        <f t="shared" si="111"/>
        <v>80.505050505050505</v>
      </c>
      <c r="AE204">
        <f t="shared" si="112"/>
        <v>333.76052188552188</v>
      </c>
      <c r="AF204" s="94">
        <f t="shared" si="113"/>
        <v>478.52904040404024</v>
      </c>
      <c r="AG204">
        <f t="shared" si="131"/>
        <v>0.63691209210976263</v>
      </c>
      <c r="AH204">
        <f t="shared" si="114"/>
        <v>197.44755898330135</v>
      </c>
      <c r="AI204">
        <f>HLOOKUP(AW204,'Real assumptions'!$A$21:$AK$24,2,TRUE)</f>
        <v>1.7808999999999999</v>
      </c>
      <c r="AJ204" s="123">
        <f t="shared" si="132"/>
        <v>1.4721056298669932E-3</v>
      </c>
      <c r="AK204" s="122">
        <f>(1+HLOOKUP(YEAR(A204),'Real assumptions'!$A$21:$AK$24,2,TRUE)/100)^(1/12)-1</f>
        <v>1.4721056298669932E-3</v>
      </c>
      <c r="AL204">
        <f t="shared" si="133"/>
        <v>5.1013635163129667</v>
      </c>
      <c r="AM204">
        <f>('Real assumptions'!$B$33/12)*O203*AV203</f>
        <v>5.0469355151684692</v>
      </c>
      <c r="AN204">
        <f t="shared" si="115"/>
        <v>201.77752621017677</v>
      </c>
      <c r="AO204">
        <f t="shared" si="137"/>
        <v>0.29703783231463604</v>
      </c>
      <c r="AP204" s="121">
        <f t="shared" si="116"/>
        <v>0</v>
      </c>
      <c r="AQ204">
        <f t="shared" si="117"/>
        <v>0</v>
      </c>
      <c r="AR204">
        <v>0</v>
      </c>
      <c r="AS204">
        <f t="shared" ref="AS204:AS267" si="143">IF(B204&gt;$B$12,IF(B204&lt;=$AJ$2,AT204,0),0)</f>
        <v>0</v>
      </c>
      <c r="AT204">
        <f t="shared" si="118"/>
        <v>0</v>
      </c>
      <c r="AU204">
        <f>IFERROR(HLOOKUP(B204,'Real assumptions'!$B$43:$AL$44,2,TRUE)*($W$3/$U$2),0)</f>
        <v>0</v>
      </c>
      <c r="AV204">
        <f>AV203*(1+'Real assumptions'!$B$35)^(1/12)</f>
        <v>1.2198895477029148</v>
      </c>
      <c r="AW204">
        <f t="shared" ref="AW204:AW267" si="144">YEAR(A204)</f>
        <v>2034</v>
      </c>
      <c r="AX204">
        <f t="shared" si="134"/>
        <v>198.68236102448148</v>
      </c>
      <c r="AY204">
        <f t="shared" si="135"/>
        <v>1.7430522078105362</v>
      </c>
      <c r="AZ204">
        <f t="shared" ref="AZ204:AZ267" si="145">(AZ205+BA205-P205+U205+AQ205)/((1+AJ205))</f>
        <v>557.78566227430429</v>
      </c>
      <c r="BA204">
        <f t="shared" si="119"/>
        <v>4.1452600890389366</v>
      </c>
      <c r="BB204">
        <f t="shared" si="120"/>
        <v>82.916666666666671</v>
      </c>
      <c r="BC204">
        <f t="shared" ref="BC204:BC267" si="146">$AQ$5*BB204+IF($W$3=0,0,$AP$5*AA204)</f>
        <v>49.75</v>
      </c>
      <c r="BD204">
        <f t="shared" si="121"/>
        <v>0</v>
      </c>
      <c r="BE204">
        <f t="shared" ref="BE204:BE267" si="147">IF(B204=1,$AR$5,IF(P204=0,0,$W$3/$U$2))</f>
        <v>24</v>
      </c>
      <c r="BF204">
        <f t="shared" si="136"/>
        <v>5000</v>
      </c>
      <c r="BU204"/>
      <c r="FD204"/>
      <c r="FE204"/>
    </row>
    <row r="205" spans="1:161" x14ac:dyDescent="0.25">
      <c r="A205" s="7">
        <f t="shared" si="122"/>
        <v>49340</v>
      </c>
      <c r="B205">
        <f t="shared" ref="B205:B268" si="148">B204+1</f>
        <v>194</v>
      </c>
      <c r="C205">
        <f t="shared" ref="C205:C268" si="149">(B205+11)/12-1</f>
        <v>16.083333333333332</v>
      </c>
      <c r="D205">
        <f t="shared" ref="D205:D268" si="150">IF(C205-INT(C205)=0,1,0)</f>
        <v>0</v>
      </c>
      <c r="E205">
        <f t="shared" ref="E205:E268" si="151">$C$2+INT($C205)</f>
        <v>68</v>
      </c>
      <c r="F205">
        <f>IF(C205&gt;=$T$2,0,VLOOKUP($E205,EKM_F05!$A$3:$C$128,2,TRUE))</f>
        <v>1.4196794871794871E-2</v>
      </c>
      <c r="G205">
        <f>F205*'Real assumptions'!$B$3</f>
        <v>5.9243224999999998E-3</v>
      </c>
      <c r="H205">
        <f t="shared" si="123"/>
        <v>4.9503917080573334E-4</v>
      </c>
      <c r="I205">
        <f t="shared" si="124"/>
        <v>2.0393155920609842E-4</v>
      </c>
      <c r="J205">
        <f>IF(B205&gt;$AJ$2,0,HLOOKUP(C205,'Real assumptions'!$B$5:$L$8,4,TRUE))</f>
        <v>3.7900000000000003E-2</v>
      </c>
      <c r="K205">
        <f t="shared" si="138"/>
        <v>1</v>
      </c>
      <c r="L205">
        <f t="shared" si="125"/>
        <v>8.3333333333333329E-2</v>
      </c>
      <c r="M205">
        <f t="shared" si="126"/>
        <v>3.2145624959929453E-3</v>
      </c>
      <c r="N205">
        <f t="shared" si="127"/>
        <v>1.3260436920517612E-3</v>
      </c>
      <c r="O205" s="8">
        <f t="shared" ref="O205:O268" si="152">IF(E206&gt;$C$5,0,IF(B205&gt;$AJ$2,0,O204-I205-N205))</f>
        <v>0.41108355979478423</v>
      </c>
      <c r="P205">
        <f t="shared" ref="P205:P268" si="153">IF($U$2=0,0,$W$3/$U$2*K205*O204)</f>
        <v>9.9027248411050106</v>
      </c>
      <c r="Q205">
        <f t="shared" si="128"/>
        <v>1.019657796030492</v>
      </c>
      <c r="R205" s="89">
        <f t="shared" si="139"/>
        <v>5000</v>
      </c>
      <c r="S205">
        <f t="shared" si="140"/>
        <v>0.83333333333333215</v>
      </c>
      <c r="U205">
        <f>O204*AV204*'Real assumptions'!$B$33/12+AX205*'Real assumptions'!$B$34</f>
        <v>5.087316649484837</v>
      </c>
      <c r="V205">
        <f>IF(P205=0,0,IF(E205&lt;=$C$7,$AN$5*O204,0))*'Real assumptions'!$D$28</f>
        <v>2.4756812102762527</v>
      </c>
      <c r="X205" s="94">
        <f t="shared" ref="X205:X268" si="154">IF($U$2=12,0,IF($AM$2&lt;&gt;0,0,X204+Y205-($AN$5*($U$2/12))))</f>
        <v>0</v>
      </c>
      <c r="Y205">
        <f t="shared" si="141"/>
        <v>24</v>
      </c>
      <c r="Z205">
        <f t="shared" si="129"/>
        <v>82</v>
      </c>
      <c r="AA205">
        <f t="shared" si="142"/>
        <v>82.833333333333329</v>
      </c>
      <c r="AB205">
        <f t="shared" ref="AB205:AB268" si="155">IF($AM$2&lt;&gt;0,0,R205/99)</f>
        <v>50.505050505050505</v>
      </c>
      <c r="AC205">
        <f t="shared" si="130"/>
        <v>4183.5016835016831</v>
      </c>
      <c r="AD205">
        <f t="shared" ref="AD205:AD268" si="156">IF($AM$2&lt;&gt;0,0,AB205+$Q$4*$AI$2+$Q$5*$AI$2)</f>
        <v>80.505050505050505</v>
      </c>
      <c r="AE205">
        <f t="shared" ref="AE205:AE268" si="157">MIN($C$6*AD205*AA205,$AI$2-AC205+BD205)</f>
        <v>333.42508417508412</v>
      </c>
      <c r="AF205" s="94">
        <f t="shared" ref="AF205:AF268" si="158">MAX(($AI$2+$Y$2-AC205-AE205+X205+BD205),0)</f>
        <v>483.07323232323273</v>
      </c>
      <c r="AG205">
        <f t="shared" si="131"/>
        <v>0.64057621252127772</v>
      </c>
      <c r="AH205">
        <f t="shared" ref="AH205:AH268" si="159">AF205*O205</f>
        <v>198.58346398500734</v>
      </c>
      <c r="AI205">
        <f>HLOOKUP(AW205,'Real assumptions'!$A$21:$AK$24,2,TRUE)</f>
        <v>2.0796999999999999</v>
      </c>
      <c r="AJ205" s="123">
        <f t="shared" si="132"/>
        <v>1.7167798764832209E-3</v>
      </c>
      <c r="AK205" s="122">
        <f>(1+HLOOKUP(YEAR(A205),'Real assumptions'!$A$21:$AK$24,2,TRUE)/100)^(1/12)-1</f>
        <v>1.7167798764832209E-3</v>
      </c>
      <c r="AL205">
        <f t="shared" si="133"/>
        <v>5.087316649484837</v>
      </c>
      <c r="AM205">
        <f>('Real assumptions'!$B$33/12)*O204*AV204</f>
        <v>5.0334293864341708</v>
      </c>
      <c r="AN205">
        <f t="shared" ref="AN205:AN268" si="160">AP204+P205+AH204-V205-AL205</f>
        <v>199.78728596464524</v>
      </c>
      <c r="AO205">
        <f t="shared" si="137"/>
        <v>0.34299079212130157</v>
      </c>
      <c r="AP205" s="121">
        <f t="shared" ref="AP205:AP268" si="161">IF(MONTH(A205)=12,0,AP204+AO205)</f>
        <v>0.34299079212130157</v>
      </c>
      <c r="AQ205">
        <f t="shared" ref="AQ205:AQ268" si="162">IF(P205=0,0,AR205+AS205)</f>
        <v>0</v>
      </c>
      <c r="AR205">
        <v>0</v>
      </c>
      <c r="AS205">
        <f t="shared" si="143"/>
        <v>0</v>
      </c>
      <c r="AT205">
        <f t="shared" ref="AT205:AT268" si="163">IF(OR(B205&lt;=$B$12,B205&gt;$AJ$2),0,AU205*O204)</f>
        <v>0</v>
      </c>
      <c r="AU205">
        <f>IFERROR(HLOOKUP(B205,'Real assumptions'!$B$43:$AL$44,2,TRUE)*($W$3/$U$2),0)</f>
        <v>0</v>
      </c>
      <c r="AV205">
        <f>AV204*(1+'Real assumptions'!$B$35)^(1/12)</f>
        <v>1.2211530434403204</v>
      </c>
      <c r="AW205">
        <f t="shared" si="144"/>
        <v>2035</v>
      </c>
      <c r="AX205">
        <f t="shared" si="134"/>
        <v>196.70846672523908</v>
      </c>
      <c r="AY205">
        <f t="shared" si="135"/>
        <v>1.7365889522139817</v>
      </c>
      <c r="AZ205">
        <f t="shared" si="145"/>
        <v>559.42275044747987</v>
      </c>
      <c r="BA205">
        <f t="shared" ref="BA205:BA268" si="164">AG205+V205+Q205</f>
        <v>4.1359152188280222</v>
      </c>
      <c r="BB205">
        <f t="shared" ref="BB205:BB268" si="165">Z206+IF(S205=1,0,S205)</f>
        <v>82.833333333333329</v>
      </c>
      <c r="BC205">
        <f t="shared" si="146"/>
        <v>49.699999999999996</v>
      </c>
      <c r="BD205">
        <f t="shared" ref="BD205:BD268" si="166">(BC205/100)*($AI$2+$Y$2)-AA205*(AD205-AB205)</f>
        <v>0</v>
      </c>
      <c r="BE205">
        <f t="shared" si="147"/>
        <v>24</v>
      </c>
      <c r="BF205">
        <f t="shared" si="136"/>
        <v>5000</v>
      </c>
      <c r="BU205"/>
      <c r="FD205"/>
      <c r="FE205"/>
    </row>
    <row r="206" spans="1:161" x14ac:dyDescent="0.25">
      <c r="A206" s="7">
        <f t="shared" ref="A206:A269" si="167">DATE(YEAR(A205),MONTH(A205)+2,1)-1</f>
        <v>49368</v>
      </c>
      <c r="B206">
        <f t="shared" si="148"/>
        <v>195</v>
      </c>
      <c r="C206">
        <f t="shared" si="149"/>
        <v>16.166666666666668</v>
      </c>
      <c r="D206">
        <f t="shared" si="150"/>
        <v>0</v>
      </c>
      <c r="E206">
        <f t="shared" si="151"/>
        <v>68</v>
      </c>
      <c r="F206">
        <f>IF(C206&gt;=$T$2,0,VLOOKUP($E206,EKM_F05!$A$3:$C$128,2,TRUE))</f>
        <v>1.4196794871794871E-2</v>
      </c>
      <c r="G206">
        <f>F206*'Real assumptions'!$B$3</f>
        <v>5.9243224999999998E-3</v>
      </c>
      <c r="H206">
        <f t="shared" ref="H206:H269" si="168">(1-(1-G206)^(1/12))</f>
        <v>4.9503917080573334E-4</v>
      </c>
      <c r="I206">
        <f t="shared" ref="I206:I269" si="169">H206*O205*(1-M206/2)</f>
        <v>2.0317537887745035E-4</v>
      </c>
      <c r="J206">
        <f>IF(B206&gt;$AJ$2,0,HLOOKUP(C206,'Real assumptions'!$B$5:$L$8,4,TRUE))</f>
        <v>3.7900000000000003E-2</v>
      </c>
      <c r="K206">
        <f t="shared" si="138"/>
        <v>1</v>
      </c>
      <c r="L206">
        <f t="shared" ref="L206:L269" si="170">IF(B206&gt;$AJ$2,0,1/12)</f>
        <v>8.3333333333333329E-2</v>
      </c>
      <c r="M206">
        <f t="shared" ref="M206:M269" si="171">(1-(1-J206)^L206)</f>
        <v>3.2145624959929453E-3</v>
      </c>
      <c r="N206">
        <f t="shared" ref="N206:N269" si="172">M206*O205*(1-H206/2)</f>
        <v>1.3211267083403581E-3</v>
      </c>
      <c r="O206" s="8">
        <f t="shared" si="152"/>
        <v>0.40955925770756646</v>
      </c>
      <c r="P206">
        <f t="shared" si="153"/>
        <v>9.8660054350748219</v>
      </c>
      <c r="Q206">
        <f t="shared" ref="Q206:Q269" si="173">BF206*I206</f>
        <v>1.0158768943872518</v>
      </c>
      <c r="R206" s="89">
        <f t="shared" si="139"/>
        <v>5000</v>
      </c>
      <c r="S206">
        <f t="shared" si="140"/>
        <v>0.75</v>
      </c>
      <c r="U206">
        <f>O205*AV205*'Real assumptions'!$B$33/12+AX206*'Real assumptions'!$B$34</f>
        <v>5.0742525511536911</v>
      </c>
      <c r="V206">
        <f>IF(P206=0,0,IF(E206&lt;=$C$7,$AN$5*O205,0))*'Real assumptions'!$D$28</f>
        <v>2.4665013587687055</v>
      </c>
      <c r="X206" s="94">
        <f t="shared" si="154"/>
        <v>0</v>
      </c>
      <c r="Y206">
        <f t="shared" si="141"/>
        <v>24</v>
      </c>
      <c r="Z206">
        <f t="shared" ref="Z206:Z269" si="174">IF(S204=1,Z205-1,Z205)</f>
        <v>82</v>
      </c>
      <c r="AA206">
        <f t="shared" si="142"/>
        <v>82.75</v>
      </c>
      <c r="AB206">
        <f t="shared" si="155"/>
        <v>50.505050505050505</v>
      </c>
      <c r="AC206">
        <f t="shared" ref="AC206:AC269" si="175">AB206*AA206</f>
        <v>4179.2929292929293</v>
      </c>
      <c r="AD206">
        <f t="shared" si="156"/>
        <v>80.505050505050505</v>
      </c>
      <c r="AE206">
        <f t="shared" si="157"/>
        <v>333.08964646464648</v>
      </c>
      <c r="AF206" s="94">
        <f t="shared" si="158"/>
        <v>487.61742424242419</v>
      </c>
      <c r="AG206">
        <f t="shared" ref="AG206:AG269" si="176">IF(B206&lt;=$C$8,0,AF206*N206)</f>
        <v>0.64420440261879786</v>
      </c>
      <c r="AH206">
        <f t="shared" si="159"/>
        <v>199.70823031800276</v>
      </c>
      <c r="AI206">
        <f>HLOOKUP(AW206,'Real assumptions'!$A$21:$AK$24,2,TRUE)</f>
        <v>2.0796999999999999</v>
      </c>
      <c r="AJ206" s="123">
        <f t="shared" ref="AJ206:AJ269" si="177">((1+AI206/100)^(1/12))-1</f>
        <v>1.7167798764832209E-3</v>
      </c>
      <c r="AK206" s="122">
        <f>(1+HLOOKUP(YEAR(A206),'Real assumptions'!$A$21:$AK$24,2,TRUE)/100)^(1/12)-1</f>
        <v>1.7167798764832209E-3</v>
      </c>
      <c r="AL206">
        <f t="shared" ref="AL206:AL269" si="178">AQ206+U206</f>
        <v>5.0742525511536911</v>
      </c>
      <c r="AM206">
        <f>('Real assumptions'!$B$33/12)*O205*AV205</f>
        <v>5.0199594015168163</v>
      </c>
      <c r="AN206">
        <f t="shared" si="160"/>
        <v>201.25170630228109</v>
      </c>
      <c r="AO206">
        <f t="shared" si="137"/>
        <v>0.34550487948766762</v>
      </c>
      <c r="AP206" s="121">
        <f t="shared" si="161"/>
        <v>0.68849567160896918</v>
      </c>
      <c r="AQ206">
        <f t="shared" si="162"/>
        <v>0</v>
      </c>
      <c r="AR206">
        <v>0</v>
      </c>
      <c r="AS206">
        <f t="shared" si="143"/>
        <v>0</v>
      </c>
      <c r="AT206">
        <f t="shared" si="163"/>
        <v>0</v>
      </c>
      <c r="AU206">
        <f>IFERROR(HLOOKUP(B206,'Real assumptions'!$B$43:$AL$44,2,TRUE)*($W$3/$U$2),0)</f>
        <v>0</v>
      </c>
      <c r="AV206">
        <f>AV205*(1+'Real assumptions'!$B$35)^(1/12)</f>
        <v>1.2224178478384005</v>
      </c>
      <c r="AW206">
        <f t="shared" si="144"/>
        <v>2035</v>
      </c>
      <c r="AX206">
        <f t="shared" ref="AX206:AX269" si="179">MAX(0,AH205+AP205-V206+AY206)</f>
        <v>198.19010308079589</v>
      </c>
      <c r="AY206">
        <f t="shared" ref="AY206:AY269" si="180">IF(P206=0,0,(AB206/$U$2)*O205)</f>
        <v>1.7301496624359605</v>
      </c>
      <c r="AZ206">
        <f t="shared" si="145"/>
        <v>561.04832639604138</v>
      </c>
      <c r="BA206">
        <f t="shared" si="164"/>
        <v>4.1265826557747554</v>
      </c>
      <c r="BB206">
        <f t="shared" si="165"/>
        <v>82.75</v>
      </c>
      <c r="BC206">
        <f t="shared" si="146"/>
        <v>49.65</v>
      </c>
      <c r="BD206">
        <f t="shared" si="166"/>
        <v>0</v>
      </c>
      <c r="BE206">
        <f t="shared" si="147"/>
        <v>24</v>
      </c>
      <c r="BF206">
        <f t="shared" ref="BF206:BF269" si="181">((IF(B206&lt;13,BF205+BE206,$AI$2+$Y$2)))</f>
        <v>5000</v>
      </c>
      <c r="BU206"/>
      <c r="FD206"/>
      <c r="FE206"/>
    </row>
    <row r="207" spans="1:161" x14ac:dyDescent="0.25">
      <c r="A207" s="7">
        <f t="shared" si="167"/>
        <v>49399</v>
      </c>
      <c r="B207">
        <f t="shared" si="148"/>
        <v>196</v>
      </c>
      <c r="C207">
        <f t="shared" si="149"/>
        <v>16.25</v>
      </c>
      <c r="D207">
        <f t="shared" si="150"/>
        <v>0</v>
      </c>
      <c r="E207">
        <f t="shared" si="151"/>
        <v>68</v>
      </c>
      <c r="F207">
        <f>IF(C207&gt;=$T$2,0,VLOOKUP($E207,EKM_F05!$A$3:$C$128,2,TRUE))</f>
        <v>1.4196794871794871E-2</v>
      </c>
      <c r="G207">
        <f>F207*'Real assumptions'!$B$3</f>
        <v>5.9243224999999998E-3</v>
      </c>
      <c r="H207">
        <f t="shared" si="168"/>
        <v>4.9503917080573334E-4</v>
      </c>
      <c r="I207">
        <f t="shared" si="169"/>
        <v>2.0242200247327414E-4</v>
      </c>
      <c r="J207">
        <f>IF(B207&gt;$AJ$2,0,HLOOKUP(C207,'Real assumptions'!$B$5:$L$8,4,TRUE))</f>
        <v>3.7900000000000003E-2</v>
      </c>
      <c r="K207">
        <f t="shared" si="138"/>
        <v>1</v>
      </c>
      <c r="L207">
        <f t="shared" si="170"/>
        <v>8.3333333333333329E-2</v>
      </c>
      <c r="M207">
        <f t="shared" si="171"/>
        <v>3.2145624959929453E-3</v>
      </c>
      <c r="N207">
        <f t="shared" si="172"/>
        <v>1.3162279568553615E-3</v>
      </c>
      <c r="O207" s="8">
        <f t="shared" si="152"/>
        <v>0.4080406077482378</v>
      </c>
      <c r="P207">
        <f t="shared" si="153"/>
        <v>9.8294221849815955</v>
      </c>
      <c r="Q207">
        <f t="shared" si="173"/>
        <v>1.0121100123663707</v>
      </c>
      <c r="R207" s="89">
        <f t="shared" si="139"/>
        <v>5000</v>
      </c>
      <c r="S207">
        <f t="shared" si="140"/>
        <v>0.66666666666666785</v>
      </c>
      <c r="U207">
        <f>O206*AV206*'Real assumptions'!$B$33/12+AX207*'Real assumptions'!$B$34</f>
        <v>5.0612221344717323</v>
      </c>
      <c r="V207">
        <f>IF(P207=0,0,IF(E207&lt;=$C$7,$AN$5*O206,0))*'Real assumptions'!$D$28</f>
        <v>2.4573555462453989</v>
      </c>
      <c r="X207" s="94">
        <f t="shared" si="154"/>
        <v>0</v>
      </c>
      <c r="Y207">
        <f t="shared" si="141"/>
        <v>24</v>
      </c>
      <c r="Z207">
        <f t="shared" si="174"/>
        <v>82</v>
      </c>
      <c r="AA207">
        <f t="shared" si="142"/>
        <v>82.666666666666671</v>
      </c>
      <c r="AB207">
        <f t="shared" si="155"/>
        <v>50.505050505050505</v>
      </c>
      <c r="AC207">
        <f t="shared" si="175"/>
        <v>4175.0841750841755</v>
      </c>
      <c r="AD207">
        <f t="shared" si="156"/>
        <v>80.505050505050505</v>
      </c>
      <c r="AE207">
        <f t="shared" si="157"/>
        <v>332.75420875420878</v>
      </c>
      <c r="AF207" s="94">
        <f t="shared" si="158"/>
        <v>492.16161616161571</v>
      </c>
      <c r="AG207">
        <f t="shared" si="176"/>
        <v>0.64779687848303613</v>
      </c>
      <c r="AH207">
        <f t="shared" si="159"/>
        <v>200.82192496894061</v>
      </c>
      <c r="AI207">
        <f>HLOOKUP(AW207,'Real assumptions'!$A$21:$AK$24,2,TRUE)</f>
        <v>2.0796999999999999</v>
      </c>
      <c r="AJ207" s="123">
        <f t="shared" si="177"/>
        <v>1.7167798764832209E-3</v>
      </c>
      <c r="AK207" s="122">
        <f>(1+HLOOKUP(YEAR(A207),'Real assumptions'!$A$21:$AK$24,2,TRUE)/100)^(1/12)-1</f>
        <v>1.7167798764832209E-3</v>
      </c>
      <c r="AL207">
        <f t="shared" si="178"/>
        <v>5.0612221344717323</v>
      </c>
      <c r="AM207">
        <f>('Real assumptions'!$B$33/12)*O206*AV206</f>
        <v>5.0065254636917622</v>
      </c>
      <c r="AN207">
        <f t="shared" si="160"/>
        <v>202.7075704938762</v>
      </c>
      <c r="AO207">
        <f t="shared" si="137"/>
        <v>0.34800427783469057</v>
      </c>
      <c r="AP207" s="121">
        <f t="shared" si="161"/>
        <v>1.0364999494436598</v>
      </c>
      <c r="AQ207">
        <f t="shared" si="162"/>
        <v>0</v>
      </c>
      <c r="AR207">
        <v>0</v>
      </c>
      <c r="AS207">
        <f t="shared" si="143"/>
        <v>0</v>
      </c>
      <c r="AT207">
        <f t="shared" si="163"/>
        <v>0</v>
      </c>
      <c r="AU207">
        <f>IFERROR(HLOOKUP(B207,'Real assumptions'!$B$43:$AL$44,2,TRUE)*($W$3/$U$2),0)</f>
        <v>0</v>
      </c>
      <c r="AV207">
        <f>AV206*(1+'Real assumptions'!$B$35)^(1/12)</f>
        <v>1.2236839622525952</v>
      </c>
      <c r="AW207">
        <f t="shared" si="144"/>
        <v>2035</v>
      </c>
      <c r="AX207">
        <f t="shared" si="179"/>
        <v>199.6631046929773</v>
      </c>
      <c r="AY207">
        <f t="shared" si="180"/>
        <v>1.7237342496109698</v>
      </c>
      <c r="AZ207">
        <f t="shared" si="145"/>
        <v>562.6624604859478</v>
      </c>
      <c r="BA207">
        <f t="shared" si="164"/>
        <v>4.1172624370948059</v>
      </c>
      <c r="BB207">
        <f t="shared" si="165"/>
        <v>82.666666666666671</v>
      </c>
      <c r="BC207">
        <f t="shared" si="146"/>
        <v>49.6</v>
      </c>
      <c r="BD207">
        <f t="shared" si="166"/>
        <v>0</v>
      </c>
      <c r="BE207">
        <f t="shared" si="147"/>
        <v>24</v>
      </c>
      <c r="BF207">
        <f t="shared" si="181"/>
        <v>5000</v>
      </c>
      <c r="BU207"/>
      <c r="FD207"/>
      <c r="FE207"/>
    </row>
    <row r="208" spans="1:161" x14ac:dyDescent="0.25">
      <c r="A208" s="7">
        <f t="shared" si="167"/>
        <v>49429</v>
      </c>
      <c r="B208">
        <f t="shared" si="148"/>
        <v>197</v>
      </c>
      <c r="C208">
        <f t="shared" si="149"/>
        <v>16.333333333333332</v>
      </c>
      <c r="D208">
        <f t="shared" si="150"/>
        <v>0</v>
      </c>
      <c r="E208">
        <f t="shared" si="151"/>
        <v>68</v>
      </c>
      <c r="F208">
        <f>IF(C208&gt;=$T$2,0,VLOOKUP($E208,EKM_F05!$A$3:$C$128,2,TRUE))</f>
        <v>1.4196794871794871E-2</v>
      </c>
      <c r="G208">
        <f>F208*'Real assumptions'!$B$3</f>
        <v>5.9243224999999998E-3</v>
      </c>
      <c r="H208">
        <f t="shared" si="168"/>
        <v>4.9503917080573334E-4</v>
      </c>
      <c r="I208">
        <f t="shared" si="169"/>
        <v>2.0167141959658878E-4</v>
      </c>
      <c r="J208">
        <f>IF(B208&gt;$AJ$2,0,HLOOKUP(C208,'Real assumptions'!$B$5:$L$8,4,TRUE))</f>
        <v>3.7900000000000003E-2</v>
      </c>
      <c r="K208">
        <f t="shared" si="138"/>
        <v>1</v>
      </c>
      <c r="L208">
        <f t="shared" si="170"/>
        <v>8.3333333333333329E-2</v>
      </c>
      <c r="M208">
        <f t="shared" si="171"/>
        <v>3.2145624959929453E-3</v>
      </c>
      <c r="N208">
        <f t="shared" si="172"/>
        <v>1.3113473699914874E-3</v>
      </c>
      <c r="O208" s="8">
        <f t="shared" si="152"/>
        <v>0.40652758895864971</v>
      </c>
      <c r="P208">
        <f t="shared" si="153"/>
        <v>9.7929745859577082</v>
      </c>
      <c r="Q208">
        <f t="shared" si="173"/>
        <v>1.0083570979829439</v>
      </c>
      <c r="R208" s="89">
        <f t="shared" si="139"/>
        <v>5000</v>
      </c>
      <c r="S208">
        <f t="shared" si="140"/>
        <v>0.58333333333333215</v>
      </c>
      <c r="U208">
        <f>O207*AV207*'Real assumptions'!$B$33/12+AX208*'Real assumptions'!$B$34</f>
        <v>5.0482253173101483</v>
      </c>
      <c r="V208">
        <f>IF(P208=0,0,IF(E208&lt;=$C$7,$AN$5*O207,0))*'Real assumptions'!$D$28</f>
        <v>2.4482436464894271</v>
      </c>
      <c r="X208" s="94">
        <f t="shared" si="154"/>
        <v>0</v>
      </c>
      <c r="Y208">
        <f t="shared" si="141"/>
        <v>24</v>
      </c>
      <c r="Z208">
        <f t="shared" si="174"/>
        <v>82</v>
      </c>
      <c r="AA208">
        <f t="shared" si="142"/>
        <v>82.583333333333329</v>
      </c>
      <c r="AB208">
        <f t="shared" si="155"/>
        <v>50.505050505050505</v>
      </c>
      <c r="AC208">
        <f t="shared" si="175"/>
        <v>4170.8754208754208</v>
      </c>
      <c r="AD208">
        <f t="shared" si="156"/>
        <v>80.505050505050505</v>
      </c>
      <c r="AE208">
        <f t="shared" si="157"/>
        <v>332.41877104377102</v>
      </c>
      <c r="AF208" s="94">
        <f t="shared" si="158"/>
        <v>496.7058080808082</v>
      </c>
      <c r="AG208">
        <f t="shared" si="176"/>
        <v>0.65135385508626431</v>
      </c>
      <c r="AH208">
        <f t="shared" si="159"/>
        <v>201.92461458084875</v>
      </c>
      <c r="AI208">
        <f>HLOOKUP(AW208,'Real assumptions'!$A$21:$AK$24,2,TRUE)</f>
        <v>2.0796999999999999</v>
      </c>
      <c r="AJ208" s="123">
        <f t="shared" si="177"/>
        <v>1.7167798764832209E-3</v>
      </c>
      <c r="AK208" s="122">
        <f>(1+HLOOKUP(YEAR(A208),'Real assumptions'!$A$21:$AK$24,2,TRUE)/100)^(1/12)-1</f>
        <v>1.7167798764832209E-3</v>
      </c>
      <c r="AL208">
        <f t="shared" si="178"/>
        <v>5.0482253173101483</v>
      </c>
      <c r="AM208">
        <f>('Real assumptions'!$B$33/12)*O207*AV207</f>
        <v>4.9931274764932061</v>
      </c>
      <c r="AN208">
        <f t="shared" si="160"/>
        <v>204.15493054054241</v>
      </c>
      <c r="AO208">
        <f t="shared" si="137"/>
        <v>0.35048907643683297</v>
      </c>
      <c r="AP208" s="121">
        <f t="shared" si="161"/>
        <v>1.3869890258804927</v>
      </c>
      <c r="AQ208">
        <f t="shared" si="162"/>
        <v>0</v>
      </c>
      <c r="AR208">
        <v>0</v>
      </c>
      <c r="AS208">
        <f t="shared" si="143"/>
        <v>0</v>
      </c>
      <c r="AT208">
        <f t="shared" si="163"/>
        <v>0</v>
      </c>
      <c r="AU208">
        <f>IFERROR(HLOOKUP(B208,'Real assumptions'!$B$43:$AL$44,2,TRUE)*($W$3/$U$2),0)</f>
        <v>0</v>
      </c>
      <c r="AV208">
        <f>AV207*(1+'Real assumptions'!$B$35)^(1/12)</f>
        <v>1.2249513880397487</v>
      </c>
      <c r="AW208">
        <f t="shared" si="144"/>
        <v>2035</v>
      </c>
      <c r="AX208">
        <f t="shared" si="179"/>
        <v>201.12752389709786</v>
      </c>
      <c r="AY208">
        <f t="shared" si="180"/>
        <v>1.7173426252030211</v>
      </c>
      <c r="AZ208">
        <f t="shared" si="145"/>
        <v>564.26522274445153</v>
      </c>
      <c r="BA208">
        <f t="shared" si="164"/>
        <v>4.1079545995586351</v>
      </c>
      <c r="BB208">
        <f t="shared" si="165"/>
        <v>82.583333333333329</v>
      </c>
      <c r="BC208">
        <f t="shared" si="146"/>
        <v>49.55</v>
      </c>
      <c r="BD208">
        <f t="shared" si="166"/>
        <v>0</v>
      </c>
      <c r="BE208">
        <f t="shared" si="147"/>
        <v>24</v>
      </c>
      <c r="BF208">
        <f t="shared" si="181"/>
        <v>5000</v>
      </c>
      <c r="BU208"/>
      <c r="FD208"/>
      <c r="FE208"/>
    </row>
    <row r="209" spans="1:161" x14ac:dyDescent="0.25">
      <c r="A209" s="7">
        <f t="shared" si="167"/>
        <v>49460</v>
      </c>
      <c r="B209">
        <f t="shared" si="148"/>
        <v>198</v>
      </c>
      <c r="C209">
        <f t="shared" si="149"/>
        <v>16.416666666666668</v>
      </c>
      <c r="D209">
        <f t="shared" si="150"/>
        <v>0</v>
      </c>
      <c r="E209">
        <f t="shared" si="151"/>
        <v>68</v>
      </c>
      <c r="F209">
        <f>IF(C209&gt;=$T$2,0,VLOOKUP($E209,EKM_F05!$A$3:$C$128,2,TRUE))</f>
        <v>1.4196794871794871E-2</v>
      </c>
      <c r="G209">
        <f>F209*'Real assumptions'!$B$3</f>
        <v>5.9243224999999998E-3</v>
      </c>
      <c r="H209">
        <f t="shared" si="168"/>
        <v>4.9503917080573334E-4</v>
      </c>
      <c r="I209">
        <f t="shared" si="169"/>
        <v>2.0092361988896553E-4</v>
      </c>
      <c r="J209">
        <f>IF(B209&gt;$AJ$2,0,HLOOKUP(C209,'Real assumptions'!$B$5:$L$8,4,TRUE))</f>
        <v>3.7900000000000003E-2</v>
      </c>
      <c r="K209">
        <f t="shared" si="138"/>
        <v>1</v>
      </c>
      <c r="L209">
        <f t="shared" si="170"/>
        <v>8.3333333333333329E-2</v>
      </c>
      <c r="M209">
        <f t="shared" si="171"/>
        <v>3.2145624959929453E-3</v>
      </c>
      <c r="N209">
        <f t="shared" si="172"/>
        <v>1.3064848803941329E-3</v>
      </c>
      <c r="O209" s="8">
        <f t="shared" si="152"/>
        <v>0.40502018045836657</v>
      </c>
      <c r="P209">
        <f t="shared" si="153"/>
        <v>9.7566621350075931</v>
      </c>
      <c r="Q209">
        <f t="shared" si="173"/>
        <v>1.0046180994448277</v>
      </c>
      <c r="R209" s="89">
        <f t="shared" si="139"/>
        <v>5000</v>
      </c>
      <c r="S209">
        <f t="shared" si="140"/>
        <v>0.5</v>
      </c>
      <c r="U209">
        <f>O208*AV208*'Real assumptions'!$B$33/12+AX209*'Real assumptions'!$B$34</f>
        <v>5.0352620177285647</v>
      </c>
      <c r="V209">
        <f>IF(P209=0,0,IF(E209&lt;=$C$7,$AN$5*O208,0))*'Real assumptions'!$D$28</f>
        <v>2.4391655337518983</v>
      </c>
      <c r="X209" s="94">
        <f t="shared" si="154"/>
        <v>0</v>
      </c>
      <c r="Y209">
        <f t="shared" si="141"/>
        <v>24</v>
      </c>
      <c r="Z209">
        <f t="shared" si="174"/>
        <v>82</v>
      </c>
      <c r="AA209">
        <f t="shared" si="142"/>
        <v>82.5</v>
      </c>
      <c r="AB209">
        <f t="shared" si="155"/>
        <v>50.505050505050505</v>
      </c>
      <c r="AC209">
        <f t="shared" si="175"/>
        <v>4166.666666666667</v>
      </c>
      <c r="AD209">
        <f t="shared" si="156"/>
        <v>80.505050505050505</v>
      </c>
      <c r="AE209">
        <f t="shared" si="157"/>
        <v>332.08333333333331</v>
      </c>
      <c r="AF209" s="94">
        <f t="shared" si="158"/>
        <v>501.24999999999972</v>
      </c>
      <c r="AG209">
        <f t="shared" si="176"/>
        <v>0.65487554629755873</v>
      </c>
      <c r="AH209">
        <f t="shared" si="159"/>
        <v>203.01636545475614</v>
      </c>
      <c r="AI209">
        <f>HLOOKUP(AW209,'Real assumptions'!$A$21:$AK$24,2,TRUE)</f>
        <v>2.0796999999999999</v>
      </c>
      <c r="AJ209" s="123">
        <f t="shared" si="177"/>
        <v>1.7167798764832209E-3</v>
      </c>
      <c r="AK209" s="122">
        <f>(1+HLOOKUP(YEAR(A209),'Real assumptions'!$A$21:$AK$24,2,TRUE)/100)^(1/12)-1</f>
        <v>1.7167798764832209E-3</v>
      </c>
      <c r="AL209">
        <f t="shared" si="178"/>
        <v>5.0352620177285647</v>
      </c>
      <c r="AM209">
        <f>('Real assumptions'!$B$33/12)*O208*AV208</f>
        <v>4.9797653437135034</v>
      </c>
      <c r="AN209">
        <f t="shared" si="160"/>
        <v>205.59383819025638</v>
      </c>
      <c r="AO209">
        <f t="shared" si="137"/>
        <v>0.35295936413397966</v>
      </c>
      <c r="AP209" s="121">
        <f t="shared" si="161"/>
        <v>1.7399483900144723</v>
      </c>
      <c r="AQ209">
        <f t="shared" si="162"/>
        <v>0</v>
      </c>
      <c r="AR209">
        <v>0</v>
      </c>
      <c r="AS209">
        <f t="shared" si="143"/>
        <v>0</v>
      </c>
      <c r="AT209">
        <f t="shared" si="163"/>
        <v>0</v>
      </c>
      <c r="AU209">
        <f>IFERROR(HLOOKUP(B209,'Real assumptions'!$B$43:$AL$44,2,TRUE)*($W$3/$U$2),0)</f>
        <v>0</v>
      </c>
      <c r="AV209">
        <f>AV208*(1+'Real assumptions'!$B$35)^(1/12)</f>
        <v>1.2262201265581101</v>
      </c>
      <c r="AW209">
        <f t="shared" si="144"/>
        <v>2035</v>
      </c>
      <c r="AX209">
        <f t="shared" si="179"/>
        <v>202.58341277398179</v>
      </c>
      <c r="AY209">
        <f t="shared" si="180"/>
        <v>1.7109747010044178</v>
      </c>
      <c r="AZ209">
        <f t="shared" si="145"/>
        <v>565.85668286164332</v>
      </c>
      <c r="BA209">
        <f t="shared" si="164"/>
        <v>4.0986591794942848</v>
      </c>
      <c r="BB209">
        <f t="shared" si="165"/>
        <v>82.5</v>
      </c>
      <c r="BC209">
        <f t="shared" si="146"/>
        <v>49.5</v>
      </c>
      <c r="BD209">
        <f t="shared" si="166"/>
        <v>0</v>
      </c>
      <c r="BE209">
        <f t="shared" si="147"/>
        <v>24</v>
      </c>
      <c r="BF209">
        <f t="shared" si="181"/>
        <v>5000</v>
      </c>
      <c r="BU209"/>
      <c r="FD209"/>
      <c r="FE209"/>
    </row>
    <row r="210" spans="1:161" x14ac:dyDescent="0.25">
      <c r="A210" s="7">
        <f t="shared" si="167"/>
        <v>49490</v>
      </c>
      <c r="B210">
        <f t="shared" si="148"/>
        <v>199</v>
      </c>
      <c r="C210">
        <f t="shared" si="149"/>
        <v>16.5</v>
      </c>
      <c r="D210">
        <f t="shared" si="150"/>
        <v>0</v>
      </c>
      <c r="E210">
        <f t="shared" si="151"/>
        <v>68</v>
      </c>
      <c r="F210">
        <f>IF(C210&gt;=$T$2,0,VLOOKUP($E210,EKM_F05!$A$3:$C$128,2,TRUE))</f>
        <v>1.4196794871794871E-2</v>
      </c>
      <c r="G210">
        <f>F210*'Real assumptions'!$B$3</f>
        <v>5.9243224999999998E-3</v>
      </c>
      <c r="H210">
        <f t="shared" si="168"/>
        <v>4.9503917080573334E-4</v>
      </c>
      <c r="I210">
        <f t="shared" si="169"/>
        <v>2.0017859303038475E-4</v>
      </c>
      <c r="J210">
        <f>IF(B210&gt;$AJ$2,0,HLOOKUP(C210,'Real assumptions'!$B$5:$L$8,4,TRUE))</f>
        <v>3.7900000000000003E-2</v>
      </c>
      <c r="K210">
        <f t="shared" si="138"/>
        <v>1</v>
      </c>
      <c r="L210">
        <f t="shared" si="170"/>
        <v>8.3333333333333329E-2</v>
      </c>
      <c r="M210">
        <f t="shared" si="171"/>
        <v>3.2145624959929453E-3</v>
      </c>
      <c r="N210">
        <f t="shared" si="172"/>
        <v>1.3016404209584467E-3</v>
      </c>
      <c r="O210" s="8">
        <f t="shared" si="152"/>
        <v>0.40351836144437775</v>
      </c>
      <c r="P210">
        <f t="shared" si="153"/>
        <v>9.7204843310007973</v>
      </c>
      <c r="Q210">
        <f t="shared" si="173"/>
        <v>1.0008929651519238</v>
      </c>
      <c r="R210" s="89">
        <f t="shared" si="139"/>
        <v>5000</v>
      </c>
      <c r="S210">
        <f t="shared" si="140"/>
        <v>0.41666666666666785</v>
      </c>
      <c r="U210">
        <f>O209*AV209*'Real assumptions'!$B$33/12+AX210*'Real assumptions'!$B$34</f>
        <v>5.0223321539746779</v>
      </c>
      <c r="V210">
        <f>IF(P210=0,0,IF(E210&lt;=$C$7,$AN$5*O209,0))*'Real assumptions'!$D$28</f>
        <v>2.4301210827501993</v>
      </c>
      <c r="X210" s="94">
        <f t="shared" si="154"/>
        <v>0</v>
      </c>
      <c r="Y210">
        <f t="shared" si="141"/>
        <v>24</v>
      </c>
      <c r="Z210">
        <f t="shared" si="174"/>
        <v>82</v>
      </c>
      <c r="AA210">
        <f t="shared" si="142"/>
        <v>82.416666666666671</v>
      </c>
      <c r="AB210">
        <f t="shared" si="155"/>
        <v>50.505050505050505</v>
      </c>
      <c r="AC210">
        <f t="shared" si="175"/>
        <v>4162.4579124579132</v>
      </c>
      <c r="AD210">
        <f t="shared" si="156"/>
        <v>80.505050505050505</v>
      </c>
      <c r="AE210">
        <f t="shared" si="157"/>
        <v>331.74789562289561</v>
      </c>
      <c r="AF210" s="94">
        <f t="shared" si="158"/>
        <v>505.79419191919123</v>
      </c>
      <c r="AG210">
        <f t="shared" si="176"/>
        <v>0.65836216488803345</v>
      </c>
      <c r="AH210">
        <f t="shared" si="159"/>
        <v>204.09724355131519</v>
      </c>
      <c r="AI210">
        <f>HLOOKUP(AW210,'Real assumptions'!$A$21:$AK$24,2,TRUE)</f>
        <v>2.0796999999999999</v>
      </c>
      <c r="AJ210" s="123">
        <f t="shared" si="177"/>
        <v>1.7167798764832209E-3</v>
      </c>
      <c r="AK210" s="122">
        <f>(1+HLOOKUP(YEAR(A210),'Real assumptions'!$A$21:$AK$24,2,TRUE)/100)^(1/12)-1</f>
        <v>1.7167798764832209E-3</v>
      </c>
      <c r="AL210">
        <f t="shared" si="178"/>
        <v>5.0223321539746779</v>
      </c>
      <c r="AM210">
        <f>('Real assumptions'!$B$33/12)*O209*AV209</f>
        <v>4.9664389694024687</v>
      </c>
      <c r="AN210">
        <f t="shared" si="160"/>
        <v>207.02434493904656</v>
      </c>
      <c r="AO210">
        <f t="shared" si="137"/>
        <v>0.35541522933347608</v>
      </c>
      <c r="AP210" s="121">
        <f t="shared" si="161"/>
        <v>2.0953636193479483</v>
      </c>
      <c r="AQ210">
        <f t="shared" si="162"/>
        <v>0</v>
      </c>
      <c r="AR210">
        <v>0</v>
      </c>
      <c r="AS210">
        <f t="shared" si="143"/>
        <v>0</v>
      </c>
      <c r="AT210">
        <f t="shared" si="163"/>
        <v>0</v>
      </c>
      <c r="AU210">
        <f>IFERROR(HLOOKUP(B210,'Real assumptions'!$B$43:$AL$44,2,TRUE)*($W$3/$U$2),0)</f>
        <v>0</v>
      </c>
      <c r="AV210">
        <f>AV209*(1+'Real assumptions'!$B$35)^(1/12)</f>
        <v>1.2274901791673356</v>
      </c>
      <c r="AW210">
        <f t="shared" si="144"/>
        <v>2035</v>
      </c>
      <c r="AX210">
        <f t="shared" si="179"/>
        <v>204.03082315115495</v>
      </c>
      <c r="AY210">
        <f t="shared" si="180"/>
        <v>1.7046303891345393</v>
      </c>
      <c r="AZ210">
        <f t="shared" si="145"/>
        <v>567.43691019198957</v>
      </c>
      <c r="BA210">
        <f t="shared" si="164"/>
        <v>4.0893762127901567</v>
      </c>
      <c r="BB210">
        <f t="shared" si="165"/>
        <v>82.416666666666671</v>
      </c>
      <c r="BC210">
        <f t="shared" si="146"/>
        <v>49.45</v>
      </c>
      <c r="BD210">
        <f t="shared" si="166"/>
        <v>0</v>
      </c>
      <c r="BE210">
        <f t="shared" si="147"/>
        <v>24</v>
      </c>
      <c r="BF210">
        <f t="shared" si="181"/>
        <v>5000</v>
      </c>
      <c r="BU210"/>
      <c r="FD210"/>
      <c r="FE210"/>
    </row>
    <row r="211" spans="1:161" x14ac:dyDescent="0.25">
      <c r="A211" s="7">
        <f t="shared" si="167"/>
        <v>49521</v>
      </c>
      <c r="B211">
        <f t="shared" si="148"/>
        <v>200</v>
      </c>
      <c r="C211">
        <f t="shared" si="149"/>
        <v>16.583333333333332</v>
      </c>
      <c r="D211">
        <f t="shared" si="150"/>
        <v>0</v>
      </c>
      <c r="E211">
        <f t="shared" si="151"/>
        <v>68</v>
      </c>
      <c r="F211">
        <f>IF(C211&gt;=$T$2,0,VLOOKUP($E211,EKM_F05!$A$3:$C$128,2,TRUE))</f>
        <v>1.4196794871794871E-2</v>
      </c>
      <c r="G211">
        <f>F211*'Real assumptions'!$B$3</f>
        <v>5.9243224999999998E-3</v>
      </c>
      <c r="H211">
        <f t="shared" si="168"/>
        <v>4.9503917080573334E-4</v>
      </c>
      <c r="I211">
        <f t="shared" si="169"/>
        <v>1.9943632873909356E-4</v>
      </c>
      <c r="J211">
        <f>IF(B211&gt;$AJ$2,0,HLOOKUP(C211,'Real assumptions'!$B$5:$L$8,4,TRUE))</f>
        <v>3.7900000000000003E-2</v>
      </c>
      <c r="K211">
        <f t="shared" si="138"/>
        <v>1</v>
      </c>
      <c r="L211">
        <f t="shared" si="170"/>
        <v>8.3333333333333329E-2</v>
      </c>
      <c r="M211">
        <f t="shared" si="171"/>
        <v>3.2145624959929453E-3</v>
      </c>
      <c r="N211">
        <f t="shared" si="172"/>
        <v>1.2968139248284031E-3</v>
      </c>
      <c r="O211" s="8">
        <f t="shared" si="152"/>
        <v>0.40202211119081027</v>
      </c>
      <c r="P211">
        <f t="shared" si="153"/>
        <v>9.6844406746650655</v>
      </c>
      <c r="Q211">
        <f t="shared" si="173"/>
        <v>0.9971816436954678</v>
      </c>
      <c r="R211" s="89">
        <f t="shared" si="139"/>
        <v>5000</v>
      </c>
      <c r="S211">
        <f t="shared" si="140"/>
        <v>0.33333333333333215</v>
      </c>
      <c r="U211">
        <f>O210*AV210*'Real assumptions'!$B$33/12+AX211*'Real assumptions'!$B$34</f>
        <v>5.0094356444838946</v>
      </c>
      <c r="V211">
        <f>IF(P211=0,0,IF(E211&lt;=$C$7,$AN$5*O210,0))*'Real assumptions'!$D$28</f>
        <v>2.4211101686662664</v>
      </c>
      <c r="X211" s="94">
        <f t="shared" si="154"/>
        <v>0</v>
      </c>
      <c r="Y211">
        <f t="shared" si="141"/>
        <v>24</v>
      </c>
      <c r="Z211">
        <f t="shared" si="174"/>
        <v>82</v>
      </c>
      <c r="AA211">
        <f t="shared" si="142"/>
        <v>82.333333333333329</v>
      </c>
      <c r="AB211">
        <f t="shared" si="155"/>
        <v>50.505050505050505</v>
      </c>
      <c r="AC211">
        <f t="shared" si="175"/>
        <v>4158.2491582491584</v>
      </c>
      <c r="AD211">
        <f t="shared" si="156"/>
        <v>80.505050505050505</v>
      </c>
      <c r="AE211">
        <f t="shared" si="157"/>
        <v>331.41245791245785</v>
      </c>
      <c r="AF211" s="94">
        <f t="shared" si="158"/>
        <v>510.33838383838372</v>
      </c>
      <c r="AG211">
        <f t="shared" si="176"/>
        <v>0.66181392253603843</v>
      </c>
      <c r="AH211">
        <f t="shared" si="159"/>
        <v>205.16731449241311</v>
      </c>
      <c r="AI211">
        <f>HLOOKUP(AW211,'Real assumptions'!$A$21:$AK$24,2,TRUE)</f>
        <v>2.0796999999999999</v>
      </c>
      <c r="AJ211" s="123">
        <f t="shared" si="177"/>
        <v>1.7167798764832209E-3</v>
      </c>
      <c r="AK211" s="122">
        <f>(1+HLOOKUP(YEAR(A211),'Real assumptions'!$A$21:$AK$24,2,TRUE)/100)^(1/12)-1</f>
        <v>1.7167798764832209E-3</v>
      </c>
      <c r="AL211">
        <f t="shared" si="178"/>
        <v>5.0094356444838946</v>
      </c>
      <c r="AM211">
        <f>('Real assumptions'!$B$33/12)*O210*AV210</f>
        <v>4.9531482578666894</v>
      </c>
      <c r="AN211">
        <f t="shared" si="160"/>
        <v>208.44650203217805</v>
      </c>
      <c r="AO211">
        <f t="shared" si="137"/>
        <v>0.3578567600121621</v>
      </c>
      <c r="AP211" s="121">
        <f t="shared" si="161"/>
        <v>2.4532203793601104</v>
      </c>
      <c r="AQ211">
        <f t="shared" si="162"/>
        <v>0</v>
      </c>
      <c r="AR211">
        <v>0</v>
      </c>
      <c r="AS211">
        <f t="shared" si="143"/>
        <v>0</v>
      </c>
      <c r="AT211">
        <f t="shared" si="163"/>
        <v>0</v>
      </c>
      <c r="AU211">
        <f>IFERROR(HLOOKUP(B211,'Real assumptions'!$B$43:$AL$44,2,TRUE)*($W$3/$U$2),0)</f>
        <v>0</v>
      </c>
      <c r="AV211">
        <f>AV210*(1+'Real assumptions'!$B$35)^(1/12)</f>
        <v>1.2287615472284896</v>
      </c>
      <c r="AW211">
        <f t="shared" si="144"/>
        <v>2035</v>
      </c>
      <c r="AX211">
        <f t="shared" si="179"/>
        <v>205.46980660403548</v>
      </c>
      <c r="AY211">
        <f t="shared" si="180"/>
        <v>1.6983096020386268</v>
      </c>
      <c r="AZ211">
        <f t="shared" si="145"/>
        <v>569.00597375586437</v>
      </c>
      <c r="BA211">
        <f t="shared" si="164"/>
        <v>4.0801057348977725</v>
      </c>
      <c r="BB211">
        <f t="shared" si="165"/>
        <v>82.333333333333329</v>
      </c>
      <c r="BC211">
        <f t="shared" si="146"/>
        <v>49.399999999999991</v>
      </c>
      <c r="BD211">
        <f t="shared" si="166"/>
        <v>0</v>
      </c>
      <c r="BE211">
        <f t="shared" si="147"/>
        <v>24</v>
      </c>
      <c r="BF211">
        <f t="shared" si="181"/>
        <v>5000</v>
      </c>
      <c r="BU211"/>
      <c r="FD211"/>
      <c r="FE211"/>
    </row>
    <row r="212" spans="1:161" x14ac:dyDescent="0.25">
      <c r="A212" s="7">
        <f t="shared" si="167"/>
        <v>49552</v>
      </c>
      <c r="B212">
        <f t="shared" si="148"/>
        <v>201</v>
      </c>
      <c r="C212">
        <f t="shared" si="149"/>
        <v>16.666666666666668</v>
      </c>
      <c r="D212">
        <f t="shared" si="150"/>
        <v>0</v>
      </c>
      <c r="E212">
        <f t="shared" si="151"/>
        <v>68</v>
      </c>
      <c r="F212">
        <f>IF(C212&gt;=$T$2,0,VLOOKUP($E212,EKM_F05!$A$3:$C$128,2,TRUE))</f>
        <v>1.4196794871794871E-2</v>
      </c>
      <c r="G212">
        <f>F212*'Real assumptions'!$B$3</f>
        <v>5.9243224999999998E-3</v>
      </c>
      <c r="H212">
        <f t="shared" si="168"/>
        <v>4.9503917080573334E-4</v>
      </c>
      <c r="I212">
        <f t="shared" si="169"/>
        <v>1.9869681677146385E-4</v>
      </c>
      <c r="J212">
        <f>IF(B212&gt;$AJ$2,0,HLOOKUP(C212,'Real assumptions'!$B$5:$L$8,4,TRUE))</f>
        <v>3.7900000000000003E-2</v>
      </c>
      <c r="K212">
        <f t="shared" si="138"/>
        <v>1</v>
      </c>
      <c r="L212">
        <f t="shared" si="170"/>
        <v>8.3333333333333329E-2</v>
      </c>
      <c r="M212">
        <f t="shared" si="171"/>
        <v>3.2145624959929453E-3</v>
      </c>
      <c r="N212">
        <f t="shared" si="172"/>
        <v>1.2920053253958794E-3</v>
      </c>
      <c r="O212" s="8">
        <f t="shared" si="152"/>
        <v>0.40053140904864293</v>
      </c>
      <c r="P212">
        <f t="shared" si="153"/>
        <v>9.648530668579447</v>
      </c>
      <c r="Q212">
        <f t="shared" si="173"/>
        <v>0.99348408385731923</v>
      </c>
      <c r="R212" s="89">
        <f t="shared" si="139"/>
        <v>5000</v>
      </c>
      <c r="S212">
        <f t="shared" si="140"/>
        <v>0.25</v>
      </c>
      <c r="U212">
        <f>O211*AV211*'Real assumptions'!$B$33/12+AX212*'Real assumptions'!$B$34</f>
        <v>4.9965724078789631</v>
      </c>
      <c r="V212">
        <f>IF(P212=0,0,IF(E212&lt;=$C$7,$AN$5*O211,0))*'Real assumptions'!$D$28</f>
        <v>2.4121326671448617</v>
      </c>
      <c r="X212" s="94">
        <f t="shared" si="154"/>
        <v>0</v>
      </c>
      <c r="Y212">
        <f t="shared" si="141"/>
        <v>24</v>
      </c>
      <c r="Z212">
        <f t="shared" si="174"/>
        <v>82</v>
      </c>
      <c r="AA212">
        <f t="shared" si="142"/>
        <v>82.25</v>
      </c>
      <c r="AB212">
        <f t="shared" si="155"/>
        <v>50.505050505050505</v>
      </c>
      <c r="AC212">
        <f t="shared" si="175"/>
        <v>4154.0404040404037</v>
      </c>
      <c r="AD212">
        <f t="shared" si="156"/>
        <v>80.505050505050505</v>
      </c>
      <c r="AE212">
        <f t="shared" si="157"/>
        <v>331.07702020202021</v>
      </c>
      <c r="AF212" s="94">
        <f t="shared" si="158"/>
        <v>514.88257575757609</v>
      </c>
      <c r="AG212">
        <f t="shared" si="176"/>
        <v>0.66523102983233562</v>
      </c>
      <c r="AH212">
        <f t="shared" si="159"/>
        <v>206.22664356277659</v>
      </c>
      <c r="AI212">
        <f>HLOOKUP(AW212,'Real assumptions'!$A$21:$AK$24,2,TRUE)</f>
        <v>2.0796999999999999</v>
      </c>
      <c r="AJ212" s="123">
        <f t="shared" si="177"/>
        <v>1.7167798764832209E-3</v>
      </c>
      <c r="AK212" s="122">
        <f>(1+HLOOKUP(YEAR(A212),'Real assumptions'!$A$21:$AK$24,2,TRUE)/100)^(1/12)-1</f>
        <v>1.7167798764832209E-3</v>
      </c>
      <c r="AL212">
        <f t="shared" si="178"/>
        <v>4.9965724078789631</v>
      </c>
      <c r="AM212">
        <f>('Real assumptions'!$B$33/12)*O211*AV211</f>
        <v>4.9398931136688393</v>
      </c>
      <c r="AN212">
        <f t="shared" si="160"/>
        <v>209.86036046532882</v>
      </c>
      <c r="AO212">
        <f t="shared" si="137"/>
        <v>0.36028404371839146</v>
      </c>
      <c r="AP212" s="121">
        <f t="shared" si="161"/>
        <v>2.813504423078502</v>
      </c>
      <c r="AQ212">
        <f t="shared" si="162"/>
        <v>0</v>
      </c>
      <c r="AR212">
        <v>0</v>
      </c>
      <c r="AS212">
        <f t="shared" si="143"/>
        <v>0</v>
      </c>
      <c r="AT212">
        <f t="shared" si="163"/>
        <v>0</v>
      </c>
      <c r="AU212">
        <f>IFERROR(HLOOKUP(B212,'Real assumptions'!$B$43:$AL$44,2,TRUE)*($W$3/$U$2),0)</f>
        <v>0</v>
      </c>
      <c r="AV212">
        <f>AV211*(1+'Real assumptions'!$B$35)^(1/12)</f>
        <v>1.2300342321040461</v>
      </c>
      <c r="AW212">
        <f t="shared" si="144"/>
        <v>2035</v>
      </c>
      <c r="AX212">
        <f t="shared" si="179"/>
        <v>206.90041445711492</v>
      </c>
      <c r="AY212">
        <f t="shared" si="180"/>
        <v>1.6920122524865751</v>
      </c>
      <c r="AZ212">
        <f t="shared" si="145"/>
        <v>570.56394224107328</v>
      </c>
      <c r="BA212">
        <f t="shared" si="164"/>
        <v>4.0708477808345167</v>
      </c>
      <c r="BB212">
        <f t="shared" si="165"/>
        <v>82.25</v>
      </c>
      <c r="BC212">
        <f t="shared" si="146"/>
        <v>49.349999999999994</v>
      </c>
      <c r="BD212">
        <f t="shared" si="166"/>
        <v>0</v>
      </c>
      <c r="BE212">
        <f t="shared" si="147"/>
        <v>24</v>
      </c>
      <c r="BF212">
        <f t="shared" si="181"/>
        <v>5000</v>
      </c>
      <c r="BU212"/>
      <c r="FD212"/>
      <c r="FE212"/>
    </row>
    <row r="213" spans="1:161" x14ac:dyDescent="0.25">
      <c r="A213" s="7">
        <f t="shared" si="167"/>
        <v>49582</v>
      </c>
      <c r="B213">
        <f t="shared" si="148"/>
        <v>202</v>
      </c>
      <c r="C213">
        <f t="shared" si="149"/>
        <v>16.75</v>
      </c>
      <c r="D213">
        <f t="shared" si="150"/>
        <v>0</v>
      </c>
      <c r="E213">
        <f t="shared" si="151"/>
        <v>68</v>
      </c>
      <c r="F213">
        <f>IF(C213&gt;=$T$2,0,VLOOKUP($E213,EKM_F05!$A$3:$C$128,2,TRUE))</f>
        <v>1.4196794871794871E-2</v>
      </c>
      <c r="G213">
        <f>F213*'Real assumptions'!$B$3</f>
        <v>5.9243224999999998E-3</v>
      </c>
      <c r="H213">
        <f t="shared" si="168"/>
        <v>4.9503917080573334E-4</v>
      </c>
      <c r="I213">
        <f t="shared" si="169"/>
        <v>1.979600469218511E-4</v>
      </c>
      <c r="J213">
        <f>IF(B213&gt;$AJ$2,0,HLOOKUP(C213,'Real assumptions'!$B$5:$L$8,4,TRUE))</f>
        <v>3.7900000000000003E-2</v>
      </c>
      <c r="K213">
        <f t="shared" si="138"/>
        <v>1</v>
      </c>
      <c r="L213">
        <f t="shared" si="170"/>
        <v>8.3333333333333329E-2</v>
      </c>
      <c r="M213">
        <f t="shared" si="171"/>
        <v>3.2145624959929453E-3</v>
      </c>
      <c r="N213">
        <f t="shared" si="172"/>
        <v>1.2872145562997359E-3</v>
      </c>
      <c r="O213" s="8">
        <f t="shared" si="152"/>
        <v>0.39904623444542137</v>
      </c>
      <c r="P213">
        <f t="shared" si="153"/>
        <v>9.6127538171674303</v>
      </c>
      <c r="Q213">
        <f t="shared" si="173"/>
        <v>0.98980023460925548</v>
      </c>
      <c r="R213" s="89">
        <f t="shared" si="139"/>
        <v>5000</v>
      </c>
      <c r="S213">
        <f t="shared" si="140"/>
        <v>0.16666666666666785</v>
      </c>
      <c r="U213">
        <f>O212*AV212*'Real assumptions'!$B$33/12+AX213*'Real assumptions'!$B$34</f>
        <v>4.9837423629696209</v>
      </c>
      <c r="V213">
        <f>IF(P213=0,0,IF(E213&lt;=$C$7,$AN$5*O212,0))*'Real assumptions'!$D$28</f>
        <v>2.4031884542918576</v>
      </c>
      <c r="X213" s="94">
        <f t="shared" si="154"/>
        <v>0</v>
      </c>
      <c r="Y213">
        <f t="shared" si="141"/>
        <v>24</v>
      </c>
      <c r="Z213">
        <f t="shared" si="174"/>
        <v>82</v>
      </c>
      <c r="AA213">
        <f t="shared" si="142"/>
        <v>82.166666666666671</v>
      </c>
      <c r="AB213">
        <f t="shared" si="155"/>
        <v>50.505050505050505</v>
      </c>
      <c r="AC213">
        <f t="shared" si="175"/>
        <v>4149.8316498316499</v>
      </c>
      <c r="AD213">
        <f t="shared" si="156"/>
        <v>80.505050505050505</v>
      </c>
      <c r="AE213">
        <f t="shared" si="157"/>
        <v>330.74158249158251</v>
      </c>
      <c r="AF213" s="94">
        <f t="shared" si="158"/>
        <v>519.42676767676767</v>
      </c>
      <c r="AG213">
        <f t="shared" si="176"/>
        <v>0.66861369628525646</v>
      </c>
      <c r="AH213">
        <f t="shared" si="159"/>
        <v>207.27529571157083</v>
      </c>
      <c r="AI213">
        <f>HLOOKUP(AW213,'Real assumptions'!$A$21:$AK$24,2,TRUE)</f>
        <v>2.0796999999999999</v>
      </c>
      <c r="AJ213" s="123">
        <f t="shared" si="177"/>
        <v>1.7167798764832209E-3</v>
      </c>
      <c r="AK213" s="122">
        <f>(1+HLOOKUP(YEAR(A213),'Real assumptions'!$A$21:$AK$24,2,TRUE)/100)^(1/12)-1</f>
        <v>1.7167798764832209E-3</v>
      </c>
      <c r="AL213">
        <f t="shared" si="178"/>
        <v>4.9837423629696209</v>
      </c>
      <c r="AM213">
        <f>('Real assumptions'!$B$33/12)*O212*AV212</f>
        <v>4.9266734416269911</v>
      </c>
      <c r="AN213">
        <f t="shared" si="160"/>
        <v>211.26597098576104</v>
      </c>
      <c r="AO213">
        <f t="shared" si="137"/>
        <v>0.36269716757404258</v>
      </c>
      <c r="AP213" s="121">
        <f t="shared" si="161"/>
        <v>3.1762015906525445</v>
      </c>
      <c r="AQ213">
        <f t="shared" si="162"/>
        <v>0</v>
      </c>
      <c r="AR213">
        <v>0</v>
      </c>
      <c r="AS213">
        <f t="shared" si="143"/>
        <v>0</v>
      </c>
      <c r="AT213">
        <f t="shared" si="163"/>
        <v>0</v>
      </c>
      <c r="AU213">
        <f>IFERROR(HLOOKUP(B213,'Real assumptions'!$B$43:$AL$44,2,TRUE)*($W$3/$U$2),0)</f>
        <v>0</v>
      </c>
      <c r="AV213">
        <f>AV212*(1+'Real assumptions'!$B$35)^(1/12)</f>
        <v>1.2313082351578903</v>
      </c>
      <c r="AW213">
        <f t="shared" si="144"/>
        <v>2035</v>
      </c>
      <c r="AX213">
        <f t="shared" si="179"/>
        <v>208.32269778513498</v>
      </c>
      <c r="AY213">
        <f t="shared" si="180"/>
        <v>1.6857382535717294</v>
      </c>
      <c r="AZ213">
        <f t="shared" si="145"/>
        <v>572.1108840043712</v>
      </c>
      <c r="BA213">
        <f t="shared" si="164"/>
        <v>4.0616023851863696</v>
      </c>
      <c r="BB213">
        <f t="shared" si="165"/>
        <v>82.166666666666671</v>
      </c>
      <c r="BC213">
        <f t="shared" si="146"/>
        <v>49.3</v>
      </c>
      <c r="BD213">
        <f t="shared" si="166"/>
        <v>0</v>
      </c>
      <c r="BE213">
        <f t="shared" si="147"/>
        <v>24</v>
      </c>
      <c r="BF213">
        <f t="shared" si="181"/>
        <v>5000</v>
      </c>
      <c r="BU213"/>
      <c r="FD213"/>
      <c r="FE213"/>
    </row>
    <row r="214" spans="1:161" x14ac:dyDescent="0.25">
      <c r="A214" s="7">
        <f t="shared" si="167"/>
        <v>49613</v>
      </c>
      <c r="B214">
        <f t="shared" si="148"/>
        <v>203</v>
      </c>
      <c r="C214">
        <f t="shared" si="149"/>
        <v>16.833333333333332</v>
      </c>
      <c r="D214">
        <f t="shared" si="150"/>
        <v>0</v>
      </c>
      <c r="E214">
        <f t="shared" si="151"/>
        <v>68</v>
      </c>
      <c r="F214">
        <f>IF(C214&gt;=$T$2,0,VLOOKUP($E214,EKM_F05!$A$3:$C$128,2,TRUE))</f>
        <v>1.4196794871794871E-2</v>
      </c>
      <c r="G214">
        <f>F214*'Real assumptions'!$B$3</f>
        <v>5.9243224999999998E-3</v>
      </c>
      <c r="H214">
        <f t="shared" si="168"/>
        <v>4.9503917080573334E-4</v>
      </c>
      <c r="I214">
        <f t="shared" si="169"/>
        <v>1.9722600902245338E-4</v>
      </c>
      <c r="J214">
        <f>IF(B214&gt;$AJ$2,0,HLOOKUP(C214,'Real assumptions'!$B$5:$L$8,4,TRUE))</f>
        <v>3.7900000000000003E-2</v>
      </c>
      <c r="K214">
        <f t="shared" si="138"/>
        <v>1</v>
      </c>
      <c r="L214">
        <f t="shared" si="170"/>
        <v>8.3333333333333329E-2</v>
      </c>
      <c r="M214">
        <f t="shared" si="171"/>
        <v>3.2145624959929453E-3</v>
      </c>
      <c r="N214">
        <f t="shared" si="172"/>
        <v>1.2824415514249017E-3</v>
      </c>
      <c r="O214" s="8">
        <f t="shared" si="152"/>
        <v>0.39756656688497399</v>
      </c>
      <c r="P214">
        <f t="shared" si="153"/>
        <v>9.5771096266901132</v>
      </c>
      <c r="Q214">
        <f t="shared" si="173"/>
        <v>0.98613004511226687</v>
      </c>
      <c r="R214" s="89">
        <f t="shared" si="139"/>
        <v>5000</v>
      </c>
      <c r="S214">
        <f t="shared" si="140"/>
        <v>8.3333333333332149E-2</v>
      </c>
      <c r="U214">
        <f>O213*AV213*'Real assumptions'!$B$33/12+AX214*'Real assumptions'!$B$34</f>
        <v>4.970945428752219</v>
      </c>
      <c r="V214">
        <f>IF(P214=0,0,IF(E214&lt;=$C$7,$AN$5*O213,0))*'Real assumptions'!$D$28</f>
        <v>2.3942774066725283</v>
      </c>
      <c r="X214" s="94">
        <f t="shared" si="154"/>
        <v>0</v>
      </c>
      <c r="Y214">
        <f t="shared" si="141"/>
        <v>24</v>
      </c>
      <c r="Z214">
        <f t="shared" si="174"/>
        <v>82</v>
      </c>
      <c r="AA214">
        <f t="shared" si="142"/>
        <v>82.083333333333329</v>
      </c>
      <c r="AB214">
        <f t="shared" si="155"/>
        <v>50.505050505050505</v>
      </c>
      <c r="AC214">
        <f t="shared" si="175"/>
        <v>4145.6228956228952</v>
      </c>
      <c r="AD214">
        <f t="shared" si="156"/>
        <v>80.505050505050505</v>
      </c>
      <c r="AE214">
        <f t="shared" si="157"/>
        <v>330.40614478114475</v>
      </c>
      <c r="AF214" s="94">
        <f t="shared" si="158"/>
        <v>523.97095959596004</v>
      </c>
      <c r="AG214">
        <f t="shared" si="176"/>
        <v>0.67196213032583751</v>
      </c>
      <c r="AH214">
        <f t="shared" si="159"/>
        <v>208.31333555399127</v>
      </c>
      <c r="AI214">
        <f>HLOOKUP(AW214,'Real assumptions'!$A$21:$AK$24,2,TRUE)</f>
        <v>2.0796999999999999</v>
      </c>
      <c r="AJ214" s="123">
        <f t="shared" si="177"/>
        <v>1.7167798764832209E-3</v>
      </c>
      <c r="AK214" s="122">
        <f>(1+HLOOKUP(YEAR(A214),'Real assumptions'!$A$21:$AK$24,2,TRUE)/100)^(1/12)-1</f>
        <v>1.7167798764832209E-3</v>
      </c>
      <c r="AL214">
        <f t="shared" si="178"/>
        <v>4.970945428752219</v>
      </c>
      <c r="AM214">
        <f>('Real assumptions'!$B$33/12)*O213*AV213</f>
        <v>4.9134891468139354</v>
      </c>
      <c r="AN214">
        <f t="shared" si="160"/>
        <v>212.66338409348873</v>
      </c>
      <c r="AO214">
        <f t="shared" si="137"/>
        <v>0.36509621827652333</v>
      </c>
      <c r="AP214" s="121">
        <f t="shared" si="161"/>
        <v>3.5412978089290679</v>
      </c>
      <c r="AQ214">
        <f t="shared" si="162"/>
        <v>0</v>
      </c>
      <c r="AR214">
        <v>0</v>
      </c>
      <c r="AS214">
        <f t="shared" si="143"/>
        <v>0</v>
      </c>
      <c r="AT214">
        <f t="shared" si="163"/>
        <v>0</v>
      </c>
      <c r="AU214">
        <f>IFERROR(HLOOKUP(B214,'Real assumptions'!$B$43:$AL$44,2,TRUE)*($W$3/$U$2),0)</f>
        <v>0</v>
      </c>
      <c r="AV214">
        <f>AV213*(1+'Real assumptions'!$B$35)^(1/12)</f>
        <v>1.2325835577553204</v>
      </c>
      <c r="AW214">
        <f t="shared" si="144"/>
        <v>2035</v>
      </c>
      <c r="AX214">
        <f t="shared" si="179"/>
        <v>209.73670741426054</v>
      </c>
      <c r="AY214">
        <f t="shared" si="180"/>
        <v>1.6794875187096858</v>
      </c>
      <c r="AZ214">
        <f t="shared" si="145"/>
        <v>573.64686707297426</v>
      </c>
      <c r="BA214">
        <f t="shared" si="164"/>
        <v>4.0523695821106323</v>
      </c>
      <c r="BB214">
        <f t="shared" si="165"/>
        <v>82.083333333333329</v>
      </c>
      <c r="BC214">
        <f t="shared" si="146"/>
        <v>49.25</v>
      </c>
      <c r="BD214">
        <f t="shared" si="166"/>
        <v>0</v>
      </c>
      <c r="BE214">
        <f t="shared" si="147"/>
        <v>24</v>
      </c>
      <c r="BF214">
        <f t="shared" si="181"/>
        <v>5000</v>
      </c>
      <c r="BU214"/>
      <c r="FD214"/>
      <c r="FE214"/>
    </row>
    <row r="215" spans="1:161" x14ac:dyDescent="0.25">
      <c r="A215" s="7">
        <f t="shared" si="167"/>
        <v>49643</v>
      </c>
      <c r="B215">
        <f t="shared" si="148"/>
        <v>204</v>
      </c>
      <c r="C215">
        <f t="shared" si="149"/>
        <v>16.916666666666668</v>
      </c>
      <c r="D215">
        <f t="shared" si="150"/>
        <v>0</v>
      </c>
      <c r="E215">
        <f t="shared" si="151"/>
        <v>68</v>
      </c>
      <c r="F215">
        <f>IF(C215&gt;=$T$2,0,VLOOKUP($E215,EKM_F05!$A$3:$C$128,2,TRUE))</f>
        <v>1.4196794871794871E-2</v>
      </c>
      <c r="G215">
        <f>F215*'Real assumptions'!$B$3</f>
        <v>5.9243224999999998E-3</v>
      </c>
      <c r="H215">
        <f t="shared" si="168"/>
        <v>4.9503917080573334E-4</v>
      </c>
      <c r="I215">
        <f t="shared" si="169"/>
        <v>1.9649469294317099E-4</v>
      </c>
      <c r="J215">
        <f>IF(B215&gt;$AJ$2,0,HLOOKUP(C215,'Real assumptions'!$B$5:$L$8,4,TRUE))</f>
        <v>3.7900000000000003E-2</v>
      </c>
      <c r="K215">
        <f t="shared" si="138"/>
        <v>1</v>
      </c>
      <c r="L215">
        <f t="shared" si="170"/>
        <v>8.3333333333333329E-2</v>
      </c>
      <c r="M215">
        <f t="shared" si="171"/>
        <v>3.2145624959929453E-3</v>
      </c>
      <c r="N215">
        <f t="shared" si="172"/>
        <v>1.2776862449014597E-3</v>
      </c>
      <c r="O215" s="8">
        <f t="shared" si="152"/>
        <v>0.39609238594712937</v>
      </c>
      <c r="P215">
        <f t="shared" si="153"/>
        <v>9.5415976052393763</v>
      </c>
      <c r="Q215">
        <f t="shared" si="173"/>
        <v>0.98247346471585495</v>
      </c>
      <c r="R215" s="89">
        <f t="shared" si="139"/>
        <v>5000</v>
      </c>
      <c r="S215">
        <f t="shared" si="140"/>
        <v>1</v>
      </c>
      <c r="U215">
        <f>O214*AV214*'Real assumptions'!$B$33/12+AX215*'Real assumptions'!$B$34</f>
        <v>4.9581815244093725</v>
      </c>
      <c r="V215">
        <f>IF(P215=0,0,IF(E215&lt;=$C$7,$AN$5*O214,0))*'Real assumptions'!$D$28</f>
        <v>2.3853994013098441</v>
      </c>
      <c r="X215" s="94">
        <f t="shared" si="154"/>
        <v>0</v>
      </c>
      <c r="Y215">
        <f t="shared" si="141"/>
        <v>24</v>
      </c>
      <c r="Z215">
        <f t="shared" si="174"/>
        <v>82</v>
      </c>
      <c r="AA215">
        <f t="shared" si="142"/>
        <v>82</v>
      </c>
      <c r="AB215">
        <f t="shared" si="155"/>
        <v>50.505050505050505</v>
      </c>
      <c r="AC215">
        <f t="shared" si="175"/>
        <v>4141.4141414141413</v>
      </c>
      <c r="AD215">
        <f t="shared" si="156"/>
        <v>80.505050505050505</v>
      </c>
      <c r="AE215">
        <f t="shared" si="157"/>
        <v>330.07070707070704</v>
      </c>
      <c r="AF215" s="94">
        <f t="shared" si="158"/>
        <v>528.51515151515162</v>
      </c>
      <c r="AG215">
        <f t="shared" si="176"/>
        <v>0.67527653931292009</v>
      </c>
      <c r="AH215">
        <f t="shared" si="159"/>
        <v>209.34082737284498</v>
      </c>
      <c r="AI215">
        <f>HLOOKUP(AW215,'Real assumptions'!$A$21:$AK$24,2,TRUE)</f>
        <v>2.0796999999999999</v>
      </c>
      <c r="AJ215" s="123">
        <f t="shared" si="177"/>
        <v>1.7167798764832209E-3</v>
      </c>
      <c r="AK215" s="122">
        <f>(1+HLOOKUP(YEAR(A215),'Real assumptions'!$A$21:$AK$24,2,TRUE)/100)^(1/12)-1</f>
        <v>1.7167798764832209E-3</v>
      </c>
      <c r="AL215">
        <f t="shared" si="178"/>
        <v>4.9581815244093725</v>
      </c>
      <c r="AM215">
        <f>('Real assumptions'!$B$33/12)*O214*AV214</f>
        <v>4.9003401345564974</v>
      </c>
      <c r="AN215">
        <f t="shared" si="160"/>
        <v>214.05265004244046</v>
      </c>
      <c r="AO215">
        <f t="shared" si="137"/>
        <v>0.36748128210076708</v>
      </c>
      <c r="AP215" s="121">
        <f t="shared" si="161"/>
        <v>3.9087790910298348</v>
      </c>
      <c r="AQ215">
        <f t="shared" si="162"/>
        <v>0</v>
      </c>
      <c r="AR215">
        <v>0</v>
      </c>
      <c r="AS215">
        <f t="shared" si="143"/>
        <v>0</v>
      </c>
      <c r="AT215">
        <f t="shared" si="163"/>
        <v>0</v>
      </c>
      <c r="AU215">
        <f>IFERROR(HLOOKUP(B215,'Real assumptions'!$B$43:$AL$44,2,TRUE)*($W$3/$U$2),0)</f>
        <v>0</v>
      </c>
      <c r="AV215">
        <f>AV214*(1+'Real assumptions'!$B$35)^(1/12)</f>
        <v>1.2338602012630482</v>
      </c>
      <c r="AW215">
        <f t="shared" si="144"/>
        <v>2035</v>
      </c>
      <c r="AX215">
        <f t="shared" si="179"/>
        <v>211.14249392324757</v>
      </c>
      <c r="AY215">
        <f t="shared" si="180"/>
        <v>1.6732599616370958</v>
      </c>
      <c r="AZ215">
        <f t="shared" si="145"/>
        <v>575.1719591460643</v>
      </c>
      <c r="BA215">
        <f t="shared" si="164"/>
        <v>4.0431494053386192</v>
      </c>
      <c r="BB215">
        <f t="shared" si="165"/>
        <v>82</v>
      </c>
      <c r="BC215">
        <f t="shared" si="146"/>
        <v>49.2</v>
      </c>
      <c r="BD215">
        <f t="shared" si="166"/>
        <v>0</v>
      </c>
      <c r="BE215">
        <f t="shared" si="147"/>
        <v>24</v>
      </c>
      <c r="BF215">
        <f t="shared" si="181"/>
        <v>5000</v>
      </c>
      <c r="BU215"/>
      <c r="FD215"/>
      <c r="FE215"/>
    </row>
    <row r="216" spans="1:161" x14ac:dyDescent="0.25">
      <c r="A216" s="7">
        <f t="shared" si="167"/>
        <v>49674</v>
      </c>
      <c r="B216">
        <f t="shared" si="148"/>
        <v>205</v>
      </c>
      <c r="C216">
        <f t="shared" si="149"/>
        <v>17</v>
      </c>
      <c r="D216">
        <f t="shared" si="150"/>
        <v>1</v>
      </c>
      <c r="E216">
        <f t="shared" si="151"/>
        <v>69</v>
      </c>
      <c r="F216">
        <f>IF(C216&gt;=$T$2,0,VLOOKUP($E216,EKM_F05!$A$3:$C$128,2,TRUE))</f>
        <v>1.5872051282051283E-2</v>
      </c>
      <c r="G216">
        <f>F216*'Real assumptions'!$B$3</f>
        <v>6.6234070000000004E-3</v>
      </c>
      <c r="H216">
        <f t="shared" si="168"/>
        <v>5.5363328009661039E-4</v>
      </c>
      <c r="I216">
        <f t="shared" si="169"/>
        <v>2.1893746626589611E-4</v>
      </c>
      <c r="J216">
        <f>IF(B216&gt;$AJ$2,0,HLOOKUP(C216,'Real assumptions'!$B$5:$L$8,4,TRUE))</f>
        <v>3.7900000000000003E-2</v>
      </c>
      <c r="K216">
        <f t="shared" si="138"/>
        <v>1</v>
      </c>
      <c r="L216">
        <f t="shared" si="170"/>
        <v>8.3333333333333329E-2</v>
      </c>
      <c r="M216">
        <f t="shared" si="171"/>
        <v>3.2145624959929453E-3</v>
      </c>
      <c r="N216">
        <f t="shared" si="172"/>
        <v>1.2729112682266996E-3</v>
      </c>
      <c r="O216" s="8">
        <f t="shared" si="152"/>
        <v>0.39460053721263677</v>
      </c>
      <c r="P216">
        <f t="shared" si="153"/>
        <v>9.5062172627311057</v>
      </c>
      <c r="Q216">
        <f t="shared" si="173"/>
        <v>1.0946873313294805</v>
      </c>
      <c r="R216" s="89">
        <f t="shared" si="139"/>
        <v>5000</v>
      </c>
      <c r="S216">
        <f t="shared" si="140"/>
        <v>0.91666666666666785</v>
      </c>
      <c r="U216">
        <f>O215*AV215*'Real assumptions'!$B$33/12+AX216*'Real assumptions'!$B$34</f>
        <v>4.9454505693095898</v>
      </c>
      <c r="V216">
        <f>IF(P216=0,0,IF(E216&lt;=$C$7,$AN$5*O215,0))*'Real assumptions'!$D$28</f>
        <v>2.3765543156827764</v>
      </c>
      <c r="X216" s="94">
        <f t="shared" si="154"/>
        <v>0</v>
      </c>
      <c r="Y216">
        <f t="shared" si="141"/>
        <v>24</v>
      </c>
      <c r="Z216">
        <f t="shared" si="174"/>
        <v>82</v>
      </c>
      <c r="AA216">
        <f t="shared" si="142"/>
        <v>81.916666666666671</v>
      </c>
      <c r="AB216">
        <f t="shared" si="155"/>
        <v>50.505050505050505</v>
      </c>
      <c r="AC216">
        <f t="shared" si="175"/>
        <v>4137.2053872053875</v>
      </c>
      <c r="AD216">
        <f t="shared" si="156"/>
        <v>80.505050505050505</v>
      </c>
      <c r="AE216">
        <f t="shared" si="157"/>
        <v>329.73526936026934</v>
      </c>
      <c r="AF216" s="94">
        <f t="shared" si="158"/>
        <v>533.05934343434319</v>
      </c>
      <c r="AG216">
        <f t="shared" si="176"/>
        <v>0.67853724489110157</v>
      </c>
      <c r="AH216">
        <f t="shared" si="159"/>
        <v>210.34550328540726</v>
      </c>
      <c r="AI216">
        <f>HLOOKUP(AW216,'Real assumptions'!$A$21:$AK$24,2,TRUE)</f>
        <v>2.0796999999999999</v>
      </c>
      <c r="AJ216" s="123">
        <f t="shared" si="177"/>
        <v>1.7167798764832209E-3</v>
      </c>
      <c r="AK216" s="122">
        <f>(1+HLOOKUP(YEAR(A216),'Real assumptions'!$A$21:$AK$24,2,TRUE)/100)^(1/12)-1</f>
        <v>1.7167798764832209E-3</v>
      </c>
      <c r="AL216">
        <f t="shared" si="178"/>
        <v>4.9454505693095898</v>
      </c>
      <c r="AM216">
        <f>('Real assumptions'!$B$33/12)*O215*AV215</f>
        <v>4.8872263104348601</v>
      </c>
      <c r="AN216">
        <f t="shared" si="160"/>
        <v>215.43381884161354</v>
      </c>
      <c r="AO216">
        <f t="shared" si="137"/>
        <v>0.36985244490121388</v>
      </c>
      <c r="AP216" s="121">
        <f t="shared" si="161"/>
        <v>0</v>
      </c>
      <c r="AQ216">
        <f t="shared" si="162"/>
        <v>0</v>
      </c>
      <c r="AR216">
        <v>0</v>
      </c>
      <c r="AS216">
        <f t="shared" si="143"/>
        <v>0</v>
      </c>
      <c r="AT216">
        <f t="shared" si="163"/>
        <v>0</v>
      </c>
      <c r="AU216">
        <f>IFERROR(HLOOKUP(B216,'Real assumptions'!$B$43:$AL$44,2,TRUE)*($W$3/$U$2),0)</f>
        <v>0</v>
      </c>
      <c r="AV216">
        <f>AV215*(1+'Real assumptions'!$B$35)^(1/12)</f>
        <v>1.2351381670492012</v>
      </c>
      <c r="AW216">
        <f t="shared" si="144"/>
        <v>2035</v>
      </c>
      <c r="AX216">
        <f t="shared" si="179"/>
        <v>212.54010764460253</v>
      </c>
      <c r="AY216">
        <f t="shared" si="180"/>
        <v>1.6670554964104771</v>
      </c>
      <c r="AZ216">
        <f t="shared" si="145"/>
        <v>576.57039059256181</v>
      </c>
      <c r="BA216">
        <f t="shared" si="164"/>
        <v>4.1497788919033587</v>
      </c>
      <c r="BB216">
        <f t="shared" si="165"/>
        <v>81.916666666666671</v>
      </c>
      <c r="BC216">
        <f t="shared" si="146"/>
        <v>49.150000000000006</v>
      </c>
      <c r="BD216">
        <f t="shared" si="166"/>
        <v>0</v>
      </c>
      <c r="BE216">
        <f t="shared" si="147"/>
        <v>24</v>
      </c>
      <c r="BF216">
        <f t="shared" si="181"/>
        <v>5000</v>
      </c>
      <c r="BU216"/>
      <c r="FD216"/>
      <c r="FE216"/>
    </row>
    <row r="217" spans="1:161" x14ac:dyDescent="0.25">
      <c r="A217" s="7">
        <f t="shared" si="167"/>
        <v>49705</v>
      </c>
      <c r="B217">
        <f t="shared" si="148"/>
        <v>206</v>
      </c>
      <c r="C217">
        <f t="shared" si="149"/>
        <v>17.083333333333332</v>
      </c>
      <c r="D217">
        <f t="shared" si="150"/>
        <v>0</v>
      </c>
      <c r="E217">
        <f t="shared" si="151"/>
        <v>69</v>
      </c>
      <c r="F217">
        <f>IF(C217&gt;=$T$2,0,VLOOKUP($E217,EKM_F05!$A$3:$C$128,2,TRUE))</f>
        <v>1.5872051282051283E-2</v>
      </c>
      <c r="G217">
        <f>F217*'Real assumptions'!$B$3</f>
        <v>6.6234070000000004E-3</v>
      </c>
      <c r="H217">
        <f t="shared" si="168"/>
        <v>5.5363328009661039E-4</v>
      </c>
      <c r="I217">
        <f t="shared" si="169"/>
        <v>2.1811285667083718E-4</v>
      </c>
      <c r="J217">
        <f>IF(B217&gt;$AJ$2,0,HLOOKUP(C217,'Real assumptions'!$B$5:$L$8,4,TRUE))</f>
        <v>3.7900000000000003E-2</v>
      </c>
      <c r="K217">
        <f t="shared" si="138"/>
        <v>1</v>
      </c>
      <c r="L217">
        <f t="shared" si="170"/>
        <v>8.3333333333333329E-2</v>
      </c>
      <c r="M217">
        <f t="shared" si="171"/>
        <v>3.2145624959929453E-3</v>
      </c>
      <c r="N217">
        <f t="shared" si="172"/>
        <v>1.2681169547483313E-3</v>
      </c>
      <c r="O217" s="8">
        <f t="shared" si="152"/>
        <v>0.39311430740121761</v>
      </c>
      <c r="P217">
        <f t="shared" si="153"/>
        <v>9.4704128931032834</v>
      </c>
      <c r="Q217">
        <f t="shared" si="173"/>
        <v>1.090564283354186</v>
      </c>
      <c r="R217" s="89">
        <f t="shared" si="139"/>
        <v>5000</v>
      </c>
      <c r="S217">
        <f t="shared" si="140"/>
        <v>0.83333333333333215</v>
      </c>
      <c r="U217">
        <f>O216*AV216*'Real assumptions'!$B$33/12+AX217*'Real assumptions'!$B$34</f>
        <v>4.931291269436886</v>
      </c>
      <c r="V217">
        <f>IF(P217=0,0,IF(E217&lt;=$C$7,$AN$5*O216,0))*'Real assumptions'!$D$28</f>
        <v>2.3676032232758208</v>
      </c>
      <c r="X217" s="94">
        <f t="shared" si="154"/>
        <v>0</v>
      </c>
      <c r="Y217">
        <f t="shared" si="141"/>
        <v>24</v>
      </c>
      <c r="Z217">
        <f t="shared" si="174"/>
        <v>81</v>
      </c>
      <c r="AA217">
        <f t="shared" si="142"/>
        <v>81.833333333333329</v>
      </c>
      <c r="AB217">
        <f t="shared" si="155"/>
        <v>50.505050505050505</v>
      </c>
      <c r="AC217">
        <f t="shared" si="175"/>
        <v>4132.9966329966328</v>
      </c>
      <c r="AD217">
        <f t="shared" si="156"/>
        <v>80.505050505050505</v>
      </c>
      <c r="AE217">
        <f t="shared" si="157"/>
        <v>329.39983164983164</v>
      </c>
      <c r="AF217" s="94">
        <f t="shared" si="158"/>
        <v>537.60353535353556</v>
      </c>
      <c r="AG217">
        <f t="shared" si="176"/>
        <v>0.68174415811446243</v>
      </c>
      <c r="AH217">
        <f t="shared" si="159"/>
        <v>211.33964145695114</v>
      </c>
      <c r="AI217">
        <f>HLOOKUP(AW217,'Real assumptions'!$A$21:$AK$24,2,TRUE)</f>
        <v>2.0600999999999998</v>
      </c>
      <c r="AJ217" s="123">
        <f t="shared" si="177"/>
        <v>1.7007504268471418E-3</v>
      </c>
      <c r="AK217" s="122">
        <f>(1+HLOOKUP(YEAR(A217),'Real assumptions'!$A$21:$AK$24,2,TRUE)/100)^(1/12)-1</f>
        <v>1.7007504268471418E-3</v>
      </c>
      <c r="AL217">
        <f t="shared" si="178"/>
        <v>4.931291269436886</v>
      </c>
      <c r="AM217">
        <f>('Real assumptions'!$B$33/12)*O216*AV216</f>
        <v>4.8738618424944624</v>
      </c>
      <c r="AN217">
        <f t="shared" si="160"/>
        <v>212.51702168579786</v>
      </c>
      <c r="AO217">
        <f t="shared" si="137"/>
        <v>0.36143841534440402</v>
      </c>
      <c r="AP217" s="121">
        <f t="shared" si="161"/>
        <v>0.36143841534440402</v>
      </c>
      <c r="AQ217">
        <f t="shared" si="162"/>
        <v>0</v>
      </c>
      <c r="AR217">
        <v>0</v>
      </c>
      <c r="AS217">
        <f t="shared" si="143"/>
        <v>0</v>
      </c>
      <c r="AT217">
        <f t="shared" si="163"/>
        <v>0</v>
      </c>
      <c r="AU217">
        <f>IFERROR(HLOOKUP(B217,'Real assumptions'!$B$43:$AL$44,2,TRUE)*($W$3/$U$2),0)</f>
        <v>0</v>
      </c>
      <c r="AV217">
        <f>AV216*(1+'Real assumptions'!$B$35)^(1/12)</f>
        <v>1.2364174564833244</v>
      </c>
      <c r="AW217">
        <f t="shared" si="144"/>
        <v>2036</v>
      </c>
      <c r="AX217">
        <f t="shared" si="179"/>
        <v>209.6386767339018</v>
      </c>
      <c r="AY217">
        <f t="shared" si="180"/>
        <v>1.6607766717703567</v>
      </c>
      <c r="AZ217">
        <f t="shared" si="145"/>
        <v>577.95020288939145</v>
      </c>
      <c r="BA217">
        <f t="shared" si="164"/>
        <v>4.1399116647444689</v>
      </c>
      <c r="BB217">
        <f t="shared" si="165"/>
        <v>81.833333333333329</v>
      </c>
      <c r="BC217">
        <f t="shared" si="146"/>
        <v>49.099999999999994</v>
      </c>
      <c r="BD217">
        <f t="shared" si="166"/>
        <v>0</v>
      </c>
      <c r="BE217">
        <f t="shared" si="147"/>
        <v>24</v>
      </c>
      <c r="BF217">
        <f t="shared" si="181"/>
        <v>5000</v>
      </c>
      <c r="BU217"/>
      <c r="FD217"/>
      <c r="FE217"/>
    </row>
    <row r="218" spans="1:161" x14ac:dyDescent="0.25">
      <c r="A218" s="7">
        <f t="shared" si="167"/>
        <v>49734</v>
      </c>
      <c r="B218">
        <f t="shared" si="148"/>
        <v>207</v>
      </c>
      <c r="C218">
        <f t="shared" si="149"/>
        <v>17.166666666666668</v>
      </c>
      <c r="D218">
        <f t="shared" si="150"/>
        <v>0</v>
      </c>
      <c r="E218">
        <f t="shared" si="151"/>
        <v>69</v>
      </c>
      <c r="F218">
        <f>IF(C218&gt;=$T$2,0,VLOOKUP($E218,EKM_F05!$A$3:$C$128,2,TRUE))</f>
        <v>1.5872051282051283E-2</v>
      </c>
      <c r="G218">
        <f>F218*'Real assumptions'!$B$3</f>
        <v>6.6234070000000004E-3</v>
      </c>
      <c r="H218">
        <f t="shared" si="168"/>
        <v>5.5363328009661039E-4</v>
      </c>
      <c r="I218">
        <f t="shared" si="169"/>
        <v>2.172913528986228E-4</v>
      </c>
      <c r="J218">
        <f>IF(B218&gt;$AJ$2,0,HLOOKUP(C218,'Real assumptions'!$B$5:$L$8,4,TRUE))</f>
        <v>3.7900000000000003E-2</v>
      </c>
      <c r="K218">
        <f t="shared" si="138"/>
        <v>1</v>
      </c>
      <c r="L218">
        <f t="shared" si="170"/>
        <v>8.3333333333333329E-2</v>
      </c>
      <c r="M218">
        <f t="shared" si="171"/>
        <v>3.2145624959929453E-3</v>
      </c>
      <c r="N218">
        <f t="shared" si="172"/>
        <v>1.2633406986493755E-3</v>
      </c>
      <c r="O218" s="8">
        <f t="shared" si="152"/>
        <v>0.39163367534966964</v>
      </c>
      <c r="P218">
        <f t="shared" si="153"/>
        <v>9.4347433776292231</v>
      </c>
      <c r="Q218">
        <f t="shared" si="173"/>
        <v>1.086456764493114</v>
      </c>
      <c r="R218" s="89">
        <f t="shared" si="139"/>
        <v>5000</v>
      </c>
      <c r="S218">
        <f t="shared" si="140"/>
        <v>0.75</v>
      </c>
      <c r="U218">
        <f>O217*AV217*'Real assumptions'!$B$33/12+AX218*'Real assumptions'!$B$34</f>
        <v>4.9183354300484012</v>
      </c>
      <c r="V218">
        <f>IF(P218=0,0,IF(E218&lt;=$C$7,$AN$5*O217,0))*'Real assumptions'!$D$28</f>
        <v>2.3586858444073058</v>
      </c>
      <c r="X218" s="94">
        <f t="shared" si="154"/>
        <v>0</v>
      </c>
      <c r="Y218">
        <f t="shared" si="141"/>
        <v>24</v>
      </c>
      <c r="Z218">
        <f t="shared" si="174"/>
        <v>81</v>
      </c>
      <c r="AA218">
        <f t="shared" si="142"/>
        <v>81.75</v>
      </c>
      <c r="AB218">
        <f t="shared" si="155"/>
        <v>50.505050505050505</v>
      </c>
      <c r="AC218">
        <f t="shared" si="175"/>
        <v>4128.787878787879</v>
      </c>
      <c r="AD218">
        <f t="shared" si="156"/>
        <v>80.505050505050505</v>
      </c>
      <c r="AE218">
        <f t="shared" si="157"/>
        <v>329.06439393939394</v>
      </c>
      <c r="AF218" s="94">
        <f t="shared" si="158"/>
        <v>542.14772727272702</v>
      </c>
      <c r="AG218">
        <f t="shared" si="176"/>
        <v>0.684917288543898</v>
      </c>
      <c r="AH218">
        <f t="shared" si="159"/>
        <v>212.32330701428842</v>
      </c>
      <c r="AI218">
        <f>HLOOKUP(AW218,'Real assumptions'!$A$21:$AK$24,2,TRUE)</f>
        <v>2.0600999999999998</v>
      </c>
      <c r="AJ218" s="123">
        <f t="shared" si="177"/>
        <v>1.7007504268471418E-3</v>
      </c>
      <c r="AK218" s="122">
        <f>(1+HLOOKUP(YEAR(A218),'Real assumptions'!$A$21:$AK$24,2,TRUE)/100)^(1/12)-1</f>
        <v>1.7007504268471418E-3</v>
      </c>
      <c r="AL218">
        <f t="shared" si="178"/>
        <v>4.9183354300484012</v>
      </c>
      <c r="AM218">
        <f>('Real assumptions'!$B$33/12)*O217*AV217</f>
        <v>4.8605339206421716</v>
      </c>
      <c r="AN218">
        <f t="shared" si="160"/>
        <v>213.85880197546908</v>
      </c>
      <c r="AO218">
        <f t="shared" si="137"/>
        <v>0.36372044874479742</v>
      </c>
      <c r="AP218" s="121">
        <f t="shared" si="161"/>
        <v>0.72515886408920149</v>
      </c>
      <c r="AQ218">
        <f t="shared" si="162"/>
        <v>0</v>
      </c>
      <c r="AR218">
        <v>0</v>
      </c>
      <c r="AS218">
        <f t="shared" si="143"/>
        <v>0</v>
      </c>
      <c r="AT218">
        <f t="shared" si="163"/>
        <v>0</v>
      </c>
      <c r="AU218">
        <f>IFERROR(HLOOKUP(B218,'Real assumptions'!$B$43:$AL$44,2,TRUE)*($W$3/$U$2),0)</f>
        <v>0</v>
      </c>
      <c r="AV218">
        <f>AV217*(1+'Real assumptions'!$B$35)^(1/12)</f>
        <v>1.2376980709363805</v>
      </c>
      <c r="AW218">
        <f t="shared" si="144"/>
        <v>2036</v>
      </c>
      <c r="AX218">
        <f t="shared" si="179"/>
        <v>210.99691552368458</v>
      </c>
      <c r="AY218">
        <f t="shared" si="180"/>
        <v>1.6545214957963703</v>
      </c>
      <c r="AZ218">
        <f t="shared" si="145"/>
        <v>579.31949999378855</v>
      </c>
      <c r="BA218">
        <f t="shared" si="164"/>
        <v>4.1300598974443181</v>
      </c>
      <c r="BB218">
        <f t="shared" si="165"/>
        <v>81.75</v>
      </c>
      <c r="BC218">
        <f t="shared" si="146"/>
        <v>49.05</v>
      </c>
      <c r="BD218">
        <f t="shared" si="166"/>
        <v>0</v>
      </c>
      <c r="BE218">
        <f t="shared" si="147"/>
        <v>24</v>
      </c>
      <c r="BF218">
        <f t="shared" si="181"/>
        <v>5000</v>
      </c>
      <c r="BU218"/>
      <c r="FD218"/>
      <c r="FE218"/>
    </row>
    <row r="219" spans="1:161" x14ac:dyDescent="0.25">
      <c r="A219" s="7">
        <f t="shared" si="167"/>
        <v>49765</v>
      </c>
      <c r="B219">
        <f t="shared" si="148"/>
        <v>208</v>
      </c>
      <c r="C219">
        <f t="shared" si="149"/>
        <v>17.25</v>
      </c>
      <c r="D219">
        <f t="shared" si="150"/>
        <v>0</v>
      </c>
      <c r="E219">
        <f t="shared" si="151"/>
        <v>69</v>
      </c>
      <c r="F219">
        <f>IF(C219&gt;=$T$2,0,VLOOKUP($E219,EKM_F05!$A$3:$C$128,2,TRUE))</f>
        <v>1.5872051282051283E-2</v>
      </c>
      <c r="G219">
        <f>F219*'Real assumptions'!$B$3</f>
        <v>6.6234070000000004E-3</v>
      </c>
      <c r="H219">
        <f t="shared" si="168"/>
        <v>5.5363328009661039E-4</v>
      </c>
      <c r="I219">
        <f t="shared" si="169"/>
        <v>2.1647294325143193E-4</v>
      </c>
      <c r="J219">
        <f>IF(B219&gt;$AJ$2,0,HLOOKUP(C219,'Real assumptions'!$B$5:$L$8,4,TRUE))</f>
        <v>3.7900000000000003E-2</v>
      </c>
      <c r="K219">
        <f t="shared" si="138"/>
        <v>1</v>
      </c>
      <c r="L219">
        <f t="shared" si="170"/>
        <v>8.3333333333333329E-2</v>
      </c>
      <c r="M219">
        <f t="shared" si="171"/>
        <v>3.2145624959929453E-3</v>
      </c>
      <c r="N219">
        <f t="shared" si="172"/>
        <v>1.2585824319182282E-3</v>
      </c>
      <c r="O219" s="8">
        <f t="shared" si="152"/>
        <v>0.39015861997449997</v>
      </c>
      <c r="P219">
        <f t="shared" si="153"/>
        <v>9.3992082083920714</v>
      </c>
      <c r="Q219">
        <f t="shared" si="173"/>
        <v>1.0823647162571597</v>
      </c>
      <c r="R219" s="89">
        <f t="shared" si="139"/>
        <v>5000</v>
      </c>
      <c r="S219">
        <f t="shared" si="140"/>
        <v>0.66666666666666785</v>
      </c>
      <c r="U219">
        <f>O218*AV218*'Real assumptions'!$B$33/12+AX219*'Real assumptions'!$B$34</f>
        <v>4.9054137902962269</v>
      </c>
      <c r="V219">
        <f>IF(P219=0,0,IF(E219&lt;=$C$7,$AN$5*O218,0))*'Real assumptions'!$D$28</f>
        <v>2.3498020520980178</v>
      </c>
      <c r="X219" s="94">
        <f t="shared" si="154"/>
        <v>0</v>
      </c>
      <c r="Y219">
        <f t="shared" si="141"/>
        <v>24</v>
      </c>
      <c r="Z219">
        <f t="shared" si="174"/>
        <v>81</v>
      </c>
      <c r="AA219">
        <f t="shared" si="142"/>
        <v>81.666666666666671</v>
      </c>
      <c r="AB219">
        <f t="shared" si="155"/>
        <v>50.505050505050505</v>
      </c>
      <c r="AC219">
        <f t="shared" si="175"/>
        <v>4124.5791245791252</v>
      </c>
      <c r="AD219">
        <f t="shared" si="156"/>
        <v>80.505050505050505</v>
      </c>
      <c r="AE219">
        <f t="shared" si="157"/>
        <v>328.72895622895624</v>
      </c>
      <c r="AF219" s="94">
        <f t="shared" si="158"/>
        <v>546.6919191919186</v>
      </c>
      <c r="AG219">
        <f t="shared" si="176"/>
        <v>0.68805684516660848</v>
      </c>
      <c r="AH219">
        <f t="shared" si="159"/>
        <v>213.29656474312981</v>
      </c>
      <c r="AI219">
        <f>HLOOKUP(AW219,'Real assumptions'!$A$21:$AK$24,2,TRUE)</f>
        <v>2.0600999999999998</v>
      </c>
      <c r="AJ219" s="123">
        <f t="shared" si="177"/>
        <v>1.7007504268471418E-3</v>
      </c>
      <c r="AK219" s="122">
        <f>(1+HLOOKUP(YEAR(A219),'Real assumptions'!$A$21:$AK$24,2,TRUE)/100)^(1/12)-1</f>
        <v>1.7007504268471418E-3</v>
      </c>
      <c r="AL219">
        <f t="shared" si="178"/>
        <v>4.9054137902962269</v>
      </c>
      <c r="AM219">
        <f>('Real assumptions'!$B$33/12)*O218*AV218</f>
        <v>4.8472424449401084</v>
      </c>
      <c r="AN219">
        <f t="shared" si="160"/>
        <v>215.19245824437544</v>
      </c>
      <c r="AO219">
        <f t="shared" si="137"/>
        <v>0.36598866521340728</v>
      </c>
      <c r="AP219" s="121">
        <f t="shared" si="161"/>
        <v>1.0911475293026087</v>
      </c>
      <c r="AQ219">
        <f t="shared" si="162"/>
        <v>0</v>
      </c>
      <c r="AR219">
        <v>0</v>
      </c>
      <c r="AS219">
        <f t="shared" si="143"/>
        <v>0</v>
      </c>
      <c r="AT219">
        <f t="shared" si="163"/>
        <v>0</v>
      </c>
      <c r="AU219">
        <f>IFERROR(HLOOKUP(B219,'Real assumptions'!$B$43:$AL$44,2,TRUE)*($W$3/$U$2),0)</f>
        <v>0</v>
      </c>
      <c r="AV219">
        <f>AV218*(1+'Real assumptions'!$B$35)^(1/12)</f>
        <v>1.2389800117807528</v>
      </c>
      <c r="AW219">
        <f t="shared" si="144"/>
        <v>2036</v>
      </c>
      <c r="AX219">
        <f t="shared" si="179"/>
        <v>212.34695370569739</v>
      </c>
      <c r="AY219">
        <f t="shared" si="180"/>
        <v>1.6482898794178014</v>
      </c>
      <c r="AZ219">
        <f t="shared" si="145"/>
        <v>580.6783486852579</v>
      </c>
      <c r="BA219">
        <f t="shared" si="164"/>
        <v>4.1202236135217856</v>
      </c>
      <c r="BB219">
        <f t="shared" si="165"/>
        <v>81.666666666666671</v>
      </c>
      <c r="BC219">
        <f t="shared" si="146"/>
        <v>49</v>
      </c>
      <c r="BD219">
        <f t="shared" si="166"/>
        <v>0</v>
      </c>
      <c r="BE219">
        <f t="shared" si="147"/>
        <v>24</v>
      </c>
      <c r="BF219">
        <f t="shared" si="181"/>
        <v>5000</v>
      </c>
      <c r="BU219"/>
      <c r="FD219"/>
      <c r="FE219"/>
    </row>
    <row r="220" spans="1:161" x14ac:dyDescent="0.25">
      <c r="A220" s="7">
        <f t="shared" si="167"/>
        <v>49795</v>
      </c>
      <c r="B220">
        <f t="shared" si="148"/>
        <v>209</v>
      </c>
      <c r="C220">
        <f t="shared" si="149"/>
        <v>17.333333333333332</v>
      </c>
      <c r="D220">
        <f t="shared" si="150"/>
        <v>0</v>
      </c>
      <c r="E220">
        <f t="shared" si="151"/>
        <v>69</v>
      </c>
      <c r="F220">
        <f>IF(C220&gt;=$T$2,0,VLOOKUP($E220,EKM_F05!$A$3:$C$128,2,TRUE))</f>
        <v>1.5872051282051283E-2</v>
      </c>
      <c r="G220">
        <f>F220*'Real assumptions'!$B$3</f>
        <v>6.6234070000000004E-3</v>
      </c>
      <c r="H220">
        <f t="shared" si="168"/>
        <v>5.5363328009661039E-4</v>
      </c>
      <c r="I220">
        <f t="shared" si="169"/>
        <v>2.156576160755022E-4</v>
      </c>
      <c r="J220">
        <f>IF(B220&gt;$AJ$2,0,HLOOKUP(C220,'Real assumptions'!$B$5:$L$8,4,TRUE))</f>
        <v>3.7900000000000003E-2</v>
      </c>
      <c r="K220">
        <f t="shared" si="138"/>
        <v>1</v>
      </c>
      <c r="L220">
        <f t="shared" si="170"/>
        <v>8.3333333333333329E-2</v>
      </c>
      <c r="M220">
        <f t="shared" si="171"/>
        <v>3.2145624959929453E-3</v>
      </c>
      <c r="N220">
        <f t="shared" si="172"/>
        <v>1.2538420867994444E-3</v>
      </c>
      <c r="O220" s="8">
        <f t="shared" si="152"/>
        <v>0.388689120271625</v>
      </c>
      <c r="P220">
        <f t="shared" si="153"/>
        <v>9.3638068793879992</v>
      </c>
      <c r="Q220">
        <f t="shared" si="173"/>
        <v>1.078288080377511</v>
      </c>
      <c r="R220" s="89">
        <f t="shared" si="139"/>
        <v>5000</v>
      </c>
      <c r="S220">
        <f t="shared" si="140"/>
        <v>0.58333333333333215</v>
      </c>
      <c r="U220">
        <f>O219*AV219*'Real assumptions'!$B$33/12+AX220*'Real assumptions'!$B$34</f>
        <v>4.8925262644887511</v>
      </c>
      <c r="V220">
        <f>IF(P220=0,0,IF(E220&lt;=$C$7,$AN$5*O219,0))*'Real assumptions'!$D$28</f>
        <v>2.3409517198469998</v>
      </c>
      <c r="X220" s="94">
        <f t="shared" si="154"/>
        <v>0</v>
      </c>
      <c r="Y220">
        <f t="shared" si="141"/>
        <v>24</v>
      </c>
      <c r="Z220">
        <f t="shared" si="174"/>
        <v>81</v>
      </c>
      <c r="AA220">
        <f t="shared" si="142"/>
        <v>81.583333333333329</v>
      </c>
      <c r="AB220">
        <f t="shared" si="155"/>
        <v>50.505050505050505</v>
      </c>
      <c r="AC220">
        <f t="shared" si="175"/>
        <v>4120.3703703703704</v>
      </c>
      <c r="AD220">
        <f t="shared" si="156"/>
        <v>80.505050505050505</v>
      </c>
      <c r="AE220">
        <f t="shared" si="157"/>
        <v>328.39351851851848</v>
      </c>
      <c r="AF220" s="94">
        <f t="shared" si="158"/>
        <v>551.23611111111109</v>
      </c>
      <c r="AG220">
        <f t="shared" si="176"/>
        <v>0.69116303587476591</v>
      </c>
      <c r="AH220">
        <f t="shared" si="159"/>
        <v>214.2594790897295</v>
      </c>
      <c r="AI220">
        <f>HLOOKUP(AW220,'Real assumptions'!$A$21:$AK$24,2,TRUE)</f>
        <v>2.0600999999999998</v>
      </c>
      <c r="AJ220" s="123">
        <f t="shared" si="177"/>
        <v>1.7007504268471418E-3</v>
      </c>
      <c r="AK220" s="122">
        <f>(1+HLOOKUP(YEAR(A220),'Real assumptions'!$A$21:$AK$24,2,TRUE)/100)^(1/12)-1</f>
        <v>1.7007504268471418E-3</v>
      </c>
      <c r="AL220">
        <f t="shared" si="178"/>
        <v>4.8925262644887511</v>
      </c>
      <c r="AM220">
        <f>('Real assumptions'!$B$33/12)*O219*AV219</f>
        <v>4.8339873157236823</v>
      </c>
      <c r="AN220">
        <f t="shared" si="160"/>
        <v>216.51804116748468</v>
      </c>
      <c r="AO220">
        <f t="shared" si="137"/>
        <v>0.36824315093570659</v>
      </c>
      <c r="AP220" s="121">
        <f t="shared" si="161"/>
        <v>1.4593906802383154</v>
      </c>
      <c r="AQ220">
        <f t="shared" si="162"/>
        <v>0</v>
      </c>
      <c r="AR220">
        <v>0</v>
      </c>
      <c r="AS220">
        <f t="shared" si="143"/>
        <v>0</v>
      </c>
      <c r="AT220">
        <f t="shared" si="163"/>
        <v>0</v>
      </c>
      <c r="AU220">
        <f>IFERROR(HLOOKUP(B220,'Real assumptions'!$B$43:$AL$44,2,TRUE)*($W$3/$U$2),0)</f>
        <v>0</v>
      </c>
      <c r="AV220">
        <f>AV219*(1+'Real assumptions'!$B$35)^(1/12)</f>
        <v>1.2402632803902456</v>
      </c>
      <c r="AW220">
        <f t="shared" si="144"/>
        <v>2036</v>
      </c>
      <c r="AX220">
        <f t="shared" si="179"/>
        <v>213.68884228648483</v>
      </c>
      <c r="AY220">
        <f t="shared" si="180"/>
        <v>1.6420817338994105</v>
      </c>
      <c r="AZ220">
        <f t="shared" si="145"/>
        <v>582.02681541344521</v>
      </c>
      <c r="BA220">
        <f t="shared" si="164"/>
        <v>4.1104028360992766</v>
      </c>
      <c r="BB220">
        <f t="shared" si="165"/>
        <v>81.583333333333329</v>
      </c>
      <c r="BC220">
        <f t="shared" si="146"/>
        <v>48.949999999999996</v>
      </c>
      <c r="BD220">
        <f t="shared" si="166"/>
        <v>0</v>
      </c>
      <c r="BE220">
        <f t="shared" si="147"/>
        <v>24</v>
      </c>
      <c r="BF220">
        <f t="shared" si="181"/>
        <v>5000</v>
      </c>
      <c r="BU220"/>
      <c r="FD220"/>
      <c r="FE220"/>
    </row>
    <row r="221" spans="1:161" x14ac:dyDescent="0.25">
      <c r="A221" s="7">
        <f t="shared" si="167"/>
        <v>49826</v>
      </c>
      <c r="B221">
        <f t="shared" si="148"/>
        <v>210</v>
      </c>
      <c r="C221">
        <f t="shared" si="149"/>
        <v>17.416666666666668</v>
      </c>
      <c r="D221">
        <f t="shared" si="150"/>
        <v>0</v>
      </c>
      <c r="E221">
        <f t="shared" si="151"/>
        <v>69</v>
      </c>
      <c r="F221">
        <f>IF(C221&gt;=$T$2,0,VLOOKUP($E221,EKM_F05!$A$3:$C$128,2,TRUE))</f>
        <v>1.5872051282051283E-2</v>
      </c>
      <c r="G221">
        <f>F221*'Real assumptions'!$B$3</f>
        <v>6.6234070000000004E-3</v>
      </c>
      <c r="H221">
        <f t="shared" si="168"/>
        <v>5.5363328009661039E-4</v>
      </c>
      <c r="I221">
        <f t="shared" si="169"/>
        <v>2.1484535976096431E-4</v>
      </c>
      <c r="J221">
        <f>IF(B221&gt;$AJ$2,0,HLOOKUP(C221,'Real assumptions'!$B$5:$L$8,4,TRUE))</f>
        <v>3.7900000000000003E-2</v>
      </c>
      <c r="K221">
        <f t="shared" si="138"/>
        <v>1</v>
      </c>
      <c r="L221">
        <f t="shared" si="170"/>
        <v>8.3333333333333329E-2</v>
      </c>
      <c r="M221">
        <f t="shared" si="171"/>
        <v>3.2145624959929453E-3</v>
      </c>
      <c r="N221">
        <f t="shared" si="172"/>
        <v>1.2491195957927755E-3</v>
      </c>
      <c r="O221" s="8">
        <f t="shared" si="152"/>
        <v>0.38722515531607127</v>
      </c>
      <c r="P221">
        <f t="shared" si="153"/>
        <v>9.3285388865190004</v>
      </c>
      <c r="Q221">
        <f t="shared" si="173"/>
        <v>1.0742267988048215</v>
      </c>
      <c r="R221" s="89">
        <f t="shared" si="139"/>
        <v>5000</v>
      </c>
      <c r="S221">
        <f t="shared" si="140"/>
        <v>0.5</v>
      </c>
      <c r="U221">
        <f>O220*AV220*'Real assumptions'!$B$33/12+AX221*'Real assumptions'!$B$34</f>
        <v>4.8796727671374809</v>
      </c>
      <c r="V221">
        <f>IF(P221=0,0,IF(E221&lt;=$C$7,$AN$5*O220,0))*'Real assumptions'!$D$28</f>
        <v>2.3321347216297501</v>
      </c>
      <c r="X221" s="94">
        <f t="shared" si="154"/>
        <v>0</v>
      </c>
      <c r="Y221">
        <f t="shared" si="141"/>
        <v>24</v>
      </c>
      <c r="Z221">
        <f t="shared" si="174"/>
        <v>81</v>
      </c>
      <c r="AA221">
        <f t="shared" si="142"/>
        <v>81.5</v>
      </c>
      <c r="AB221">
        <f t="shared" si="155"/>
        <v>50.505050505050505</v>
      </c>
      <c r="AC221">
        <f t="shared" si="175"/>
        <v>4116.1616161616166</v>
      </c>
      <c r="AD221">
        <f t="shared" si="156"/>
        <v>80.505050505050505</v>
      </c>
      <c r="AE221">
        <f t="shared" si="157"/>
        <v>328.05808080808077</v>
      </c>
      <c r="AF221" s="94">
        <f t="shared" si="158"/>
        <v>555.78030303030255</v>
      </c>
      <c r="AG221">
        <f t="shared" si="176"/>
        <v>0.6942360674707978</v>
      </c>
      <c r="AH221">
        <f t="shared" si="159"/>
        <v>215.21211416252206</v>
      </c>
      <c r="AI221">
        <f>HLOOKUP(AW221,'Real assumptions'!$A$21:$AK$24,2,TRUE)</f>
        <v>2.0600999999999998</v>
      </c>
      <c r="AJ221" s="123">
        <f t="shared" si="177"/>
        <v>1.7007504268471418E-3</v>
      </c>
      <c r="AK221" s="122">
        <f>(1+HLOOKUP(YEAR(A221),'Real assumptions'!$A$21:$AK$24,2,TRUE)/100)^(1/12)-1</f>
        <v>1.7007504268471418E-3</v>
      </c>
      <c r="AL221">
        <f t="shared" si="178"/>
        <v>4.8796727671374809</v>
      </c>
      <c r="AM221">
        <f>('Real assumptions'!$B$33/12)*O220*AV220</f>
        <v>4.8207684336008434</v>
      </c>
      <c r="AN221">
        <f t="shared" si="160"/>
        <v>217.83560116771957</v>
      </c>
      <c r="AO221">
        <f t="shared" si="137"/>
        <v>0.37048399166850282</v>
      </c>
      <c r="AP221" s="121">
        <f t="shared" si="161"/>
        <v>1.8298746719068182</v>
      </c>
      <c r="AQ221">
        <f t="shared" si="162"/>
        <v>0</v>
      </c>
      <c r="AR221">
        <v>0</v>
      </c>
      <c r="AS221">
        <f t="shared" si="143"/>
        <v>0</v>
      </c>
      <c r="AT221">
        <f t="shared" si="163"/>
        <v>0</v>
      </c>
      <c r="AU221">
        <f>IFERROR(HLOOKUP(B221,'Real assumptions'!$B$43:$AL$44,2,TRUE)*($W$3/$U$2),0)</f>
        <v>0</v>
      </c>
      <c r="AV221">
        <f>AV220*(1+'Real assumptions'!$B$35)^(1/12)</f>
        <v>1.2415478781400864</v>
      </c>
      <c r="AW221">
        <f t="shared" si="144"/>
        <v>2036</v>
      </c>
      <c r="AX221">
        <f t="shared" si="179"/>
        <v>215.02263201917825</v>
      </c>
      <c r="AY221">
        <f t="shared" si="180"/>
        <v>1.6358969708401725</v>
      </c>
      <c r="AZ221">
        <f t="shared" si="145"/>
        <v>583.36496629967235</v>
      </c>
      <c r="BA221">
        <f t="shared" si="164"/>
        <v>4.1005975879053693</v>
      </c>
      <c r="BB221">
        <f t="shared" si="165"/>
        <v>81.5</v>
      </c>
      <c r="BC221">
        <f t="shared" si="146"/>
        <v>48.9</v>
      </c>
      <c r="BD221">
        <f t="shared" si="166"/>
        <v>0</v>
      </c>
      <c r="BE221">
        <f t="shared" si="147"/>
        <v>24</v>
      </c>
      <c r="BF221">
        <f t="shared" si="181"/>
        <v>5000</v>
      </c>
      <c r="BU221"/>
      <c r="FD221"/>
      <c r="FE221"/>
    </row>
    <row r="222" spans="1:161" x14ac:dyDescent="0.25">
      <c r="A222" s="7">
        <f t="shared" si="167"/>
        <v>49856</v>
      </c>
      <c r="B222">
        <f t="shared" si="148"/>
        <v>211</v>
      </c>
      <c r="C222">
        <f t="shared" si="149"/>
        <v>17.5</v>
      </c>
      <c r="D222">
        <f t="shared" si="150"/>
        <v>0</v>
      </c>
      <c r="E222">
        <f t="shared" si="151"/>
        <v>69</v>
      </c>
      <c r="F222">
        <f>IF(C222&gt;=$T$2,0,VLOOKUP($E222,EKM_F05!$A$3:$C$128,2,TRUE))</f>
        <v>1.5872051282051283E-2</v>
      </c>
      <c r="G222">
        <f>F222*'Real assumptions'!$B$3</f>
        <v>6.6234070000000004E-3</v>
      </c>
      <c r="H222">
        <f t="shared" si="168"/>
        <v>5.5363328009661039E-4</v>
      </c>
      <c r="I222">
        <f t="shared" si="169"/>
        <v>2.1403616274167652E-4</v>
      </c>
      <c r="J222">
        <f>IF(B222&gt;$AJ$2,0,HLOOKUP(C222,'Real assumptions'!$B$5:$L$8,4,TRUE))</f>
        <v>3.7900000000000003E-2</v>
      </c>
      <c r="K222">
        <f t="shared" si="138"/>
        <v>1</v>
      </c>
      <c r="L222">
        <f t="shared" si="170"/>
        <v>8.3333333333333329E-2</v>
      </c>
      <c r="M222">
        <f t="shared" si="171"/>
        <v>3.2145624959929453E-3</v>
      </c>
      <c r="N222">
        <f t="shared" si="172"/>
        <v>1.2444148916522066E-3</v>
      </c>
      <c r="O222" s="8">
        <f t="shared" si="152"/>
        <v>0.38576670426167736</v>
      </c>
      <c r="P222">
        <f t="shared" si="153"/>
        <v>9.2934037275857104</v>
      </c>
      <c r="Q222">
        <f t="shared" si="173"/>
        <v>1.0701808137083826</v>
      </c>
      <c r="R222" s="89">
        <f t="shared" si="139"/>
        <v>5000</v>
      </c>
      <c r="S222">
        <f t="shared" si="140"/>
        <v>0.41666666666666785</v>
      </c>
      <c r="U222">
        <f>O221*AV221*'Real assumptions'!$B$33/12+AX222*'Real assumptions'!$B$34</f>
        <v>4.8668532129566264</v>
      </c>
      <c r="V222">
        <f>IF(P222=0,0,IF(E222&lt;=$C$7,$AN$5*O221,0))*'Real assumptions'!$D$28</f>
        <v>2.3233509318964276</v>
      </c>
      <c r="X222" s="94">
        <f t="shared" si="154"/>
        <v>0</v>
      </c>
      <c r="Y222">
        <f t="shared" si="141"/>
        <v>24</v>
      </c>
      <c r="Z222">
        <f t="shared" si="174"/>
        <v>81</v>
      </c>
      <c r="AA222">
        <f t="shared" si="142"/>
        <v>81.416666666666671</v>
      </c>
      <c r="AB222">
        <f t="shared" si="155"/>
        <v>50.505050505050505</v>
      </c>
      <c r="AC222">
        <f t="shared" si="175"/>
        <v>4111.9528619528619</v>
      </c>
      <c r="AD222">
        <f t="shared" si="156"/>
        <v>80.505050505050505</v>
      </c>
      <c r="AE222">
        <f t="shared" si="157"/>
        <v>327.72264309764313</v>
      </c>
      <c r="AF222" s="94">
        <f t="shared" si="158"/>
        <v>560.32449494949492</v>
      </c>
      <c r="AG222">
        <f t="shared" si="176"/>
        <v>0.69727614567265306</v>
      </c>
      <c r="AH222">
        <f t="shared" si="159"/>
        <v>216.15453373375553</v>
      </c>
      <c r="AI222">
        <f>HLOOKUP(AW222,'Real assumptions'!$A$21:$AK$24,2,TRUE)</f>
        <v>2.0600999999999998</v>
      </c>
      <c r="AJ222" s="123">
        <f t="shared" si="177"/>
        <v>1.7007504268471418E-3</v>
      </c>
      <c r="AK222" s="122">
        <f>(1+HLOOKUP(YEAR(A222),'Real assumptions'!$A$21:$AK$24,2,TRUE)/100)^(1/12)-1</f>
        <v>1.7007504268471418E-3</v>
      </c>
      <c r="AL222">
        <f t="shared" si="178"/>
        <v>4.8668532129566264</v>
      </c>
      <c r="AM222">
        <f>('Real assumptions'!$B$33/12)*O221*AV221</f>
        <v>4.8075856994513364</v>
      </c>
      <c r="AN222">
        <f t="shared" si="160"/>
        <v>219.14518841716156</v>
      </c>
      <c r="AO222">
        <f t="shared" ref="AO222:AO285" si="182">AN222*AJ222</f>
        <v>0.37271127274198484</v>
      </c>
      <c r="AP222" s="121">
        <f t="shared" si="161"/>
        <v>2.2025859446488032</v>
      </c>
      <c r="AQ222">
        <f t="shared" si="162"/>
        <v>0</v>
      </c>
      <c r="AR222">
        <v>0</v>
      </c>
      <c r="AS222">
        <f t="shared" si="143"/>
        <v>0</v>
      </c>
      <c r="AT222">
        <f t="shared" si="163"/>
        <v>0</v>
      </c>
      <c r="AU222">
        <f>IFERROR(HLOOKUP(B222,'Real assumptions'!$B$43:$AL$44,2,TRUE)*($W$3/$U$2),0)</f>
        <v>0</v>
      </c>
      <c r="AV222">
        <f>AV221*(1+'Real assumptions'!$B$35)^(1/12)</f>
        <v>1.2428338064069271</v>
      </c>
      <c r="AW222">
        <f t="shared" si="144"/>
        <v>2036</v>
      </c>
      <c r="AX222">
        <f t="shared" si="179"/>
        <v>216.34837340470449</v>
      </c>
      <c r="AY222">
        <f t="shared" si="180"/>
        <v>1.629735502172017</v>
      </c>
      <c r="AZ222">
        <f t="shared" si="145"/>
        <v>584.69286713846577</v>
      </c>
      <c r="BA222">
        <f t="shared" si="164"/>
        <v>4.0908078912774632</v>
      </c>
      <c r="BB222">
        <f t="shared" si="165"/>
        <v>81.416666666666671</v>
      </c>
      <c r="BC222">
        <f t="shared" si="146"/>
        <v>48.85</v>
      </c>
      <c r="BD222">
        <f t="shared" si="166"/>
        <v>0</v>
      </c>
      <c r="BE222">
        <f t="shared" si="147"/>
        <v>24</v>
      </c>
      <c r="BF222">
        <f t="shared" si="181"/>
        <v>5000</v>
      </c>
      <c r="BU222"/>
      <c r="FD222"/>
      <c r="FE222"/>
    </row>
    <row r="223" spans="1:161" x14ac:dyDescent="0.25">
      <c r="A223" s="7">
        <f t="shared" si="167"/>
        <v>49887</v>
      </c>
      <c r="B223">
        <f t="shared" si="148"/>
        <v>212</v>
      </c>
      <c r="C223">
        <f t="shared" si="149"/>
        <v>17.583333333333332</v>
      </c>
      <c r="D223">
        <f t="shared" si="150"/>
        <v>0</v>
      </c>
      <c r="E223">
        <f t="shared" si="151"/>
        <v>69</v>
      </c>
      <c r="F223">
        <f>IF(C223&gt;=$T$2,0,VLOOKUP($E223,EKM_F05!$A$3:$C$128,2,TRUE))</f>
        <v>1.5872051282051283E-2</v>
      </c>
      <c r="G223">
        <f>F223*'Real assumptions'!$B$3</f>
        <v>6.6234070000000004E-3</v>
      </c>
      <c r="H223">
        <f t="shared" si="168"/>
        <v>5.5363328009661039E-4</v>
      </c>
      <c r="I223">
        <f t="shared" si="169"/>
        <v>2.1323001349505999E-4</v>
      </c>
      <c r="J223">
        <f>IF(B223&gt;$AJ$2,0,HLOOKUP(C223,'Real assumptions'!$B$5:$L$8,4,TRUE))</f>
        <v>3.7900000000000003E-2</v>
      </c>
      <c r="K223">
        <f t="shared" si="138"/>
        <v>1</v>
      </c>
      <c r="L223">
        <f t="shared" si="170"/>
        <v>8.3333333333333329E-2</v>
      </c>
      <c r="M223">
        <f t="shared" si="171"/>
        <v>3.2145624959929453E-3</v>
      </c>
      <c r="N223">
        <f t="shared" si="172"/>
        <v>1.2397279073849984E-3</v>
      </c>
      <c r="O223" s="8">
        <f t="shared" si="152"/>
        <v>0.38431374634079729</v>
      </c>
      <c r="P223">
        <f t="shared" si="153"/>
        <v>9.2584009022802576</v>
      </c>
      <c r="Q223">
        <f t="shared" si="173"/>
        <v>1.0661500674752999</v>
      </c>
      <c r="R223" s="89">
        <f t="shared" si="139"/>
        <v>5000</v>
      </c>
      <c r="S223">
        <f t="shared" si="140"/>
        <v>0.33333333333333215</v>
      </c>
      <c r="U223">
        <f>O222*AV222*'Real assumptions'!$B$33/12+AX223*'Real assumptions'!$B$34</f>
        <v>4.8540675168626928</v>
      </c>
      <c r="V223">
        <f>IF(P223=0,0,IF(E223&lt;=$C$7,$AN$5*O222,0))*'Real assumptions'!$D$28</f>
        <v>2.3146002255700644</v>
      </c>
      <c r="X223" s="94">
        <f t="shared" si="154"/>
        <v>0</v>
      </c>
      <c r="Y223">
        <f t="shared" si="141"/>
        <v>24</v>
      </c>
      <c r="Z223">
        <f t="shared" si="174"/>
        <v>81</v>
      </c>
      <c r="AA223">
        <f t="shared" si="142"/>
        <v>81.333333333333329</v>
      </c>
      <c r="AB223">
        <f t="shared" si="155"/>
        <v>50.505050505050505</v>
      </c>
      <c r="AC223">
        <f t="shared" si="175"/>
        <v>4107.7441077441072</v>
      </c>
      <c r="AD223">
        <f t="shared" si="156"/>
        <v>80.505050505050505</v>
      </c>
      <c r="AE223">
        <f t="shared" si="157"/>
        <v>327.38720538720537</v>
      </c>
      <c r="AF223" s="94">
        <f t="shared" si="158"/>
        <v>564.86868686868752</v>
      </c>
      <c r="AG223">
        <f t="shared" si="176"/>
        <v>0.70028347511902989</v>
      </c>
      <c r="AH223">
        <f t="shared" si="159"/>
        <v>217.08680124111203</v>
      </c>
      <c r="AI223">
        <f>HLOOKUP(AW223,'Real assumptions'!$A$21:$AK$24,2,TRUE)</f>
        <v>2.0600999999999998</v>
      </c>
      <c r="AJ223" s="123">
        <f t="shared" si="177"/>
        <v>1.7007504268471418E-3</v>
      </c>
      <c r="AK223" s="122">
        <f>(1+HLOOKUP(YEAR(A223),'Real assumptions'!$A$21:$AK$24,2,TRUE)/100)^(1/12)-1</f>
        <v>1.7007504268471418E-3</v>
      </c>
      <c r="AL223">
        <f t="shared" si="178"/>
        <v>4.8540675168626928</v>
      </c>
      <c r="AM223">
        <f>('Real assumptions'!$B$33/12)*O222*AV222</f>
        <v>4.7944390144259579</v>
      </c>
      <c r="AN223">
        <f t="shared" si="160"/>
        <v>220.4468528382518</v>
      </c>
      <c r="AO223">
        <f t="shared" si="182"/>
        <v>0.37492507906176581</v>
      </c>
      <c r="AP223" s="121">
        <f t="shared" si="161"/>
        <v>2.5775110237105689</v>
      </c>
      <c r="AQ223">
        <f t="shared" si="162"/>
        <v>0</v>
      </c>
      <c r="AR223">
        <v>0</v>
      </c>
      <c r="AS223">
        <f t="shared" si="143"/>
        <v>0</v>
      </c>
      <c r="AT223">
        <f t="shared" si="163"/>
        <v>0</v>
      </c>
      <c r="AU223">
        <f>IFERROR(HLOOKUP(B223,'Real assumptions'!$B$43:$AL$44,2,TRUE)*($W$3/$U$2),0)</f>
        <v>0</v>
      </c>
      <c r="AV223">
        <f>AV222*(1+'Real assumptions'!$B$35)^(1/12)</f>
        <v>1.2441210665688454</v>
      </c>
      <c r="AW223">
        <f t="shared" si="144"/>
        <v>2036</v>
      </c>
      <c r="AX223">
        <f t="shared" si="179"/>
        <v>217.66611669299283</v>
      </c>
      <c r="AY223">
        <f t="shared" si="180"/>
        <v>1.6235972401585745</v>
      </c>
      <c r="AZ223">
        <f t="shared" si="145"/>
        <v>586.01058339907922</v>
      </c>
      <c r="BA223">
        <f t="shared" si="164"/>
        <v>4.081033768164394</v>
      </c>
      <c r="BB223">
        <f t="shared" si="165"/>
        <v>81.333333333333329</v>
      </c>
      <c r="BC223">
        <f t="shared" si="146"/>
        <v>48.8</v>
      </c>
      <c r="BD223">
        <f t="shared" si="166"/>
        <v>0</v>
      </c>
      <c r="BE223">
        <f t="shared" si="147"/>
        <v>24</v>
      </c>
      <c r="BF223">
        <f t="shared" si="181"/>
        <v>5000</v>
      </c>
      <c r="BU223"/>
      <c r="FD223"/>
      <c r="FE223"/>
    </row>
    <row r="224" spans="1:161" x14ac:dyDescent="0.25">
      <c r="A224" s="7">
        <f t="shared" si="167"/>
        <v>49918</v>
      </c>
      <c r="B224">
        <f t="shared" si="148"/>
        <v>213</v>
      </c>
      <c r="C224">
        <f t="shared" si="149"/>
        <v>17.666666666666668</v>
      </c>
      <c r="D224">
        <f t="shared" si="150"/>
        <v>0</v>
      </c>
      <c r="E224">
        <f t="shared" si="151"/>
        <v>69</v>
      </c>
      <c r="F224">
        <f>IF(C224&gt;=$T$2,0,VLOOKUP($E224,EKM_F05!$A$3:$C$128,2,TRUE))</f>
        <v>1.5872051282051283E-2</v>
      </c>
      <c r="G224">
        <f>F224*'Real assumptions'!$B$3</f>
        <v>6.6234070000000004E-3</v>
      </c>
      <c r="H224">
        <f t="shared" si="168"/>
        <v>5.5363328009661039E-4</v>
      </c>
      <c r="I224">
        <f t="shared" si="169"/>
        <v>2.1242690054193469E-4</v>
      </c>
      <c r="J224">
        <f>IF(B224&gt;$AJ$2,0,HLOOKUP(C224,'Real assumptions'!$B$5:$L$8,4,TRUE))</f>
        <v>3.7900000000000003E-2</v>
      </c>
      <c r="K224">
        <f t="shared" si="138"/>
        <v>1</v>
      </c>
      <c r="L224">
        <f t="shared" si="170"/>
        <v>8.3333333333333329E-2</v>
      </c>
      <c r="M224">
        <f t="shared" si="171"/>
        <v>3.2145624959929453E-3</v>
      </c>
      <c r="N224">
        <f t="shared" si="172"/>
        <v>1.2350585762507353E-3</v>
      </c>
      <c r="O224" s="8">
        <f t="shared" si="152"/>
        <v>0.3828662608640046</v>
      </c>
      <c r="P224">
        <f t="shared" si="153"/>
        <v>9.223529912179135</v>
      </c>
      <c r="Q224">
        <f t="shared" si="173"/>
        <v>1.0621345027096734</v>
      </c>
      <c r="R224" s="89">
        <f t="shared" si="139"/>
        <v>5000</v>
      </c>
      <c r="S224">
        <f t="shared" si="140"/>
        <v>0.25</v>
      </c>
      <c r="U224">
        <f>O223*AV223*'Real assumptions'!$B$33/12+AX224*'Real assumptions'!$B$34</f>
        <v>4.84131559397406</v>
      </c>
      <c r="V224">
        <f>IF(P224=0,0,IF(E224&lt;=$C$7,$AN$5*O223,0))*'Real assumptions'!$D$28</f>
        <v>2.3058824780447837</v>
      </c>
      <c r="X224" s="94">
        <f t="shared" si="154"/>
        <v>0</v>
      </c>
      <c r="Y224">
        <f t="shared" si="141"/>
        <v>24</v>
      </c>
      <c r="Z224">
        <f t="shared" si="174"/>
        <v>81</v>
      </c>
      <c r="AA224">
        <f t="shared" si="142"/>
        <v>81.25</v>
      </c>
      <c r="AB224">
        <f t="shared" si="155"/>
        <v>50.505050505050505</v>
      </c>
      <c r="AC224">
        <f t="shared" si="175"/>
        <v>4103.5353535353534</v>
      </c>
      <c r="AD224">
        <f t="shared" si="156"/>
        <v>80.505050505050505</v>
      </c>
      <c r="AE224">
        <f t="shared" si="157"/>
        <v>327.05176767676767</v>
      </c>
      <c r="AF224" s="94">
        <f t="shared" si="158"/>
        <v>569.41287878787898</v>
      </c>
      <c r="AG224">
        <f t="shared" si="176"/>
        <v>0.7032582593745903</v>
      </c>
      <c r="AH224">
        <f t="shared" si="159"/>
        <v>218.00897978932392</v>
      </c>
      <c r="AI224">
        <f>HLOOKUP(AW224,'Real assumptions'!$A$21:$AK$24,2,TRUE)</f>
        <v>2.0600999999999998</v>
      </c>
      <c r="AJ224" s="123">
        <f t="shared" si="177"/>
        <v>1.7007504268471418E-3</v>
      </c>
      <c r="AK224" s="122">
        <f>(1+HLOOKUP(YEAR(A224),'Real assumptions'!$A$21:$AK$24,2,TRUE)/100)^(1/12)-1</f>
        <v>1.7007504268471418E-3</v>
      </c>
      <c r="AL224">
        <f t="shared" si="178"/>
        <v>4.84131559397406</v>
      </c>
      <c r="AM224">
        <f>('Real assumptions'!$B$33/12)*O223*AV223</f>
        <v>4.7813282799458143</v>
      </c>
      <c r="AN224">
        <f t="shared" si="160"/>
        <v>221.74064410498289</v>
      </c>
      <c r="AO224">
        <f t="shared" si="182"/>
        <v>0.37712549511090981</v>
      </c>
      <c r="AP224" s="121">
        <f t="shared" si="161"/>
        <v>2.9546365188214789</v>
      </c>
      <c r="AQ224">
        <f t="shared" si="162"/>
        <v>0</v>
      </c>
      <c r="AR224">
        <v>0</v>
      </c>
      <c r="AS224">
        <f t="shared" si="143"/>
        <v>0</v>
      </c>
      <c r="AT224">
        <f t="shared" si="163"/>
        <v>0</v>
      </c>
      <c r="AU224">
        <f>IFERROR(HLOOKUP(B224,'Real assumptions'!$B$43:$AL$44,2,TRUE)*($W$3/$U$2),0)</f>
        <v>0</v>
      </c>
      <c r="AV224">
        <f>AV223*(1+'Real assumptions'!$B$35)^(1/12)</f>
        <v>1.2454096600053464</v>
      </c>
      <c r="AW224">
        <f t="shared" si="144"/>
        <v>2036</v>
      </c>
      <c r="AX224">
        <f t="shared" si="179"/>
        <v>218.97591188417172</v>
      </c>
      <c r="AY224">
        <f t="shared" si="180"/>
        <v>1.6174820973939279</v>
      </c>
      <c r="AZ224">
        <f t="shared" si="145"/>
        <v>587.31818022700827</v>
      </c>
      <c r="BA224">
        <f t="shared" si="164"/>
        <v>4.0712752401290473</v>
      </c>
      <c r="BB224">
        <f t="shared" si="165"/>
        <v>81.25</v>
      </c>
      <c r="BC224">
        <f t="shared" si="146"/>
        <v>48.75</v>
      </c>
      <c r="BD224">
        <f t="shared" si="166"/>
        <v>0</v>
      </c>
      <c r="BE224">
        <f t="shared" si="147"/>
        <v>24</v>
      </c>
      <c r="BF224">
        <f t="shared" si="181"/>
        <v>5000</v>
      </c>
      <c r="BU224"/>
      <c r="FD224"/>
      <c r="FE224"/>
    </row>
    <row r="225" spans="1:161" x14ac:dyDescent="0.25">
      <c r="A225" s="7">
        <f t="shared" si="167"/>
        <v>49948</v>
      </c>
      <c r="B225">
        <f t="shared" si="148"/>
        <v>214</v>
      </c>
      <c r="C225">
        <f t="shared" si="149"/>
        <v>17.75</v>
      </c>
      <c r="D225">
        <f t="shared" si="150"/>
        <v>0</v>
      </c>
      <c r="E225">
        <f t="shared" si="151"/>
        <v>69</v>
      </c>
      <c r="F225">
        <f>IF(C225&gt;=$T$2,0,VLOOKUP($E225,EKM_F05!$A$3:$C$128,2,TRUE))</f>
        <v>1.5872051282051283E-2</v>
      </c>
      <c r="G225">
        <f>F225*'Real assumptions'!$B$3</f>
        <v>6.6234070000000004E-3</v>
      </c>
      <c r="H225">
        <f t="shared" si="168"/>
        <v>5.5363328009661039E-4</v>
      </c>
      <c r="I225">
        <f t="shared" si="169"/>
        <v>2.1162681244635596E-4</v>
      </c>
      <c r="J225">
        <f>IF(B225&gt;$AJ$2,0,HLOOKUP(C225,'Real assumptions'!$B$5:$L$8,4,TRUE))</f>
        <v>3.7900000000000003E-2</v>
      </c>
      <c r="K225">
        <f t="shared" si="138"/>
        <v>1</v>
      </c>
      <c r="L225">
        <f t="shared" si="170"/>
        <v>8.3333333333333329E-2</v>
      </c>
      <c r="M225">
        <f t="shared" si="171"/>
        <v>3.2145624959929453E-3</v>
      </c>
      <c r="N225">
        <f t="shared" si="172"/>
        <v>1.2304068317603733E-3</v>
      </c>
      <c r="O225" s="8">
        <f t="shared" si="152"/>
        <v>0.38142422721979785</v>
      </c>
      <c r="P225">
        <f t="shared" si="153"/>
        <v>9.1887902607361109</v>
      </c>
      <c r="Q225">
        <f t="shared" si="173"/>
        <v>1.0581340622317799</v>
      </c>
      <c r="R225" s="89">
        <f t="shared" si="139"/>
        <v>5000</v>
      </c>
      <c r="S225">
        <f t="shared" si="140"/>
        <v>0.16666666666666785</v>
      </c>
      <c r="U225">
        <f>O224*AV224*'Real assumptions'!$B$33/12+AX225*'Real assumptions'!$B$34</f>
        <v>4.8285973596105789</v>
      </c>
      <c r="V225">
        <f>IF(P225=0,0,IF(E225&lt;=$C$7,$AN$5*O224,0))*'Real assumptions'!$D$28</f>
        <v>2.2971975651840277</v>
      </c>
      <c r="X225" s="94">
        <f t="shared" si="154"/>
        <v>0</v>
      </c>
      <c r="Y225">
        <f t="shared" si="141"/>
        <v>24</v>
      </c>
      <c r="Z225">
        <f t="shared" si="174"/>
        <v>81</v>
      </c>
      <c r="AA225">
        <f t="shared" si="142"/>
        <v>81.166666666666671</v>
      </c>
      <c r="AB225">
        <f t="shared" si="155"/>
        <v>50.505050505050505</v>
      </c>
      <c r="AC225">
        <f t="shared" si="175"/>
        <v>4099.3265993265995</v>
      </c>
      <c r="AD225">
        <f t="shared" si="156"/>
        <v>80.505050505050505</v>
      </c>
      <c r="AE225">
        <f t="shared" si="157"/>
        <v>326.71632996632997</v>
      </c>
      <c r="AF225" s="94">
        <f t="shared" si="158"/>
        <v>573.95707070707044</v>
      </c>
      <c r="AG225">
        <f t="shared" si="176"/>
        <v>0.70620070093515108</v>
      </c>
      <c r="AH225">
        <f t="shared" si="159"/>
        <v>218.92113215178321</v>
      </c>
      <c r="AI225">
        <f>HLOOKUP(AW225,'Real assumptions'!$A$21:$AK$24,2,TRUE)</f>
        <v>2.0600999999999998</v>
      </c>
      <c r="AJ225" s="123">
        <f t="shared" si="177"/>
        <v>1.7007504268471418E-3</v>
      </c>
      <c r="AK225" s="122">
        <f>(1+HLOOKUP(YEAR(A225),'Real assumptions'!$A$21:$AK$24,2,TRUE)/100)^(1/12)-1</f>
        <v>1.7007504268471418E-3</v>
      </c>
      <c r="AL225">
        <f t="shared" si="178"/>
        <v>4.8285973596105789</v>
      </c>
      <c r="AM225">
        <f>('Real assumptions'!$B$33/12)*O224*AV224</f>
        <v>4.7682533977015824</v>
      </c>
      <c r="AN225">
        <f t="shared" si="160"/>
        <v>223.0266116440869</v>
      </c>
      <c r="AO225">
        <f t="shared" si="182"/>
        <v>0.37931260495195251</v>
      </c>
      <c r="AP225" s="121">
        <f t="shared" si="161"/>
        <v>3.3339491237734316</v>
      </c>
      <c r="AQ225">
        <f t="shared" si="162"/>
        <v>0</v>
      </c>
      <c r="AR225">
        <v>0</v>
      </c>
      <c r="AS225">
        <f t="shared" si="143"/>
        <v>0</v>
      </c>
      <c r="AT225">
        <f t="shared" si="163"/>
        <v>0</v>
      </c>
      <c r="AU225">
        <f>IFERROR(HLOOKUP(B225,'Real assumptions'!$B$43:$AL$44,2,TRUE)*($W$3/$U$2),0)</f>
        <v>0</v>
      </c>
      <c r="AV225">
        <f>AV224*(1+'Real assumptions'!$B$35)^(1/12)</f>
        <v>1.2466995880973637</v>
      </c>
      <c r="AW225">
        <f t="shared" si="144"/>
        <v>2036</v>
      </c>
      <c r="AX225">
        <f t="shared" si="179"/>
        <v>220.27780872976271</v>
      </c>
      <c r="AY225">
        <f t="shared" si="180"/>
        <v>1.6113899868013661</v>
      </c>
      <c r="AZ225">
        <f t="shared" si="145"/>
        <v>588.61572244549905</v>
      </c>
      <c r="BA225">
        <f t="shared" si="164"/>
        <v>4.0615323283509586</v>
      </c>
      <c r="BB225">
        <f t="shared" si="165"/>
        <v>81.166666666666671</v>
      </c>
      <c r="BC225">
        <f t="shared" si="146"/>
        <v>48.7</v>
      </c>
      <c r="BD225">
        <f t="shared" si="166"/>
        <v>0</v>
      </c>
      <c r="BE225">
        <f t="shared" si="147"/>
        <v>24</v>
      </c>
      <c r="BF225">
        <f t="shared" si="181"/>
        <v>5000</v>
      </c>
      <c r="BU225"/>
      <c r="FD225"/>
      <c r="FE225"/>
    </row>
    <row r="226" spans="1:161" x14ac:dyDescent="0.25">
      <c r="A226" s="7">
        <f t="shared" si="167"/>
        <v>49979</v>
      </c>
      <c r="B226">
        <f t="shared" si="148"/>
        <v>215</v>
      </c>
      <c r="C226">
        <f t="shared" si="149"/>
        <v>17.833333333333332</v>
      </c>
      <c r="D226">
        <f t="shared" si="150"/>
        <v>0</v>
      </c>
      <c r="E226">
        <f t="shared" si="151"/>
        <v>69</v>
      </c>
      <c r="F226">
        <f>IF(C226&gt;=$T$2,0,VLOOKUP($E226,EKM_F05!$A$3:$C$128,2,TRUE))</f>
        <v>1.5872051282051283E-2</v>
      </c>
      <c r="G226">
        <f>F226*'Real assumptions'!$B$3</f>
        <v>6.6234070000000004E-3</v>
      </c>
      <c r="H226">
        <f t="shared" si="168"/>
        <v>5.5363328009661039E-4</v>
      </c>
      <c r="I226">
        <f t="shared" si="169"/>
        <v>2.1082973781545166E-4</v>
      </c>
      <c r="J226">
        <f>IF(B226&gt;$AJ$2,0,HLOOKUP(C226,'Real assumptions'!$B$5:$L$8,4,TRUE))</f>
        <v>3.7900000000000003E-2</v>
      </c>
      <c r="K226">
        <f t="shared" si="138"/>
        <v>1</v>
      </c>
      <c r="L226">
        <f t="shared" si="170"/>
        <v>8.3333333333333329E-2</v>
      </c>
      <c r="M226">
        <f t="shared" si="171"/>
        <v>3.2145624959929453E-3</v>
      </c>
      <c r="N226">
        <f t="shared" si="172"/>
        <v>1.2257726076752937E-3</v>
      </c>
      <c r="O226" s="8">
        <f t="shared" si="152"/>
        <v>0.3799876248743071</v>
      </c>
      <c r="P226">
        <f t="shared" si="153"/>
        <v>9.1541814532751484</v>
      </c>
      <c r="Q226">
        <f t="shared" si="173"/>
        <v>1.0541486890772582</v>
      </c>
      <c r="R226" s="89">
        <f t="shared" si="139"/>
        <v>5000</v>
      </c>
      <c r="S226">
        <f t="shared" si="140"/>
        <v>8.3333333333332149E-2</v>
      </c>
      <c r="U226">
        <f>O225*AV225*'Real assumptions'!$B$33/12+AX226*'Real assumptions'!$B$34</f>
        <v>4.8159127292931503</v>
      </c>
      <c r="V226">
        <f>IF(P226=0,0,IF(E226&lt;=$C$7,$AN$5*O225,0))*'Real assumptions'!$D$28</f>
        <v>2.2885453633187871</v>
      </c>
      <c r="X226" s="94">
        <f t="shared" si="154"/>
        <v>0</v>
      </c>
      <c r="Y226">
        <f t="shared" si="141"/>
        <v>24</v>
      </c>
      <c r="Z226">
        <f t="shared" si="174"/>
        <v>81</v>
      </c>
      <c r="AA226">
        <f t="shared" si="142"/>
        <v>81.083333333333329</v>
      </c>
      <c r="AB226">
        <f t="shared" si="155"/>
        <v>50.505050505050505</v>
      </c>
      <c r="AC226">
        <f t="shared" si="175"/>
        <v>4095.1178451178448</v>
      </c>
      <c r="AD226">
        <f t="shared" si="156"/>
        <v>80.505050505050505</v>
      </c>
      <c r="AE226">
        <f t="shared" si="157"/>
        <v>326.38089225589221</v>
      </c>
      <c r="AF226" s="94">
        <f t="shared" si="158"/>
        <v>578.50126262626304</v>
      </c>
      <c r="AG226">
        <f t="shared" si="176"/>
        <v>0.70911100123284443</v>
      </c>
      <c r="AH226">
        <f t="shared" si="159"/>
        <v>219.82332077214144</v>
      </c>
      <c r="AI226">
        <f>HLOOKUP(AW226,'Real assumptions'!$A$21:$AK$24,2,TRUE)</f>
        <v>2.0600999999999998</v>
      </c>
      <c r="AJ226" s="123">
        <f t="shared" si="177"/>
        <v>1.7007504268471418E-3</v>
      </c>
      <c r="AK226" s="122">
        <f>(1+HLOOKUP(YEAR(A226),'Real assumptions'!$A$21:$AK$24,2,TRUE)/100)^(1/12)-1</f>
        <v>1.7007504268471418E-3</v>
      </c>
      <c r="AL226">
        <f t="shared" si="178"/>
        <v>4.8159127292931503</v>
      </c>
      <c r="AM226">
        <f>('Real assumptions'!$B$33/12)*O225*AV225</f>
        <v>4.7552142696527726</v>
      </c>
      <c r="AN226">
        <f t="shared" si="160"/>
        <v>224.30480463621984</v>
      </c>
      <c r="AO226">
        <f t="shared" si="182"/>
        <v>0.38148649222891567</v>
      </c>
      <c r="AP226" s="121">
        <f t="shared" si="161"/>
        <v>3.7154356160023472</v>
      </c>
      <c r="AQ226">
        <f t="shared" si="162"/>
        <v>0</v>
      </c>
      <c r="AR226">
        <v>0</v>
      </c>
      <c r="AS226">
        <f t="shared" si="143"/>
        <v>0</v>
      </c>
      <c r="AT226">
        <f t="shared" si="163"/>
        <v>0</v>
      </c>
      <c r="AU226">
        <f>IFERROR(HLOOKUP(B226,'Real assumptions'!$B$43:$AL$44,2,TRUE)*($W$3/$U$2),0)</f>
        <v>0</v>
      </c>
      <c r="AV226">
        <f>AV225*(1+'Real assumptions'!$B$35)^(1/12)</f>
        <v>1.2479908522272616</v>
      </c>
      <c r="AW226">
        <f t="shared" si="144"/>
        <v>2036</v>
      </c>
      <c r="AX226">
        <f t="shared" si="179"/>
        <v>221.57185673387002</v>
      </c>
      <c r="AY226">
        <f t="shared" si="180"/>
        <v>1.6053208216321457</v>
      </c>
      <c r="AZ226">
        <f t="shared" si="145"/>
        <v>589.90327455705028</v>
      </c>
      <c r="BA226">
        <f t="shared" si="164"/>
        <v>4.0518050536288897</v>
      </c>
      <c r="BB226">
        <f t="shared" si="165"/>
        <v>81.083333333333329</v>
      </c>
      <c r="BC226">
        <f t="shared" si="146"/>
        <v>48.649999999999991</v>
      </c>
      <c r="BD226">
        <f t="shared" si="166"/>
        <v>0</v>
      </c>
      <c r="BE226">
        <f t="shared" si="147"/>
        <v>24</v>
      </c>
      <c r="BF226">
        <f t="shared" si="181"/>
        <v>5000</v>
      </c>
      <c r="BU226"/>
      <c r="FD226"/>
      <c r="FE226"/>
    </row>
    <row r="227" spans="1:161" x14ac:dyDescent="0.25">
      <c r="A227" s="7">
        <f t="shared" si="167"/>
        <v>50009</v>
      </c>
      <c r="B227">
        <f t="shared" si="148"/>
        <v>216</v>
      </c>
      <c r="C227">
        <f t="shared" si="149"/>
        <v>17.916666666666668</v>
      </c>
      <c r="D227">
        <f t="shared" si="150"/>
        <v>0</v>
      </c>
      <c r="E227">
        <f t="shared" si="151"/>
        <v>69</v>
      </c>
      <c r="F227">
        <f>IF(C227&gt;=$T$2,0,VLOOKUP($E227,EKM_F05!$A$3:$C$128,2,TRUE))</f>
        <v>1.5872051282051283E-2</v>
      </c>
      <c r="G227">
        <f>F227*'Real assumptions'!$B$3</f>
        <v>6.6234070000000004E-3</v>
      </c>
      <c r="H227">
        <f t="shared" si="168"/>
        <v>5.5363328009661039E-4</v>
      </c>
      <c r="I227">
        <f t="shared" si="169"/>
        <v>2.1003566529926004E-4</v>
      </c>
      <c r="J227">
        <f>IF(B227&gt;$AJ$2,0,HLOOKUP(C227,'Real assumptions'!$B$5:$L$8,4,TRUE))</f>
        <v>3.7900000000000003E-2</v>
      </c>
      <c r="K227">
        <f t="shared" si="138"/>
        <v>1</v>
      </c>
      <c r="L227">
        <f t="shared" si="170"/>
        <v>8.3333333333333329E-2</v>
      </c>
      <c r="M227">
        <f t="shared" si="171"/>
        <v>3.2145624959929453E-3</v>
      </c>
      <c r="N227">
        <f t="shared" si="172"/>
        <v>1.2211558380063607E-3</v>
      </c>
      <c r="O227" s="8">
        <f t="shared" si="152"/>
        <v>0.37855643337100148</v>
      </c>
      <c r="P227">
        <f t="shared" si="153"/>
        <v>9.1197029969833707</v>
      </c>
      <c r="Q227">
        <f t="shared" si="173"/>
        <v>1.0501783264963003</v>
      </c>
      <c r="R227" s="89">
        <f t="shared" si="139"/>
        <v>5000</v>
      </c>
      <c r="S227">
        <f t="shared" si="140"/>
        <v>1</v>
      </c>
      <c r="U227">
        <f>O226*AV226*'Real assumptions'!$B$33/12+AX227*'Real assumptions'!$B$34</f>
        <v>4.8032616187433215</v>
      </c>
      <c r="V227">
        <f>IF(P227=0,0,IF(E227&lt;=$C$7,$AN$5*O226,0))*'Real assumptions'!$D$28</f>
        <v>2.2799257492458427</v>
      </c>
      <c r="X227" s="94">
        <f t="shared" si="154"/>
        <v>0</v>
      </c>
      <c r="Y227">
        <f t="shared" si="141"/>
        <v>24</v>
      </c>
      <c r="Z227">
        <f t="shared" si="174"/>
        <v>81</v>
      </c>
      <c r="AA227">
        <f t="shared" si="142"/>
        <v>81</v>
      </c>
      <c r="AB227">
        <f t="shared" si="155"/>
        <v>50.505050505050505</v>
      </c>
      <c r="AC227">
        <f t="shared" si="175"/>
        <v>4090.909090909091</v>
      </c>
      <c r="AD227">
        <f t="shared" si="156"/>
        <v>80.505050505050505</v>
      </c>
      <c r="AE227">
        <f t="shared" si="157"/>
        <v>326.0454545454545</v>
      </c>
      <c r="AF227" s="94">
        <f t="shared" si="158"/>
        <v>583.0454545454545</v>
      </c>
      <c r="AG227">
        <f t="shared" si="176"/>
        <v>0.71198936064125395</v>
      </c>
      <c r="AH227">
        <f t="shared" si="159"/>
        <v>220.71560776590161</v>
      </c>
      <c r="AI227">
        <f>HLOOKUP(AW227,'Real assumptions'!$A$21:$AK$24,2,TRUE)</f>
        <v>2.0600999999999998</v>
      </c>
      <c r="AJ227" s="123">
        <f t="shared" si="177"/>
        <v>1.7007504268471418E-3</v>
      </c>
      <c r="AK227" s="122">
        <f>(1+HLOOKUP(YEAR(A227),'Real assumptions'!$A$21:$AK$24,2,TRUE)/100)^(1/12)-1</f>
        <v>1.7007504268471418E-3</v>
      </c>
      <c r="AL227">
        <f t="shared" si="178"/>
        <v>4.8032616187433215</v>
      </c>
      <c r="AM227">
        <f>('Real assumptions'!$B$33/12)*O226*AV226</f>
        <v>4.7422107980269947</v>
      </c>
      <c r="AN227">
        <f t="shared" si="160"/>
        <v>225.57527201713799</v>
      </c>
      <c r="AO227">
        <f t="shared" si="182"/>
        <v>0.38364724016930757</v>
      </c>
      <c r="AP227" s="121">
        <f t="shared" si="161"/>
        <v>4.0990828561716546</v>
      </c>
      <c r="AQ227">
        <f t="shared" si="162"/>
        <v>0</v>
      </c>
      <c r="AR227">
        <v>0</v>
      </c>
      <c r="AS227">
        <f t="shared" si="143"/>
        <v>0</v>
      </c>
      <c r="AT227">
        <f t="shared" si="163"/>
        <v>0</v>
      </c>
      <c r="AU227">
        <f>IFERROR(HLOOKUP(B227,'Real assumptions'!$B$43:$AL$44,2,TRUE)*($W$3/$U$2),0)</f>
        <v>0</v>
      </c>
      <c r="AV227">
        <f>AV226*(1+'Real assumptions'!$B$35)^(1/12)</f>
        <v>1.249283453778836</v>
      </c>
      <c r="AW227">
        <f t="shared" si="144"/>
        <v>2036</v>
      </c>
      <c r="AX227">
        <f t="shared" si="179"/>
        <v>222.85810515436219</v>
      </c>
      <c r="AY227">
        <f t="shared" si="180"/>
        <v>1.5992745154642554</v>
      </c>
      <c r="AZ227">
        <f t="shared" si="145"/>
        <v>591.18090074490829</v>
      </c>
      <c r="BA227">
        <f t="shared" si="164"/>
        <v>4.0420934363833965</v>
      </c>
      <c r="BB227">
        <f t="shared" si="165"/>
        <v>81</v>
      </c>
      <c r="BC227">
        <f t="shared" si="146"/>
        <v>48.599999999999994</v>
      </c>
      <c r="BD227">
        <f t="shared" si="166"/>
        <v>0</v>
      </c>
      <c r="BE227">
        <f t="shared" si="147"/>
        <v>24</v>
      </c>
      <c r="BF227">
        <f t="shared" si="181"/>
        <v>5000</v>
      </c>
      <c r="BU227"/>
      <c r="FD227"/>
      <c r="FE227"/>
    </row>
    <row r="228" spans="1:161" x14ac:dyDescent="0.25">
      <c r="A228" s="7">
        <f t="shared" si="167"/>
        <v>50040</v>
      </c>
      <c r="B228">
        <f t="shared" si="148"/>
        <v>217</v>
      </c>
      <c r="C228">
        <f t="shared" si="149"/>
        <v>18</v>
      </c>
      <c r="D228">
        <f t="shared" si="150"/>
        <v>1</v>
      </c>
      <c r="E228">
        <f t="shared" si="151"/>
        <v>70</v>
      </c>
      <c r="F228">
        <f>IF(C228&gt;=$T$2,0,VLOOKUP($E228,EKM_F05!$A$3:$C$128,2,TRUE))</f>
        <v>1.7882435897435899E-2</v>
      </c>
      <c r="G228">
        <f>F228*'Real assumptions'!$B$3</f>
        <v>7.4623405000000002E-3</v>
      </c>
      <c r="H228">
        <f t="shared" si="168"/>
        <v>6.239988200457125E-4</v>
      </c>
      <c r="I228">
        <f t="shared" si="169"/>
        <v>2.3583909774839819E-4</v>
      </c>
      <c r="J228">
        <f>IF(B228&gt;$AJ$2,0,HLOOKUP(C228,'Real assumptions'!$B$5:$L$8,4,TRUE))</f>
        <v>3.7900000000000003E-2</v>
      </c>
      <c r="K228">
        <f t="shared" si="138"/>
        <v>1</v>
      </c>
      <c r="L228">
        <f t="shared" si="170"/>
        <v>8.3333333333333329E-2</v>
      </c>
      <c r="M228">
        <f t="shared" si="171"/>
        <v>3.2145624959929453E-3</v>
      </c>
      <c r="N228">
        <f t="shared" si="172"/>
        <v>1.2165136433354535E-3</v>
      </c>
      <c r="O228" s="8">
        <f t="shared" si="152"/>
        <v>0.37710408062991763</v>
      </c>
      <c r="P228">
        <f t="shared" si="153"/>
        <v>9.0853544009040359</v>
      </c>
      <c r="Q228">
        <f t="shared" si="173"/>
        <v>1.1791954887419909</v>
      </c>
      <c r="R228" s="89">
        <f t="shared" si="139"/>
        <v>5000</v>
      </c>
      <c r="S228">
        <f t="shared" si="140"/>
        <v>0.91666666666666785</v>
      </c>
      <c r="U228">
        <f>O227*AV227*'Real assumptions'!$B$33/12+AX228*'Real assumptions'!$B$34</f>
        <v>4.7906439438828734</v>
      </c>
      <c r="V228">
        <f>IF(P228=0,0,IF(E228&lt;=$C$7,$AN$5*O227,0))*'Real assumptions'!$D$28</f>
        <v>2.271338600226009</v>
      </c>
      <c r="X228" s="94">
        <f t="shared" si="154"/>
        <v>0</v>
      </c>
      <c r="Y228">
        <f t="shared" si="141"/>
        <v>24</v>
      </c>
      <c r="Z228">
        <f t="shared" si="174"/>
        <v>81</v>
      </c>
      <c r="AA228">
        <f t="shared" si="142"/>
        <v>80.916666666666671</v>
      </c>
      <c r="AB228">
        <f t="shared" si="155"/>
        <v>50.505050505050505</v>
      </c>
      <c r="AC228">
        <f t="shared" si="175"/>
        <v>4086.7003367003372</v>
      </c>
      <c r="AD228">
        <f t="shared" si="156"/>
        <v>80.505050505050505</v>
      </c>
      <c r="AE228">
        <f t="shared" si="157"/>
        <v>325.71001683501686</v>
      </c>
      <c r="AF228" s="94">
        <f t="shared" si="158"/>
        <v>587.58964646464597</v>
      </c>
      <c r="AG228">
        <f t="shared" si="176"/>
        <v>0.71481082160689757</v>
      </c>
      <c r="AH228">
        <f t="shared" si="159"/>
        <v>221.58245341770865</v>
      </c>
      <c r="AI228">
        <f>HLOOKUP(AW228,'Real assumptions'!$A$21:$AK$24,2,TRUE)</f>
        <v>2.0600999999999998</v>
      </c>
      <c r="AJ228" s="123">
        <f t="shared" si="177"/>
        <v>1.7007504268471418E-3</v>
      </c>
      <c r="AK228" s="122">
        <f>(1+HLOOKUP(YEAR(A228),'Real assumptions'!$A$21:$AK$24,2,TRUE)/100)^(1/12)-1</f>
        <v>1.7007504268471418E-3</v>
      </c>
      <c r="AL228">
        <f t="shared" si="178"/>
        <v>4.7906439438828734</v>
      </c>
      <c r="AM228">
        <f>('Real assumptions'!$B$33/12)*O227*AV227</f>
        <v>4.7292428853192252</v>
      </c>
      <c r="AN228">
        <f t="shared" si="160"/>
        <v>226.83806247886841</v>
      </c>
      <c r="AO228">
        <f t="shared" si="182"/>
        <v>0.38579493158611405</v>
      </c>
      <c r="AP228" s="121">
        <f t="shared" si="161"/>
        <v>0</v>
      </c>
      <c r="AQ228">
        <f t="shared" si="162"/>
        <v>0</v>
      </c>
      <c r="AR228">
        <v>0</v>
      </c>
      <c r="AS228">
        <f t="shared" si="143"/>
        <v>0</v>
      </c>
      <c r="AT228">
        <f t="shared" si="163"/>
        <v>0</v>
      </c>
      <c r="AU228">
        <f>IFERROR(HLOOKUP(B228,'Real assumptions'!$B$43:$AL$44,2,TRUE)*($W$3/$U$2),0)</f>
        <v>0</v>
      </c>
      <c r="AV228">
        <f>AV227*(1+'Real assumptions'!$B$35)^(1/12)</f>
        <v>1.2505773941373159</v>
      </c>
      <c r="AW228">
        <f t="shared" si="144"/>
        <v>2036</v>
      </c>
      <c r="AX228">
        <f t="shared" si="179"/>
        <v>224.13660300404845</v>
      </c>
      <c r="AY228">
        <f t="shared" si="180"/>
        <v>1.5932509822011847</v>
      </c>
      <c r="AZ228">
        <f t="shared" si="145"/>
        <v>592.31571746064049</v>
      </c>
      <c r="BA228">
        <f t="shared" si="164"/>
        <v>4.1653449105748974</v>
      </c>
      <c r="BB228">
        <f t="shared" si="165"/>
        <v>80.916666666666671</v>
      </c>
      <c r="BC228">
        <f t="shared" si="146"/>
        <v>48.55</v>
      </c>
      <c r="BD228">
        <f t="shared" si="166"/>
        <v>0</v>
      </c>
      <c r="BE228">
        <f t="shared" si="147"/>
        <v>24</v>
      </c>
      <c r="BF228">
        <f t="shared" si="181"/>
        <v>5000</v>
      </c>
      <c r="BU228"/>
      <c r="FD228"/>
      <c r="FE228"/>
    </row>
    <row r="229" spans="1:161" x14ac:dyDescent="0.25">
      <c r="A229" s="7">
        <f t="shared" si="167"/>
        <v>50071</v>
      </c>
      <c r="B229">
        <f t="shared" si="148"/>
        <v>218</v>
      </c>
      <c r="C229">
        <f t="shared" si="149"/>
        <v>18.083333333333332</v>
      </c>
      <c r="D229">
        <f t="shared" si="150"/>
        <v>0</v>
      </c>
      <c r="E229">
        <f t="shared" si="151"/>
        <v>70</v>
      </c>
      <c r="F229">
        <f>IF(C229&gt;=$T$2,0,VLOOKUP($E229,EKM_F05!$A$3:$C$128,2,TRUE))</f>
        <v>1.7882435897435899E-2</v>
      </c>
      <c r="G229">
        <f>F229*'Real assumptions'!$B$3</f>
        <v>7.4623405000000002E-3</v>
      </c>
      <c r="H229">
        <f t="shared" si="168"/>
        <v>6.239988200457125E-4</v>
      </c>
      <c r="I229">
        <f t="shared" si="169"/>
        <v>2.3493428797665685E-4</v>
      </c>
      <c r="J229">
        <f>IF(B229&gt;$AJ$2,0,HLOOKUP(C229,'Real assumptions'!$B$5:$L$8,4,TRUE))</f>
        <v>3.7900000000000003E-2</v>
      </c>
      <c r="K229">
        <f t="shared" si="138"/>
        <v>1</v>
      </c>
      <c r="L229">
        <f t="shared" si="170"/>
        <v>8.3333333333333329E-2</v>
      </c>
      <c r="M229">
        <f t="shared" si="171"/>
        <v>3.2145624959929453E-3</v>
      </c>
      <c r="N229">
        <f t="shared" si="172"/>
        <v>1.211846421307998E-3</v>
      </c>
      <c r="O229" s="8">
        <f t="shared" si="152"/>
        <v>0.37565729992063296</v>
      </c>
      <c r="P229">
        <f t="shared" si="153"/>
        <v>9.0504979351180239</v>
      </c>
      <c r="Q229">
        <f t="shared" si="173"/>
        <v>1.1746714398832843</v>
      </c>
      <c r="R229" s="89">
        <f t="shared" si="139"/>
        <v>5000</v>
      </c>
      <c r="S229">
        <f t="shared" si="140"/>
        <v>0.83333333333333215</v>
      </c>
      <c r="U229">
        <f>O228*AV228*'Real assumptions'!$B$33/12+AX229*'Real assumptions'!$B$34</f>
        <v>4.7764947013651069</v>
      </c>
      <c r="V229">
        <f>IF(P229=0,0,IF(E229&lt;=$C$7,$AN$5*O228,0))*'Real assumptions'!$D$28</f>
        <v>2.262624483779506</v>
      </c>
      <c r="X229" s="94">
        <f t="shared" si="154"/>
        <v>0</v>
      </c>
      <c r="Y229">
        <f t="shared" si="141"/>
        <v>24</v>
      </c>
      <c r="Z229">
        <f t="shared" si="174"/>
        <v>80</v>
      </c>
      <c r="AA229">
        <f t="shared" si="142"/>
        <v>80.833333333333329</v>
      </c>
      <c r="AB229">
        <f t="shared" si="155"/>
        <v>50.505050505050505</v>
      </c>
      <c r="AC229">
        <f t="shared" si="175"/>
        <v>4082.4915824915824</v>
      </c>
      <c r="AD229">
        <f t="shared" si="156"/>
        <v>80.505050505050505</v>
      </c>
      <c r="AE229">
        <f t="shared" si="157"/>
        <v>325.3745791245791</v>
      </c>
      <c r="AF229" s="94">
        <f t="shared" si="158"/>
        <v>592.13383838383845</v>
      </c>
      <c r="AG229">
        <f t="shared" si="176"/>
        <v>0.71757527298082302</v>
      </c>
      <c r="AH229">
        <f t="shared" si="159"/>
        <v>222.43939891891321</v>
      </c>
      <c r="AI229">
        <f>HLOOKUP(AW229,'Real assumptions'!$A$21:$AK$24,2,TRUE)</f>
        <v>2.0488</v>
      </c>
      <c r="AJ229" s="123">
        <f t="shared" si="177"/>
        <v>1.6915076759840275E-3</v>
      </c>
      <c r="AK229" s="122">
        <f>(1+HLOOKUP(YEAR(A229),'Real assumptions'!$A$21:$AK$24,2,TRUE)/100)^(1/12)-1</f>
        <v>1.6915076759840275E-3</v>
      </c>
      <c r="AL229">
        <f t="shared" si="178"/>
        <v>4.7764947013651069</v>
      </c>
      <c r="AM229">
        <f>('Real assumptions'!$B$33/12)*O228*AV228</f>
        <v>4.715978384727106</v>
      </c>
      <c r="AN229">
        <f t="shared" si="160"/>
        <v>223.59383216768205</v>
      </c>
      <c r="AO229">
        <f t="shared" si="182"/>
        <v>0.37821068341431857</v>
      </c>
      <c r="AP229" s="121">
        <f t="shared" si="161"/>
        <v>0.37821068341431857</v>
      </c>
      <c r="AQ229">
        <f t="shared" si="162"/>
        <v>0</v>
      </c>
      <c r="AR229">
        <v>0</v>
      </c>
      <c r="AS229">
        <f t="shared" si="143"/>
        <v>0</v>
      </c>
      <c r="AT229">
        <f t="shared" si="163"/>
        <v>0</v>
      </c>
      <c r="AU229">
        <f>IFERROR(HLOOKUP(B229,'Real assumptions'!$B$43:$AL$44,2,TRUE)*($W$3/$U$2),0)</f>
        <v>0</v>
      </c>
      <c r="AV229">
        <f>AV228*(1+'Real assumptions'!$B$35)^(1/12)</f>
        <v>1.2518726746893656</v>
      </c>
      <c r="AW229">
        <f t="shared" si="144"/>
        <v>2037</v>
      </c>
      <c r="AX229">
        <f t="shared" si="179"/>
        <v>220.90696732041869</v>
      </c>
      <c r="AY229">
        <f t="shared" si="180"/>
        <v>1.5871383864895523</v>
      </c>
      <c r="AZ229">
        <f t="shared" si="145"/>
        <v>593.43675608044055</v>
      </c>
      <c r="BA229">
        <f t="shared" si="164"/>
        <v>4.1548711966436134</v>
      </c>
      <c r="BB229">
        <f t="shared" si="165"/>
        <v>80.833333333333329</v>
      </c>
      <c r="BC229">
        <f t="shared" si="146"/>
        <v>48.5</v>
      </c>
      <c r="BD229">
        <f t="shared" si="166"/>
        <v>0</v>
      </c>
      <c r="BE229">
        <f t="shared" si="147"/>
        <v>24</v>
      </c>
      <c r="BF229">
        <f t="shared" si="181"/>
        <v>5000</v>
      </c>
      <c r="BU229"/>
      <c r="FD229"/>
      <c r="FE229"/>
    </row>
    <row r="230" spans="1:161" x14ac:dyDescent="0.25">
      <c r="A230" s="7">
        <f t="shared" si="167"/>
        <v>50099</v>
      </c>
      <c r="B230">
        <f t="shared" si="148"/>
        <v>219</v>
      </c>
      <c r="C230">
        <f t="shared" si="149"/>
        <v>18.166666666666668</v>
      </c>
      <c r="D230">
        <f t="shared" si="150"/>
        <v>0</v>
      </c>
      <c r="E230">
        <f t="shared" si="151"/>
        <v>70</v>
      </c>
      <c r="F230">
        <f>IF(C230&gt;=$T$2,0,VLOOKUP($E230,EKM_F05!$A$3:$C$128,2,TRUE))</f>
        <v>1.7882435897435899E-2</v>
      </c>
      <c r="G230">
        <f>F230*'Real assumptions'!$B$3</f>
        <v>7.4623405000000002E-3</v>
      </c>
      <c r="H230">
        <f t="shared" si="168"/>
        <v>6.239988200457125E-4</v>
      </c>
      <c r="I230">
        <f t="shared" si="169"/>
        <v>2.3403294955776096E-4</v>
      </c>
      <c r="J230">
        <f>IF(B230&gt;$AJ$2,0,HLOOKUP(C230,'Real assumptions'!$B$5:$L$8,4,TRUE))</f>
        <v>3.7900000000000003E-2</v>
      </c>
      <c r="K230">
        <f t="shared" si="138"/>
        <v>1</v>
      </c>
      <c r="L230">
        <f t="shared" si="170"/>
        <v>8.3333333333333329E-2</v>
      </c>
      <c r="M230">
        <f t="shared" si="171"/>
        <v>3.2145624959929453E-3</v>
      </c>
      <c r="N230">
        <f t="shared" si="172"/>
        <v>1.2071971053365679E-3</v>
      </c>
      <c r="O230" s="8">
        <f t="shared" si="152"/>
        <v>0.37421606986573863</v>
      </c>
      <c r="P230">
        <f t="shared" si="153"/>
        <v>9.0157751980951915</v>
      </c>
      <c r="Q230">
        <f t="shared" si="173"/>
        <v>1.1701647477888049</v>
      </c>
      <c r="R230" s="89">
        <f t="shared" si="139"/>
        <v>5000</v>
      </c>
      <c r="S230">
        <f t="shared" si="140"/>
        <v>0.75</v>
      </c>
      <c r="U230">
        <f>O229*AV229*'Real assumptions'!$B$33/12+AX230*'Real assumptions'!$B$34</f>
        <v>4.7636064793823953</v>
      </c>
      <c r="V230">
        <f>IF(P230=0,0,IF(E230&lt;=$C$7,$AN$5*O229,0))*'Real assumptions'!$D$28</f>
        <v>2.2539437995237979</v>
      </c>
      <c r="X230" s="94">
        <f t="shared" si="154"/>
        <v>0</v>
      </c>
      <c r="Y230">
        <f t="shared" si="141"/>
        <v>24</v>
      </c>
      <c r="Z230">
        <f t="shared" si="174"/>
        <v>80</v>
      </c>
      <c r="AA230">
        <f t="shared" si="142"/>
        <v>80.75</v>
      </c>
      <c r="AB230">
        <f t="shared" si="155"/>
        <v>50.505050505050505</v>
      </c>
      <c r="AC230">
        <f t="shared" si="175"/>
        <v>4078.2828282828282</v>
      </c>
      <c r="AD230">
        <f t="shared" si="156"/>
        <v>80.505050505050505</v>
      </c>
      <c r="AE230">
        <f t="shared" si="157"/>
        <v>325.0391414141414</v>
      </c>
      <c r="AF230" s="94">
        <f t="shared" si="158"/>
        <v>596.67803030303048</v>
      </c>
      <c r="AG230">
        <f t="shared" si="176"/>
        <v>0.72030799099974341</v>
      </c>
      <c r="AH230">
        <f t="shared" si="159"/>
        <v>223.28650747523017</v>
      </c>
      <c r="AI230">
        <f>HLOOKUP(AW230,'Real assumptions'!$A$21:$AK$24,2,TRUE)</f>
        <v>2.0488</v>
      </c>
      <c r="AJ230" s="123">
        <f t="shared" si="177"/>
        <v>1.6915076759840275E-3</v>
      </c>
      <c r="AK230" s="122">
        <f>(1+HLOOKUP(YEAR(A230),'Real assumptions'!$A$21:$AK$24,2,TRUE)/100)^(1/12)-1</f>
        <v>1.6915076759840275E-3</v>
      </c>
      <c r="AL230">
        <f t="shared" si="178"/>
        <v>4.7636064793823953</v>
      </c>
      <c r="AM230">
        <f>('Real assumptions'!$B$33/12)*O229*AV229</f>
        <v>4.7027510881822794</v>
      </c>
      <c r="AN230">
        <f t="shared" si="160"/>
        <v>224.81583452151654</v>
      </c>
      <c r="AO230">
        <f t="shared" si="182"/>
        <v>0.38027770977590014</v>
      </c>
      <c r="AP230" s="121">
        <f t="shared" si="161"/>
        <v>0.75848839319021866</v>
      </c>
      <c r="AQ230">
        <f t="shared" si="162"/>
        <v>0</v>
      </c>
      <c r="AR230">
        <v>0</v>
      </c>
      <c r="AS230">
        <f t="shared" si="143"/>
        <v>0</v>
      </c>
      <c r="AT230">
        <f t="shared" si="163"/>
        <v>0</v>
      </c>
      <c r="AU230">
        <f>IFERROR(HLOOKUP(B230,'Real assumptions'!$B$43:$AL$44,2,TRUE)*($W$3/$U$2),0)</f>
        <v>0</v>
      </c>
      <c r="AV230">
        <f>AV229*(1+'Real assumptions'!$B$35)^(1/12)</f>
        <v>1.253169296823085</v>
      </c>
      <c r="AW230">
        <f t="shared" si="144"/>
        <v>2037</v>
      </c>
      <c r="AX230">
        <f t="shared" si="179"/>
        <v>222.14471504489396</v>
      </c>
      <c r="AY230">
        <f t="shared" si="180"/>
        <v>1.581049242090206</v>
      </c>
      <c r="AZ230">
        <f t="shared" si="145"/>
        <v>594.54831108896212</v>
      </c>
      <c r="BA230">
        <f t="shared" si="164"/>
        <v>4.1444165383123464</v>
      </c>
      <c r="BB230">
        <f t="shared" si="165"/>
        <v>80.75</v>
      </c>
      <c r="BC230">
        <f t="shared" si="146"/>
        <v>48.45</v>
      </c>
      <c r="BD230">
        <f t="shared" si="166"/>
        <v>0</v>
      </c>
      <c r="BE230">
        <f t="shared" si="147"/>
        <v>24</v>
      </c>
      <c r="BF230">
        <f t="shared" si="181"/>
        <v>5000</v>
      </c>
      <c r="BU230"/>
      <c r="FD230"/>
      <c r="FE230"/>
    </row>
    <row r="231" spans="1:161" x14ac:dyDescent="0.25">
      <c r="A231" s="7">
        <f t="shared" si="167"/>
        <v>50130</v>
      </c>
      <c r="B231">
        <f t="shared" si="148"/>
        <v>220</v>
      </c>
      <c r="C231">
        <f t="shared" si="149"/>
        <v>18.25</v>
      </c>
      <c r="D231">
        <f t="shared" si="150"/>
        <v>0</v>
      </c>
      <c r="E231">
        <f t="shared" si="151"/>
        <v>70</v>
      </c>
      <c r="F231">
        <f>IF(C231&gt;=$T$2,0,VLOOKUP($E231,EKM_F05!$A$3:$C$128,2,TRUE))</f>
        <v>1.7882435897435899E-2</v>
      </c>
      <c r="G231">
        <f>F231*'Real assumptions'!$B$3</f>
        <v>7.4623405000000002E-3</v>
      </c>
      <c r="H231">
        <f t="shared" si="168"/>
        <v>6.239988200457125E-4</v>
      </c>
      <c r="I231">
        <f t="shared" si="169"/>
        <v>2.3313506917367296E-4</v>
      </c>
      <c r="J231">
        <f>IF(B231&gt;$AJ$2,0,HLOOKUP(C231,'Real assumptions'!$B$5:$L$8,4,TRUE))</f>
        <v>3.7900000000000003E-2</v>
      </c>
      <c r="K231">
        <f t="shared" si="138"/>
        <v>1</v>
      </c>
      <c r="L231">
        <f t="shared" si="170"/>
        <v>8.3333333333333329E-2</v>
      </c>
      <c r="M231">
        <f t="shared" si="171"/>
        <v>3.2145624959929453E-3</v>
      </c>
      <c r="N231">
        <f t="shared" si="172"/>
        <v>1.2025656267235871E-3</v>
      </c>
      <c r="O231" s="8">
        <f t="shared" si="152"/>
        <v>0.37278036916984136</v>
      </c>
      <c r="P231">
        <f t="shared" si="153"/>
        <v>8.9811856767777272</v>
      </c>
      <c r="Q231">
        <f t="shared" si="173"/>
        <v>1.1656753458683649</v>
      </c>
      <c r="R231" s="89">
        <f t="shared" si="139"/>
        <v>5000</v>
      </c>
      <c r="S231">
        <f t="shared" si="140"/>
        <v>0.66666666666666785</v>
      </c>
      <c r="U231">
        <f>O230*AV230*'Real assumptions'!$B$33/12+AX231*'Real assumptions'!$B$34</f>
        <v>4.7507532258451377</v>
      </c>
      <c r="V231">
        <f>IF(P231=0,0,IF(E231&lt;=$C$7,$AN$5*O230,0))*'Real assumptions'!$D$28</f>
        <v>2.2452964191944318</v>
      </c>
      <c r="X231" s="94">
        <f t="shared" si="154"/>
        <v>0</v>
      </c>
      <c r="Y231">
        <f t="shared" si="141"/>
        <v>24</v>
      </c>
      <c r="Z231">
        <f t="shared" si="174"/>
        <v>80</v>
      </c>
      <c r="AA231">
        <f t="shared" si="142"/>
        <v>80.666666666666671</v>
      </c>
      <c r="AB231">
        <f t="shared" si="155"/>
        <v>50.505050505050505</v>
      </c>
      <c r="AC231">
        <f t="shared" si="175"/>
        <v>4074.0740740740744</v>
      </c>
      <c r="AD231">
        <f t="shared" si="156"/>
        <v>80.505050505050505</v>
      </c>
      <c r="AE231">
        <f t="shared" si="157"/>
        <v>324.7037037037037</v>
      </c>
      <c r="AF231" s="94">
        <f t="shared" si="158"/>
        <v>601.22222222222194</v>
      </c>
      <c r="AG231">
        <f t="shared" si="176"/>
        <v>0.72300917846681412</v>
      </c>
      <c r="AH231">
        <f t="shared" si="159"/>
        <v>224.1238419531123</v>
      </c>
      <c r="AI231">
        <f>HLOOKUP(AW231,'Real assumptions'!$A$21:$AK$24,2,TRUE)</f>
        <v>2.0488</v>
      </c>
      <c r="AJ231" s="123">
        <f t="shared" si="177"/>
        <v>1.6915076759840275E-3</v>
      </c>
      <c r="AK231" s="122">
        <f>(1+HLOOKUP(YEAR(A231),'Real assumptions'!$A$21:$AK$24,2,TRUE)/100)^(1/12)-1</f>
        <v>1.6915076759840275E-3</v>
      </c>
      <c r="AL231">
        <f t="shared" si="178"/>
        <v>4.7507532258451377</v>
      </c>
      <c r="AM231">
        <f>('Real assumptions'!$B$33/12)*O230*AV230</f>
        <v>4.6895608913354616</v>
      </c>
      <c r="AN231">
        <f t="shared" si="160"/>
        <v>226.03013190015855</v>
      </c>
      <c r="AO231">
        <f t="shared" si="182"/>
        <v>0.3823317031128004</v>
      </c>
      <c r="AP231" s="121">
        <f t="shared" si="161"/>
        <v>1.1408200963030191</v>
      </c>
      <c r="AQ231">
        <f t="shared" si="162"/>
        <v>0</v>
      </c>
      <c r="AR231">
        <v>0</v>
      </c>
      <c r="AS231">
        <f t="shared" si="143"/>
        <v>0</v>
      </c>
      <c r="AT231">
        <f t="shared" si="163"/>
        <v>0</v>
      </c>
      <c r="AU231">
        <f>IFERROR(HLOOKUP(B231,'Real assumptions'!$B$43:$AL$44,2,TRUE)*($W$3/$U$2),0)</f>
        <v>0</v>
      </c>
      <c r="AV231">
        <f>AV230*(1+'Real assumptions'!$B$35)^(1/12)</f>
        <v>1.2544672619280117</v>
      </c>
      <c r="AW231">
        <f t="shared" si="144"/>
        <v>2037</v>
      </c>
      <c r="AX231">
        <f t="shared" si="179"/>
        <v>223.37468290825683</v>
      </c>
      <c r="AY231">
        <f t="shared" si="180"/>
        <v>1.5749834590308864</v>
      </c>
      <c r="AZ231">
        <f t="shared" si="145"/>
        <v>595.65044562831531</v>
      </c>
      <c r="BA231">
        <f t="shared" si="164"/>
        <v>4.1339809435296111</v>
      </c>
      <c r="BB231">
        <f t="shared" si="165"/>
        <v>80.666666666666671</v>
      </c>
      <c r="BC231">
        <f t="shared" si="146"/>
        <v>48.400000000000006</v>
      </c>
      <c r="BD231">
        <f t="shared" si="166"/>
        <v>0</v>
      </c>
      <c r="BE231">
        <f t="shared" si="147"/>
        <v>24</v>
      </c>
      <c r="BF231">
        <f t="shared" si="181"/>
        <v>5000</v>
      </c>
      <c r="BU231"/>
      <c r="FD231"/>
      <c r="FE231"/>
    </row>
    <row r="232" spans="1:161" x14ac:dyDescent="0.25">
      <c r="A232" s="7">
        <f t="shared" si="167"/>
        <v>50160</v>
      </c>
      <c r="B232">
        <f t="shared" si="148"/>
        <v>221</v>
      </c>
      <c r="C232">
        <f t="shared" si="149"/>
        <v>18.333333333333332</v>
      </c>
      <c r="D232">
        <f t="shared" si="150"/>
        <v>0</v>
      </c>
      <c r="E232">
        <f t="shared" si="151"/>
        <v>70</v>
      </c>
      <c r="F232">
        <f>IF(C232&gt;=$T$2,0,VLOOKUP($E232,EKM_F05!$A$3:$C$128,2,TRUE))</f>
        <v>1.7882435897435899E-2</v>
      </c>
      <c r="G232">
        <f>F232*'Real assumptions'!$B$3</f>
        <v>7.4623405000000002E-3</v>
      </c>
      <c r="H232">
        <f t="shared" si="168"/>
        <v>6.239988200457125E-4</v>
      </c>
      <c r="I232">
        <f t="shared" si="169"/>
        <v>2.3224063355745049E-4</v>
      </c>
      <c r="J232">
        <f>IF(B232&gt;$AJ$2,0,HLOOKUP(C232,'Real assumptions'!$B$5:$L$8,4,TRUE))</f>
        <v>3.7900000000000003E-2</v>
      </c>
      <c r="K232">
        <f t="shared" si="138"/>
        <v>1</v>
      </c>
      <c r="L232">
        <f t="shared" si="170"/>
        <v>8.3333333333333329E-2</v>
      </c>
      <c r="M232">
        <f t="shared" si="171"/>
        <v>3.2145624959929453E-3</v>
      </c>
      <c r="N232">
        <f t="shared" si="172"/>
        <v>1.1979519170350413E-3</v>
      </c>
      <c r="O232" s="8">
        <f t="shared" si="152"/>
        <v>0.37135017661924891</v>
      </c>
      <c r="P232">
        <f t="shared" si="153"/>
        <v>8.9467288600761918</v>
      </c>
      <c r="Q232">
        <f t="shared" si="173"/>
        <v>1.1612031677872525</v>
      </c>
      <c r="R232" s="89">
        <f t="shared" si="139"/>
        <v>5000</v>
      </c>
      <c r="S232">
        <f t="shared" si="140"/>
        <v>0.58333333333333215</v>
      </c>
      <c r="U232">
        <f>O231*AV231*'Real assumptions'!$B$33/12+AX232*'Real assumptions'!$B$34</f>
        <v>4.7379348503587817</v>
      </c>
      <c r="V232">
        <f>IF(P232=0,0,IF(E232&lt;=$C$7,$AN$5*O231,0))*'Real assumptions'!$D$28</f>
        <v>2.236682215019048</v>
      </c>
      <c r="X232" s="94">
        <f t="shared" si="154"/>
        <v>0</v>
      </c>
      <c r="Y232">
        <f t="shared" si="141"/>
        <v>24</v>
      </c>
      <c r="Z232">
        <f t="shared" si="174"/>
        <v>80</v>
      </c>
      <c r="AA232">
        <f t="shared" si="142"/>
        <v>80.583333333333329</v>
      </c>
      <c r="AB232">
        <f t="shared" si="155"/>
        <v>50.505050505050505</v>
      </c>
      <c r="AC232">
        <f t="shared" si="175"/>
        <v>4069.8653198653196</v>
      </c>
      <c r="AD232">
        <f t="shared" si="156"/>
        <v>80.505050505050505</v>
      </c>
      <c r="AE232">
        <f t="shared" si="157"/>
        <v>324.36826599326594</v>
      </c>
      <c r="AF232" s="94">
        <f t="shared" si="158"/>
        <v>605.76641414141443</v>
      </c>
      <c r="AG232">
        <f t="shared" si="176"/>
        <v>0.72567903709615011</v>
      </c>
      <c r="AH232">
        <f t="shared" si="159"/>
        <v>224.95146488142333</v>
      </c>
      <c r="AI232">
        <f>HLOOKUP(AW232,'Real assumptions'!$A$21:$AK$24,2,TRUE)</f>
        <v>2.0488</v>
      </c>
      <c r="AJ232" s="123">
        <f t="shared" si="177"/>
        <v>1.6915076759840275E-3</v>
      </c>
      <c r="AK232" s="122">
        <f>(1+HLOOKUP(YEAR(A232),'Real assumptions'!$A$21:$AK$24,2,TRUE)/100)^(1/12)-1</f>
        <v>1.6915076759840275E-3</v>
      </c>
      <c r="AL232">
        <f t="shared" si="178"/>
        <v>4.7379348503587817</v>
      </c>
      <c r="AM232">
        <f>('Real assumptions'!$B$33/12)*O231*AV231</f>
        <v>4.6764076901300431</v>
      </c>
      <c r="AN232">
        <f t="shared" si="160"/>
        <v>227.23677384411369</v>
      </c>
      <c r="AO232">
        <f t="shared" si="182"/>
        <v>0.38437274722316478</v>
      </c>
      <c r="AP232" s="121">
        <f t="shared" si="161"/>
        <v>1.5251928435261839</v>
      </c>
      <c r="AQ232">
        <f t="shared" si="162"/>
        <v>0</v>
      </c>
      <c r="AR232">
        <v>0</v>
      </c>
      <c r="AS232">
        <f t="shared" si="143"/>
        <v>0</v>
      </c>
      <c r="AT232">
        <f t="shared" si="163"/>
        <v>0</v>
      </c>
      <c r="AU232">
        <f>IFERROR(HLOOKUP(B232,'Real assumptions'!$B$43:$AL$44,2,TRUE)*($W$3/$U$2),0)</f>
        <v>0</v>
      </c>
      <c r="AV232">
        <f>AV231*(1+'Real assumptions'!$B$35)^(1/12)</f>
        <v>1.2557665713951232</v>
      </c>
      <c r="AW232">
        <f t="shared" si="144"/>
        <v>2037</v>
      </c>
      <c r="AX232">
        <f t="shared" si="179"/>
        <v>224.59692078208082</v>
      </c>
      <c r="AY232">
        <f t="shared" si="180"/>
        <v>1.5689409476845173</v>
      </c>
      <c r="AZ232">
        <f t="shared" si="145"/>
        <v>596.74322251911383</v>
      </c>
      <c r="BA232">
        <f t="shared" si="164"/>
        <v>4.1235644199024506</v>
      </c>
      <c r="BB232">
        <f t="shared" si="165"/>
        <v>80.583333333333329</v>
      </c>
      <c r="BC232">
        <f t="shared" si="146"/>
        <v>48.349999999999994</v>
      </c>
      <c r="BD232">
        <f t="shared" si="166"/>
        <v>0</v>
      </c>
      <c r="BE232">
        <f t="shared" si="147"/>
        <v>24</v>
      </c>
      <c r="BF232">
        <f t="shared" si="181"/>
        <v>5000</v>
      </c>
      <c r="BU232"/>
      <c r="FD232"/>
      <c r="FE232"/>
    </row>
    <row r="233" spans="1:161" x14ac:dyDescent="0.25">
      <c r="A233" s="7">
        <f t="shared" si="167"/>
        <v>50191</v>
      </c>
      <c r="B233">
        <f t="shared" si="148"/>
        <v>222</v>
      </c>
      <c r="C233">
        <f t="shared" si="149"/>
        <v>18.416666666666668</v>
      </c>
      <c r="D233">
        <f t="shared" si="150"/>
        <v>0</v>
      </c>
      <c r="E233">
        <f t="shared" si="151"/>
        <v>70</v>
      </c>
      <c r="F233">
        <f>IF(C233&gt;=$T$2,0,VLOOKUP($E233,EKM_F05!$A$3:$C$128,2,TRUE))</f>
        <v>1.7882435897435899E-2</v>
      </c>
      <c r="G233">
        <f>F233*'Real assumptions'!$B$3</f>
        <v>7.4623405000000002E-3</v>
      </c>
      <c r="H233">
        <f t="shared" si="168"/>
        <v>6.239988200457125E-4</v>
      </c>
      <c r="I233">
        <f t="shared" si="169"/>
        <v>2.3134962949305084E-4</v>
      </c>
      <c r="J233">
        <f>IF(B233&gt;$AJ$2,0,HLOOKUP(C233,'Real assumptions'!$B$5:$L$8,4,TRUE))</f>
        <v>3.7900000000000003E-2</v>
      </c>
      <c r="K233">
        <f t="shared" si="138"/>
        <v>1</v>
      </c>
      <c r="L233">
        <f t="shared" si="170"/>
        <v>8.3333333333333329E-2</v>
      </c>
      <c r="M233">
        <f t="shared" si="171"/>
        <v>3.2145624959929453E-3</v>
      </c>
      <c r="N233">
        <f t="shared" si="172"/>
        <v>1.1933559080994664E-3</v>
      </c>
      <c r="O233" s="8">
        <f t="shared" si="152"/>
        <v>0.36992547108165635</v>
      </c>
      <c r="P233">
        <f t="shared" si="153"/>
        <v>8.9124042388619742</v>
      </c>
      <c r="Q233">
        <f t="shared" si="173"/>
        <v>1.1567481474652541</v>
      </c>
      <c r="R233" s="89">
        <f t="shared" si="139"/>
        <v>5000</v>
      </c>
      <c r="S233">
        <f t="shared" si="140"/>
        <v>0.5</v>
      </c>
      <c r="U233">
        <f>O232*AV232*'Real assumptions'!$B$33/12+AX233*'Real assumptions'!$B$34</f>
        <v>4.7251512627510772</v>
      </c>
      <c r="V233">
        <f>IF(P233=0,0,IF(E233&lt;=$C$7,$AN$5*O232,0))*'Real assumptions'!$D$28</f>
        <v>2.2281010597154935</v>
      </c>
      <c r="X233" s="94">
        <f t="shared" si="154"/>
        <v>0</v>
      </c>
      <c r="Y233">
        <f t="shared" si="141"/>
        <v>24</v>
      </c>
      <c r="Z233">
        <f t="shared" si="174"/>
        <v>80</v>
      </c>
      <c r="AA233">
        <f t="shared" si="142"/>
        <v>80.5</v>
      </c>
      <c r="AB233">
        <f t="shared" si="155"/>
        <v>50.505050505050505</v>
      </c>
      <c r="AC233">
        <f t="shared" si="175"/>
        <v>4065.6565656565658</v>
      </c>
      <c r="AD233">
        <f t="shared" si="156"/>
        <v>80.505050505050505</v>
      </c>
      <c r="AE233">
        <f t="shared" si="157"/>
        <v>324.03282828282829</v>
      </c>
      <c r="AF233" s="94">
        <f t="shared" si="158"/>
        <v>610.31060606060589</v>
      </c>
      <c r="AG233">
        <f t="shared" si="176"/>
        <v>0.72831776751819</v>
      </c>
      <c r="AH233">
        <f t="shared" si="159"/>
        <v>225.76943845310083</v>
      </c>
      <c r="AI233">
        <f>HLOOKUP(AW233,'Real assumptions'!$A$21:$AK$24,2,TRUE)</f>
        <v>2.0488</v>
      </c>
      <c r="AJ233" s="123">
        <f t="shared" si="177"/>
        <v>1.6915076759840275E-3</v>
      </c>
      <c r="AK233" s="122">
        <f>(1+HLOOKUP(YEAR(A233),'Real assumptions'!$A$21:$AK$24,2,TRUE)/100)^(1/12)-1</f>
        <v>1.6915076759840275E-3</v>
      </c>
      <c r="AL233">
        <f t="shared" si="178"/>
        <v>4.7251512627510772</v>
      </c>
      <c r="AM233">
        <f>('Real assumptions'!$B$33/12)*O232*AV232</f>
        <v>4.6632913808012759</v>
      </c>
      <c r="AN233">
        <f t="shared" si="160"/>
        <v>228.43580964134492</v>
      </c>
      <c r="AO233">
        <f t="shared" si="182"/>
        <v>0.38640092547796107</v>
      </c>
      <c r="AP233" s="121">
        <f t="shared" si="161"/>
        <v>1.9115937690041449</v>
      </c>
      <c r="AQ233">
        <f t="shared" si="162"/>
        <v>0</v>
      </c>
      <c r="AR233">
        <v>0</v>
      </c>
      <c r="AS233">
        <f t="shared" si="143"/>
        <v>0</v>
      </c>
      <c r="AT233">
        <f t="shared" si="163"/>
        <v>0</v>
      </c>
      <c r="AU233">
        <f>IFERROR(HLOOKUP(B233,'Real assumptions'!$B$43:$AL$44,2,TRUE)*($W$3/$U$2),0)</f>
        <v>0</v>
      </c>
      <c r="AV233">
        <f>AV232*(1+'Real assumptions'!$B$35)^(1/12)</f>
        <v>1.257067226616837</v>
      </c>
      <c r="AW233">
        <f t="shared" si="144"/>
        <v>2037</v>
      </c>
      <c r="AX233">
        <f t="shared" si="179"/>
        <v>225.81147828400191</v>
      </c>
      <c r="AY233">
        <f t="shared" si="180"/>
        <v>1.5629216187678825</v>
      </c>
      <c r="AZ233">
        <f t="shared" si="145"/>
        <v>597.82670426200832</v>
      </c>
      <c r="BA233">
        <f t="shared" si="164"/>
        <v>4.1131669746989381</v>
      </c>
      <c r="BB233">
        <f t="shared" si="165"/>
        <v>80.5</v>
      </c>
      <c r="BC233">
        <f t="shared" si="146"/>
        <v>48.3</v>
      </c>
      <c r="BD233">
        <f t="shared" si="166"/>
        <v>0</v>
      </c>
      <c r="BE233">
        <f t="shared" si="147"/>
        <v>24</v>
      </c>
      <c r="BF233">
        <f t="shared" si="181"/>
        <v>5000</v>
      </c>
      <c r="BU233"/>
      <c r="FD233"/>
      <c r="FE233"/>
    </row>
    <row r="234" spans="1:161" x14ac:dyDescent="0.25">
      <c r="A234" s="7">
        <f t="shared" si="167"/>
        <v>50221</v>
      </c>
      <c r="B234">
        <f t="shared" si="148"/>
        <v>223</v>
      </c>
      <c r="C234">
        <f t="shared" si="149"/>
        <v>18.5</v>
      </c>
      <c r="D234">
        <f t="shared" si="150"/>
        <v>0</v>
      </c>
      <c r="E234">
        <f t="shared" si="151"/>
        <v>70</v>
      </c>
      <c r="F234">
        <f>IF(C234&gt;=$T$2,0,VLOOKUP($E234,EKM_F05!$A$3:$C$128,2,TRUE))</f>
        <v>1.7882435897435899E-2</v>
      </c>
      <c r="G234">
        <f>F234*'Real assumptions'!$B$3</f>
        <v>7.4623405000000002E-3</v>
      </c>
      <c r="H234">
        <f t="shared" si="168"/>
        <v>6.239988200457125E-4</v>
      </c>
      <c r="I234">
        <f t="shared" si="169"/>
        <v>2.3046204381513508E-4</v>
      </c>
      <c r="J234">
        <f>IF(B234&gt;$AJ$2,0,HLOOKUP(C234,'Real assumptions'!$B$5:$L$8,4,TRUE))</f>
        <v>3.7900000000000003E-2</v>
      </c>
      <c r="K234">
        <f t="shared" si="138"/>
        <v>1</v>
      </c>
      <c r="L234">
        <f t="shared" si="170"/>
        <v>8.3333333333333329E-2</v>
      </c>
      <c r="M234">
        <f t="shared" si="171"/>
        <v>3.2145624959929453E-3</v>
      </c>
      <c r="N234">
        <f t="shared" si="172"/>
        <v>1.1887775320069424E-3</v>
      </c>
      <c r="O234" s="8">
        <f t="shared" si="152"/>
        <v>0.36850623150583423</v>
      </c>
      <c r="P234">
        <f t="shared" si="153"/>
        <v>8.8782113059597521</v>
      </c>
      <c r="Q234">
        <f t="shared" si="173"/>
        <v>1.1523102190756753</v>
      </c>
      <c r="R234" s="89">
        <f t="shared" si="139"/>
        <v>5000</v>
      </c>
      <c r="S234">
        <f t="shared" si="140"/>
        <v>0.41666666666666785</v>
      </c>
      <c r="U234">
        <f>O233*AV233*'Real assumptions'!$B$33/12+AX234*'Real assumptions'!$B$34</f>
        <v>4.7124023730715745</v>
      </c>
      <c r="V234">
        <f>IF(P234=0,0,IF(E234&lt;=$C$7,$AN$5*O233,0))*'Real assumptions'!$D$28</f>
        <v>2.219552826489938</v>
      </c>
      <c r="X234" s="94">
        <f t="shared" si="154"/>
        <v>0</v>
      </c>
      <c r="Y234">
        <f t="shared" si="141"/>
        <v>24</v>
      </c>
      <c r="Z234">
        <f t="shared" si="174"/>
        <v>80</v>
      </c>
      <c r="AA234">
        <f t="shared" si="142"/>
        <v>80.416666666666671</v>
      </c>
      <c r="AB234">
        <f t="shared" si="155"/>
        <v>50.505050505050505</v>
      </c>
      <c r="AC234">
        <f t="shared" si="175"/>
        <v>4061.4478114478115</v>
      </c>
      <c r="AD234">
        <f t="shared" si="156"/>
        <v>80.505050505050505</v>
      </c>
      <c r="AE234">
        <f t="shared" si="157"/>
        <v>323.69739057239059</v>
      </c>
      <c r="AF234" s="94">
        <f t="shared" si="158"/>
        <v>614.85479797979792</v>
      </c>
      <c r="AG234">
        <f t="shared" si="176"/>
        <v>0.73092556928505137</v>
      </c>
      <c r="AH234">
        <f t="shared" si="159"/>
        <v>226.57782452681636</v>
      </c>
      <c r="AI234">
        <f>HLOOKUP(AW234,'Real assumptions'!$A$21:$AK$24,2,TRUE)</f>
        <v>2.0488</v>
      </c>
      <c r="AJ234" s="123">
        <f t="shared" si="177"/>
        <v>1.6915076759840275E-3</v>
      </c>
      <c r="AK234" s="122">
        <f>(1+HLOOKUP(YEAR(A234),'Real assumptions'!$A$21:$AK$24,2,TRUE)/100)^(1/12)-1</f>
        <v>1.6915076759840275E-3</v>
      </c>
      <c r="AL234">
        <f t="shared" si="178"/>
        <v>4.7124023730715745</v>
      </c>
      <c r="AM234">
        <f>('Real assumptions'!$B$33/12)*O233*AV233</f>
        <v>4.6502118598754469</v>
      </c>
      <c r="AN234">
        <f t="shared" si="160"/>
        <v>229.62728832850323</v>
      </c>
      <c r="AO234">
        <f t="shared" si="182"/>
        <v>0.38841632082306071</v>
      </c>
      <c r="AP234" s="121">
        <f t="shared" si="161"/>
        <v>2.3000100898272056</v>
      </c>
      <c r="AQ234">
        <f t="shared" si="162"/>
        <v>0</v>
      </c>
      <c r="AR234">
        <v>0</v>
      </c>
      <c r="AS234">
        <f t="shared" si="143"/>
        <v>0</v>
      </c>
      <c r="AT234">
        <f t="shared" si="163"/>
        <v>0</v>
      </c>
      <c r="AU234">
        <f>IFERROR(HLOOKUP(B234,'Real assumptions'!$B$43:$AL$44,2,TRUE)*($W$3/$U$2),0)</f>
        <v>0</v>
      </c>
      <c r="AV234">
        <f>AV233*(1+'Real assumptions'!$B$35)^(1/12)</f>
        <v>1.2583692289870134</v>
      </c>
      <c r="AW234">
        <f t="shared" si="144"/>
        <v>2037</v>
      </c>
      <c r="AX234">
        <f t="shared" si="179"/>
        <v>227.01840477895536</v>
      </c>
      <c r="AY234">
        <f t="shared" si="180"/>
        <v>1.5569253833403045</v>
      </c>
      <c r="AZ234">
        <f t="shared" si="145"/>
        <v>598.90095303921339</v>
      </c>
      <c r="BA234">
        <f t="shared" si="164"/>
        <v>4.1027886148506649</v>
      </c>
      <c r="BB234">
        <f t="shared" si="165"/>
        <v>80.416666666666671</v>
      </c>
      <c r="BC234">
        <f t="shared" si="146"/>
        <v>48.25</v>
      </c>
      <c r="BD234">
        <f t="shared" si="166"/>
        <v>0</v>
      </c>
      <c r="BE234">
        <f t="shared" si="147"/>
        <v>24</v>
      </c>
      <c r="BF234">
        <f t="shared" si="181"/>
        <v>5000</v>
      </c>
      <c r="BU234"/>
      <c r="FD234"/>
      <c r="FE234"/>
    </row>
    <row r="235" spans="1:161" x14ac:dyDescent="0.25">
      <c r="A235" s="7">
        <f t="shared" si="167"/>
        <v>50252</v>
      </c>
      <c r="B235">
        <f t="shared" si="148"/>
        <v>224</v>
      </c>
      <c r="C235">
        <f t="shared" si="149"/>
        <v>18.583333333333332</v>
      </c>
      <c r="D235">
        <f t="shared" si="150"/>
        <v>0</v>
      </c>
      <c r="E235">
        <f t="shared" si="151"/>
        <v>70</v>
      </c>
      <c r="F235">
        <f>IF(C235&gt;=$T$2,0,VLOOKUP($E235,EKM_F05!$A$3:$C$128,2,TRUE))</f>
        <v>1.7882435897435899E-2</v>
      </c>
      <c r="G235">
        <f>F235*'Real assumptions'!$B$3</f>
        <v>7.4623405000000002E-3</v>
      </c>
      <c r="H235">
        <f t="shared" si="168"/>
        <v>6.239988200457125E-4</v>
      </c>
      <c r="I235">
        <f t="shared" si="169"/>
        <v>2.2957786340887401E-4</v>
      </c>
      <c r="J235">
        <f>IF(B235&gt;$AJ$2,0,HLOOKUP(C235,'Real assumptions'!$B$5:$L$8,4,TRUE))</f>
        <v>3.7900000000000003E-2</v>
      </c>
      <c r="K235">
        <f t="shared" si="138"/>
        <v>1</v>
      </c>
      <c r="L235">
        <f t="shared" si="170"/>
        <v>8.3333333333333329E-2</v>
      </c>
      <c r="M235">
        <f t="shared" si="171"/>
        <v>3.2145624959929453E-3</v>
      </c>
      <c r="N235">
        <f t="shared" si="172"/>
        <v>1.1842167211080898E-3</v>
      </c>
      <c r="O235" s="8">
        <f t="shared" si="152"/>
        <v>0.36709243692131727</v>
      </c>
      <c r="P235">
        <f t="shared" si="153"/>
        <v>8.844149556140021</v>
      </c>
      <c r="Q235">
        <f t="shared" si="173"/>
        <v>1.14788931704437</v>
      </c>
      <c r="R235" s="89">
        <f t="shared" si="139"/>
        <v>5000</v>
      </c>
      <c r="S235">
        <f t="shared" si="140"/>
        <v>0.33333333333333215</v>
      </c>
      <c r="U235">
        <f>O234*AV234*'Real assumptions'!$B$33/12+AX235*'Real assumptions'!$B$34</f>
        <v>4.699688091591165</v>
      </c>
      <c r="V235">
        <f>IF(P235=0,0,IF(E235&lt;=$C$7,$AN$5*O234,0))*'Real assumptions'!$D$28</f>
        <v>2.2110373890350052</v>
      </c>
      <c r="X235" s="94">
        <f t="shared" si="154"/>
        <v>0</v>
      </c>
      <c r="Y235">
        <f t="shared" si="141"/>
        <v>24</v>
      </c>
      <c r="Z235">
        <f t="shared" si="174"/>
        <v>80</v>
      </c>
      <c r="AA235">
        <f t="shared" si="142"/>
        <v>80.333333333333329</v>
      </c>
      <c r="AB235">
        <f t="shared" si="155"/>
        <v>50.505050505050505</v>
      </c>
      <c r="AC235">
        <f t="shared" si="175"/>
        <v>4057.2390572390568</v>
      </c>
      <c r="AD235">
        <f t="shared" si="156"/>
        <v>80.505050505050505</v>
      </c>
      <c r="AE235">
        <f t="shared" si="157"/>
        <v>323.36195286195283</v>
      </c>
      <c r="AF235" s="94">
        <f t="shared" si="158"/>
        <v>619.39898989899029</v>
      </c>
      <c r="AG235">
        <f t="shared" si="176"/>
        <v>0.73350264087584516</v>
      </c>
      <c r="AH235">
        <f t="shared" si="159"/>
        <v>227.37668462862271</v>
      </c>
      <c r="AI235">
        <f>HLOOKUP(AW235,'Real assumptions'!$A$21:$AK$24,2,TRUE)</f>
        <v>2.0488</v>
      </c>
      <c r="AJ235" s="123">
        <f t="shared" si="177"/>
        <v>1.6915076759840275E-3</v>
      </c>
      <c r="AK235" s="122">
        <f>(1+HLOOKUP(YEAR(A235),'Real assumptions'!$A$21:$AK$24,2,TRUE)/100)^(1/12)-1</f>
        <v>1.6915076759840275E-3</v>
      </c>
      <c r="AL235">
        <f t="shared" si="178"/>
        <v>4.699688091591165</v>
      </c>
      <c r="AM235">
        <f>('Real assumptions'!$B$33/12)*O234*AV234</f>
        <v>4.6371690241690651</v>
      </c>
      <c r="AN235">
        <f t="shared" si="160"/>
        <v>230.81125869215742</v>
      </c>
      <c r="AO235">
        <f t="shared" si="182"/>
        <v>0.39041901578131938</v>
      </c>
      <c r="AP235" s="121">
        <f t="shared" si="161"/>
        <v>2.690429105608525</v>
      </c>
      <c r="AQ235">
        <f t="shared" si="162"/>
        <v>0</v>
      </c>
      <c r="AR235">
        <v>0</v>
      </c>
      <c r="AS235">
        <f t="shared" si="143"/>
        <v>0</v>
      </c>
      <c r="AT235">
        <f t="shared" si="163"/>
        <v>0</v>
      </c>
      <c r="AU235">
        <f>IFERROR(HLOOKUP(B235,'Real assumptions'!$B$43:$AL$44,2,TRUE)*($W$3/$U$2),0)</f>
        <v>0</v>
      </c>
      <c r="AV235">
        <f>AV234*(1+'Real assumptions'!$B$35)^(1/12)</f>
        <v>1.2596725799009558</v>
      </c>
      <c r="AW235">
        <f t="shared" si="144"/>
        <v>2037</v>
      </c>
      <c r="AX235">
        <f t="shared" si="179"/>
        <v>228.21774938041088</v>
      </c>
      <c r="AY235">
        <f t="shared" si="180"/>
        <v>1.5509521528023325</v>
      </c>
      <c r="AZ235">
        <f t="shared" si="145"/>
        <v>599.96603071602703</v>
      </c>
      <c r="BA235">
        <f t="shared" si="164"/>
        <v>4.0924293469552211</v>
      </c>
      <c r="BB235">
        <f t="shared" si="165"/>
        <v>80.333333333333329</v>
      </c>
      <c r="BC235">
        <f t="shared" si="146"/>
        <v>48.199999999999996</v>
      </c>
      <c r="BD235">
        <f t="shared" si="166"/>
        <v>0</v>
      </c>
      <c r="BE235">
        <f t="shared" si="147"/>
        <v>24</v>
      </c>
      <c r="BF235">
        <f t="shared" si="181"/>
        <v>5000</v>
      </c>
      <c r="BU235"/>
      <c r="FD235"/>
      <c r="FE235"/>
    </row>
    <row r="236" spans="1:161" x14ac:dyDescent="0.25">
      <c r="A236" s="7">
        <f t="shared" si="167"/>
        <v>50283</v>
      </c>
      <c r="B236">
        <f t="shared" si="148"/>
        <v>225</v>
      </c>
      <c r="C236">
        <f t="shared" si="149"/>
        <v>18.666666666666668</v>
      </c>
      <c r="D236">
        <f t="shared" si="150"/>
        <v>0</v>
      </c>
      <c r="E236">
        <f t="shared" si="151"/>
        <v>70</v>
      </c>
      <c r="F236">
        <f>IF(C236&gt;=$T$2,0,VLOOKUP($E236,EKM_F05!$A$3:$C$128,2,TRUE))</f>
        <v>1.7882435897435899E-2</v>
      </c>
      <c r="G236">
        <f>F236*'Real assumptions'!$B$3</f>
        <v>7.4623405000000002E-3</v>
      </c>
      <c r="H236">
        <f t="shared" si="168"/>
        <v>6.239988200457125E-4</v>
      </c>
      <c r="I236">
        <f t="shared" si="169"/>
        <v>2.2869707520975421E-4</v>
      </c>
      <c r="J236">
        <f>IF(B236&gt;$AJ$2,0,HLOOKUP(C236,'Real assumptions'!$B$5:$L$8,4,TRUE))</f>
        <v>3.7900000000000003E-2</v>
      </c>
      <c r="K236">
        <f t="shared" si="138"/>
        <v>1</v>
      </c>
      <c r="L236">
        <f t="shared" si="170"/>
        <v>8.3333333333333329E-2</v>
      </c>
      <c r="M236">
        <f t="shared" si="171"/>
        <v>3.2145624959929453E-3</v>
      </c>
      <c r="N236">
        <f t="shared" si="172"/>
        <v>1.1796734080130695E-3</v>
      </c>
      <c r="O236" s="8">
        <f t="shared" si="152"/>
        <v>0.36568406643809448</v>
      </c>
      <c r="P236">
        <f t="shared" si="153"/>
        <v>8.810218486111614</v>
      </c>
      <c r="Q236">
        <f t="shared" si="173"/>
        <v>1.1434853760487711</v>
      </c>
      <c r="R236" s="89">
        <f t="shared" si="139"/>
        <v>5000</v>
      </c>
      <c r="S236">
        <f t="shared" si="140"/>
        <v>0.25</v>
      </c>
      <c r="U236">
        <f>O235*AV235*'Real assumptions'!$B$33/12+AX236*'Real assumptions'!$B$34</f>
        <v>4.6870083288015909</v>
      </c>
      <c r="V236">
        <f>IF(P236=0,0,IF(E236&lt;=$C$7,$AN$5*O235,0))*'Real assumptions'!$D$28</f>
        <v>2.2025546215279035</v>
      </c>
      <c r="X236" s="94">
        <f t="shared" si="154"/>
        <v>0</v>
      </c>
      <c r="Y236">
        <f t="shared" si="141"/>
        <v>24</v>
      </c>
      <c r="Z236">
        <f t="shared" si="174"/>
        <v>80</v>
      </c>
      <c r="AA236">
        <f t="shared" si="142"/>
        <v>80.25</v>
      </c>
      <c r="AB236">
        <f t="shared" si="155"/>
        <v>50.505050505050505</v>
      </c>
      <c r="AC236">
        <f t="shared" si="175"/>
        <v>4053.030303030303</v>
      </c>
      <c r="AD236">
        <f t="shared" si="156"/>
        <v>80.505050505050505</v>
      </c>
      <c r="AE236">
        <f t="shared" si="157"/>
        <v>323.02651515151513</v>
      </c>
      <c r="AF236" s="94">
        <f t="shared" si="158"/>
        <v>623.94318181818187</v>
      </c>
      <c r="AG236">
        <f t="shared" si="176"/>
        <v>0.73604917970197292</v>
      </c>
      <c r="AH236">
        <f t="shared" si="159"/>
        <v>228.1660799535961</v>
      </c>
      <c r="AI236">
        <f>HLOOKUP(AW236,'Real assumptions'!$A$21:$AK$24,2,TRUE)</f>
        <v>2.0488</v>
      </c>
      <c r="AJ236" s="123">
        <f t="shared" si="177"/>
        <v>1.6915076759840275E-3</v>
      </c>
      <c r="AK236" s="122">
        <f>(1+HLOOKUP(YEAR(A236),'Real assumptions'!$A$21:$AK$24,2,TRUE)/100)^(1/12)-1</f>
        <v>1.6915076759840275E-3</v>
      </c>
      <c r="AL236">
        <f t="shared" si="178"/>
        <v>4.6870083288015909</v>
      </c>
      <c r="AM236">
        <f>('Real assumptions'!$B$33/12)*O235*AV235</f>
        <v>4.6241627707880459</v>
      </c>
      <c r="AN236">
        <f t="shared" si="160"/>
        <v>231.98776927001336</v>
      </c>
      <c r="AO236">
        <f t="shared" si="182"/>
        <v>0.39240909245463912</v>
      </c>
      <c r="AP236" s="121">
        <f t="shared" si="161"/>
        <v>3.0828381980631643</v>
      </c>
      <c r="AQ236">
        <f t="shared" si="162"/>
        <v>0</v>
      </c>
      <c r="AR236">
        <v>0</v>
      </c>
      <c r="AS236">
        <f t="shared" si="143"/>
        <v>0</v>
      </c>
      <c r="AT236">
        <f t="shared" si="163"/>
        <v>0</v>
      </c>
      <c r="AU236">
        <f>IFERROR(HLOOKUP(B236,'Real assumptions'!$B$43:$AL$44,2,TRUE)*($W$3/$U$2),0)</f>
        <v>0</v>
      </c>
      <c r="AV236">
        <f>AV235*(1+'Real assumptions'!$B$35)^(1/12)</f>
        <v>1.2609772807554129</v>
      </c>
      <c r="AW236">
        <f t="shared" si="144"/>
        <v>2037</v>
      </c>
      <c r="AX236">
        <f t="shared" si="179"/>
        <v>229.40956095159777</v>
      </c>
      <c r="AY236">
        <f t="shared" si="180"/>
        <v>1.5450018388944329</v>
      </c>
      <c r="AZ236">
        <f t="shared" si="145"/>
        <v>601.02199884234415</v>
      </c>
      <c r="BA236">
        <f t="shared" si="164"/>
        <v>4.0820891772786476</v>
      </c>
      <c r="BB236">
        <f t="shared" si="165"/>
        <v>80.25</v>
      </c>
      <c r="BC236">
        <f t="shared" si="146"/>
        <v>48.15</v>
      </c>
      <c r="BD236">
        <f t="shared" si="166"/>
        <v>0</v>
      </c>
      <c r="BE236">
        <f t="shared" si="147"/>
        <v>24</v>
      </c>
      <c r="BF236">
        <f t="shared" si="181"/>
        <v>5000</v>
      </c>
      <c r="BU236"/>
      <c r="FD236"/>
      <c r="FE236"/>
    </row>
    <row r="237" spans="1:161" x14ac:dyDescent="0.25">
      <c r="A237" s="7">
        <f t="shared" si="167"/>
        <v>50313</v>
      </c>
      <c r="B237">
        <f t="shared" si="148"/>
        <v>226</v>
      </c>
      <c r="C237">
        <f t="shared" si="149"/>
        <v>18.75</v>
      </c>
      <c r="D237">
        <f t="shared" si="150"/>
        <v>0</v>
      </c>
      <c r="E237">
        <f t="shared" si="151"/>
        <v>70</v>
      </c>
      <c r="F237">
        <f>IF(C237&gt;=$T$2,0,VLOOKUP($E237,EKM_F05!$A$3:$C$128,2,TRUE))</f>
        <v>1.7882435897435899E-2</v>
      </c>
      <c r="G237">
        <f>F237*'Real assumptions'!$B$3</f>
        <v>7.4623405000000002E-3</v>
      </c>
      <c r="H237">
        <f t="shared" si="168"/>
        <v>6.239988200457125E-4</v>
      </c>
      <c r="I237">
        <f t="shared" si="169"/>
        <v>2.2781966620338497E-4</v>
      </c>
      <c r="J237">
        <f>IF(B237&gt;$AJ$2,0,HLOOKUP(C237,'Real assumptions'!$B$5:$L$8,4,TRUE))</f>
        <v>3.7900000000000003E-2</v>
      </c>
      <c r="K237">
        <f t="shared" si="138"/>
        <v>1</v>
      </c>
      <c r="L237">
        <f t="shared" si="170"/>
        <v>8.3333333333333329E-2</v>
      </c>
      <c r="M237">
        <f t="shared" si="171"/>
        <v>3.2145624959929453E-3</v>
      </c>
      <c r="N237">
        <f t="shared" si="172"/>
        <v>1.175147525590587E-3</v>
      </c>
      <c r="O237" s="8">
        <f t="shared" si="152"/>
        <v>0.36428109924630048</v>
      </c>
      <c r="P237">
        <f t="shared" si="153"/>
        <v>8.7764175945142675</v>
      </c>
      <c r="Q237">
        <f t="shared" si="173"/>
        <v>1.1390983310169249</v>
      </c>
      <c r="R237" s="89">
        <f t="shared" si="139"/>
        <v>5000</v>
      </c>
      <c r="S237">
        <f t="shared" si="140"/>
        <v>0.16666666666666785</v>
      </c>
      <c r="U237">
        <f>O236*AV236*'Real assumptions'!$B$33/12+AX237*'Real assumptions'!$B$34</f>
        <v>4.6743629954149748</v>
      </c>
      <c r="V237">
        <f>IF(P237=0,0,IF(E237&lt;=$C$7,$AN$5*O236,0))*'Real assumptions'!$D$28</f>
        <v>2.1941043986285669</v>
      </c>
      <c r="X237" s="94">
        <f t="shared" si="154"/>
        <v>0</v>
      </c>
      <c r="Y237">
        <f t="shared" si="141"/>
        <v>24</v>
      </c>
      <c r="Z237">
        <f t="shared" si="174"/>
        <v>80</v>
      </c>
      <c r="AA237">
        <f t="shared" si="142"/>
        <v>80.166666666666671</v>
      </c>
      <c r="AB237">
        <f t="shared" si="155"/>
        <v>50.505050505050505</v>
      </c>
      <c r="AC237">
        <f t="shared" si="175"/>
        <v>4048.8215488215492</v>
      </c>
      <c r="AD237">
        <f t="shared" si="156"/>
        <v>80.505050505050505</v>
      </c>
      <c r="AE237">
        <f t="shared" si="157"/>
        <v>322.69107744107743</v>
      </c>
      <c r="AF237" s="94">
        <f t="shared" si="158"/>
        <v>628.48737373737345</v>
      </c>
      <c r="AG237">
        <f t="shared" si="176"/>
        <v>0.73856538211240086</v>
      </c>
      <c r="AH237">
        <f t="shared" si="159"/>
        <v>228.94607136747086</v>
      </c>
      <c r="AI237">
        <f>HLOOKUP(AW237,'Real assumptions'!$A$21:$AK$24,2,TRUE)</f>
        <v>2.0488</v>
      </c>
      <c r="AJ237" s="123">
        <f t="shared" si="177"/>
        <v>1.6915076759840275E-3</v>
      </c>
      <c r="AK237" s="122">
        <f>(1+HLOOKUP(YEAR(A237),'Real assumptions'!$A$21:$AK$24,2,TRUE)/100)^(1/12)-1</f>
        <v>1.6915076759840275E-3</v>
      </c>
      <c r="AL237">
        <f t="shared" si="178"/>
        <v>4.6743629954149748</v>
      </c>
      <c r="AM237">
        <f>('Real assumptions'!$B$33/12)*O236*AV236</f>
        <v>4.611192997126901</v>
      </c>
      <c r="AN237">
        <f t="shared" si="160"/>
        <v>233.15686835213</v>
      </c>
      <c r="AO237">
        <f t="shared" si="182"/>
        <v>0.39438663252602529</v>
      </c>
      <c r="AP237" s="121">
        <f t="shared" si="161"/>
        <v>3.4772248305891895</v>
      </c>
      <c r="AQ237">
        <f t="shared" si="162"/>
        <v>0</v>
      </c>
      <c r="AR237">
        <v>0</v>
      </c>
      <c r="AS237">
        <f t="shared" si="143"/>
        <v>0</v>
      </c>
      <c r="AT237">
        <f t="shared" si="163"/>
        <v>0</v>
      </c>
      <c r="AU237">
        <f>IFERROR(HLOOKUP(B237,'Real assumptions'!$B$43:$AL$44,2,TRUE)*($W$3/$U$2),0)</f>
        <v>0</v>
      </c>
      <c r="AV237">
        <f>AV236*(1+'Real assumptions'!$B$35)^(1/12)</f>
        <v>1.2622833329485805</v>
      </c>
      <c r="AW237">
        <f t="shared" si="144"/>
        <v>2037</v>
      </c>
      <c r="AX237">
        <f t="shared" si="179"/>
        <v>230.59388810672641</v>
      </c>
      <c r="AY237">
        <f t="shared" si="180"/>
        <v>1.5390743536956837</v>
      </c>
      <c r="AZ237">
        <f t="shared" si="145"/>
        <v>602.06891865416253</v>
      </c>
      <c r="BA237">
        <f t="shared" si="164"/>
        <v>4.0717681117578923</v>
      </c>
      <c r="BB237">
        <f t="shared" si="165"/>
        <v>80.166666666666671</v>
      </c>
      <c r="BC237">
        <f t="shared" si="146"/>
        <v>48.1</v>
      </c>
      <c r="BD237">
        <f t="shared" si="166"/>
        <v>0</v>
      </c>
      <c r="BE237">
        <f t="shared" si="147"/>
        <v>24</v>
      </c>
      <c r="BF237">
        <f t="shared" si="181"/>
        <v>5000</v>
      </c>
      <c r="BU237"/>
      <c r="FD237"/>
      <c r="FE237"/>
    </row>
    <row r="238" spans="1:161" x14ac:dyDescent="0.25">
      <c r="A238" s="7">
        <f t="shared" si="167"/>
        <v>50344</v>
      </c>
      <c r="B238">
        <f t="shared" si="148"/>
        <v>227</v>
      </c>
      <c r="C238">
        <f t="shared" si="149"/>
        <v>18.833333333333332</v>
      </c>
      <c r="D238">
        <f t="shared" si="150"/>
        <v>0</v>
      </c>
      <c r="E238">
        <f t="shared" si="151"/>
        <v>70</v>
      </c>
      <c r="F238">
        <f>IF(C238&gt;=$T$2,0,VLOOKUP($E238,EKM_F05!$A$3:$C$128,2,TRUE))</f>
        <v>1.7882435897435899E-2</v>
      </c>
      <c r="G238">
        <f>F238*'Real assumptions'!$B$3</f>
        <v>7.4623405000000002E-3</v>
      </c>
      <c r="H238">
        <f t="shared" si="168"/>
        <v>6.239988200457125E-4</v>
      </c>
      <c r="I238">
        <f t="shared" si="169"/>
        <v>2.2694562342530589E-4</v>
      </c>
      <c r="J238">
        <f>IF(B238&gt;$AJ$2,0,HLOOKUP(C238,'Real assumptions'!$B$5:$L$8,4,TRUE))</f>
        <v>3.7900000000000003E-2</v>
      </c>
      <c r="K238">
        <f t="shared" si="138"/>
        <v>1</v>
      </c>
      <c r="L238">
        <f t="shared" si="170"/>
        <v>8.3333333333333329E-2</v>
      </c>
      <c r="M238">
        <f t="shared" si="171"/>
        <v>3.2145624959929453E-3</v>
      </c>
      <c r="N238">
        <f t="shared" si="172"/>
        <v>1.1706390069669008E-3</v>
      </c>
      <c r="O238" s="8">
        <f t="shared" si="152"/>
        <v>0.36288351461590829</v>
      </c>
      <c r="P238">
        <f t="shared" si="153"/>
        <v>8.7427463819112106</v>
      </c>
      <c r="Q238">
        <f t="shared" si="173"/>
        <v>1.1347281171265295</v>
      </c>
      <c r="R238" s="89">
        <f t="shared" si="139"/>
        <v>5000</v>
      </c>
      <c r="S238">
        <f t="shared" si="140"/>
        <v>8.3333333333332149E-2</v>
      </c>
      <c r="U238">
        <f>O237*AV237*'Real assumptions'!$B$33/12+AX238*'Real assumptions'!$B$34</f>
        <v>4.6617520023633405</v>
      </c>
      <c r="V238">
        <f>IF(P238=0,0,IF(E238&lt;=$C$7,$AN$5*O237,0))*'Real assumptions'!$D$28</f>
        <v>2.1856865954778026</v>
      </c>
      <c r="X238" s="94">
        <f t="shared" si="154"/>
        <v>0</v>
      </c>
      <c r="Y238">
        <f t="shared" si="141"/>
        <v>24</v>
      </c>
      <c r="Z238">
        <f t="shared" si="174"/>
        <v>80</v>
      </c>
      <c r="AA238">
        <f t="shared" si="142"/>
        <v>80.083333333333329</v>
      </c>
      <c r="AB238">
        <f t="shared" si="155"/>
        <v>50.505050505050505</v>
      </c>
      <c r="AC238">
        <f t="shared" si="175"/>
        <v>4044.6127946127945</v>
      </c>
      <c r="AD238">
        <f t="shared" si="156"/>
        <v>80.505050505050505</v>
      </c>
      <c r="AE238">
        <f t="shared" si="157"/>
        <v>322.35563973063972</v>
      </c>
      <c r="AF238" s="94">
        <f t="shared" si="158"/>
        <v>633.03156565656582</v>
      </c>
      <c r="AG238">
        <f t="shared" si="176"/>
        <v>0.74105144339890472</v>
      </c>
      <c r="AH238">
        <f t="shared" si="159"/>
        <v>229.7167194082657</v>
      </c>
      <c r="AI238">
        <f>HLOOKUP(AW238,'Real assumptions'!$A$21:$AK$24,2,TRUE)</f>
        <v>2.0488</v>
      </c>
      <c r="AJ238" s="123">
        <f t="shared" si="177"/>
        <v>1.6915076759840275E-3</v>
      </c>
      <c r="AK238" s="122">
        <f>(1+HLOOKUP(YEAR(A238),'Real assumptions'!$A$21:$AK$24,2,TRUE)/100)^(1/12)-1</f>
        <v>1.6915076759840275E-3</v>
      </c>
      <c r="AL238">
        <f t="shared" si="178"/>
        <v>4.6617520023633405</v>
      </c>
      <c r="AM238">
        <f>('Real assumptions'!$B$33/12)*O237*AV237</f>
        <v>4.5982596008679284</v>
      </c>
      <c r="AN238">
        <f t="shared" si="160"/>
        <v>234.31860398213016</v>
      </c>
      <c r="AO238">
        <f t="shared" si="182"/>
        <v>0.39635171726163465</v>
      </c>
      <c r="AP238" s="121">
        <f t="shared" si="161"/>
        <v>3.8735765478508242</v>
      </c>
      <c r="AQ238">
        <f t="shared" si="162"/>
        <v>0</v>
      </c>
      <c r="AR238">
        <v>0</v>
      </c>
      <c r="AS238">
        <f t="shared" si="143"/>
        <v>0</v>
      </c>
      <c r="AT238">
        <f t="shared" si="163"/>
        <v>0</v>
      </c>
      <c r="AU238">
        <f>IFERROR(HLOOKUP(B238,'Real assumptions'!$B$43:$AL$44,2,TRUE)*($W$3/$U$2),0)</f>
        <v>0</v>
      </c>
      <c r="AV238">
        <f>AV237*(1+'Real assumptions'!$B$35)^(1/12)</f>
        <v>1.2635907378801021</v>
      </c>
      <c r="AW238">
        <f t="shared" si="144"/>
        <v>2037</v>
      </c>
      <c r="AX238">
        <f t="shared" si="179"/>
        <v>231.77077921220476</v>
      </c>
      <c r="AY238">
        <f t="shared" si="180"/>
        <v>1.5331696096224767</v>
      </c>
      <c r="AZ238">
        <f t="shared" si="145"/>
        <v>603.10685107508209</v>
      </c>
      <c r="BA238">
        <f t="shared" si="164"/>
        <v>4.0614661560032372</v>
      </c>
      <c r="BB238">
        <f t="shared" si="165"/>
        <v>80.083333333333329</v>
      </c>
      <c r="BC238">
        <f t="shared" si="146"/>
        <v>48.05</v>
      </c>
      <c r="BD238">
        <f t="shared" si="166"/>
        <v>0</v>
      </c>
      <c r="BE238">
        <f t="shared" si="147"/>
        <v>24</v>
      </c>
      <c r="BF238">
        <f t="shared" si="181"/>
        <v>5000</v>
      </c>
      <c r="BU238"/>
      <c r="FD238"/>
      <c r="FE238"/>
    </row>
    <row r="239" spans="1:161" x14ac:dyDescent="0.25">
      <c r="A239" s="7">
        <f t="shared" si="167"/>
        <v>50374</v>
      </c>
      <c r="B239">
        <f t="shared" si="148"/>
        <v>228</v>
      </c>
      <c r="C239">
        <f t="shared" si="149"/>
        <v>18.916666666666668</v>
      </c>
      <c r="D239">
        <f t="shared" si="150"/>
        <v>0</v>
      </c>
      <c r="E239">
        <f t="shared" si="151"/>
        <v>70</v>
      </c>
      <c r="F239">
        <f>IF(C239&gt;=$T$2,0,VLOOKUP($E239,EKM_F05!$A$3:$C$128,2,TRUE))</f>
        <v>1.7882435897435899E-2</v>
      </c>
      <c r="G239">
        <f>F239*'Real assumptions'!$B$3</f>
        <v>7.4623405000000002E-3</v>
      </c>
      <c r="H239">
        <f t="shared" si="168"/>
        <v>6.239988200457125E-4</v>
      </c>
      <c r="I239">
        <f t="shared" si="169"/>
        <v>2.260749339607956E-4</v>
      </c>
      <c r="J239">
        <f>IF(B239&gt;$AJ$2,0,HLOOKUP(C239,'Real assumptions'!$B$5:$L$8,4,TRUE))</f>
        <v>3.7900000000000003E-2</v>
      </c>
      <c r="K239">
        <f t="shared" si="138"/>
        <v>1</v>
      </c>
      <c r="L239">
        <f t="shared" si="170"/>
        <v>8.3333333333333329E-2</v>
      </c>
      <c r="M239">
        <f t="shared" si="171"/>
        <v>3.2145624959929453E-3</v>
      </c>
      <c r="N239">
        <f t="shared" si="172"/>
        <v>1.1661477855248344E-3</v>
      </c>
      <c r="O239" s="8">
        <f t="shared" si="152"/>
        <v>0.36149129189642265</v>
      </c>
      <c r="P239">
        <f t="shared" si="153"/>
        <v>8.7092043507817998</v>
      </c>
      <c r="Q239">
        <f t="shared" si="173"/>
        <v>1.130374669803978</v>
      </c>
      <c r="R239" s="89">
        <f t="shared" si="139"/>
        <v>5000</v>
      </c>
      <c r="S239">
        <f t="shared" si="140"/>
        <v>1</v>
      </c>
      <c r="U239">
        <f>O238*AV238*'Real assumptions'!$B$33/12+AX239*'Real assumptions'!$B$34</f>
        <v>4.6491752607981383</v>
      </c>
      <c r="V239">
        <f>IF(P239=0,0,IF(E239&lt;=$C$7,$AN$5*O238,0))*'Real assumptions'!$D$28</f>
        <v>2.1773010876954499</v>
      </c>
      <c r="X239" s="94">
        <f t="shared" si="154"/>
        <v>0</v>
      </c>
      <c r="Y239">
        <f t="shared" si="141"/>
        <v>24</v>
      </c>
      <c r="Z239">
        <f t="shared" si="174"/>
        <v>80</v>
      </c>
      <c r="AA239">
        <f t="shared" si="142"/>
        <v>80</v>
      </c>
      <c r="AB239">
        <f t="shared" si="155"/>
        <v>50.505050505050505</v>
      </c>
      <c r="AC239">
        <f t="shared" si="175"/>
        <v>4040.4040404040406</v>
      </c>
      <c r="AD239">
        <f t="shared" si="156"/>
        <v>80.505050505050505</v>
      </c>
      <c r="AE239">
        <f t="shared" si="157"/>
        <v>322.02020202020202</v>
      </c>
      <c r="AF239" s="94">
        <f t="shared" si="158"/>
        <v>637.57575757575728</v>
      </c>
      <c r="AG239">
        <f t="shared" si="176"/>
        <v>0.74350755780128797</v>
      </c>
      <c r="AH239">
        <f t="shared" si="159"/>
        <v>230.47808428790088</v>
      </c>
      <c r="AI239">
        <f>HLOOKUP(AW239,'Real assumptions'!$A$21:$AK$24,2,TRUE)</f>
        <v>2.0488</v>
      </c>
      <c r="AJ239" s="123">
        <f t="shared" si="177"/>
        <v>1.6915076759840275E-3</v>
      </c>
      <c r="AK239" s="122">
        <f>(1+HLOOKUP(YEAR(A239),'Real assumptions'!$A$21:$AK$24,2,TRUE)/100)^(1/12)-1</f>
        <v>1.6915076759840275E-3</v>
      </c>
      <c r="AL239">
        <f t="shared" si="178"/>
        <v>4.6491752607981383</v>
      </c>
      <c r="AM239">
        <f>('Real assumptions'!$B$33/12)*O238*AV238</f>
        <v>4.5853624799804038</v>
      </c>
      <c r="AN239">
        <f t="shared" si="160"/>
        <v>235.47302395840475</v>
      </c>
      <c r="AO239">
        <f t="shared" si="182"/>
        <v>0.39830442751281248</v>
      </c>
      <c r="AP239" s="121">
        <f t="shared" si="161"/>
        <v>4.2718809753636364</v>
      </c>
      <c r="AQ239">
        <f t="shared" si="162"/>
        <v>0</v>
      </c>
      <c r="AR239">
        <v>0</v>
      </c>
      <c r="AS239">
        <f t="shared" si="143"/>
        <v>0</v>
      </c>
      <c r="AT239">
        <f t="shared" si="163"/>
        <v>0</v>
      </c>
      <c r="AU239">
        <f>IFERROR(HLOOKUP(B239,'Real assumptions'!$B$43:$AL$44,2,TRUE)*($W$3/$U$2),0)</f>
        <v>0</v>
      </c>
      <c r="AV239">
        <f>AV238*(1+'Real assumptions'!$B$35)^(1/12)</f>
        <v>1.2648994969510712</v>
      </c>
      <c r="AW239">
        <f t="shared" si="144"/>
        <v>2037</v>
      </c>
      <c r="AX239">
        <f t="shared" si="179"/>
        <v>232.94028238784833</v>
      </c>
      <c r="AY239">
        <f t="shared" si="180"/>
        <v>1.5272875194272233</v>
      </c>
      <c r="AZ239">
        <f t="shared" si="145"/>
        <v>604.13585671779697</v>
      </c>
      <c r="BA239">
        <f t="shared" si="164"/>
        <v>4.0511833153007162</v>
      </c>
      <c r="BB239">
        <f t="shared" si="165"/>
        <v>80</v>
      </c>
      <c r="BC239">
        <f t="shared" si="146"/>
        <v>48</v>
      </c>
      <c r="BD239">
        <f t="shared" si="166"/>
        <v>0</v>
      </c>
      <c r="BE239">
        <f t="shared" si="147"/>
        <v>24</v>
      </c>
      <c r="BF239">
        <f t="shared" si="181"/>
        <v>5000</v>
      </c>
      <c r="BU239"/>
      <c r="FD239"/>
      <c r="FE239"/>
    </row>
    <row r="240" spans="1:161" x14ac:dyDescent="0.25">
      <c r="A240" s="7">
        <f t="shared" si="167"/>
        <v>50405</v>
      </c>
      <c r="B240">
        <f t="shared" si="148"/>
        <v>229</v>
      </c>
      <c r="C240">
        <f t="shared" si="149"/>
        <v>19</v>
      </c>
      <c r="D240">
        <f t="shared" si="150"/>
        <v>1</v>
      </c>
      <c r="E240">
        <f t="shared" si="151"/>
        <v>71</v>
      </c>
      <c r="F240">
        <f>IF(C240&gt;=$T$2,0,VLOOKUP($E240,EKM_F05!$A$3:$C$128,2,TRUE))</f>
        <v>2.0249230769230769E-2</v>
      </c>
      <c r="G240">
        <f>F240*'Real assumptions'!$B$3</f>
        <v>8.4500040000000005E-3</v>
      </c>
      <c r="H240">
        <f t="shared" si="168"/>
        <v>7.0690899572001253E-4</v>
      </c>
      <c r="I240">
        <f t="shared" si="169"/>
        <v>2.5513071914160185E-4</v>
      </c>
      <c r="J240">
        <f>IF(B240&gt;$AJ$2,0,HLOOKUP(C240,'Real assumptions'!$B$5:$L$8,4,TRUE))</f>
        <v>3.7900000000000003E-2</v>
      </c>
      <c r="K240">
        <f t="shared" si="138"/>
        <v>1</v>
      </c>
      <c r="L240">
        <f t="shared" si="170"/>
        <v>8.3333333333333329E-2</v>
      </c>
      <c r="M240">
        <f t="shared" si="171"/>
        <v>3.2145624959929453E-3</v>
      </c>
      <c r="N240">
        <f t="shared" si="172"/>
        <v>1.1616256225838505E-3</v>
      </c>
      <c r="O240" s="8">
        <f t="shared" si="152"/>
        <v>0.36007453555469715</v>
      </c>
      <c r="P240">
        <f t="shared" si="153"/>
        <v>8.6757910055141441</v>
      </c>
      <c r="Q240">
        <f t="shared" si="173"/>
        <v>1.2756535957080093</v>
      </c>
      <c r="R240" s="89">
        <f t="shared" si="139"/>
        <v>5000</v>
      </c>
      <c r="S240">
        <f t="shared" si="140"/>
        <v>0.91666666666666785</v>
      </c>
      <c r="U240">
        <f>O239*AV239*'Real assumptions'!$B$33/12+AX240*'Real assumptions'!$B$34</f>
        <v>4.6366326820897692</v>
      </c>
      <c r="V240">
        <f>IF(P240=0,0,IF(E240&lt;=$C$7,$AN$5*O239,0))*'Real assumptions'!$D$28</f>
        <v>2.168947751378536</v>
      </c>
      <c r="X240" s="94">
        <f t="shared" si="154"/>
        <v>0</v>
      </c>
      <c r="Y240">
        <f t="shared" si="141"/>
        <v>24</v>
      </c>
      <c r="Z240">
        <f t="shared" si="174"/>
        <v>80</v>
      </c>
      <c r="AA240">
        <f t="shared" si="142"/>
        <v>79.916666666666671</v>
      </c>
      <c r="AB240">
        <f t="shared" si="155"/>
        <v>50.505050505050505</v>
      </c>
      <c r="AC240">
        <f t="shared" si="175"/>
        <v>4036.1952861952864</v>
      </c>
      <c r="AD240">
        <f t="shared" si="156"/>
        <v>80.505050505050505</v>
      </c>
      <c r="AE240">
        <f t="shared" si="157"/>
        <v>321.68476430976432</v>
      </c>
      <c r="AF240" s="94">
        <f t="shared" si="158"/>
        <v>642.11994949494931</v>
      </c>
      <c r="AG240">
        <f t="shared" si="176"/>
        <v>0.74590298610558115</v>
      </c>
      <c r="AH240">
        <f t="shared" si="159"/>
        <v>231.21104258479946</v>
      </c>
      <c r="AI240">
        <f>HLOOKUP(AW240,'Real assumptions'!$A$21:$AK$24,2,TRUE)</f>
        <v>2.0488</v>
      </c>
      <c r="AJ240" s="123">
        <f t="shared" si="177"/>
        <v>1.6915076759840275E-3</v>
      </c>
      <c r="AK240" s="122">
        <f>(1+HLOOKUP(YEAR(A240),'Real assumptions'!$A$21:$AK$24,2,TRUE)/100)^(1/12)-1</f>
        <v>1.6915076759840275E-3</v>
      </c>
      <c r="AL240">
        <f t="shared" si="178"/>
        <v>4.6366326820897692</v>
      </c>
      <c r="AM240">
        <f>('Real assumptions'!$B$33/12)*O239*AV239</f>
        <v>4.5725015327197784</v>
      </c>
      <c r="AN240">
        <f t="shared" si="160"/>
        <v>236.62017583531033</v>
      </c>
      <c r="AO240">
        <f t="shared" si="182"/>
        <v>0.40024484371811775</v>
      </c>
      <c r="AP240" s="121">
        <f t="shared" si="161"/>
        <v>0</v>
      </c>
      <c r="AQ240">
        <f t="shared" si="162"/>
        <v>0</v>
      </c>
      <c r="AR240">
        <v>0</v>
      </c>
      <c r="AS240">
        <f t="shared" si="143"/>
        <v>0</v>
      </c>
      <c r="AT240">
        <f t="shared" si="163"/>
        <v>0</v>
      </c>
      <c r="AU240">
        <f>IFERROR(HLOOKUP(B240,'Real assumptions'!$B$43:$AL$44,2,TRUE)*($W$3/$U$2),0)</f>
        <v>0</v>
      </c>
      <c r="AV240">
        <f>AV239*(1+'Real assumptions'!$B$35)^(1/12)</f>
        <v>1.2662096115640322</v>
      </c>
      <c r="AW240">
        <f t="shared" si="144"/>
        <v>2037</v>
      </c>
      <c r="AX240">
        <f t="shared" si="179"/>
        <v>234.10244550808306</v>
      </c>
      <c r="AY240">
        <f t="shared" si="180"/>
        <v>1.5214279961970649</v>
      </c>
      <c r="AZ240">
        <f t="shared" si="145"/>
        <v>605.00641114700454</v>
      </c>
      <c r="BA240">
        <f t="shared" si="164"/>
        <v>4.190504333192127</v>
      </c>
      <c r="BB240">
        <f t="shared" si="165"/>
        <v>79.916666666666671</v>
      </c>
      <c r="BC240">
        <f t="shared" si="146"/>
        <v>47.95</v>
      </c>
      <c r="BD240">
        <f t="shared" si="166"/>
        <v>0</v>
      </c>
      <c r="BE240">
        <f t="shared" si="147"/>
        <v>24</v>
      </c>
      <c r="BF240">
        <f t="shared" si="181"/>
        <v>5000</v>
      </c>
      <c r="BU240"/>
      <c r="FD240"/>
      <c r="FE240"/>
    </row>
    <row r="241" spans="1:161" x14ac:dyDescent="0.25">
      <c r="A241" s="7">
        <f t="shared" si="167"/>
        <v>50436</v>
      </c>
      <c r="B241">
        <f t="shared" si="148"/>
        <v>230</v>
      </c>
      <c r="C241">
        <f t="shared" si="149"/>
        <v>19.083333333333332</v>
      </c>
      <c r="D241">
        <f t="shared" si="150"/>
        <v>0</v>
      </c>
      <c r="E241">
        <f t="shared" si="151"/>
        <v>71</v>
      </c>
      <c r="F241">
        <f>IF(C241&gt;=$T$2,0,VLOOKUP($E241,EKM_F05!$A$3:$C$128,2,TRUE))</f>
        <v>2.0249230769230769E-2</v>
      </c>
      <c r="G241">
        <f>F241*'Real assumptions'!$B$3</f>
        <v>8.4500040000000005E-3</v>
      </c>
      <c r="H241">
        <f t="shared" si="168"/>
        <v>7.0690899572001253E-4</v>
      </c>
      <c r="I241">
        <f t="shared" si="169"/>
        <v>2.5413081105967654E-4</v>
      </c>
      <c r="J241">
        <f>IF(B241&gt;$AJ$2,0,HLOOKUP(C241,'Real assumptions'!$B$5:$L$8,4,TRUE))</f>
        <v>3.7900000000000003E-2</v>
      </c>
      <c r="K241">
        <f t="shared" si="138"/>
        <v>1</v>
      </c>
      <c r="L241">
        <f t="shared" si="170"/>
        <v>8.3333333333333329E-2</v>
      </c>
      <c r="M241">
        <f t="shared" si="171"/>
        <v>3.2145624959929453E-3</v>
      </c>
      <c r="N241">
        <f t="shared" si="172"/>
        <v>1.1570729805025636E-3</v>
      </c>
      <c r="O241" s="8">
        <f t="shared" si="152"/>
        <v>0.35866333176313492</v>
      </c>
      <c r="P241">
        <f t="shared" si="153"/>
        <v>8.6417888533127325</v>
      </c>
      <c r="Q241">
        <f t="shared" si="173"/>
        <v>1.2706540552983827</v>
      </c>
      <c r="R241" s="89">
        <f t="shared" si="139"/>
        <v>5000</v>
      </c>
      <c r="S241">
        <f t="shared" si="140"/>
        <v>0.83333333333333215</v>
      </c>
      <c r="U241">
        <f>O240*AV240*'Real assumptions'!$B$33/12+AX241*'Real assumptions'!$B$34</f>
        <v>4.6224607530720601</v>
      </c>
      <c r="V241">
        <f>IF(P241=0,0,IF(E241&lt;=$C$7,$AN$5*O240,0))*'Real assumptions'!$D$28</f>
        <v>2.1604472133281831</v>
      </c>
      <c r="X241" s="94">
        <f t="shared" si="154"/>
        <v>0</v>
      </c>
      <c r="Y241">
        <f t="shared" si="141"/>
        <v>24</v>
      </c>
      <c r="Z241">
        <f t="shared" si="174"/>
        <v>79</v>
      </c>
      <c r="AA241">
        <f t="shared" si="142"/>
        <v>79.833333333333329</v>
      </c>
      <c r="AB241">
        <f t="shared" si="155"/>
        <v>50.505050505050505</v>
      </c>
      <c r="AC241">
        <f t="shared" si="175"/>
        <v>4031.9865319865316</v>
      </c>
      <c r="AD241">
        <f t="shared" si="156"/>
        <v>80.505050505050505</v>
      </c>
      <c r="AE241">
        <f t="shared" si="157"/>
        <v>321.34932659932656</v>
      </c>
      <c r="AF241" s="94">
        <f t="shared" si="158"/>
        <v>646.6641414141418</v>
      </c>
      <c r="AG241">
        <f t="shared" si="176"/>
        <v>0.74823760549019225</v>
      </c>
      <c r="AH241">
        <f t="shared" si="159"/>
        <v>231.93471549134313</v>
      </c>
      <c r="AI241">
        <f>HLOOKUP(AW241,'Real assumptions'!$A$21:$AK$24,2,TRUE)</f>
        <v>2.0550999999999999</v>
      </c>
      <c r="AJ241" s="123">
        <f t="shared" si="177"/>
        <v>1.6966608297885877E-3</v>
      </c>
      <c r="AK241" s="122">
        <f>(1+HLOOKUP(YEAR(A241),'Real assumptions'!$A$21:$AK$24,2,TRUE)/100)^(1/12)-1</f>
        <v>1.6966608297885877E-3</v>
      </c>
      <c r="AL241">
        <f t="shared" si="178"/>
        <v>4.6224607530720601</v>
      </c>
      <c r="AM241">
        <f>('Real assumptions'!$B$33/12)*O240*AV240</f>
        <v>4.5592983779881235</v>
      </c>
      <c r="AN241">
        <f t="shared" si="160"/>
        <v>233.06992347171195</v>
      </c>
      <c r="AO241">
        <f t="shared" si="182"/>
        <v>0.39544060975627743</v>
      </c>
      <c r="AP241" s="121">
        <f t="shared" si="161"/>
        <v>0.39544060975627743</v>
      </c>
      <c r="AQ241">
        <f t="shared" si="162"/>
        <v>0</v>
      </c>
      <c r="AR241">
        <v>0</v>
      </c>
      <c r="AS241">
        <f t="shared" si="143"/>
        <v>0</v>
      </c>
      <c r="AT241">
        <f t="shared" si="163"/>
        <v>0</v>
      </c>
      <c r="AU241">
        <f>IFERROR(HLOOKUP(B241,'Real assumptions'!$B$43:$AL$44,2,TRUE)*($W$3/$U$2),0)</f>
        <v>0</v>
      </c>
      <c r="AV241">
        <f>AV240*(1+'Real assumptions'!$B$35)^(1/12)</f>
        <v>1.2675210831229824</v>
      </c>
      <c r="AW241">
        <f t="shared" si="144"/>
        <v>2038</v>
      </c>
      <c r="AX241">
        <f t="shared" si="179"/>
        <v>230.56606058845233</v>
      </c>
      <c r="AY241">
        <f t="shared" si="180"/>
        <v>1.5154652169810485</v>
      </c>
      <c r="AZ241">
        <f t="shared" si="145"/>
        <v>605.87289105269258</v>
      </c>
      <c r="BA241">
        <f t="shared" si="164"/>
        <v>4.1793388741167581</v>
      </c>
      <c r="BB241">
        <f t="shared" si="165"/>
        <v>79.833333333333329</v>
      </c>
      <c r="BC241">
        <f t="shared" si="146"/>
        <v>47.899999999999991</v>
      </c>
      <c r="BD241">
        <f t="shared" si="166"/>
        <v>0</v>
      </c>
      <c r="BE241">
        <f t="shared" si="147"/>
        <v>24</v>
      </c>
      <c r="BF241">
        <f t="shared" si="181"/>
        <v>5000</v>
      </c>
      <c r="BU241"/>
      <c r="FD241"/>
      <c r="FE241"/>
    </row>
    <row r="242" spans="1:161" x14ac:dyDescent="0.25">
      <c r="A242" s="7">
        <f t="shared" si="167"/>
        <v>50464</v>
      </c>
      <c r="B242">
        <f t="shared" si="148"/>
        <v>231</v>
      </c>
      <c r="C242">
        <f t="shared" si="149"/>
        <v>19.166666666666668</v>
      </c>
      <c r="D242">
        <f t="shared" si="150"/>
        <v>0</v>
      </c>
      <c r="E242">
        <f t="shared" si="151"/>
        <v>71</v>
      </c>
      <c r="F242">
        <f>IF(C242&gt;=$T$2,0,VLOOKUP($E242,EKM_F05!$A$3:$C$128,2,TRUE))</f>
        <v>2.0249230769230769E-2</v>
      </c>
      <c r="G242">
        <f>F242*'Real assumptions'!$B$3</f>
        <v>8.4500040000000005E-3</v>
      </c>
      <c r="H242">
        <f t="shared" si="168"/>
        <v>7.0690899572001253E-4</v>
      </c>
      <c r="I242">
        <f t="shared" si="169"/>
        <v>2.5313482181659456E-4</v>
      </c>
      <c r="J242">
        <f>IF(B242&gt;$AJ$2,0,HLOOKUP(C242,'Real assumptions'!$B$5:$L$8,4,TRUE))</f>
        <v>3.7900000000000003E-2</v>
      </c>
      <c r="K242">
        <f t="shared" si="138"/>
        <v>1</v>
      </c>
      <c r="L242">
        <f t="shared" si="170"/>
        <v>8.3333333333333329E-2</v>
      </c>
      <c r="M242">
        <f t="shared" si="171"/>
        <v>3.2145624959929453E-3</v>
      </c>
      <c r="N242">
        <f t="shared" si="172"/>
        <v>1.1525381811319719E-3</v>
      </c>
      <c r="O242" s="8">
        <f t="shared" si="152"/>
        <v>0.35725765876018634</v>
      </c>
      <c r="P242">
        <f t="shared" si="153"/>
        <v>8.607919962315238</v>
      </c>
      <c r="Q242">
        <f t="shared" si="173"/>
        <v>1.2656741090829728</v>
      </c>
      <c r="R242" s="89">
        <f t="shared" si="139"/>
        <v>5000</v>
      </c>
      <c r="S242">
        <f t="shared" si="140"/>
        <v>0.75</v>
      </c>
      <c r="U242">
        <f>O241*AV241*'Real assumptions'!$B$33/12+AX242*'Real assumptions'!$B$34</f>
        <v>4.6096029904309992</v>
      </c>
      <c r="V242">
        <f>IF(P242=0,0,IF(E242&lt;=$C$7,$AN$5*O241,0))*'Real assumptions'!$D$28</f>
        <v>2.1519799905788095</v>
      </c>
      <c r="X242" s="94">
        <f t="shared" si="154"/>
        <v>0</v>
      </c>
      <c r="Y242">
        <f t="shared" si="141"/>
        <v>24</v>
      </c>
      <c r="Z242">
        <f t="shared" si="174"/>
        <v>79</v>
      </c>
      <c r="AA242">
        <f t="shared" si="142"/>
        <v>79.75</v>
      </c>
      <c r="AB242">
        <f t="shared" si="155"/>
        <v>50.505050505050505</v>
      </c>
      <c r="AC242">
        <f t="shared" si="175"/>
        <v>4027.7777777777778</v>
      </c>
      <c r="AD242">
        <f t="shared" si="156"/>
        <v>80.505050505050505</v>
      </c>
      <c r="AE242">
        <f t="shared" si="157"/>
        <v>321.01388888888886</v>
      </c>
      <c r="AF242" s="94">
        <f t="shared" si="158"/>
        <v>651.20833333333326</v>
      </c>
      <c r="AG242">
        <f t="shared" si="176"/>
        <v>0.75054246803798275</v>
      </c>
      <c r="AH242">
        <f t="shared" si="159"/>
        <v>232.64916453178964</v>
      </c>
      <c r="AI242">
        <f>HLOOKUP(AW242,'Real assumptions'!$A$21:$AK$24,2,TRUE)</f>
        <v>2.0550999999999999</v>
      </c>
      <c r="AJ242" s="123">
        <f t="shared" si="177"/>
        <v>1.6966608297885877E-3</v>
      </c>
      <c r="AK242" s="122">
        <f>(1+HLOOKUP(YEAR(A242),'Real assumptions'!$A$21:$AK$24,2,TRUE)/100)^(1/12)-1</f>
        <v>1.6966608297885877E-3</v>
      </c>
      <c r="AL242">
        <f t="shared" si="178"/>
        <v>4.6096029904309992</v>
      </c>
      <c r="AM242">
        <f>('Real assumptions'!$B$33/12)*O241*AV241</f>
        <v>4.5461333475290635</v>
      </c>
      <c r="AN242">
        <f t="shared" si="160"/>
        <v>234.17649308240485</v>
      </c>
      <c r="AO242">
        <f t="shared" si="182"/>
        <v>0.39731808307017447</v>
      </c>
      <c r="AP242" s="121">
        <f t="shared" si="161"/>
        <v>0.79275869282645184</v>
      </c>
      <c r="AQ242">
        <f t="shared" si="162"/>
        <v>0</v>
      </c>
      <c r="AR242">
        <v>0</v>
      </c>
      <c r="AS242">
        <f t="shared" si="143"/>
        <v>0</v>
      </c>
      <c r="AT242">
        <f t="shared" si="163"/>
        <v>0</v>
      </c>
      <c r="AU242">
        <f>IFERROR(HLOOKUP(B242,'Real assumptions'!$B$43:$AL$44,2,TRUE)*($W$3/$U$2),0)</f>
        <v>0</v>
      </c>
      <c r="AV242">
        <f>AV241*(1+'Real assumptions'!$B$35)^(1/12)</f>
        <v>1.2688339130333732</v>
      </c>
      <c r="AW242">
        <f t="shared" si="144"/>
        <v>2038</v>
      </c>
      <c r="AX242">
        <f t="shared" si="179"/>
        <v>231.68770191760447</v>
      </c>
      <c r="AY242">
        <f t="shared" si="180"/>
        <v>1.5095258070839011</v>
      </c>
      <c r="AZ242">
        <f t="shared" si="145"/>
        <v>606.73097225895697</v>
      </c>
      <c r="BA242">
        <f t="shared" si="164"/>
        <v>4.1681965676997654</v>
      </c>
      <c r="BB242">
        <f t="shared" si="165"/>
        <v>79.75</v>
      </c>
      <c r="BC242">
        <f t="shared" si="146"/>
        <v>47.849999999999994</v>
      </c>
      <c r="BD242">
        <f t="shared" si="166"/>
        <v>0</v>
      </c>
      <c r="BE242">
        <f t="shared" si="147"/>
        <v>24</v>
      </c>
      <c r="BF242">
        <f t="shared" si="181"/>
        <v>5000</v>
      </c>
      <c r="BU242"/>
      <c r="FD242"/>
      <c r="FE242"/>
    </row>
    <row r="243" spans="1:161" x14ac:dyDescent="0.25">
      <c r="A243" s="7">
        <f t="shared" si="167"/>
        <v>50495</v>
      </c>
      <c r="B243">
        <f t="shared" si="148"/>
        <v>232</v>
      </c>
      <c r="C243">
        <f t="shared" si="149"/>
        <v>19.25</v>
      </c>
      <c r="D243">
        <f t="shared" si="150"/>
        <v>0</v>
      </c>
      <c r="E243">
        <f t="shared" si="151"/>
        <v>71</v>
      </c>
      <c r="F243">
        <f>IF(C243&gt;=$T$2,0,VLOOKUP($E243,EKM_F05!$A$3:$C$128,2,TRUE))</f>
        <v>2.0249230769230769E-2</v>
      </c>
      <c r="G243">
        <f>F243*'Real assumptions'!$B$3</f>
        <v>8.4500040000000005E-3</v>
      </c>
      <c r="H243">
        <f t="shared" si="168"/>
        <v>7.0690899572001253E-4</v>
      </c>
      <c r="I243">
        <f t="shared" si="169"/>
        <v>2.5214273605364638E-4</v>
      </c>
      <c r="J243">
        <f>IF(B243&gt;$AJ$2,0,HLOOKUP(C243,'Real assumptions'!$B$5:$L$8,4,TRUE))</f>
        <v>3.7900000000000003E-2</v>
      </c>
      <c r="K243">
        <f t="shared" si="138"/>
        <v>1</v>
      </c>
      <c r="L243">
        <f t="shared" si="170"/>
        <v>8.3333333333333329E-2</v>
      </c>
      <c r="M243">
        <f t="shared" si="171"/>
        <v>3.2145624959929453E-3</v>
      </c>
      <c r="N243">
        <f t="shared" si="172"/>
        <v>1.1480211545429407E-3</v>
      </c>
      <c r="O243" s="8">
        <f t="shared" si="152"/>
        <v>0.35585749486958973</v>
      </c>
      <c r="P243">
        <f t="shared" si="153"/>
        <v>8.5741838102444721</v>
      </c>
      <c r="Q243">
        <f t="shared" si="173"/>
        <v>1.2607136802682319</v>
      </c>
      <c r="R243" s="89">
        <f t="shared" si="139"/>
        <v>5000</v>
      </c>
      <c r="S243">
        <f t="shared" si="140"/>
        <v>0.66666666666666785</v>
      </c>
      <c r="U243">
        <f>O242*AV242*'Real assumptions'!$B$33/12+AX243*'Real assumptions'!$B$34</f>
        <v>4.5967812267580932</v>
      </c>
      <c r="V243">
        <f>IF(P243=0,0,IF(E243&lt;=$C$7,$AN$5*O242,0))*'Real assumptions'!$D$28</f>
        <v>2.143545952561118</v>
      </c>
      <c r="X243" s="94">
        <f t="shared" si="154"/>
        <v>0</v>
      </c>
      <c r="Y243">
        <f t="shared" si="141"/>
        <v>24</v>
      </c>
      <c r="Z243">
        <f t="shared" si="174"/>
        <v>79</v>
      </c>
      <c r="AA243">
        <f t="shared" si="142"/>
        <v>79.666666666666671</v>
      </c>
      <c r="AB243">
        <f t="shared" si="155"/>
        <v>50.505050505050505</v>
      </c>
      <c r="AC243">
        <f t="shared" si="175"/>
        <v>4023.569023569024</v>
      </c>
      <c r="AD243">
        <f t="shared" si="156"/>
        <v>80.505050505050505</v>
      </c>
      <c r="AE243">
        <f t="shared" si="157"/>
        <v>320.67845117845121</v>
      </c>
      <c r="AF243" s="94">
        <f t="shared" si="158"/>
        <v>655.75252525252472</v>
      </c>
      <c r="AG243">
        <f t="shared" si="176"/>
        <v>0.75281777113485226</v>
      </c>
      <c r="AH243">
        <f t="shared" si="159"/>
        <v>233.35445089077083</v>
      </c>
      <c r="AI243">
        <f>HLOOKUP(AW243,'Real assumptions'!$A$21:$AK$24,2,TRUE)</f>
        <v>2.0550999999999999</v>
      </c>
      <c r="AJ243" s="123">
        <f t="shared" si="177"/>
        <v>1.6966608297885877E-3</v>
      </c>
      <c r="AK243" s="122">
        <f>(1+HLOOKUP(YEAR(A243),'Real assumptions'!$A$21:$AK$24,2,TRUE)/100)^(1/12)-1</f>
        <v>1.6966608297885877E-3</v>
      </c>
      <c r="AL243">
        <f t="shared" si="178"/>
        <v>4.5967812267580932</v>
      </c>
      <c r="AM243">
        <f>('Real assumptions'!$B$33/12)*O242*AV242</f>
        <v>4.5330063312582878</v>
      </c>
      <c r="AN243">
        <f t="shared" si="160"/>
        <v>235.27577985554137</v>
      </c>
      <c r="AO243">
        <f t="shared" si="182"/>
        <v>0.39918319987885992</v>
      </c>
      <c r="AP243" s="121">
        <f t="shared" si="161"/>
        <v>1.1919418927053118</v>
      </c>
      <c r="AQ243">
        <f t="shared" si="162"/>
        <v>0</v>
      </c>
      <c r="AR243">
        <v>0</v>
      </c>
      <c r="AS243">
        <f t="shared" si="143"/>
        <v>0</v>
      </c>
      <c r="AT243">
        <f t="shared" si="163"/>
        <v>0</v>
      </c>
      <c r="AU243">
        <f>IFERROR(HLOOKUP(B243,'Real assumptions'!$B$43:$AL$44,2,TRUE)*($W$3/$U$2),0)</f>
        <v>0</v>
      </c>
      <c r="AV243">
        <f>AV242*(1+'Real assumptions'!$B$35)^(1/12)</f>
        <v>1.2701481027021118</v>
      </c>
      <c r="AW243">
        <f t="shared" si="144"/>
        <v>2038</v>
      </c>
      <c r="AX243">
        <f t="shared" si="179"/>
        <v>232.8019869469716</v>
      </c>
      <c r="AY243">
        <f t="shared" si="180"/>
        <v>1.503609674916609</v>
      </c>
      <c r="AZ243">
        <f t="shared" si="145"/>
        <v>607.58071411333037</v>
      </c>
      <c r="BA243">
        <f t="shared" si="164"/>
        <v>4.1570774039642018</v>
      </c>
      <c r="BB243">
        <f t="shared" si="165"/>
        <v>79.666666666666671</v>
      </c>
      <c r="BC243">
        <f t="shared" si="146"/>
        <v>47.8</v>
      </c>
      <c r="BD243">
        <f t="shared" si="166"/>
        <v>0</v>
      </c>
      <c r="BE243">
        <f t="shared" si="147"/>
        <v>24</v>
      </c>
      <c r="BF243">
        <f t="shared" si="181"/>
        <v>5000</v>
      </c>
      <c r="BU243"/>
      <c r="FD243"/>
      <c r="FE243"/>
    </row>
    <row r="244" spans="1:161" x14ac:dyDescent="0.25">
      <c r="A244" s="7">
        <f t="shared" si="167"/>
        <v>50525</v>
      </c>
      <c r="B244">
        <f t="shared" si="148"/>
        <v>233</v>
      </c>
      <c r="C244">
        <f t="shared" si="149"/>
        <v>19.333333333333332</v>
      </c>
      <c r="D244">
        <f t="shared" si="150"/>
        <v>0</v>
      </c>
      <c r="E244">
        <f t="shared" si="151"/>
        <v>71</v>
      </c>
      <c r="F244">
        <f>IF(C244&gt;=$T$2,0,VLOOKUP($E244,EKM_F05!$A$3:$C$128,2,TRUE))</f>
        <v>2.0249230769230769E-2</v>
      </c>
      <c r="G244">
        <f>F244*'Real assumptions'!$B$3</f>
        <v>8.4500040000000005E-3</v>
      </c>
      <c r="H244">
        <f t="shared" si="168"/>
        <v>7.0690899572001253E-4</v>
      </c>
      <c r="I244">
        <f t="shared" si="169"/>
        <v>2.5115453847231607E-4</v>
      </c>
      <c r="J244">
        <f>IF(B244&gt;$AJ$2,0,HLOOKUP(C244,'Real assumptions'!$B$5:$L$8,4,TRUE))</f>
        <v>3.7900000000000003E-2</v>
      </c>
      <c r="K244">
        <f t="shared" si="138"/>
        <v>1</v>
      </c>
      <c r="L244">
        <f t="shared" si="170"/>
        <v>8.3333333333333329E-2</v>
      </c>
      <c r="M244">
        <f t="shared" si="171"/>
        <v>3.2145624959929453E-3</v>
      </c>
      <c r="N244">
        <f t="shared" si="172"/>
        <v>1.1435218310803998E-3</v>
      </c>
      <c r="O244" s="8">
        <f t="shared" si="152"/>
        <v>0.35446281850003702</v>
      </c>
      <c r="P244">
        <f t="shared" si="153"/>
        <v>8.5405798768701544</v>
      </c>
      <c r="Q244">
        <f t="shared" si="173"/>
        <v>1.2557726923615804</v>
      </c>
      <c r="R244" s="89">
        <f t="shared" si="139"/>
        <v>5000</v>
      </c>
      <c r="S244">
        <f t="shared" si="140"/>
        <v>0.58333333333333215</v>
      </c>
      <c r="U244">
        <f>O243*AV243*'Real assumptions'!$B$33/12+AX244*'Real assumptions'!$B$34</f>
        <v>4.5839953656737542</v>
      </c>
      <c r="V244">
        <f>IF(P244=0,0,IF(E244&lt;=$C$7,$AN$5*O243,0))*'Real assumptions'!$D$28</f>
        <v>2.1351449692175386</v>
      </c>
      <c r="X244" s="94">
        <f t="shared" si="154"/>
        <v>0</v>
      </c>
      <c r="Y244">
        <f t="shared" si="141"/>
        <v>24</v>
      </c>
      <c r="Z244">
        <f t="shared" si="174"/>
        <v>79</v>
      </c>
      <c r="AA244">
        <f t="shared" si="142"/>
        <v>79.583333333333329</v>
      </c>
      <c r="AB244">
        <f t="shared" si="155"/>
        <v>50.505050505050505</v>
      </c>
      <c r="AC244">
        <f t="shared" si="175"/>
        <v>4019.3602693602693</v>
      </c>
      <c r="AD244">
        <f t="shared" si="156"/>
        <v>80.505050505050505</v>
      </c>
      <c r="AE244">
        <f t="shared" si="157"/>
        <v>320.34301346801345</v>
      </c>
      <c r="AF244" s="94">
        <f t="shared" si="158"/>
        <v>660.29671717171732</v>
      </c>
      <c r="AG244">
        <f t="shared" si="176"/>
        <v>0.7550637110765791</v>
      </c>
      <c r="AH244">
        <f t="shared" si="159"/>
        <v>234.05063541500871</v>
      </c>
      <c r="AI244">
        <f>HLOOKUP(AW244,'Real assumptions'!$A$21:$AK$24,2,TRUE)</f>
        <v>2.0550999999999999</v>
      </c>
      <c r="AJ244" s="123">
        <f t="shared" si="177"/>
        <v>1.6966608297885877E-3</v>
      </c>
      <c r="AK244" s="122">
        <f>(1+HLOOKUP(YEAR(A244),'Real assumptions'!$A$21:$AK$24,2,TRUE)/100)^(1/12)-1</f>
        <v>1.6966608297885877E-3</v>
      </c>
      <c r="AL244">
        <f t="shared" si="178"/>
        <v>4.5839953656737542</v>
      </c>
      <c r="AM244">
        <f>('Real assumptions'!$B$33/12)*O243*AV243</f>
        <v>4.5199172194093586</v>
      </c>
      <c r="AN244">
        <f t="shared" si="160"/>
        <v>236.367832325455</v>
      </c>
      <c r="AO244">
        <f t="shared" si="182"/>
        <v>0.40103604252863623</v>
      </c>
      <c r="AP244" s="121">
        <f t="shared" si="161"/>
        <v>1.5929779352339479</v>
      </c>
      <c r="AQ244">
        <f t="shared" si="162"/>
        <v>0</v>
      </c>
      <c r="AR244">
        <v>0</v>
      </c>
      <c r="AS244">
        <f t="shared" si="143"/>
        <v>0</v>
      </c>
      <c r="AT244">
        <f t="shared" si="163"/>
        <v>0</v>
      </c>
      <c r="AU244">
        <f>IFERROR(HLOOKUP(B244,'Real assumptions'!$B$43:$AL$44,2,TRUE)*($W$3/$U$2),0)</f>
        <v>0</v>
      </c>
      <c r="AV244">
        <f>AV243*(1+'Real assumptions'!$B$35)^(1/12)</f>
        <v>1.2714636535375621</v>
      </c>
      <c r="AW244">
        <f t="shared" si="144"/>
        <v>2038</v>
      </c>
      <c r="AX244">
        <f t="shared" si="179"/>
        <v>233.90896454350769</v>
      </c>
      <c r="AY244">
        <f t="shared" si="180"/>
        <v>1.4977167292491149</v>
      </c>
      <c r="AZ244">
        <f t="shared" si="145"/>
        <v>608.42217565044211</v>
      </c>
      <c r="BA244">
        <f t="shared" si="164"/>
        <v>4.1459813726556982</v>
      </c>
      <c r="BB244">
        <f t="shared" si="165"/>
        <v>79.583333333333329</v>
      </c>
      <c r="BC244">
        <f t="shared" si="146"/>
        <v>47.75</v>
      </c>
      <c r="BD244">
        <f t="shared" si="166"/>
        <v>0</v>
      </c>
      <c r="BE244">
        <f t="shared" si="147"/>
        <v>24</v>
      </c>
      <c r="BF244">
        <f t="shared" si="181"/>
        <v>5000</v>
      </c>
      <c r="BU244"/>
      <c r="FD244"/>
      <c r="FE244"/>
    </row>
    <row r="245" spans="1:161" x14ac:dyDescent="0.25">
      <c r="A245" s="7">
        <f t="shared" si="167"/>
        <v>50556</v>
      </c>
      <c r="B245">
        <f t="shared" si="148"/>
        <v>234</v>
      </c>
      <c r="C245">
        <f t="shared" si="149"/>
        <v>19.416666666666668</v>
      </c>
      <c r="D245">
        <f t="shared" si="150"/>
        <v>0</v>
      </c>
      <c r="E245">
        <f t="shared" si="151"/>
        <v>71</v>
      </c>
      <c r="F245">
        <f>IF(C245&gt;=$T$2,0,VLOOKUP($E245,EKM_F05!$A$3:$C$128,2,TRUE))</f>
        <v>2.0249230769230769E-2</v>
      </c>
      <c r="G245">
        <f>F245*'Real assumptions'!$B$3</f>
        <v>8.4500040000000005E-3</v>
      </c>
      <c r="H245">
        <f t="shared" si="168"/>
        <v>7.0690899572001253E-4</v>
      </c>
      <c r="I245">
        <f t="shared" si="169"/>
        <v>2.5017021383404582E-4</v>
      </c>
      <c r="J245">
        <f>IF(B245&gt;$AJ$2,0,HLOOKUP(C245,'Real assumptions'!$B$5:$L$8,4,TRUE))</f>
        <v>3.7900000000000003E-2</v>
      </c>
      <c r="K245">
        <f t="shared" si="138"/>
        <v>1</v>
      </c>
      <c r="L245">
        <f t="shared" si="170"/>
        <v>8.3333333333333329E-2</v>
      </c>
      <c r="M245">
        <f t="shared" si="171"/>
        <v>3.2145624959929453E-3</v>
      </c>
      <c r="N245">
        <f t="shared" si="172"/>
        <v>1.1390401413622728E-3</v>
      </c>
      <c r="O245" s="8">
        <f t="shared" si="152"/>
        <v>0.35307360814484068</v>
      </c>
      <c r="P245">
        <f t="shared" si="153"/>
        <v>8.5071076440008895</v>
      </c>
      <c r="Q245">
        <f t="shared" si="173"/>
        <v>1.250851069170229</v>
      </c>
      <c r="R245" s="89">
        <f t="shared" si="139"/>
        <v>5000</v>
      </c>
      <c r="S245">
        <f t="shared" si="140"/>
        <v>0.5</v>
      </c>
      <c r="U245">
        <f>O244*AV244*'Real assumptions'!$B$33/12+AX245*'Real assumptions'!$B$34</f>
        <v>4.5712453110452902</v>
      </c>
      <c r="V245">
        <f>IF(P245=0,0,IF(E245&lt;=$C$7,$AN$5*O244,0))*'Real assumptions'!$D$28</f>
        <v>2.1267769110002224</v>
      </c>
      <c r="X245" s="94">
        <f t="shared" si="154"/>
        <v>0</v>
      </c>
      <c r="Y245">
        <f t="shared" si="141"/>
        <v>24</v>
      </c>
      <c r="Z245">
        <f t="shared" si="174"/>
        <v>79</v>
      </c>
      <c r="AA245">
        <f t="shared" si="142"/>
        <v>79.5</v>
      </c>
      <c r="AB245">
        <f t="shared" si="155"/>
        <v>50.505050505050505</v>
      </c>
      <c r="AC245">
        <f t="shared" si="175"/>
        <v>4015.151515151515</v>
      </c>
      <c r="AD245">
        <f t="shared" si="156"/>
        <v>80.505050505050505</v>
      </c>
      <c r="AE245">
        <f t="shared" si="157"/>
        <v>320.00757575757575</v>
      </c>
      <c r="AF245" s="94">
        <f t="shared" si="158"/>
        <v>664.84090909090924</v>
      </c>
      <c r="AG245">
        <f t="shared" si="176"/>
        <v>0.75728048307433127</v>
      </c>
      <c r="AH245">
        <f t="shared" si="159"/>
        <v>234.73777861502333</v>
      </c>
      <c r="AI245">
        <f>HLOOKUP(AW245,'Real assumptions'!$A$21:$AK$24,2,TRUE)</f>
        <v>2.0550999999999999</v>
      </c>
      <c r="AJ245" s="123">
        <f t="shared" si="177"/>
        <v>1.6966608297885877E-3</v>
      </c>
      <c r="AK245" s="122">
        <f>(1+HLOOKUP(YEAR(A245),'Real assumptions'!$A$21:$AK$24,2,TRUE)/100)^(1/12)-1</f>
        <v>1.6966608297885877E-3</v>
      </c>
      <c r="AL245">
        <f t="shared" si="178"/>
        <v>4.5712453110452902</v>
      </c>
      <c r="AM245">
        <f>('Real assumptions'!$B$33/12)*O244*AV244</f>
        <v>4.5068659025327884</v>
      </c>
      <c r="AN245">
        <f t="shared" si="160"/>
        <v>237.45269877219803</v>
      </c>
      <c r="AO245">
        <f t="shared" si="182"/>
        <v>0.40287669293437706</v>
      </c>
      <c r="AP245" s="121">
        <f t="shared" si="161"/>
        <v>1.9958546281683249</v>
      </c>
      <c r="AQ245">
        <f t="shared" si="162"/>
        <v>0</v>
      </c>
      <c r="AR245">
        <v>0</v>
      </c>
      <c r="AS245">
        <f t="shared" si="143"/>
        <v>0</v>
      </c>
      <c r="AT245">
        <f t="shared" si="163"/>
        <v>0</v>
      </c>
      <c r="AU245">
        <f>IFERROR(HLOOKUP(B245,'Real assumptions'!$B$43:$AL$44,2,TRUE)*($W$3/$U$2),0)</f>
        <v>0</v>
      </c>
      <c r="AV245">
        <f>AV244*(1+'Real assumptions'!$B$35)^(1/12)</f>
        <v>1.2727805669495473</v>
      </c>
      <c r="AW245">
        <f t="shared" si="144"/>
        <v>2038</v>
      </c>
      <c r="AX245">
        <f t="shared" si="179"/>
        <v>235.00868331845135</v>
      </c>
      <c r="AY245">
        <f t="shared" si="180"/>
        <v>1.4918468792089099</v>
      </c>
      <c r="AZ245">
        <f t="shared" si="145"/>
        <v>609.25541559355383</v>
      </c>
      <c r="BA245">
        <f t="shared" si="164"/>
        <v>4.1349084632447823</v>
      </c>
      <c r="BB245">
        <f t="shared" si="165"/>
        <v>79.5</v>
      </c>
      <c r="BC245">
        <f t="shared" si="146"/>
        <v>47.7</v>
      </c>
      <c r="BD245">
        <f t="shared" si="166"/>
        <v>0</v>
      </c>
      <c r="BE245">
        <f t="shared" si="147"/>
        <v>24</v>
      </c>
      <c r="BF245">
        <f t="shared" si="181"/>
        <v>5000</v>
      </c>
      <c r="BU245"/>
      <c r="FD245"/>
      <c r="FE245"/>
    </row>
    <row r="246" spans="1:161" x14ac:dyDescent="0.25">
      <c r="A246" s="7">
        <f t="shared" si="167"/>
        <v>50586</v>
      </c>
      <c r="B246">
        <f t="shared" si="148"/>
        <v>235</v>
      </c>
      <c r="C246">
        <f t="shared" si="149"/>
        <v>19.5</v>
      </c>
      <c r="D246">
        <f t="shared" si="150"/>
        <v>0</v>
      </c>
      <c r="E246">
        <f t="shared" si="151"/>
        <v>71</v>
      </c>
      <c r="F246">
        <f>IF(C246&gt;=$T$2,0,VLOOKUP($E246,EKM_F05!$A$3:$C$128,2,TRUE))</f>
        <v>2.0249230769230769E-2</v>
      </c>
      <c r="G246">
        <f>F246*'Real assumptions'!$B$3</f>
        <v>8.4500040000000005E-3</v>
      </c>
      <c r="H246">
        <f t="shared" si="168"/>
        <v>7.0690899572001253E-4</v>
      </c>
      <c r="I246">
        <f t="shared" si="169"/>
        <v>2.4918974696000072E-4</v>
      </c>
      <c r="J246">
        <f>IF(B246&gt;$AJ$2,0,HLOOKUP(C246,'Real assumptions'!$B$5:$L$8,4,TRUE))</f>
        <v>3.7900000000000003E-2</v>
      </c>
      <c r="K246">
        <f t="shared" si="138"/>
        <v>1</v>
      </c>
      <c r="L246">
        <f t="shared" si="170"/>
        <v>8.3333333333333329E-2</v>
      </c>
      <c r="M246">
        <f t="shared" si="171"/>
        <v>3.2145624959929453E-3</v>
      </c>
      <c r="N246">
        <f t="shared" si="172"/>
        <v>1.1345760162784042E-3</v>
      </c>
      <c r="O246" s="8">
        <f t="shared" si="152"/>
        <v>0.35168984238160228</v>
      </c>
      <c r="P246">
        <f t="shared" si="153"/>
        <v>8.4737665954761763</v>
      </c>
      <c r="Q246">
        <f t="shared" si="173"/>
        <v>1.2459487348000036</v>
      </c>
      <c r="R246" s="89">
        <f t="shared" si="139"/>
        <v>5000</v>
      </c>
      <c r="S246">
        <f t="shared" si="140"/>
        <v>0.41666666666666785</v>
      </c>
      <c r="U246">
        <f>O245*AV245*'Real assumptions'!$B$33/12+AX246*'Real assumptions'!$B$34</f>
        <v>4.5585309669863445</v>
      </c>
      <c r="V246">
        <f>IF(P246=0,0,IF(E246&lt;=$C$7,$AN$5*O245,0))*'Real assumptions'!$D$28</f>
        <v>2.1184416488690441</v>
      </c>
      <c r="X246" s="94">
        <f t="shared" si="154"/>
        <v>0</v>
      </c>
      <c r="Y246">
        <f t="shared" si="141"/>
        <v>24</v>
      </c>
      <c r="Z246">
        <f t="shared" si="174"/>
        <v>79</v>
      </c>
      <c r="AA246">
        <f t="shared" si="142"/>
        <v>79.416666666666671</v>
      </c>
      <c r="AB246">
        <f t="shared" si="155"/>
        <v>50.505050505050505</v>
      </c>
      <c r="AC246">
        <f t="shared" si="175"/>
        <v>4010.9427609427612</v>
      </c>
      <c r="AD246">
        <f t="shared" si="156"/>
        <v>80.505050505050505</v>
      </c>
      <c r="AE246">
        <f t="shared" si="157"/>
        <v>319.67213804713805</v>
      </c>
      <c r="AF246" s="94">
        <f t="shared" si="158"/>
        <v>669.3851010101007</v>
      </c>
      <c r="AG246">
        <f t="shared" si="176"/>
        <v>0.7594682812601572</v>
      </c>
      <c r="AH246">
        <f t="shared" si="159"/>
        <v>235.41594066683524</v>
      </c>
      <c r="AI246">
        <f>HLOOKUP(AW246,'Real assumptions'!$A$21:$AK$24,2,TRUE)</f>
        <v>2.0550999999999999</v>
      </c>
      <c r="AJ246" s="123">
        <f t="shared" si="177"/>
        <v>1.6966608297885877E-3</v>
      </c>
      <c r="AK246" s="122">
        <f>(1+HLOOKUP(YEAR(A246),'Real assumptions'!$A$21:$AK$24,2,TRUE)/100)^(1/12)-1</f>
        <v>1.6966608297885877E-3</v>
      </c>
      <c r="AL246">
        <f t="shared" si="178"/>
        <v>4.5585309669863445</v>
      </c>
      <c r="AM246">
        <f>('Real assumptions'!$B$33/12)*O245*AV245</f>
        <v>4.4938522714951263</v>
      </c>
      <c r="AN246">
        <f t="shared" si="160"/>
        <v>238.53042722281245</v>
      </c>
      <c r="AO246">
        <f t="shared" si="182"/>
        <v>0.40470523258168328</v>
      </c>
      <c r="AP246" s="121">
        <f t="shared" si="161"/>
        <v>2.400559860750008</v>
      </c>
      <c r="AQ246">
        <f t="shared" si="162"/>
        <v>0</v>
      </c>
      <c r="AR246">
        <v>0</v>
      </c>
      <c r="AS246">
        <f t="shared" si="143"/>
        <v>0</v>
      </c>
      <c r="AT246">
        <f t="shared" si="163"/>
        <v>0</v>
      </c>
      <c r="AU246">
        <f>IFERROR(HLOOKUP(B246,'Real assumptions'!$B$43:$AL$44,2,TRUE)*($W$3/$U$2),0)</f>
        <v>0</v>
      </c>
      <c r="AV246">
        <f>AV245*(1+'Real assumptions'!$B$35)^(1/12)</f>
        <v>1.2740988443493508</v>
      </c>
      <c r="AW246">
        <f t="shared" si="144"/>
        <v>2038</v>
      </c>
      <c r="AX246">
        <f t="shared" si="179"/>
        <v>236.10119162860227</v>
      </c>
      <c r="AY246">
        <f t="shared" si="180"/>
        <v>1.4860000342796325</v>
      </c>
      <c r="AZ246">
        <f t="shared" si="145"/>
        <v>610.08049235608848</v>
      </c>
      <c r="BA246">
        <f t="shared" si="164"/>
        <v>4.1238586649292044</v>
      </c>
      <c r="BB246">
        <f t="shared" si="165"/>
        <v>79.416666666666671</v>
      </c>
      <c r="BC246">
        <f t="shared" si="146"/>
        <v>47.650000000000006</v>
      </c>
      <c r="BD246">
        <f t="shared" si="166"/>
        <v>0</v>
      </c>
      <c r="BE246">
        <f t="shared" si="147"/>
        <v>24</v>
      </c>
      <c r="BF246">
        <f t="shared" si="181"/>
        <v>5000</v>
      </c>
      <c r="BU246"/>
      <c r="FD246"/>
      <c r="FE246"/>
    </row>
    <row r="247" spans="1:161" x14ac:dyDescent="0.25">
      <c r="A247" s="7">
        <f t="shared" si="167"/>
        <v>50617</v>
      </c>
      <c r="B247">
        <f t="shared" si="148"/>
        <v>236</v>
      </c>
      <c r="C247">
        <f t="shared" si="149"/>
        <v>19.583333333333332</v>
      </c>
      <c r="D247">
        <f t="shared" si="150"/>
        <v>0</v>
      </c>
      <c r="E247">
        <f t="shared" si="151"/>
        <v>71</v>
      </c>
      <c r="F247">
        <f>IF(C247&gt;=$T$2,0,VLOOKUP($E247,EKM_F05!$A$3:$C$128,2,TRUE))</f>
        <v>2.0249230769230769E-2</v>
      </c>
      <c r="G247">
        <f>F247*'Real assumptions'!$B$3</f>
        <v>8.4500040000000005E-3</v>
      </c>
      <c r="H247">
        <f t="shared" si="168"/>
        <v>7.0690899572001253E-4</v>
      </c>
      <c r="I247">
        <f t="shared" si="169"/>
        <v>2.4821312273083478E-4</v>
      </c>
      <c r="J247">
        <f>IF(B247&gt;$AJ$2,0,HLOOKUP(C247,'Real assumptions'!$B$5:$L$8,4,TRUE))</f>
        <v>3.7900000000000003E-2</v>
      </c>
      <c r="K247">
        <f t="shared" si="138"/>
        <v>1</v>
      </c>
      <c r="L247">
        <f t="shared" si="170"/>
        <v>8.3333333333333329E-2</v>
      </c>
      <c r="M247">
        <f t="shared" si="171"/>
        <v>3.2145624959929453E-3</v>
      </c>
      <c r="N247">
        <f t="shared" si="172"/>
        <v>1.1301293869894957E-3</v>
      </c>
      <c r="O247" s="8">
        <f t="shared" si="152"/>
        <v>0.35031149987188198</v>
      </c>
      <c r="P247">
        <f t="shared" si="153"/>
        <v>8.4405562171584556</v>
      </c>
      <c r="Q247">
        <f t="shared" si="173"/>
        <v>1.2410656136541738</v>
      </c>
      <c r="R247" s="89">
        <f t="shared" si="139"/>
        <v>5000</v>
      </c>
      <c r="S247">
        <f t="shared" si="140"/>
        <v>0.33333333333333215</v>
      </c>
      <c r="U247">
        <f>O246*AV246*'Real assumptions'!$B$33/12+AX247*'Real assumptions'!$B$34</f>
        <v>4.5458522378563337</v>
      </c>
      <c r="V247">
        <f>IF(P247=0,0,IF(E247&lt;=$C$7,$AN$5*O246,0))*'Real assumptions'!$D$28</f>
        <v>2.1101390542896139</v>
      </c>
      <c r="X247" s="94">
        <f t="shared" si="154"/>
        <v>0</v>
      </c>
      <c r="Y247">
        <f t="shared" si="141"/>
        <v>24</v>
      </c>
      <c r="Z247">
        <f t="shared" si="174"/>
        <v>79</v>
      </c>
      <c r="AA247">
        <f t="shared" si="142"/>
        <v>79.333333333333329</v>
      </c>
      <c r="AB247">
        <f t="shared" si="155"/>
        <v>50.505050505050505</v>
      </c>
      <c r="AC247">
        <f t="shared" si="175"/>
        <v>4006.7340067340065</v>
      </c>
      <c r="AD247">
        <f t="shared" si="156"/>
        <v>80.505050505050505</v>
      </c>
      <c r="AE247">
        <f t="shared" si="157"/>
        <v>319.33670033670029</v>
      </c>
      <c r="AF247" s="94">
        <f t="shared" si="158"/>
        <v>673.9292929292933</v>
      </c>
      <c r="AG247">
        <f t="shared" si="176"/>
        <v>0.7616272986924465</v>
      </c>
      <c r="AH247">
        <f t="shared" si="159"/>
        <v>236.08518141365764</v>
      </c>
      <c r="AI247">
        <f>HLOOKUP(AW247,'Real assumptions'!$A$21:$AK$24,2,TRUE)</f>
        <v>2.0550999999999999</v>
      </c>
      <c r="AJ247" s="123">
        <f t="shared" si="177"/>
        <v>1.6966608297885877E-3</v>
      </c>
      <c r="AK247" s="122">
        <f>(1+HLOOKUP(YEAR(A247),'Real assumptions'!$A$21:$AK$24,2,TRUE)/100)^(1/12)-1</f>
        <v>1.6966608297885877E-3</v>
      </c>
      <c r="AL247">
        <f t="shared" si="178"/>
        <v>4.5458522378563337</v>
      </c>
      <c r="AM247">
        <f>('Real assumptions'!$B$33/12)*O246*AV246</f>
        <v>4.4808762174780474</v>
      </c>
      <c r="AN247">
        <f t="shared" si="160"/>
        <v>239.60106545259774</v>
      </c>
      <c r="AO247">
        <f t="shared" si="182"/>
        <v>0.40652174252903417</v>
      </c>
      <c r="AP247" s="121">
        <f t="shared" si="161"/>
        <v>2.807081603279042</v>
      </c>
      <c r="AQ247">
        <f t="shared" si="162"/>
        <v>0</v>
      </c>
      <c r="AR247">
        <v>0</v>
      </c>
      <c r="AS247">
        <f t="shared" si="143"/>
        <v>0</v>
      </c>
      <c r="AT247">
        <f t="shared" si="163"/>
        <v>0</v>
      </c>
      <c r="AU247">
        <f>IFERROR(HLOOKUP(B247,'Real assumptions'!$B$43:$AL$44,2,TRUE)*($W$3/$U$2),0)</f>
        <v>0</v>
      </c>
      <c r="AV247">
        <f>AV246*(1+'Real assumptions'!$B$35)^(1/12)</f>
        <v>1.2754184871497174</v>
      </c>
      <c r="AW247">
        <f t="shared" si="144"/>
        <v>2038</v>
      </c>
      <c r="AX247">
        <f t="shared" si="179"/>
        <v>237.18653757759529</v>
      </c>
      <c r="AY247">
        <f t="shared" si="180"/>
        <v>1.4801761042996728</v>
      </c>
      <c r="AZ247">
        <f t="shared" si="145"/>
        <v>610.89746404315304</v>
      </c>
      <c r="BA247">
        <f t="shared" si="164"/>
        <v>4.1128319666362341</v>
      </c>
      <c r="BB247">
        <f t="shared" si="165"/>
        <v>79.333333333333329</v>
      </c>
      <c r="BC247">
        <f t="shared" si="146"/>
        <v>47.599999999999994</v>
      </c>
      <c r="BD247">
        <f t="shared" si="166"/>
        <v>0</v>
      </c>
      <c r="BE247">
        <f t="shared" si="147"/>
        <v>24</v>
      </c>
      <c r="BF247">
        <f t="shared" si="181"/>
        <v>5000</v>
      </c>
      <c r="BU247"/>
      <c r="FD247"/>
      <c r="FE247"/>
    </row>
    <row r="248" spans="1:161" x14ac:dyDescent="0.25">
      <c r="A248" s="7">
        <f t="shared" si="167"/>
        <v>50648</v>
      </c>
      <c r="B248">
        <f t="shared" si="148"/>
        <v>237</v>
      </c>
      <c r="C248">
        <f t="shared" si="149"/>
        <v>19.666666666666668</v>
      </c>
      <c r="D248">
        <f t="shared" si="150"/>
        <v>0</v>
      </c>
      <c r="E248">
        <f t="shared" si="151"/>
        <v>71</v>
      </c>
      <c r="F248">
        <f>IF(C248&gt;=$T$2,0,VLOOKUP($E248,EKM_F05!$A$3:$C$128,2,TRUE))</f>
        <v>2.0249230769230769E-2</v>
      </c>
      <c r="G248">
        <f>F248*'Real assumptions'!$B$3</f>
        <v>8.4500040000000005E-3</v>
      </c>
      <c r="H248">
        <f t="shared" si="168"/>
        <v>7.0690899572001253E-4</v>
      </c>
      <c r="I248">
        <f t="shared" si="169"/>
        <v>2.4724032608645772E-4</v>
      </c>
      <c r="J248">
        <f>IF(B248&gt;$AJ$2,0,HLOOKUP(C248,'Real assumptions'!$B$5:$L$8,4,TRUE))</f>
        <v>3.7900000000000003E-2</v>
      </c>
      <c r="K248">
        <f t="shared" si="138"/>
        <v>1</v>
      </c>
      <c r="L248">
        <f t="shared" si="170"/>
        <v>8.3333333333333329E-2</v>
      </c>
      <c r="M248">
        <f t="shared" si="171"/>
        <v>3.2145624959929453E-3</v>
      </c>
      <c r="N248">
        <f t="shared" si="172"/>
        <v>1.1257001849260435E-3</v>
      </c>
      <c r="O248" s="8">
        <f t="shared" si="152"/>
        <v>0.34893855936086948</v>
      </c>
      <c r="P248">
        <f t="shared" si="153"/>
        <v>8.407475996925168</v>
      </c>
      <c r="Q248">
        <f t="shared" si="173"/>
        <v>1.2362016304322887</v>
      </c>
      <c r="R248" s="89">
        <f t="shared" si="139"/>
        <v>5000</v>
      </c>
      <c r="S248">
        <f t="shared" si="140"/>
        <v>0.25</v>
      </c>
      <c r="U248">
        <f>O247*AV247*'Real assumptions'!$B$33/12+AX248*'Real assumptions'!$B$34</f>
        <v>4.5332090282598809</v>
      </c>
      <c r="V248">
        <f>IF(P248=0,0,IF(E248&lt;=$C$7,$AN$5*O247,0))*'Real assumptions'!$D$28</f>
        <v>2.101868999231292</v>
      </c>
      <c r="X248" s="94">
        <f t="shared" si="154"/>
        <v>0</v>
      </c>
      <c r="Y248">
        <f t="shared" si="141"/>
        <v>24</v>
      </c>
      <c r="Z248">
        <f t="shared" si="174"/>
        <v>79</v>
      </c>
      <c r="AA248">
        <f t="shared" si="142"/>
        <v>79.25</v>
      </c>
      <c r="AB248">
        <f t="shared" si="155"/>
        <v>50.505050505050505</v>
      </c>
      <c r="AC248">
        <f t="shared" si="175"/>
        <v>4002.5252525252527</v>
      </c>
      <c r="AD248">
        <f t="shared" si="156"/>
        <v>80.505050505050505</v>
      </c>
      <c r="AE248">
        <f t="shared" si="157"/>
        <v>319.00126262626259</v>
      </c>
      <c r="AF248" s="94">
        <f t="shared" si="158"/>
        <v>678.47348484848476</v>
      </c>
      <c r="AG248">
        <f t="shared" si="176"/>
        <v>0.7637577273613565</v>
      </c>
      <c r="AH248">
        <f t="shared" si="159"/>
        <v>236.74556036757897</v>
      </c>
      <c r="AI248">
        <f>HLOOKUP(AW248,'Real assumptions'!$A$21:$AK$24,2,TRUE)</f>
        <v>2.0550999999999999</v>
      </c>
      <c r="AJ248" s="123">
        <f t="shared" si="177"/>
        <v>1.6966608297885877E-3</v>
      </c>
      <c r="AK248" s="122">
        <f>(1+HLOOKUP(YEAR(A248),'Real assumptions'!$A$21:$AK$24,2,TRUE)/100)^(1/12)-1</f>
        <v>1.6966608297885877E-3</v>
      </c>
      <c r="AL248">
        <f t="shared" si="178"/>
        <v>4.5332090282598809</v>
      </c>
      <c r="AM248">
        <f>('Real assumptions'!$B$33/12)*O247*AV247</f>
        <v>4.4679376319774411</v>
      </c>
      <c r="AN248">
        <f t="shared" si="160"/>
        <v>240.66466098637068</v>
      </c>
      <c r="AO248">
        <f t="shared" si="182"/>
        <v>0.40832630340992482</v>
      </c>
      <c r="AP248" s="121">
        <f t="shared" si="161"/>
        <v>3.2154079066889669</v>
      </c>
      <c r="AQ248">
        <f t="shared" si="162"/>
        <v>0</v>
      </c>
      <c r="AR248">
        <v>0</v>
      </c>
      <c r="AS248">
        <f t="shared" si="143"/>
        <v>0</v>
      </c>
      <c r="AT248">
        <f t="shared" si="163"/>
        <v>0</v>
      </c>
      <c r="AU248">
        <f>IFERROR(HLOOKUP(B248,'Real assumptions'!$B$43:$AL$44,2,TRUE)*($W$3/$U$2),0)</f>
        <v>0</v>
      </c>
      <c r="AV248">
        <f>AV247*(1+'Real assumptions'!$B$35)^(1/12)</f>
        <v>1.2767394967648553</v>
      </c>
      <c r="AW248">
        <f t="shared" si="144"/>
        <v>2038</v>
      </c>
      <c r="AX248">
        <f t="shared" si="179"/>
        <v>238.26476901716617</v>
      </c>
      <c r="AY248">
        <f t="shared" si="180"/>
        <v>1.4743749994607827</v>
      </c>
      <c r="AZ248">
        <f t="shared" si="145"/>
        <v>611.70638845305257</v>
      </c>
      <c r="BA248">
        <f t="shared" si="164"/>
        <v>4.101828357024937</v>
      </c>
      <c r="BB248">
        <f t="shared" si="165"/>
        <v>79.25</v>
      </c>
      <c r="BC248">
        <f t="shared" si="146"/>
        <v>47.55</v>
      </c>
      <c r="BD248">
        <f t="shared" si="166"/>
        <v>0</v>
      </c>
      <c r="BE248">
        <f t="shared" si="147"/>
        <v>24</v>
      </c>
      <c r="BF248">
        <f t="shared" si="181"/>
        <v>5000</v>
      </c>
      <c r="BU248"/>
      <c r="FD248"/>
      <c r="FE248"/>
    </row>
    <row r="249" spans="1:161" x14ac:dyDescent="0.25">
      <c r="A249" s="7">
        <f t="shared" si="167"/>
        <v>50678</v>
      </c>
      <c r="B249">
        <f t="shared" si="148"/>
        <v>238</v>
      </c>
      <c r="C249">
        <f t="shared" si="149"/>
        <v>19.75</v>
      </c>
      <c r="D249">
        <f t="shared" si="150"/>
        <v>0</v>
      </c>
      <c r="E249">
        <f t="shared" si="151"/>
        <v>71</v>
      </c>
      <c r="F249">
        <f>IF(C249&gt;=$T$2,0,VLOOKUP($E249,EKM_F05!$A$3:$C$128,2,TRUE))</f>
        <v>2.0249230769230769E-2</v>
      </c>
      <c r="G249">
        <f>F249*'Real assumptions'!$B$3</f>
        <v>8.4500040000000005E-3</v>
      </c>
      <c r="H249">
        <f t="shared" si="168"/>
        <v>7.0690899572001253E-4</v>
      </c>
      <c r="I249">
        <f t="shared" si="169"/>
        <v>2.4627134202580259E-4</v>
      </c>
      <c r="J249">
        <f>IF(B249&gt;$AJ$2,0,HLOOKUP(C249,'Real assumptions'!$B$5:$L$8,4,TRUE))</f>
        <v>3.7900000000000003E-2</v>
      </c>
      <c r="K249">
        <f t="shared" si="138"/>
        <v>1</v>
      </c>
      <c r="L249">
        <f t="shared" si="170"/>
        <v>8.3333333333333329E-2</v>
      </c>
      <c r="M249">
        <f t="shared" si="171"/>
        <v>3.2145624959929453E-3</v>
      </c>
      <c r="N249">
        <f t="shared" si="172"/>
        <v>1.1212883417872814E-3</v>
      </c>
      <c r="O249" s="8">
        <f t="shared" si="152"/>
        <v>0.3475709996770564</v>
      </c>
      <c r="P249">
        <f t="shared" si="153"/>
        <v>8.3745254246608667</v>
      </c>
      <c r="Q249">
        <f t="shared" si="173"/>
        <v>1.231356710129013</v>
      </c>
      <c r="R249" s="89">
        <f t="shared" si="139"/>
        <v>5000</v>
      </c>
      <c r="S249">
        <f t="shared" si="140"/>
        <v>0.16666666666666785</v>
      </c>
      <c r="U249">
        <f>O248*AV248*'Real assumptions'!$B$33/12+AX249*'Real assumptions'!$B$34</f>
        <v>4.5206012430462534</v>
      </c>
      <c r="V249">
        <f>IF(P249=0,0,IF(E249&lt;=$C$7,$AN$5*O248,0))*'Real assumptions'!$D$28</f>
        <v>2.0936313561652167</v>
      </c>
      <c r="X249" s="94">
        <f t="shared" si="154"/>
        <v>0</v>
      </c>
      <c r="Y249">
        <f t="shared" si="141"/>
        <v>24</v>
      </c>
      <c r="Z249">
        <f t="shared" si="174"/>
        <v>79</v>
      </c>
      <c r="AA249">
        <f t="shared" si="142"/>
        <v>79.166666666666671</v>
      </c>
      <c r="AB249">
        <f t="shared" si="155"/>
        <v>50.505050505050505</v>
      </c>
      <c r="AC249">
        <f t="shared" si="175"/>
        <v>3998.3164983164984</v>
      </c>
      <c r="AD249">
        <f t="shared" si="156"/>
        <v>80.505050505050505</v>
      </c>
      <c r="AE249">
        <f t="shared" si="157"/>
        <v>318.66582491582494</v>
      </c>
      <c r="AF249" s="94">
        <f t="shared" si="158"/>
        <v>683.01767676767668</v>
      </c>
      <c r="AG249">
        <f t="shared" si="176"/>
        <v>0.76585975819422958</v>
      </c>
      <c r="AH249">
        <f t="shared" si="159"/>
        <v>237.39713671124196</v>
      </c>
      <c r="AI249">
        <f>HLOOKUP(AW249,'Real assumptions'!$A$21:$AK$24,2,TRUE)</f>
        <v>2.0550999999999999</v>
      </c>
      <c r="AJ249" s="123">
        <f t="shared" si="177"/>
        <v>1.6966608297885877E-3</v>
      </c>
      <c r="AK249" s="122">
        <f>(1+HLOOKUP(YEAR(A249),'Real assumptions'!$A$21:$AK$24,2,TRUE)/100)^(1/12)-1</f>
        <v>1.6966608297885877E-3</v>
      </c>
      <c r="AL249">
        <f t="shared" si="178"/>
        <v>4.5206012430462534</v>
      </c>
      <c r="AM249">
        <f>('Real assumptions'!$B$33/12)*O248*AV248</f>
        <v>4.4550364068025017</v>
      </c>
      <c r="AN249">
        <f t="shared" si="160"/>
        <v>241.72126109971734</v>
      </c>
      <c r="AO249">
        <f t="shared" si="182"/>
        <v>0.41011899543499025</v>
      </c>
      <c r="AP249" s="121">
        <f t="shared" si="161"/>
        <v>3.6255269021239571</v>
      </c>
      <c r="AQ249">
        <f t="shared" si="162"/>
        <v>0</v>
      </c>
      <c r="AR249">
        <v>0</v>
      </c>
      <c r="AS249">
        <f t="shared" si="143"/>
        <v>0</v>
      </c>
      <c r="AT249">
        <f t="shared" si="163"/>
        <v>0</v>
      </c>
      <c r="AU249">
        <f>IFERROR(HLOOKUP(B249,'Real assumptions'!$B$43:$AL$44,2,TRUE)*($W$3/$U$2),0)</f>
        <v>0</v>
      </c>
      <c r="AV249">
        <f>AV248*(1+'Real assumptions'!$B$35)^(1/12)</f>
        <v>1.2780618746104375</v>
      </c>
      <c r="AW249">
        <f t="shared" si="144"/>
        <v>2038</v>
      </c>
      <c r="AX249">
        <f t="shared" si="179"/>
        <v>239.3359335484094</v>
      </c>
      <c r="AY249">
        <f t="shared" si="180"/>
        <v>1.4685966303066897</v>
      </c>
      <c r="AZ249">
        <f t="shared" si="145"/>
        <v>612.50732307879844</v>
      </c>
      <c r="BA249">
        <f t="shared" si="164"/>
        <v>4.090847824488459</v>
      </c>
      <c r="BB249">
        <f t="shared" si="165"/>
        <v>79.166666666666671</v>
      </c>
      <c r="BC249">
        <f t="shared" si="146"/>
        <v>47.5</v>
      </c>
      <c r="BD249">
        <f t="shared" si="166"/>
        <v>0</v>
      </c>
      <c r="BE249">
        <f t="shared" si="147"/>
        <v>24</v>
      </c>
      <c r="BF249">
        <f t="shared" si="181"/>
        <v>5000</v>
      </c>
      <c r="BU249"/>
      <c r="FD249"/>
      <c r="FE249"/>
    </row>
    <row r="250" spans="1:161" x14ac:dyDescent="0.25">
      <c r="A250" s="7">
        <f t="shared" si="167"/>
        <v>50709</v>
      </c>
      <c r="B250">
        <f t="shared" si="148"/>
        <v>239</v>
      </c>
      <c r="C250">
        <f t="shared" si="149"/>
        <v>19.833333333333332</v>
      </c>
      <c r="D250">
        <f t="shared" si="150"/>
        <v>0</v>
      </c>
      <c r="E250">
        <f t="shared" si="151"/>
        <v>71</v>
      </c>
      <c r="F250">
        <f>IF(C250&gt;=$T$2,0,VLOOKUP($E250,EKM_F05!$A$3:$C$128,2,TRUE))</f>
        <v>2.0249230769230769E-2</v>
      </c>
      <c r="G250">
        <f>F250*'Real assumptions'!$B$3</f>
        <v>8.4500040000000005E-3</v>
      </c>
      <c r="H250">
        <f t="shared" si="168"/>
        <v>7.0690899572001253E-4</v>
      </c>
      <c r="I250">
        <f t="shared" si="169"/>
        <v>2.4530615560659487E-4</v>
      </c>
      <c r="J250">
        <f>IF(B250&gt;$AJ$2,0,HLOOKUP(C250,'Real assumptions'!$B$5:$L$8,4,TRUE))</f>
        <v>3.7900000000000003E-2</v>
      </c>
      <c r="K250">
        <f t="shared" si="138"/>
        <v>1</v>
      </c>
      <c r="L250">
        <f t="shared" si="170"/>
        <v>8.3333333333333329E-2</v>
      </c>
      <c r="M250">
        <f t="shared" si="171"/>
        <v>3.2145624959929453E-3</v>
      </c>
      <c r="N250">
        <f t="shared" si="172"/>
        <v>1.1168937895401278E-3</v>
      </c>
      <c r="O250" s="8">
        <f t="shared" si="152"/>
        <v>0.34620879973190971</v>
      </c>
      <c r="P250">
        <f t="shared" si="153"/>
        <v>8.3417039922493537</v>
      </c>
      <c r="Q250">
        <f t="shared" si="173"/>
        <v>1.2265307780329744</v>
      </c>
      <c r="R250" s="89">
        <f t="shared" si="139"/>
        <v>5000</v>
      </c>
      <c r="S250">
        <f t="shared" si="140"/>
        <v>8.3333333333332149E-2</v>
      </c>
      <c r="U250">
        <f>O249*AV249*'Real assumptions'!$B$33/12+AX250*'Real assumptions'!$B$34</f>
        <v>4.5080287873088025</v>
      </c>
      <c r="V250">
        <f>IF(P250=0,0,IF(E250&lt;=$C$7,$AN$5*O249,0))*'Real assumptions'!$D$28</f>
        <v>2.0854259980623384</v>
      </c>
      <c r="X250" s="94">
        <f t="shared" si="154"/>
        <v>0</v>
      </c>
      <c r="Y250">
        <f t="shared" si="141"/>
        <v>24</v>
      </c>
      <c r="Z250">
        <f t="shared" si="174"/>
        <v>79</v>
      </c>
      <c r="AA250">
        <f t="shared" si="142"/>
        <v>79.083333333333329</v>
      </c>
      <c r="AB250">
        <f t="shared" si="155"/>
        <v>50.505050505050505</v>
      </c>
      <c r="AC250">
        <f t="shared" si="175"/>
        <v>3994.1077441077437</v>
      </c>
      <c r="AD250">
        <f t="shared" si="156"/>
        <v>80.505050505050505</v>
      </c>
      <c r="AE250">
        <f t="shared" si="157"/>
        <v>318.33038720538718</v>
      </c>
      <c r="AF250" s="94">
        <f t="shared" si="158"/>
        <v>687.56186868686916</v>
      </c>
      <c r="AG250">
        <f t="shared" si="176"/>
        <v>0.76793358106096909</v>
      </c>
      <c r="AH250">
        <f t="shared" si="159"/>
        <v>238.03996929950989</v>
      </c>
      <c r="AI250">
        <f>HLOOKUP(AW250,'Real assumptions'!$A$21:$AK$24,2,TRUE)</f>
        <v>2.0550999999999999</v>
      </c>
      <c r="AJ250" s="123">
        <f t="shared" si="177"/>
        <v>1.6966608297885877E-3</v>
      </c>
      <c r="AK250" s="122">
        <f>(1+HLOOKUP(YEAR(A250),'Real assumptions'!$A$21:$AK$24,2,TRUE)/100)^(1/12)-1</f>
        <v>1.6966608297885877E-3</v>
      </c>
      <c r="AL250">
        <f t="shared" si="178"/>
        <v>4.5080287873088025</v>
      </c>
      <c r="AM250">
        <f>('Real assumptions'!$B$33/12)*O249*AV249</f>
        <v>4.4421724340748252</v>
      </c>
      <c r="AN250">
        <f t="shared" si="160"/>
        <v>242.77091282024412</v>
      </c>
      <c r="AO250">
        <f t="shared" si="182"/>
        <v>0.41189989839412827</v>
      </c>
      <c r="AP250" s="121">
        <f t="shared" si="161"/>
        <v>4.0374268005180856</v>
      </c>
      <c r="AQ250">
        <f t="shared" si="162"/>
        <v>0</v>
      </c>
      <c r="AR250">
        <v>0</v>
      </c>
      <c r="AS250">
        <f t="shared" si="143"/>
        <v>0</v>
      </c>
      <c r="AT250">
        <f t="shared" si="163"/>
        <v>0</v>
      </c>
      <c r="AU250">
        <f>IFERROR(HLOOKUP(B250,'Real assumptions'!$B$43:$AL$44,2,TRUE)*($W$3/$U$2),0)</f>
        <v>0</v>
      </c>
      <c r="AV250">
        <f>AV249*(1+'Real assumptions'!$B$35)^(1/12)</f>
        <v>1.2793856221036033</v>
      </c>
      <c r="AW250">
        <f t="shared" si="144"/>
        <v>2038</v>
      </c>
      <c r="AX250">
        <f t="shared" si="179"/>
        <v>240.40007852303532</v>
      </c>
      <c r="AY250">
        <f t="shared" si="180"/>
        <v>1.4628409077317188</v>
      </c>
      <c r="AZ250">
        <f t="shared" si="145"/>
        <v>613.30032510960916</v>
      </c>
      <c r="BA250">
        <f t="shared" si="164"/>
        <v>4.0798903571562821</v>
      </c>
      <c r="BB250">
        <f t="shared" si="165"/>
        <v>79.083333333333329</v>
      </c>
      <c r="BC250">
        <f t="shared" si="146"/>
        <v>47.449999999999996</v>
      </c>
      <c r="BD250">
        <f t="shared" si="166"/>
        <v>0</v>
      </c>
      <c r="BE250">
        <f t="shared" si="147"/>
        <v>24</v>
      </c>
      <c r="BF250">
        <f t="shared" si="181"/>
        <v>5000</v>
      </c>
      <c r="BU250"/>
      <c r="FD250"/>
      <c r="FE250"/>
    </row>
    <row r="251" spans="1:161" x14ac:dyDescent="0.25">
      <c r="A251" s="7">
        <f t="shared" si="167"/>
        <v>50739</v>
      </c>
      <c r="B251">
        <f t="shared" si="148"/>
        <v>240</v>
      </c>
      <c r="C251">
        <f t="shared" si="149"/>
        <v>19.916666666666668</v>
      </c>
      <c r="D251">
        <f t="shared" si="150"/>
        <v>0</v>
      </c>
      <c r="E251">
        <f t="shared" si="151"/>
        <v>71</v>
      </c>
      <c r="F251">
        <f>IF(C251&gt;=$T$2,0,VLOOKUP($E251,EKM_F05!$A$3:$C$128,2,TRUE))</f>
        <v>2.0249230769230769E-2</v>
      </c>
      <c r="G251">
        <f>F251*'Real assumptions'!$B$3</f>
        <v>8.4500040000000005E-3</v>
      </c>
      <c r="H251">
        <f t="shared" si="168"/>
        <v>7.0690899572001253E-4</v>
      </c>
      <c r="I251">
        <f t="shared" si="169"/>
        <v>2.4434475194512164E-4</v>
      </c>
      <c r="J251">
        <f>IF(B251&gt;$AJ$2,0,HLOOKUP(C251,'Real assumptions'!$B$5:$L$8,4,TRUE))</f>
        <v>3.7900000000000003E-2</v>
      </c>
      <c r="K251">
        <f t="shared" si="138"/>
        <v>1</v>
      </c>
      <c r="L251">
        <f t="shared" si="170"/>
        <v>8.3333333333333329E-2</v>
      </c>
      <c r="M251">
        <f t="shared" si="171"/>
        <v>3.2145624959929453E-3</v>
      </c>
      <c r="N251">
        <f t="shared" si="172"/>
        <v>1.1125164604181357E-3</v>
      </c>
      <c r="O251" s="8">
        <f t="shared" si="152"/>
        <v>0.34485193851954643</v>
      </c>
      <c r="P251">
        <f t="shared" si="153"/>
        <v>8.3090111935658335</v>
      </c>
      <c r="Q251">
        <f t="shared" si="173"/>
        <v>1.2217237597256081</v>
      </c>
      <c r="R251" s="89">
        <f t="shared" si="139"/>
        <v>5000</v>
      </c>
      <c r="S251">
        <f t="shared" si="140"/>
        <v>1</v>
      </c>
      <c r="U251">
        <f>O250*AV250*'Real assumptions'!$B$33/12+AX251*'Real assumptions'!$B$34</f>
        <v>4.4954915663844082</v>
      </c>
      <c r="V251">
        <f>IF(P251=0,0,IF(E251&lt;=$C$7,$AN$5*O250,0))*'Real assumptions'!$D$28</f>
        <v>2.0772527983914584</v>
      </c>
      <c r="X251" s="94">
        <f t="shared" si="154"/>
        <v>0</v>
      </c>
      <c r="Y251">
        <f t="shared" si="141"/>
        <v>24</v>
      </c>
      <c r="Z251">
        <f t="shared" si="174"/>
        <v>79</v>
      </c>
      <c r="AA251">
        <f t="shared" si="142"/>
        <v>79</v>
      </c>
      <c r="AB251">
        <f t="shared" si="155"/>
        <v>50.505050505050505</v>
      </c>
      <c r="AC251">
        <f t="shared" si="175"/>
        <v>3989.8989898989898</v>
      </c>
      <c r="AD251">
        <f t="shared" si="156"/>
        <v>80.505050505050505</v>
      </c>
      <c r="AE251">
        <f t="shared" si="157"/>
        <v>317.99494949494948</v>
      </c>
      <c r="AF251" s="94">
        <f t="shared" si="158"/>
        <v>692.10606060606074</v>
      </c>
      <c r="AG251">
        <f t="shared" si="176"/>
        <v>0.76997938477939443</v>
      </c>
      <c r="AH251">
        <f t="shared" si="159"/>
        <v>238.67411666112673</v>
      </c>
      <c r="AI251">
        <f>HLOOKUP(AW251,'Real assumptions'!$A$21:$AK$24,2,TRUE)</f>
        <v>2.0550999999999999</v>
      </c>
      <c r="AJ251" s="123">
        <f t="shared" si="177"/>
        <v>1.6966608297885877E-3</v>
      </c>
      <c r="AK251" s="122">
        <f>(1+HLOOKUP(YEAR(A251),'Real assumptions'!$A$21:$AK$24,2,TRUE)/100)^(1/12)-1</f>
        <v>1.6966608297885877E-3</v>
      </c>
      <c r="AL251">
        <f t="shared" si="178"/>
        <v>4.4954915663844082</v>
      </c>
      <c r="AM251">
        <f>('Real assumptions'!$B$33/12)*O250*AV250</f>
        <v>4.4293456062275114</v>
      </c>
      <c r="AN251">
        <f t="shared" si="160"/>
        <v>243.81366292881793</v>
      </c>
      <c r="AO251">
        <f t="shared" si="182"/>
        <v>0.41366909165860327</v>
      </c>
      <c r="AP251" s="121">
        <f t="shared" si="161"/>
        <v>4.4510958921766886</v>
      </c>
      <c r="AQ251">
        <f t="shared" si="162"/>
        <v>0</v>
      </c>
      <c r="AR251">
        <v>0</v>
      </c>
      <c r="AS251">
        <f t="shared" si="143"/>
        <v>0</v>
      </c>
      <c r="AT251">
        <f t="shared" si="163"/>
        <v>0</v>
      </c>
      <c r="AU251">
        <f>IFERROR(HLOOKUP(B251,'Real assumptions'!$B$43:$AL$44,2,TRUE)*($W$3/$U$2),0)</f>
        <v>0</v>
      </c>
      <c r="AV251">
        <f>AV250*(1+'Real assumptions'!$B$35)^(1/12)</f>
        <v>1.2807107406629594</v>
      </c>
      <c r="AW251">
        <f t="shared" si="144"/>
        <v>2038</v>
      </c>
      <c r="AX251">
        <f t="shared" si="179"/>
        <v>241.45725104461593</v>
      </c>
      <c r="AY251">
        <f t="shared" si="180"/>
        <v>1.4571077429794179</v>
      </c>
      <c r="AZ251">
        <f t="shared" si="145"/>
        <v>614.08545143240428</v>
      </c>
      <c r="BA251">
        <f t="shared" si="164"/>
        <v>4.0689559428964603</v>
      </c>
      <c r="BB251">
        <f t="shared" si="165"/>
        <v>79</v>
      </c>
      <c r="BC251">
        <f t="shared" si="146"/>
        <v>47.4</v>
      </c>
      <c r="BD251">
        <f t="shared" si="166"/>
        <v>0</v>
      </c>
      <c r="BE251">
        <f t="shared" si="147"/>
        <v>24</v>
      </c>
      <c r="BF251">
        <f t="shared" si="181"/>
        <v>5000</v>
      </c>
      <c r="BU251"/>
      <c r="FD251"/>
      <c r="FE251"/>
    </row>
    <row r="252" spans="1:161" x14ac:dyDescent="0.25">
      <c r="A252" s="7">
        <f t="shared" si="167"/>
        <v>50770</v>
      </c>
      <c r="B252">
        <f t="shared" si="148"/>
        <v>241</v>
      </c>
      <c r="C252">
        <f t="shared" si="149"/>
        <v>20</v>
      </c>
      <c r="D252">
        <f t="shared" si="150"/>
        <v>1</v>
      </c>
      <c r="E252">
        <f t="shared" si="151"/>
        <v>72</v>
      </c>
      <c r="F252">
        <f>IF(C252&gt;=$T$2,0,VLOOKUP($E252,EKM_F05!$A$3:$C$128,2,TRUE))</f>
        <v>2.2985641025641022E-2</v>
      </c>
      <c r="G252">
        <f>F252*'Real assumptions'!$B$3</f>
        <v>9.5919079999999979E-3</v>
      </c>
      <c r="H252">
        <f t="shared" si="168"/>
        <v>8.0286142157670604E-4</v>
      </c>
      <c r="I252">
        <f t="shared" si="169"/>
        <v>2.7642331233825382E-4</v>
      </c>
      <c r="J252">
        <f>IF(B252&gt;$AJ$2,0,HLOOKUP(C252,'Real assumptions'!$B$5:$L$8,4,TRUE))</f>
        <v>3.7900000000000003E-2</v>
      </c>
      <c r="K252">
        <f t="shared" si="138"/>
        <v>1</v>
      </c>
      <c r="L252">
        <f t="shared" si="170"/>
        <v>8.3333333333333329E-2</v>
      </c>
      <c r="M252">
        <f t="shared" si="171"/>
        <v>3.2145624959929453E-3</v>
      </c>
      <c r="N252">
        <f t="shared" si="172"/>
        <v>1.1081031029803669E-3</v>
      </c>
      <c r="O252" s="8">
        <f t="shared" si="152"/>
        <v>0.34346741210422782</v>
      </c>
      <c r="P252">
        <f t="shared" si="153"/>
        <v>8.2764465244691152</v>
      </c>
      <c r="Q252">
        <f t="shared" si="173"/>
        <v>1.3821165616912692</v>
      </c>
      <c r="R252" s="89">
        <f t="shared" si="139"/>
        <v>5000</v>
      </c>
      <c r="S252">
        <f t="shared" si="140"/>
        <v>0.91666666666666785</v>
      </c>
      <c r="U252">
        <f>O251*AV251*'Real assumptions'!$B$33/12+AX252*'Real assumptions'!$B$34</f>
        <v>4.482989485852908</v>
      </c>
      <c r="V252">
        <f>IF(P252=0,0,IF(E252&lt;=$C$7,$AN$5*O251,0))*'Real assumptions'!$D$28</f>
        <v>2.0691116311172788</v>
      </c>
      <c r="X252" s="94">
        <f t="shared" si="154"/>
        <v>0</v>
      </c>
      <c r="Y252">
        <f t="shared" si="141"/>
        <v>24</v>
      </c>
      <c r="Z252">
        <f t="shared" si="174"/>
        <v>79</v>
      </c>
      <c r="AA252">
        <f t="shared" si="142"/>
        <v>78.916666666666671</v>
      </c>
      <c r="AB252">
        <f t="shared" si="155"/>
        <v>50.505050505050505</v>
      </c>
      <c r="AC252">
        <f t="shared" si="175"/>
        <v>3985.690235690236</v>
      </c>
      <c r="AD252">
        <f t="shared" si="156"/>
        <v>80.505050505050505</v>
      </c>
      <c r="AE252">
        <f t="shared" si="157"/>
        <v>317.65951178451178</v>
      </c>
      <c r="AF252" s="94">
        <f t="shared" si="158"/>
        <v>696.6502525252522</v>
      </c>
      <c r="AG252">
        <f t="shared" si="176"/>
        <v>0.77196030651528813</v>
      </c>
      <c r="AH252">
        <f t="shared" si="159"/>
        <v>239.27665937660518</v>
      </c>
      <c r="AI252">
        <f>HLOOKUP(AW252,'Real assumptions'!$A$21:$AK$24,2,TRUE)</f>
        <v>2.0550999999999999</v>
      </c>
      <c r="AJ252" s="123">
        <f t="shared" si="177"/>
        <v>1.6966608297885877E-3</v>
      </c>
      <c r="AK252" s="122">
        <f>(1+HLOOKUP(YEAR(A252),'Real assumptions'!$A$21:$AK$24,2,TRUE)/100)^(1/12)-1</f>
        <v>1.6966608297885877E-3</v>
      </c>
      <c r="AL252">
        <f t="shared" si="178"/>
        <v>4.482989485852908</v>
      </c>
      <c r="AM252">
        <f>('Real assumptions'!$B$33/12)*O251*AV251</f>
        <v>4.416555816004256</v>
      </c>
      <c r="AN252">
        <f t="shared" si="160"/>
        <v>244.84955796080237</v>
      </c>
      <c r="AO252">
        <f t="shared" si="182"/>
        <v>0.41542665418314384</v>
      </c>
      <c r="AP252" s="121">
        <f t="shared" si="161"/>
        <v>0</v>
      </c>
      <c r="AQ252">
        <f t="shared" si="162"/>
        <v>0</v>
      </c>
      <c r="AR252">
        <v>0</v>
      </c>
      <c r="AS252">
        <f t="shared" si="143"/>
        <v>0</v>
      </c>
      <c r="AT252">
        <f t="shared" si="163"/>
        <v>0</v>
      </c>
      <c r="AU252">
        <f>IFERROR(HLOOKUP(B252,'Real assumptions'!$B$43:$AL$44,2,TRUE)*($W$3/$U$2),0)</f>
        <v>0</v>
      </c>
      <c r="AV252">
        <f>AV251*(1+'Real assumptions'!$B$35)^(1/12)</f>
        <v>1.2820372317085824</v>
      </c>
      <c r="AW252">
        <f t="shared" si="144"/>
        <v>2038</v>
      </c>
      <c r="AX252">
        <f t="shared" si="179"/>
        <v>242.50749796982734</v>
      </c>
      <c r="AY252">
        <f t="shared" si="180"/>
        <v>1.4513970476411886</v>
      </c>
      <c r="AZ252">
        <f t="shared" si="145"/>
        <v>614.69761470328501</v>
      </c>
      <c r="BA252">
        <f t="shared" si="164"/>
        <v>4.223188499323836</v>
      </c>
      <c r="BB252">
        <f t="shared" si="165"/>
        <v>78.916666666666671</v>
      </c>
      <c r="BC252">
        <f t="shared" si="146"/>
        <v>47.35</v>
      </c>
      <c r="BD252">
        <f t="shared" si="166"/>
        <v>0</v>
      </c>
      <c r="BE252">
        <f t="shared" si="147"/>
        <v>24</v>
      </c>
      <c r="BF252">
        <f t="shared" si="181"/>
        <v>5000</v>
      </c>
      <c r="BU252"/>
      <c r="FD252"/>
      <c r="FE252"/>
    </row>
    <row r="253" spans="1:161" x14ac:dyDescent="0.25">
      <c r="A253" s="7">
        <f t="shared" si="167"/>
        <v>50801</v>
      </c>
      <c r="B253">
        <f t="shared" si="148"/>
        <v>242</v>
      </c>
      <c r="C253">
        <f t="shared" si="149"/>
        <v>20.083333333333332</v>
      </c>
      <c r="D253">
        <f t="shared" si="150"/>
        <v>0</v>
      </c>
      <c r="E253">
        <f t="shared" si="151"/>
        <v>72</v>
      </c>
      <c r="F253">
        <f>IF(C253&gt;=$T$2,0,VLOOKUP($E253,EKM_F05!$A$3:$C$128,2,TRUE))</f>
        <v>2.2985641025641022E-2</v>
      </c>
      <c r="G253">
        <f>F253*'Real assumptions'!$B$3</f>
        <v>9.5919079999999979E-3</v>
      </c>
      <c r="H253">
        <f t="shared" si="168"/>
        <v>8.0286142157670604E-4</v>
      </c>
      <c r="I253">
        <f t="shared" si="169"/>
        <v>2.7531351611850466E-4</v>
      </c>
      <c r="J253">
        <f>IF(B253&gt;$AJ$2,0,HLOOKUP(C253,'Real assumptions'!$B$5:$L$8,4,TRUE))</f>
        <v>3.7900000000000003E-2</v>
      </c>
      <c r="K253">
        <f t="shared" si="138"/>
        <v>1</v>
      </c>
      <c r="L253">
        <f t="shared" si="170"/>
        <v>8.3333333333333329E-2</v>
      </c>
      <c r="M253">
        <f t="shared" si="171"/>
        <v>3.2145624959929453E-3</v>
      </c>
      <c r="N253">
        <f t="shared" si="172"/>
        <v>1.1036542429172362E-3</v>
      </c>
      <c r="O253" s="8">
        <f t="shared" si="152"/>
        <v>0.34208844434519209</v>
      </c>
      <c r="P253">
        <f t="shared" si="153"/>
        <v>8.2432178905014677</v>
      </c>
      <c r="Q253">
        <f t="shared" si="173"/>
        <v>1.3765675805925233</v>
      </c>
      <c r="R253" s="89">
        <f t="shared" si="139"/>
        <v>5000</v>
      </c>
      <c r="S253">
        <f t="shared" si="140"/>
        <v>0.83333333333333215</v>
      </c>
      <c r="U253">
        <f>O252*AV252*'Real assumptions'!$B$33/12+AX253*'Real assumptions'!$B$34</f>
        <v>4.4687601600422084</v>
      </c>
      <c r="V253">
        <f>IF(P253=0,0,IF(E253&lt;=$C$7,$AN$5*O252,0))*'Real assumptions'!$D$28</f>
        <v>2.0608044726253669</v>
      </c>
      <c r="X253" s="94">
        <f t="shared" si="154"/>
        <v>0</v>
      </c>
      <c r="Y253">
        <f t="shared" si="141"/>
        <v>24</v>
      </c>
      <c r="Z253">
        <f t="shared" si="174"/>
        <v>78</v>
      </c>
      <c r="AA253">
        <f t="shared" si="142"/>
        <v>78.833333333333329</v>
      </c>
      <c r="AB253">
        <f t="shared" si="155"/>
        <v>50.505050505050505</v>
      </c>
      <c r="AC253">
        <f t="shared" si="175"/>
        <v>3981.4814814814813</v>
      </c>
      <c r="AD253">
        <f t="shared" si="156"/>
        <v>80.505050505050505</v>
      </c>
      <c r="AE253">
        <f t="shared" si="157"/>
        <v>317.32407407407402</v>
      </c>
      <c r="AF253" s="94">
        <f t="shared" si="158"/>
        <v>701.19444444444468</v>
      </c>
      <c r="AG253">
        <f t="shared" si="176"/>
        <v>0.77387622372110565</v>
      </c>
      <c r="AH253">
        <f t="shared" si="159"/>
        <v>239.8705166834913</v>
      </c>
      <c r="AI253">
        <f>HLOOKUP(AW253,'Real assumptions'!$A$21:$AK$24,2,TRUE)</f>
        <v>2.2315999999999998</v>
      </c>
      <c r="AJ253" s="123">
        <f t="shared" si="177"/>
        <v>1.8409125395499881E-3</v>
      </c>
      <c r="AK253" s="122">
        <f>(1+HLOOKUP(YEAR(A253),'Real assumptions'!$A$21:$AK$24,2,TRUE)/100)^(1/12)-1</f>
        <v>1.8409125395499881E-3</v>
      </c>
      <c r="AL253">
        <f t="shared" si="178"/>
        <v>4.4687601600422084</v>
      </c>
      <c r="AM253">
        <f>('Real assumptions'!$B$33/12)*O252*AV252</f>
        <v>4.403380101962151</v>
      </c>
      <c r="AN253">
        <f t="shared" si="160"/>
        <v>240.99031263443908</v>
      </c>
      <c r="AO253">
        <f t="shared" si="182"/>
        <v>0.44364208843881081</v>
      </c>
      <c r="AP253" s="121">
        <f t="shared" si="161"/>
        <v>0.44364208843881081</v>
      </c>
      <c r="AQ253">
        <f t="shared" si="162"/>
        <v>0</v>
      </c>
      <c r="AR253">
        <v>0</v>
      </c>
      <c r="AS253">
        <f t="shared" si="143"/>
        <v>0</v>
      </c>
      <c r="AT253">
        <f t="shared" si="163"/>
        <v>0</v>
      </c>
      <c r="AU253">
        <f>IFERROR(HLOOKUP(B253,'Real assumptions'!$B$43:$AL$44,2,TRUE)*($W$3/$U$2),0)</f>
        <v>0</v>
      </c>
      <c r="AV253">
        <f>AV252*(1+'Real assumptions'!$B$35)^(1/12)</f>
        <v>1.2833650966620196</v>
      </c>
      <c r="AW253">
        <f t="shared" si="144"/>
        <v>2039</v>
      </c>
      <c r="AX253">
        <f t="shared" si="179"/>
        <v>238.66142482024341</v>
      </c>
      <c r="AY253">
        <f t="shared" si="180"/>
        <v>1.4455699162635851</v>
      </c>
      <c r="AZ253">
        <f t="shared" si="145"/>
        <v>615.39242870374403</v>
      </c>
      <c r="BA253">
        <f t="shared" si="164"/>
        <v>4.2112482769389956</v>
      </c>
      <c r="BB253">
        <f t="shared" si="165"/>
        <v>78.833333333333329</v>
      </c>
      <c r="BC253">
        <f t="shared" si="146"/>
        <v>47.3</v>
      </c>
      <c r="BD253">
        <f t="shared" si="166"/>
        <v>0</v>
      </c>
      <c r="BE253">
        <f t="shared" si="147"/>
        <v>24</v>
      </c>
      <c r="BF253">
        <f t="shared" si="181"/>
        <v>5000</v>
      </c>
      <c r="BU253"/>
      <c r="FD253"/>
      <c r="FE253"/>
    </row>
    <row r="254" spans="1:161" x14ac:dyDescent="0.25">
      <c r="A254" s="7">
        <f t="shared" si="167"/>
        <v>50829</v>
      </c>
      <c r="B254">
        <f t="shared" si="148"/>
        <v>243</v>
      </c>
      <c r="C254">
        <f t="shared" si="149"/>
        <v>20.166666666666668</v>
      </c>
      <c r="D254">
        <f t="shared" si="150"/>
        <v>0</v>
      </c>
      <c r="E254">
        <f t="shared" si="151"/>
        <v>72</v>
      </c>
      <c r="F254">
        <f>IF(C254&gt;=$T$2,0,VLOOKUP($E254,EKM_F05!$A$3:$C$128,2,TRUE))</f>
        <v>2.2985641025641022E-2</v>
      </c>
      <c r="G254">
        <f>F254*'Real assumptions'!$B$3</f>
        <v>9.5919079999999979E-3</v>
      </c>
      <c r="H254">
        <f t="shared" si="168"/>
        <v>8.0286142157670604E-4</v>
      </c>
      <c r="I254">
        <f t="shared" si="169"/>
        <v>2.742081755564167E-4</v>
      </c>
      <c r="J254">
        <f>IF(B254&gt;$AJ$2,0,HLOOKUP(C254,'Real assumptions'!$B$5:$L$8,4,TRUE))</f>
        <v>3.7900000000000003E-2</v>
      </c>
      <c r="K254">
        <f t="shared" si="138"/>
        <v>1</v>
      </c>
      <c r="L254">
        <f t="shared" si="170"/>
        <v>8.3333333333333329E-2</v>
      </c>
      <c r="M254">
        <f t="shared" si="171"/>
        <v>3.2145624959929453E-3</v>
      </c>
      <c r="N254">
        <f t="shared" si="172"/>
        <v>1.0992232443290963E-3</v>
      </c>
      <c r="O254" s="8">
        <f t="shared" si="152"/>
        <v>0.34071501292530659</v>
      </c>
      <c r="P254">
        <f t="shared" si="153"/>
        <v>8.2101226642846097</v>
      </c>
      <c r="Q254">
        <f t="shared" si="173"/>
        <v>1.3710408777820835</v>
      </c>
      <c r="R254" s="89">
        <f t="shared" si="139"/>
        <v>5000</v>
      </c>
      <c r="S254">
        <f t="shared" si="140"/>
        <v>0.75</v>
      </c>
      <c r="U254">
        <f>O253*AV253*'Real assumptions'!$B$33/12+AX254*'Real assumptions'!$B$34</f>
        <v>4.4559086467553684</v>
      </c>
      <c r="V254">
        <f>IF(P254=0,0,IF(E254&lt;=$C$7,$AN$5*O253,0))*'Real assumptions'!$D$28</f>
        <v>2.0525306660711524</v>
      </c>
      <c r="X254" s="94">
        <f t="shared" si="154"/>
        <v>0</v>
      </c>
      <c r="Y254">
        <f t="shared" si="141"/>
        <v>24</v>
      </c>
      <c r="Z254">
        <f t="shared" si="174"/>
        <v>78</v>
      </c>
      <c r="AA254">
        <f t="shared" si="142"/>
        <v>78.75</v>
      </c>
      <c r="AB254">
        <f t="shared" si="155"/>
        <v>50.505050505050505</v>
      </c>
      <c r="AC254">
        <f t="shared" si="175"/>
        <v>3977.2727272727275</v>
      </c>
      <c r="AD254">
        <f t="shared" si="156"/>
        <v>80.505050505050505</v>
      </c>
      <c r="AE254">
        <f t="shared" si="157"/>
        <v>316.98863636363637</v>
      </c>
      <c r="AF254" s="94">
        <f t="shared" si="158"/>
        <v>705.73863636363615</v>
      </c>
      <c r="AG254">
        <f t="shared" si="176"/>
        <v>0.77576431351202846</v>
      </c>
      <c r="AH254">
        <f t="shared" si="159"/>
        <v>240.45574861052455</v>
      </c>
      <c r="AI254">
        <f>HLOOKUP(AW254,'Real assumptions'!$A$21:$AK$24,2,TRUE)</f>
        <v>2.2315999999999998</v>
      </c>
      <c r="AJ254" s="123">
        <f t="shared" si="177"/>
        <v>1.8409125395499881E-3</v>
      </c>
      <c r="AK254" s="122">
        <f>(1+HLOOKUP(YEAR(A254),'Real assumptions'!$A$21:$AK$24,2,TRUE)/100)^(1/12)-1</f>
        <v>1.8409125395499881E-3</v>
      </c>
      <c r="AL254">
        <f t="shared" si="178"/>
        <v>4.4559086467553684</v>
      </c>
      <c r="AM254">
        <f>('Real assumptions'!$B$33/12)*O253*AV253</f>
        <v>4.3902436944402741</v>
      </c>
      <c r="AN254">
        <f t="shared" si="160"/>
        <v>242.01584212338818</v>
      </c>
      <c r="AO254">
        <f t="shared" si="182"/>
        <v>0.44552999853469555</v>
      </c>
      <c r="AP254" s="121">
        <f t="shared" si="161"/>
        <v>0.88917208697350636</v>
      </c>
      <c r="AQ254">
        <f t="shared" si="162"/>
        <v>0</v>
      </c>
      <c r="AR254">
        <v>0</v>
      </c>
      <c r="AS254">
        <f t="shared" si="143"/>
        <v>0</v>
      </c>
      <c r="AT254">
        <f t="shared" si="163"/>
        <v>0</v>
      </c>
      <c r="AU254">
        <f>IFERROR(HLOOKUP(B254,'Real assumptions'!$B$43:$AL$44,2,TRUE)*($W$3/$U$2),0)</f>
        <v>0</v>
      </c>
      <c r="AV254">
        <f>AV253*(1+'Real assumptions'!$B$35)^(1/12)</f>
        <v>1.2846943369462902</v>
      </c>
      <c r="AW254">
        <f t="shared" si="144"/>
        <v>2039</v>
      </c>
      <c r="AX254">
        <f t="shared" si="179"/>
        <v>239.70139428576297</v>
      </c>
      <c r="AY254">
        <f t="shared" si="180"/>
        <v>1.4397661799040069</v>
      </c>
      <c r="AZ254">
        <f t="shared" si="145"/>
        <v>616.08019050265295</v>
      </c>
      <c r="BA254">
        <f t="shared" si="164"/>
        <v>4.1993358573652646</v>
      </c>
      <c r="BB254">
        <f t="shared" si="165"/>
        <v>78.75</v>
      </c>
      <c r="BC254">
        <f t="shared" si="146"/>
        <v>47.25</v>
      </c>
      <c r="BD254">
        <f t="shared" si="166"/>
        <v>0</v>
      </c>
      <c r="BE254">
        <f t="shared" si="147"/>
        <v>24</v>
      </c>
      <c r="BF254">
        <f t="shared" si="181"/>
        <v>5000</v>
      </c>
      <c r="BU254"/>
      <c r="FD254"/>
      <c r="FE254"/>
    </row>
    <row r="255" spans="1:161" x14ac:dyDescent="0.25">
      <c r="A255" s="7">
        <f t="shared" si="167"/>
        <v>50860</v>
      </c>
      <c r="B255">
        <f t="shared" si="148"/>
        <v>244</v>
      </c>
      <c r="C255">
        <f t="shared" si="149"/>
        <v>20.25</v>
      </c>
      <c r="D255">
        <f t="shared" si="150"/>
        <v>0</v>
      </c>
      <c r="E255">
        <f t="shared" si="151"/>
        <v>72</v>
      </c>
      <c r="F255">
        <f>IF(C255&gt;=$T$2,0,VLOOKUP($E255,EKM_F05!$A$3:$C$128,2,TRUE))</f>
        <v>2.2985641025641022E-2</v>
      </c>
      <c r="G255">
        <f>F255*'Real assumptions'!$B$3</f>
        <v>9.5919079999999979E-3</v>
      </c>
      <c r="H255">
        <f t="shared" si="168"/>
        <v>8.0286142157670604E-4</v>
      </c>
      <c r="I255">
        <f t="shared" si="169"/>
        <v>2.7310727276322371E-4</v>
      </c>
      <c r="J255">
        <f>IF(B255&gt;$AJ$2,0,HLOOKUP(C255,'Real assumptions'!$B$5:$L$8,4,TRUE))</f>
        <v>3.7900000000000003E-2</v>
      </c>
      <c r="K255">
        <f t="shared" si="138"/>
        <v>1</v>
      </c>
      <c r="L255">
        <f t="shared" si="170"/>
        <v>8.3333333333333329E-2</v>
      </c>
      <c r="M255">
        <f t="shared" si="171"/>
        <v>3.2145624959929453E-3</v>
      </c>
      <c r="N255">
        <f t="shared" si="172"/>
        <v>1.0948100355049285E-3</v>
      </c>
      <c r="O255" s="8">
        <f t="shared" si="152"/>
        <v>0.33934709561703841</v>
      </c>
      <c r="P255">
        <f t="shared" si="153"/>
        <v>8.1771603102073591</v>
      </c>
      <c r="Q255">
        <f t="shared" si="173"/>
        <v>1.3655363638161186</v>
      </c>
      <c r="R255" s="89">
        <f t="shared" si="139"/>
        <v>5000</v>
      </c>
      <c r="S255">
        <f t="shared" si="140"/>
        <v>0.66666666666666785</v>
      </c>
      <c r="U255">
        <f>O254*AV254*'Real assumptions'!$B$33/12+AX255*'Real assumptions'!$B$34</f>
        <v>4.4430944743158163</v>
      </c>
      <c r="V255">
        <f>IF(P255=0,0,IF(E255&lt;=$C$7,$AN$5*O254,0))*'Real assumptions'!$D$28</f>
        <v>2.0442900775518398</v>
      </c>
      <c r="X255" s="94">
        <f t="shared" si="154"/>
        <v>0</v>
      </c>
      <c r="Y255">
        <f t="shared" si="141"/>
        <v>24</v>
      </c>
      <c r="Z255">
        <f t="shared" si="174"/>
        <v>78</v>
      </c>
      <c r="AA255">
        <f t="shared" si="142"/>
        <v>78.666666666666671</v>
      </c>
      <c r="AB255">
        <f t="shared" si="155"/>
        <v>50.505050505050505</v>
      </c>
      <c r="AC255">
        <f t="shared" si="175"/>
        <v>3973.0639730639732</v>
      </c>
      <c r="AD255">
        <f t="shared" si="156"/>
        <v>80.505050505050505</v>
      </c>
      <c r="AE255">
        <f t="shared" si="157"/>
        <v>316.65319865319867</v>
      </c>
      <c r="AF255" s="94">
        <f t="shared" si="158"/>
        <v>710.28282828282818</v>
      </c>
      <c r="AG255">
        <f t="shared" si="176"/>
        <v>0.77762476845086415</v>
      </c>
      <c r="AH255">
        <f t="shared" si="159"/>
        <v>241.03241484443336</v>
      </c>
      <c r="AI255">
        <f>HLOOKUP(AW255,'Real assumptions'!$A$21:$AK$24,2,TRUE)</f>
        <v>2.2315999999999998</v>
      </c>
      <c r="AJ255" s="123">
        <f t="shared" si="177"/>
        <v>1.8409125395499881E-3</v>
      </c>
      <c r="AK255" s="122">
        <f>(1+HLOOKUP(YEAR(A255),'Real assumptions'!$A$21:$AK$24,2,TRUE)/100)^(1/12)-1</f>
        <v>1.8409125395499881E-3</v>
      </c>
      <c r="AL255">
        <f t="shared" si="178"/>
        <v>4.4430944743158163</v>
      </c>
      <c r="AM255">
        <f>('Real assumptions'!$B$33/12)*O254*AV254</f>
        <v>4.3771464761772343</v>
      </c>
      <c r="AN255">
        <f t="shared" si="160"/>
        <v>243.03469645583777</v>
      </c>
      <c r="AO255">
        <f t="shared" si="182"/>
        <v>0.44740562025127684</v>
      </c>
      <c r="AP255" s="121">
        <f t="shared" si="161"/>
        <v>1.3365777072247833</v>
      </c>
      <c r="AQ255">
        <f t="shared" si="162"/>
        <v>0</v>
      </c>
      <c r="AR255">
        <v>0</v>
      </c>
      <c r="AS255">
        <f t="shared" si="143"/>
        <v>0</v>
      </c>
      <c r="AT255">
        <f t="shared" si="163"/>
        <v>0</v>
      </c>
      <c r="AU255">
        <f>IFERROR(HLOOKUP(B255,'Real assumptions'!$B$43:$AL$44,2,TRUE)*($W$3/$U$2),0)</f>
        <v>0</v>
      </c>
      <c r="AV255">
        <f>AV254*(1+'Real assumptions'!$B$35)^(1/12)</f>
        <v>1.2860249539858879</v>
      </c>
      <c r="AW255">
        <f t="shared" si="144"/>
        <v>2039</v>
      </c>
      <c r="AX255">
        <f t="shared" si="179"/>
        <v>240.73461636458134</v>
      </c>
      <c r="AY255">
        <f t="shared" si="180"/>
        <v>1.4339857446351287</v>
      </c>
      <c r="AZ255">
        <f t="shared" si="145"/>
        <v>616.76095487679038</v>
      </c>
      <c r="BA255">
        <f t="shared" si="164"/>
        <v>4.187451209818823</v>
      </c>
      <c r="BB255">
        <f t="shared" si="165"/>
        <v>78.666666666666671</v>
      </c>
      <c r="BC255">
        <f t="shared" si="146"/>
        <v>47.2</v>
      </c>
      <c r="BD255">
        <f t="shared" si="166"/>
        <v>0</v>
      </c>
      <c r="BE255">
        <f t="shared" si="147"/>
        <v>24</v>
      </c>
      <c r="BF255">
        <f t="shared" si="181"/>
        <v>5000</v>
      </c>
      <c r="BU255"/>
      <c r="FD255"/>
      <c r="FE255"/>
    </row>
    <row r="256" spans="1:161" x14ac:dyDescent="0.25">
      <c r="A256" s="7">
        <f t="shared" si="167"/>
        <v>50890</v>
      </c>
      <c r="B256">
        <f t="shared" si="148"/>
        <v>245</v>
      </c>
      <c r="C256">
        <f t="shared" si="149"/>
        <v>20.333333333333332</v>
      </c>
      <c r="D256">
        <f t="shared" si="150"/>
        <v>0</v>
      </c>
      <c r="E256">
        <f t="shared" si="151"/>
        <v>72</v>
      </c>
      <c r="F256">
        <f>IF(C256&gt;=$T$2,0,VLOOKUP($E256,EKM_F05!$A$3:$C$128,2,TRUE))</f>
        <v>2.2985641025641022E-2</v>
      </c>
      <c r="G256">
        <f>F256*'Real assumptions'!$B$3</f>
        <v>9.5919079999999979E-3</v>
      </c>
      <c r="H256">
        <f t="shared" si="168"/>
        <v>8.0286142157670604E-4</v>
      </c>
      <c r="I256">
        <f t="shared" si="169"/>
        <v>2.7201078992198003E-4</v>
      </c>
      <c r="J256">
        <f>IF(B256&gt;$AJ$2,0,HLOOKUP(C256,'Real assumptions'!$B$5:$L$8,4,TRUE))</f>
        <v>3.7900000000000003E-2</v>
      </c>
      <c r="K256">
        <f t="shared" si="138"/>
        <v>1</v>
      </c>
      <c r="L256">
        <f t="shared" si="170"/>
        <v>8.3333333333333329E-2</v>
      </c>
      <c r="M256">
        <f t="shared" si="171"/>
        <v>3.2145624959929453E-3</v>
      </c>
      <c r="N256">
        <f t="shared" si="172"/>
        <v>1.0904145450216219E-3</v>
      </c>
      <c r="O256" s="8">
        <f t="shared" si="152"/>
        <v>0.33798467028209478</v>
      </c>
      <c r="P256">
        <f t="shared" si="153"/>
        <v>8.1443302948089222</v>
      </c>
      <c r="Q256">
        <f t="shared" si="173"/>
        <v>1.3600539496099002</v>
      </c>
      <c r="R256" s="89">
        <f t="shared" si="139"/>
        <v>5000</v>
      </c>
      <c r="S256">
        <f t="shared" si="140"/>
        <v>0.58333333333333215</v>
      </c>
      <c r="U256">
        <f>O255*AV255*'Real assumptions'!$B$33/12+AX256*'Real assumptions'!$B$34</f>
        <v>4.4303175388074214</v>
      </c>
      <c r="V256">
        <f>IF(P256=0,0,IF(E256&lt;=$C$7,$AN$5*O255,0))*'Real assumptions'!$D$28</f>
        <v>2.0360825737022306</v>
      </c>
      <c r="X256" s="94">
        <f t="shared" si="154"/>
        <v>0</v>
      </c>
      <c r="Y256">
        <f t="shared" si="141"/>
        <v>24</v>
      </c>
      <c r="Z256">
        <f t="shared" si="174"/>
        <v>78</v>
      </c>
      <c r="AA256">
        <f t="shared" si="142"/>
        <v>78.583333333333329</v>
      </c>
      <c r="AB256">
        <f t="shared" si="155"/>
        <v>50.505050505050505</v>
      </c>
      <c r="AC256">
        <f t="shared" si="175"/>
        <v>3968.8552188552185</v>
      </c>
      <c r="AD256">
        <f t="shared" si="156"/>
        <v>80.505050505050505</v>
      </c>
      <c r="AE256">
        <f t="shared" si="157"/>
        <v>316.31776094276091</v>
      </c>
      <c r="AF256" s="94">
        <f t="shared" si="158"/>
        <v>714.82702020202055</v>
      </c>
      <c r="AG256">
        <f t="shared" si="176"/>
        <v>0.7794577800027479</v>
      </c>
      <c r="AH256">
        <f t="shared" si="159"/>
        <v>241.60057473171221</v>
      </c>
      <c r="AI256">
        <f>HLOOKUP(AW256,'Real assumptions'!$A$21:$AK$24,2,TRUE)</f>
        <v>2.2315999999999998</v>
      </c>
      <c r="AJ256" s="123">
        <f t="shared" si="177"/>
        <v>1.8409125395499881E-3</v>
      </c>
      <c r="AK256" s="122">
        <f>(1+HLOOKUP(YEAR(A256),'Real assumptions'!$A$21:$AK$24,2,TRUE)/100)^(1/12)-1</f>
        <v>1.8409125395499881E-3</v>
      </c>
      <c r="AL256">
        <f t="shared" si="178"/>
        <v>4.4303175388074214</v>
      </c>
      <c r="AM256">
        <f>('Real assumptions'!$B$33/12)*O255*AV255</f>
        <v>4.364088330261465</v>
      </c>
      <c r="AN256">
        <f t="shared" si="160"/>
        <v>244.04692273395742</v>
      </c>
      <c r="AO256">
        <f t="shared" si="182"/>
        <v>0.4492690402995293</v>
      </c>
      <c r="AP256" s="121">
        <f t="shared" si="161"/>
        <v>1.7858467475243125</v>
      </c>
      <c r="AQ256">
        <f t="shared" si="162"/>
        <v>0</v>
      </c>
      <c r="AR256">
        <v>0</v>
      </c>
      <c r="AS256">
        <f t="shared" si="143"/>
        <v>0</v>
      </c>
      <c r="AT256">
        <f t="shared" si="163"/>
        <v>0</v>
      </c>
      <c r="AU256">
        <f>IFERROR(HLOOKUP(B256,'Real assumptions'!$B$43:$AL$44,2,TRUE)*($W$3/$U$2),0)</f>
        <v>0</v>
      </c>
      <c r="AV256">
        <f>AV255*(1+'Real assumptions'!$B$35)^(1/12)</f>
        <v>1.2873569492067813</v>
      </c>
      <c r="AW256">
        <f t="shared" si="144"/>
        <v>2039</v>
      </c>
      <c r="AX256">
        <f t="shared" si="179"/>
        <v>241.76113849486265</v>
      </c>
      <c r="AY256">
        <f t="shared" si="180"/>
        <v>1.4282285169067273</v>
      </c>
      <c r="AZ256">
        <f t="shared" si="145"/>
        <v>617.43477630521454</v>
      </c>
      <c r="BA256">
        <f t="shared" si="164"/>
        <v>4.1755943033148792</v>
      </c>
      <c r="BB256">
        <f t="shared" si="165"/>
        <v>78.583333333333329</v>
      </c>
      <c r="BC256">
        <f t="shared" si="146"/>
        <v>47.149999999999991</v>
      </c>
      <c r="BD256">
        <f t="shared" si="166"/>
        <v>0</v>
      </c>
      <c r="BE256">
        <f t="shared" si="147"/>
        <v>24</v>
      </c>
      <c r="BF256">
        <f t="shared" si="181"/>
        <v>5000</v>
      </c>
      <c r="BU256"/>
      <c r="FD256"/>
      <c r="FE256"/>
    </row>
    <row r="257" spans="1:161" x14ac:dyDescent="0.25">
      <c r="A257" s="7">
        <f t="shared" si="167"/>
        <v>50921</v>
      </c>
      <c r="B257">
        <f t="shared" si="148"/>
        <v>246</v>
      </c>
      <c r="C257">
        <f t="shared" si="149"/>
        <v>20.416666666666668</v>
      </c>
      <c r="D257">
        <f t="shared" si="150"/>
        <v>0</v>
      </c>
      <c r="E257">
        <f t="shared" si="151"/>
        <v>72</v>
      </c>
      <c r="F257">
        <f>IF(C257&gt;=$T$2,0,VLOOKUP($E257,EKM_F05!$A$3:$C$128,2,TRUE))</f>
        <v>2.2985641025641022E-2</v>
      </c>
      <c r="G257">
        <f>F257*'Real assumptions'!$B$3</f>
        <v>9.5919079999999979E-3</v>
      </c>
      <c r="H257">
        <f t="shared" si="168"/>
        <v>8.0286142157670604E-4</v>
      </c>
      <c r="I257">
        <f t="shared" si="169"/>
        <v>2.7091870928727207E-4</v>
      </c>
      <c r="J257">
        <f>IF(B257&gt;$AJ$2,0,HLOOKUP(C257,'Real assumptions'!$B$5:$L$8,4,TRUE))</f>
        <v>3.7900000000000003E-2</v>
      </c>
      <c r="K257">
        <f t="shared" si="138"/>
        <v>1</v>
      </c>
      <c r="L257">
        <f t="shared" si="170"/>
        <v>8.3333333333333329E-2</v>
      </c>
      <c r="M257">
        <f t="shared" si="171"/>
        <v>3.2145624959929453E-3</v>
      </c>
      <c r="N257">
        <f t="shared" si="172"/>
        <v>1.0860367017428184E-3</v>
      </c>
      <c r="O257" s="8">
        <f t="shared" si="152"/>
        <v>0.33662771487106469</v>
      </c>
      <c r="P257">
        <f t="shared" si="153"/>
        <v>8.1116320867702747</v>
      </c>
      <c r="Q257">
        <f t="shared" si="173"/>
        <v>1.3545935464363603</v>
      </c>
      <c r="R257" s="89">
        <f t="shared" si="139"/>
        <v>5000</v>
      </c>
      <c r="S257">
        <f t="shared" si="140"/>
        <v>0.5</v>
      </c>
      <c r="U257">
        <f>O256*AV256*'Real assumptions'!$B$33/12+AX257*'Real assumptions'!$B$34</f>
        <v>4.4175777365933362</v>
      </c>
      <c r="V257">
        <f>IF(P257=0,0,IF(E257&lt;=$C$7,$AN$5*O256,0))*'Real assumptions'!$D$28</f>
        <v>2.0279080216925687</v>
      </c>
      <c r="X257" s="94">
        <f t="shared" si="154"/>
        <v>0</v>
      </c>
      <c r="Y257">
        <f t="shared" si="141"/>
        <v>24</v>
      </c>
      <c r="Z257">
        <f t="shared" si="174"/>
        <v>78</v>
      </c>
      <c r="AA257">
        <f t="shared" si="142"/>
        <v>78.5</v>
      </c>
      <c r="AB257">
        <f t="shared" si="155"/>
        <v>50.505050505050505</v>
      </c>
      <c r="AC257">
        <f t="shared" si="175"/>
        <v>3964.6464646464647</v>
      </c>
      <c r="AD257">
        <f t="shared" si="156"/>
        <v>80.505050505050505</v>
      </c>
      <c r="AE257">
        <f t="shared" si="157"/>
        <v>315.98232323232321</v>
      </c>
      <c r="AF257" s="94">
        <f t="shared" si="158"/>
        <v>719.37121212121212</v>
      </c>
      <c r="AG257">
        <f t="shared" si="176"/>
        <v>0.78126353854085462</v>
      </c>
      <c r="AH257">
        <f t="shared" si="159"/>
        <v>242.1602872803916</v>
      </c>
      <c r="AI257">
        <f>HLOOKUP(AW257,'Real assumptions'!$A$21:$AK$24,2,TRUE)</f>
        <v>2.2315999999999998</v>
      </c>
      <c r="AJ257" s="123">
        <f t="shared" si="177"/>
        <v>1.8409125395499881E-3</v>
      </c>
      <c r="AK257" s="122">
        <f>(1+HLOOKUP(YEAR(A257),'Real assumptions'!$A$21:$AK$24,2,TRUE)/100)^(1/12)-1</f>
        <v>1.8409125395499881E-3</v>
      </c>
      <c r="AL257">
        <f t="shared" si="178"/>
        <v>4.4175777365933362</v>
      </c>
      <c r="AM257">
        <f>('Real assumptions'!$B$33/12)*O256*AV256</f>
        <v>4.351069140130174</v>
      </c>
      <c r="AN257">
        <f t="shared" si="160"/>
        <v>245.05256780772089</v>
      </c>
      <c r="AO257">
        <f t="shared" si="182"/>
        <v>0.45112034492615716</v>
      </c>
      <c r="AP257" s="121">
        <f t="shared" si="161"/>
        <v>2.2369670924504694</v>
      </c>
      <c r="AQ257">
        <f t="shared" si="162"/>
        <v>0</v>
      </c>
      <c r="AR257">
        <v>0</v>
      </c>
      <c r="AS257">
        <f t="shared" si="143"/>
        <v>0</v>
      </c>
      <c r="AT257">
        <f t="shared" si="163"/>
        <v>0</v>
      </c>
      <c r="AU257">
        <f>IFERROR(HLOOKUP(B257,'Real assumptions'!$B$43:$AL$44,2,TRUE)*($W$3/$U$2),0)</f>
        <v>0</v>
      </c>
      <c r="AV257">
        <f>AV256*(1+'Real assumptions'!$B$35)^(1/12)</f>
        <v>1.2886903240364165</v>
      </c>
      <c r="AW257">
        <f t="shared" si="144"/>
        <v>2039</v>
      </c>
      <c r="AX257">
        <f t="shared" si="179"/>
        <v>242.78100786108811</v>
      </c>
      <c r="AY257">
        <f t="shared" si="180"/>
        <v>1.4224944035441698</v>
      </c>
      <c r="AZ257">
        <f t="shared" si="145"/>
        <v>618.10170897077626</v>
      </c>
      <c r="BA257">
        <f t="shared" si="164"/>
        <v>4.1637651066697838</v>
      </c>
      <c r="BB257">
        <f t="shared" si="165"/>
        <v>78.5</v>
      </c>
      <c r="BC257">
        <f t="shared" si="146"/>
        <v>47.099999999999994</v>
      </c>
      <c r="BD257">
        <f t="shared" si="166"/>
        <v>0</v>
      </c>
      <c r="BE257">
        <f t="shared" si="147"/>
        <v>24</v>
      </c>
      <c r="BF257">
        <f t="shared" si="181"/>
        <v>5000</v>
      </c>
      <c r="BU257"/>
      <c r="FD257"/>
      <c r="FE257"/>
    </row>
    <row r="258" spans="1:161" x14ac:dyDescent="0.25">
      <c r="A258" s="7">
        <f t="shared" si="167"/>
        <v>50951</v>
      </c>
      <c r="B258">
        <f t="shared" si="148"/>
        <v>247</v>
      </c>
      <c r="C258">
        <f t="shared" si="149"/>
        <v>20.5</v>
      </c>
      <c r="D258">
        <f t="shared" si="150"/>
        <v>0</v>
      </c>
      <c r="E258">
        <f t="shared" si="151"/>
        <v>72</v>
      </c>
      <c r="F258">
        <f>IF(C258&gt;=$T$2,0,VLOOKUP($E258,EKM_F05!$A$3:$C$128,2,TRUE))</f>
        <v>2.2985641025641022E-2</v>
      </c>
      <c r="G258">
        <f>F258*'Real assumptions'!$B$3</f>
        <v>9.5919079999999979E-3</v>
      </c>
      <c r="H258">
        <f t="shared" si="168"/>
        <v>8.0286142157670604E-4</v>
      </c>
      <c r="I258">
        <f t="shared" si="169"/>
        <v>2.6983101318493166E-4</v>
      </c>
      <c r="J258">
        <f>IF(B258&gt;$AJ$2,0,HLOOKUP(C258,'Real assumptions'!$B$5:$L$8,4,TRUE))</f>
        <v>3.7900000000000003E-2</v>
      </c>
      <c r="K258">
        <f t="shared" si="138"/>
        <v>1</v>
      </c>
      <c r="L258">
        <f t="shared" si="170"/>
        <v>8.3333333333333329E-2</v>
      </c>
      <c r="M258">
        <f t="shared" si="171"/>
        <v>3.2145624959929453E-3</v>
      </c>
      <c r="N258">
        <f t="shared" si="172"/>
        <v>1.0816764348177618E-3</v>
      </c>
      <c r="O258" s="8">
        <f t="shared" si="152"/>
        <v>0.33527620742306197</v>
      </c>
      <c r="P258">
        <f t="shared" si="153"/>
        <v>8.0790651569055534</v>
      </c>
      <c r="Q258">
        <f t="shared" si="173"/>
        <v>1.3491550659246583</v>
      </c>
      <c r="R258" s="89">
        <f t="shared" si="139"/>
        <v>5000</v>
      </c>
      <c r="S258">
        <f t="shared" si="140"/>
        <v>0.41666666666666785</v>
      </c>
      <c r="U258">
        <f>O257*AV257*'Real assumptions'!$B$33/12+AX258*'Real assumptions'!$B$34</f>
        <v>4.4048749643153133</v>
      </c>
      <c r="V258">
        <f>IF(P258=0,0,IF(E258&lt;=$C$7,$AN$5*O257,0))*'Real assumptions'!$D$28</f>
        <v>2.0197662892263883</v>
      </c>
      <c r="X258" s="94">
        <f t="shared" si="154"/>
        <v>0</v>
      </c>
      <c r="Y258">
        <f t="shared" si="141"/>
        <v>24</v>
      </c>
      <c r="Z258">
        <f t="shared" si="174"/>
        <v>78</v>
      </c>
      <c r="AA258">
        <f t="shared" si="142"/>
        <v>78.416666666666671</v>
      </c>
      <c r="AB258">
        <f t="shared" si="155"/>
        <v>50.505050505050505</v>
      </c>
      <c r="AC258">
        <f t="shared" si="175"/>
        <v>3960.4377104377108</v>
      </c>
      <c r="AD258">
        <f t="shared" si="156"/>
        <v>80.505050505050505</v>
      </c>
      <c r="AE258">
        <f t="shared" si="157"/>
        <v>315.64688552188551</v>
      </c>
      <c r="AF258" s="94">
        <f t="shared" si="158"/>
        <v>723.9154040404037</v>
      </c>
      <c r="AG258">
        <f t="shared" si="176"/>
        <v>0.78304223335208345</v>
      </c>
      <c r="AH258">
        <f t="shared" si="159"/>
        <v>242.71161116180011</v>
      </c>
      <c r="AI258">
        <f>HLOOKUP(AW258,'Real assumptions'!$A$21:$AK$24,2,TRUE)</f>
        <v>2.2315999999999998</v>
      </c>
      <c r="AJ258" s="123">
        <f t="shared" si="177"/>
        <v>1.8409125395499881E-3</v>
      </c>
      <c r="AK258" s="122">
        <f>(1+HLOOKUP(YEAR(A258),'Real assumptions'!$A$21:$AK$24,2,TRUE)/100)^(1/12)-1</f>
        <v>1.8409125395499881E-3</v>
      </c>
      <c r="AL258">
        <f t="shared" si="178"/>
        <v>4.4048749643153133</v>
      </c>
      <c r="AM258">
        <f>('Real assumptions'!$B$33/12)*O257*AV257</f>
        <v>4.3380887895683076</v>
      </c>
      <c r="AN258">
        <f t="shared" si="160"/>
        <v>246.05167827620591</v>
      </c>
      <c r="AO258">
        <f t="shared" si="182"/>
        <v>0.45295961991598688</v>
      </c>
      <c r="AP258" s="121">
        <f t="shared" si="161"/>
        <v>2.6899267123664563</v>
      </c>
      <c r="AQ258">
        <f t="shared" si="162"/>
        <v>0</v>
      </c>
      <c r="AR258">
        <v>0</v>
      </c>
      <c r="AS258">
        <f t="shared" si="143"/>
        <v>0</v>
      </c>
      <c r="AT258">
        <f t="shared" si="163"/>
        <v>0</v>
      </c>
      <c r="AU258">
        <f>IFERROR(HLOOKUP(B258,'Real assumptions'!$B$43:$AL$44,2,TRUE)*($W$3/$U$2),0)</f>
        <v>0</v>
      </c>
      <c r="AV258">
        <f>AV257*(1+'Real assumptions'!$B$35)^(1/12)</f>
        <v>1.2900250799037176</v>
      </c>
      <c r="AW258">
        <f t="shared" si="144"/>
        <v>2039</v>
      </c>
      <c r="AX258">
        <f t="shared" si="179"/>
        <v>243.79427139536259</v>
      </c>
      <c r="AY258">
        <f t="shared" si="180"/>
        <v>1.4167833117469051</v>
      </c>
      <c r="AZ258">
        <f t="shared" si="145"/>
        <v>618.76180676162494</v>
      </c>
      <c r="BA258">
        <f t="shared" si="164"/>
        <v>4.1519635885031301</v>
      </c>
      <c r="BB258">
        <f t="shared" si="165"/>
        <v>78.416666666666671</v>
      </c>
      <c r="BC258">
        <f t="shared" si="146"/>
        <v>47.05</v>
      </c>
      <c r="BD258">
        <f t="shared" si="166"/>
        <v>0</v>
      </c>
      <c r="BE258">
        <f t="shared" si="147"/>
        <v>24</v>
      </c>
      <c r="BF258">
        <f t="shared" si="181"/>
        <v>5000</v>
      </c>
      <c r="BU258"/>
      <c r="FD258"/>
      <c r="FE258"/>
    </row>
    <row r="259" spans="1:161" x14ac:dyDescent="0.25">
      <c r="A259" s="7">
        <f t="shared" si="167"/>
        <v>50982</v>
      </c>
      <c r="B259">
        <f t="shared" si="148"/>
        <v>248</v>
      </c>
      <c r="C259">
        <f t="shared" si="149"/>
        <v>20.583333333333332</v>
      </c>
      <c r="D259">
        <f t="shared" si="150"/>
        <v>0</v>
      </c>
      <c r="E259">
        <f t="shared" si="151"/>
        <v>72</v>
      </c>
      <c r="F259">
        <f>IF(C259&gt;=$T$2,0,VLOOKUP($E259,EKM_F05!$A$3:$C$128,2,TRUE))</f>
        <v>2.2985641025641022E-2</v>
      </c>
      <c r="G259">
        <f>F259*'Real assumptions'!$B$3</f>
        <v>9.5919079999999979E-3</v>
      </c>
      <c r="H259">
        <f t="shared" si="168"/>
        <v>8.0286142157670604E-4</v>
      </c>
      <c r="I259">
        <f t="shared" si="169"/>
        <v>2.6874768401174927E-4</v>
      </c>
      <c r="J259">
        <f>IF(B259&gt;$AJ$2,0,HLOOKUP(C259,'Real assumptions'!$B$5:$L$8,4,TRUE))</f>
        <v>3.7900000000000003E-2</v>
      </c>
      <c r="K259">
        <f t="shared" si="138"/>
        <v>1</v>
      </c>
      <c r="L259">
        <f t="shared" si="170"/>
        <v>8.3333333333333329E-2</v>
      </c>
      <c r="M259">
        <f t="shared" si="171"/>
        <v>3.2145624959929453E-3</v>
      </c>
      <c r="N259">
        <f t="shared" si="172"/>
        <v>1.0773336736801496E-3</v>
      </c>
      <c r="O259" s="8">
        <f t="shared" si="152"/>
        <v>0.33393012606537009</v>
      </c>
      <c r="P259">
        <f t="shared" si="153"/>
        <v>8.0466289781534872</v>
      </c>
      <c r="Q259">
        <f t="shared" si="173"/>
        <v>1.3437384200587463</v>
      </c>
      <c r="R259" s="89">
        <f t="shared" si="139"/>
        <v>5000</v>
      </c>
      <c r="S259">
        <f t="shared" si="140"/>
        <v>0.33333333333333215</v>
      </c>
      <c r="U259">
        <f>O258*AV258*'Real assumptions'!$B$33/12+AX259*'Real assumptions'!$B$34</f>
        <v>4.3922091188930219</v>
      </c>
      <c r="V259">
        <f>IF(P259=0,0,IF(E259&lt;=$C$7,$AN$5*O258,0))*'Real assumptions'!$D$28</f>
        <v>2.0116572445383718</v>
      </c>
      <c r="X259" s="94">
        <f t="shared" si="154"/>
        <v>0</v>
      </c>
      <c r="Y259">
        <f t="shared" si="141"/>
        <v>24</v>
      </c>
      <c r="Z259">
        <f t="shared" si="174"/>
        <v>78</v>
      </c>
      <c r="AA259">
        <f t="shared" si="142"/>
        <v>78.333333333333329</v>
      </c>
      <c r="AB259">
        <f t="shared" si="155"/>
        <v>50.505050505050505</v>
      </c>
      <c r="AC259">
        <f t="shared" si="175"/>
        <v>3956.2289562289561</v>
      </c>
      <c r="AD259">
        <f t="shared" si="156"/>
        <v>80.505050505050505</v>
      </c>
      <c r="AE259">
        <f t="shared" si="157"/>
        <v>315.31144781144781</v>
      </c>
      <c r="AF259" s="94">
        <f t="shared" si="158"/>
        <v>728.45959595959607</v>
      </c>
      <c r="AG259">
        <f t="shared" si="176"/>
        <v>0.78479405264270907</v>
      </c>
      <c r="AH259">
        <f t="shared" si="159"/>
        <v>243.25460471231648</v>
      </c>
      <c r="AI259">
        <f>HLOOKUP(AW259,'Real assumptions'!$A$21:$AK$24,2,TRUE)</f>
        <v>2.2315999999999998</v>
      </c>
      <c r="AJ259" s="123">
        <f t="shared" si="177"/>
        <v>1.8409125395499881E-3</v>
      </c>
      <c r="AK259" s="122">
        <f>(1+HLOOKUP(YEAR(A259),'Real assumptions'!$A$21:$AK$24,2,TRUE)/100)^(1/12)-1</f>
        <v>1.8409125395499881E-3</v>
      </c>
      <c r="AL259">
        <f t="shared" si="178"/>
        <v>4.3922091188930219</v>
      </c>
      <c r="AM259">
        <f>('Real assumptions'!$B$33/12)*O258*AV258</f>
        <v>4.3251471627075091</v>
      </c>
      <c r="AN259">
        <f t="shared" si="160"/>
        <v>247.04430048888864</v>
      </c>
      <c r="AO259">
        <f t="shared" si="182"/>
        <v>0.45478695059435037</v>
      </c>
      <c r="AP259" s="121">
        <f t="shared" si="161"/>
        <v>3.1447136629608066</v>
      </c>
      <c r="AQ259">
        <f t="shared" si="162"/>
        <v>0</v>
      </c>
      <c r="AR259">
        <v>0</v>
      </c>
      <c r="AS259">
        <f t="shared" si="143"/>
        <v>0</v>
      </c>
      <c r="AT259">
        <f t="shared" si="163"/>
        <v>0</v>
      </c>
      <c r="AU259">
        <f>IFERROR(HLOOKUP(B259,'Real assumptions'!$B$43:$AL$44,2,TRUE)*($W$3/$U$2),0)</f>
        <v>0</v>
      </c>
      <c r="AV259">
        <f>AV258*(1+'Real assumptions'!$B$35)^(1/12)</f>
        <v>1.2913612182390888</v>
      </c>
      <c r="AW259">
        <f t="shared" si="144"/>
        <v>2039</v>
      </c>
      <c r="AX259">
        <f t="shared" si="179"/>
        <v>244.80097577871516</v>
      </c>
      <c r="AY259">
        <f t="shared" si="180"/>
        <v>1.411095149086961</v>
      </c>
      <c r="AZ259">
        <f t="shared" si="145"/>
        <v>619.41512327270766</v>
      </c>
      <c r="BA259">
        <f t="shared" si="164"/>
        <v>4.140189717239827</v>
      </c>
      <c r="BB259">
        <f t="shared" si="165"/>
        <v>78.333333333333329</v>
      </c>
      <c r="BC259">
        <f t="shared" si="146"/>
        <v>47</v>
      </c>
      <c r="BD259">
        <f t="shared" si="166"/>
        <v>0</v>
      </c>
      <c r="BE259">
        <f t="shared" si="147"/>
        <v>24</v>
      </c>
      <c r="BF259">
        <f t="shared" si="181"/>
        <v>5000</v>
      </c>
      <c r="BU259"/>
      <c r="FD259"/>
      <c r="FE259"/>
    </row>
    <row r="260" spans="1:161" x14ac:dyDescent="0.25">
      <c r="A260" s="7">
        <f t="shared" si="167"/>
        <v>51013</v>
      </c>
      <c r="B260">
        <f t="shared" si="148"/>
        <v>249</v>
      </c>
      <c r="C260">
        <f t="shared" si="149"/>
        <v>20.666666666666668</v>
      </c>
      <c r="D260">
        <f t="shared" si="150"/>
        <v>0</v>
      </c>
      <c r="E260">
        <f t="shared" si="151"/>
        <v>72</v>
      </c>
      <c r="F260">
        <f>IF(C260&gt;=$T$2,0,VLOOKUP($E260,EKM_F05!$A$3:$C$128,2,TRUE))</f>
        <v>2.2985641025641022E-2</v>
      </c>
      <c r="G260">
        <f>F260*'Real assumptions'!$B$3</f>
        <v>9.5919079999999979E-3</v>
      </c>
      <c r="H260">
        <f t="shared" si="168"/>
        <v>8.0286142157670604E-4</v>
      </c>
      <c r="I260">
        <f t="shared" si="169"/>
        <v>2.6766870423518963E-4</v>
      </c>
      <c r="J260">
        <f>IF(B260&gt;$AJ$2,0,HLOOKUP(C260,'Real assumptions'!$B$5:$L$8,4,TRUE))</f>
        <v>3.7900000000000003E-2</v>
      </c>
      <c r="K260">
        <f t="shared" si="138"/>
        <v>1</v>
      </c>
      <c r="L260">
        <f t="shared" si="170"/>
        <v>8.3333333333333329E-2</v>
      </c>
      <c r="M260">
        <f t="shared" si="171"/>
        <v>3.2145624959929453E-3</v>
      </c>
      <c r="N260">
        <f t="shared" si="172"/>
        <v>1.073008348046993E-3</v>
      </c>
      <c r="O260" s="8">
        <f t="shared" si="152"/>
        <v>0.33258944901308796</v>
      </c>
      <c r="P260">
        <f t="shared" si="153"/>
        <v>8.0143230255688813</v>
      </c>
      <c r="Q260">
        <f t="shared" si="173"/>
        <v>1.3383435211759482</v>
      </c>
      <c r="R260" s="89">
        <f t="shared" si="139"/>
        <v>5000</v>
      </c>
      <c r="S260">
        <f t="shared" si="140"/>
        <v>0.25</v>
      </c>
      <c r="U260">
        <f>O259*AV259*'Real assumptions'!$B$33/12+AX260*'Real assumptions'!$B$34</f>
        <v>4.3795800975233687</v>
      </c>
      <c r="V260">
        <f>IF(P260=0,0,IF(E260&lt;=$C$7,$AN$5*O259,0))*'Real assumptions'!$D$28</f>
        <v>2.0035807563922203</v>
      </c>
      <c r="X260" s="94">
        <f t="shared" si="154"/>
        <v>0</v>
      </c>
      <c r="Y260">
        <f t="shared" si="141"/>
        <v>24</v>
      </c>
      <c r="Z260">
        <f t="shared" si="174"/>
        <v>78</v>
      </c>
      <c r="AA260">
        <f t="shared" si="142"/>
        <v>78.25</v>
      </c>
      <c r="AB260">
        <f t="shared" si="155"/>
        <v>50.505050505050505</v>
      </c>
      <c r="AC260">
        <f t="shared" si="175"/>
        <v>3952.0202020202019</v>
      </c>
      <c r="AD260">
        <f t="shared" si="156"/>
        <v>80.505050505050505</v>
      </c>
      <c r="AE260">
        <f t="shared" si="157"/>
        <v>314.9760101010101</v>
      </c>
      <c r="AF260" s="94">
        <f t="shared" si="158"/>
        <v>733.00378787878799</v>
      </c>
      <c r="AG260">
        <f t="shared" si="176"/>
        <v>0.78651918354400674</v>
      </c>
      <c r="AH260">
        <f t="shared" si="159"/>
        <v>243.78932593511249</v>
      </c>
      <c r="AI260">
        <f>HLOOKUP(AW260,'Real assumptions'!$A$21:$AK$24,2,TRUE)</f>
        <v>2.2315999999999998</v>
      </c>
      <c r="AJ260" s="123">
        <f t="shared" si="177"/>
        <v>1.8409125395499881E-3</v>
      </c>
      <c r="AK260" s="122">
        <f>(1+HLOOKUP(YEAR(A260),'Real assumptions'!$A$21:$AK$24,2,TRUE)/100)^(1/12)-1</f>
        <v>1.8409125395499881E-3</v>
      </c>
      <c r="AL260">
        <f t="shared" si="178"/>
        <v>4.3795800975233687</v>
      </c>
      <c r="AM260">
        <f>('Real assumptions'!$B$33/12)*O259*AV259</f>
        <v>4.3122441440250885</v>
      </c>
      <c r="AN260">
        <f t="shared" si="160"/>
        <v>248.03048054693059</v>
      </c>
      <c r="AO260">
        <f t="shared" si="182"/>
        <v>0.45660242182945393</v>
      </c>
      <c r="AP260" s="121">
        <f t="shared" si="161"/>
        <v>3.6013160847902603</v>
      </c>
      <c r="AQ260">
        <f t="shared" si="162"/>
        <v>0</v>
      </c>
      <c r="AR260">
        <v>0</v>
      </c>
      <c r="AS260">
        <f t="shared" si="143"/>
        <v>0</v>
      </c>
      <c r="AT260">
        <f t="shared" si="163"/>
        <v>0</v>
      </c>
      <c r="AU260">
        <f>IFERROR(HLOOKUP(B260,'Real assumptions'!$B$43:$AL$44,2,TRUE)*($W$3/$U$2),0)</f>
        <v>0</v>
      </c>
      <c r="AV260">
        <f>AV259*(1+'Real assumptions'!$B$35)^(1/12)</f>
        <v>1.2926987404744159</v>
      </c>
      <c r="AW260">
        <f t="shared" si="144"/>
        <v>2039</v>
      </c>
      <c r="AX260">
        <f t="shared" si="179"/>
        <v>245.80116744239254</v>
      </c>
      <c r="AY260">
        <f t="shared" si="180"/>
        <v>1.4054298235074498</v>
      </c>
      <c r="AZ260">
        <f t="shared" si="145"/>
        <v>620.06171180726062</v>
      </c>
      <c r="BA260">
        <f t="shared" si="164"/>
        <v>4.128443461112175</v>
      </c>
      <c r="BB260">
        <f t="shared" si="165"/>
        <v>78.25</v>
      </c>
      <c r="BC260">
        <f t="shared" si="146"/>
        <v>46.95</v>
      </c>
      <c r="BD260">
        <f t="shared" si="166"/>
        <v>0</v>
      </c>
      <c r="BE260">
        <f t="shared" si="147"/>
        <v>24</v>
      </c>
      <c r="BF260">
        <f t="shared" si="181"/>
        <v>5000</v>
      </c>
      <c r="BU260"/>
      <c r="FD260"/>
      <c r="FE260"/>
    </row>
    <row r="261" spans="1:161" x14ac:dyDescent="0.25">
      <c r="A261" s="7">
        <f t="shared" si="167"/>
        <v>51043</v>
      </c>
      <c r="B261">
        <f t="shared" si="148"/>
        <v>250</v>
      </c>
      <c r="C261">
        <f t="shared" si="149"/>
        <v>20.75</v>
      </c>
      <c r="D261">
        <f t="shared" si="150"/>
        <v>0</v>
      </c>
      <c r="E261">
        <f t="shared" si="151"/>
        <v>72</v>
      </c>
      <c r="F261">
        <f>IF(C261&gt;=$T$2,0,VLOOKUP($E261,EKM_F05!$A$3:$C$128,2,TRUE))</f>
        <v>2.2985641025641022E-2</v>
      </c>
      <c r="G261">
        <f>F261*'Real assumptions'!$B$3</f>
        <v>9.5919079999999979E-3</v>
      </c>
      <c r="H261">
        <f t="shared" si="168"/>
        <v>8.0286142157670604E-4</v>
      </c>
      <c r="I261">
        <f t="shared" si="169"/>
        <v>2.66594056393108E-4</v>
      </c>
      <c r="J261">
        <f>IF(B261&gt;$AJ$2,0,HLOOKUP(C261,'Real assumptions'!$B$5:$L$8,4,TRUE))</f>
        <v>3.7900000000000003E-2</v>
      </c>
      <c r="K261">
        <f t="shared" si="138"/>
        <v>1</v>
      </c>
      <c r="L261">
        <f t="shared" si="170"/>
        <v>8.3333333333333329E-2</v>
      </c>
      <c r="M261">
        <f t="shared" si="171"/>
        <v>3.2145624959929453E-3</v>
      </c>
      <c r="N261">
        <f t="shared" si="172"/>
        <v>1.0687003879174771E-3</v>
      </c>
      <c r="O261" s="8">
        <f t="shared" si="152"/>
        <v>0.33125415456877738</v>
      </c>
      <c r="P261">
        <f t="shared" si="153"/>
        <v>7.982146776314111</v>
      </c>
      <c r="Q261">
        <f t="shared" si="173"/>
        <v>1.33297028196554</v>
      </c>
      <c r="R261" s="89">
        <f t="shared" si="139"/>
        <v>5000</v>
      </c>
      <c r="S261">
        <f t="shared" si="140"/>
        <v>0.16666666666666785</v>
      </c>
      <c r="U261">
        <f>O260*AV260*'Real assumptions'!$B$33/12+AX261*'Real assumptions'!$B$34</f>
        <v>4.3669877976798253</v>
      </c>
      <c r="V261">
        <f>IF(P261=0,0,IF(E261&lt;=$C$7,$AN$5*O260,0))*'Real assumptions'!$D$28</f>
        <v>1.9955366940785277</v>
      </c>
      <c r="X261" s="94">
        <f t="shared" si="154"/>
        <v>0</v>
      </c>
      <c r="Y261">
        <f t="shared" si="141"/>
        <v>24</v>
      </c>
      <c r="Z261">
        <f t="shared" si="174"/>
        <v>78</v>
      </c>
      <c r="AA261">
        <f t="shared" si="142"/>
        <v>78.166666666666671</v>
      </c>
      <c r="AB261">
        <f t="shared" si="155"/>
        <v>50.505050505050505</v>
      </c>
      <c r="AC261">
        <f t="shared" si="175"/>
        <v>3947.811447811448</v>
      </c>
      <c r="AD261">
        <f t="shared" si="156"/>
        <v>80.505050505050505</v>
      </c>
      <c r="AE261">
        <f t="shared" si="157"/>
        <v>314.6405723905724</v>
      </c>
      <c r="AF261" s="94">
        <f t="shared" si="158"/>
        <v>737.54797979797956</v>
      </c>
      <c r="AG261">
        <f t="shared" si="176"/>
        <v>0.78821781211785236</v>
      </c>
      <c r="AH261">
        <f t="shared" si="159"/>
        <v>244.31583250188942</v>
      </c>
      <c r="AI261">
        <f>HLOOKUP(AW261,'Real assumptions'!$A$21:$AK$24,2,TRUE)</f>
        <v>2.2315999999999998</v>
      </c>
      <c r="AJ261" s="123">
        <f t="shared" si="177"/>
        <v>1.8409125395499881E-3</v>
      </c>
      <c r="AK261" s="122">
        <f>(1+HLOOKUP(YEAR(A261),'Real assumptions'!$A$21:$AK$24,2,TRUE)/100)^(1/12)-1</f>
        <v>1.8409125395499881E-3</v>
      </c>
      <c r="AL261">
        <f t="shared" si="178"/>
        <v>4.3669877976798253</v>
      </c>
      <c r="AM261">
        <f>('Real assumptions'!$B$33/12)*O260*AV260</f>
        <v>4.2993796183429884</v>
      </c>
      <c r="AN261">
        <f t="shared" si="160"/>
        <v>249.0102643044585</v>
      </c>
      <c r="AO261">
        <f t="shared" si="182"/>
        <v>0.45840611803473447</v>
      </c>
      <c r="AP261" s="121">
        <f t="shared" si="161"/>
        <v>4.0597222028249949</v>
      </c>
      <c r="AQ261">
        <f t="shared" si="162"/>
        <v>0</v>
      </c>
      <c r="AR261">
        <v>0</v>
      </c>
      <c r="AS261">
        <f t="shared" si="143"/>
        <v>0</v>
      </c>
      <c r="AT261">
        <f t="shared" si="163"/>
        <v>0</v>
      </c>
      <c r="AU261">
        <f>IFERROR(HLOOKUP(B261,'Real assumptions'!$B$43:$AL$44,2,TRUE)*($W$3/$U$2),0)</f>
        <v>0</v>
      </c>
      <c r="AV261">
        <f>AV260*(1+'Real assumptions'!$B$35)^(1/12)</f>
        <v>1.294037648043068</v>
      </c>
      <c r="AW261">
        <f t="shared" si="144"/>
        <v>2039</v>
      </c>
      <c r="AX261">
        <f t="shared" si="179"/>
        <v>246.79489256914528</v>
      </c>
      <c r="AY261">
        <f t="shared" si="180"/>
        <v>1.3997872433210772</v>
      </c>
      <c r="AZ261">
        <f t="shared" si="145"/>
        <v>620.70162537829378</v>
      </c>
      <c r="BA261">
        <f t="shared" si="164"/>
        <v>4.1167247881619202</v>
      </c>
      <c r="BB261">
        <f t="shared" si="165"/>
        <v>78.166666666666671</v>
      </c>
      <c r="BC261">
        <f t="shared" si="146"/>
        <v>46.900000000000006</v>
      </c>
      <c r="BD261">
        <f t="shared" si="166"/>
        <v>0</v>
      </c>
      <c r="BE261">
        <f t="shared" si="147"/>
        <v>24</v>
      </c>
      <c r="BF261">
        <f t="shared" si="181"/>
        <v>5000</v>
      </c>
      <c r="BU261"/>
      <c r="FD261"/>
      <c r="FE261"/>
    </row>
    <row r="262" spans="1:161" x14ac:dyDescent="0.25">
      <c r="A262" s="7">
        <f t="shared" si="167"/>
        <v>51074</v>
      </c>
      <c r="B262">
        <f t="shared" si="148"/>
        <v>251</v>
      </c>
      <c r="C262">
        <f t="shared" si="149"/>
        <v>20.833333333333332</v>
      </c>
      <c r="D262">
        <f t="shared" si="150"/>
        <v>0</v>
      </c>
      <c r="E262">
        <f t="shared" si="151"/>
        <v>72</v>
      </c>
      <c r="F262">
        <f>IF(C262&gt;=$T$2,0,VLOOKUP($E262,EKM_F05!$A$3:$C$128,2,TRUE))</f>
        <v>2.2985641025641022E-2</v>
      </c>
      <c r="G262">
        <f>F262*'Real assumptions'!$B$3</f>
        <v>9.5919079999999979E-3</v>
      </c>
      <c r="H262">
        <f t="shared" si="168"/>
        <v>8.0286142157670604E-4</v>
      </c>
      <c r="I262">
        <f t="shared" si="169"/>
        <v>2.6552372309346709E-4</v>
      </c>
      <c r="J262">
        <f>IF(B262&gt;$AJ$2,0,HLOOKUP(C262,'Real assumptions'!$B$5:$L$8,4,TRUE))</f>
        <v>3.7900000000000003E-2</v>
      </c>
      <c r="K262">
        <f t="shared" si="138"/>
        <v>1</v>
      </c>
      <c r="L262">
        <f t="shared" si="170"/>
        <v>8.3333333333333329E-2</v>
      </c>
      <c r="M262">
        <f t="shared" si="171"/>
        <v>3.2145624959929453E-3</v>
      </c>
      <c r="N262">
        <f t="shared" si="172"/>
        <v>1.0644097235718304E-3</v>
      </c>
      <c r="O262" s="8">
        <f t="shared" si="152"/>
        <v>0.32992422112211206</v>
      </c>
      <c r="P262">
        <f t="shared" si="153"/>
        <v>7.9500997096506572</v>
      </c>
      <c r="Q262">
        <f t="shared" si="173"/>
        <v>1.3276186154673355</v>
      </c>
      <c r="R262" s="89">
        <f t="shared" si="139"/>
        <v>5000</v>
      </c>
      <c r="S262">
        <f t="shared" si="140"/>
        <v>8.3333333333332149E-2</v>
      </c>
      <c r="U262">
        <f>O261*AV261*'Real assumptions'!$B$33/12+AX262*'Real assumptions'!$B$34</f>
        <v>4.3544321171117382</v>
      </c>
      <c r="V262">
        <f>IF(P262=0,0,IF(E262&lt;=$C$7,$AN$5*O261,0))*'Real assumptions'!$D$28</f>
        <v>1.9875249274126643</v>
      </c>
      <c r="X262" s="94">
        <f t="shared" si="154"/>
        <v>0</v>
      </c>
      <c r="Y262">
        <f t="shared" si="141"/>
        <v>24</v>
      </c>
      <c r="Z262">
        <f t="shared" si="174"/>
        <v>78</v>
      </c>
      <c r="AA262">
        <f t="shared" si="142"/>
        <v>78.083333333333329</v>
      </c>
      <c r="AB262">
        <f t="shared" si="155"/>
        <v>50.505050505050505</v>
      </c>
      <c r="AC262">
        <f t="shared" si="175"/>
        <v>3943.6026936026933</v>
      </c>
      <c r="AD262">
        <f t="shared" si="156"/>
        <v>80.505050505050505</v>
      </c>
      <c r="AE262">
        <f t="shared" si="157"/>
        <v>314.30513468013464</v>
      </c>
      <c r="AF262" s="94">
        <f t="shared" si="158"/>
        <v>742.09217171717205</v>
      </c>
      <c r="AG262">
        <f t="shared" si="176"/>
        <v>0.78989012336229436</v>
      </c>
      <c r="AH262">
        <f t="shared" si="159"/>
        <v>244.83418175460463</v>
      </c>
      <c r="AI262">
        <f>HLOOKUP(AW262,'Real assumptions'!$A$21:$AK$24,2,TRUE)</f>
        <v>2.2315999999999998</v>
      </c>
      <c r="AJ262" s="123">
        <f t="shared" si="177"/>
        <v>1.8409125395499881E-3</v>
      </c>
      <c r="AK262" s="122">
        <f>(1+HLOOKUP(YEAR(A262),'Real assumptions'!$A$21:$AK$24,2,TRUE)/100)^(1/12)-1</f>
        <v>1.8409125395499881E-3</v>
      </c>
      <c r="AL262">
        <f t="shared" si="178"/>
        <v>4.3544321171117382</v>
      </c>
      <c r="AM262">
        <f>('Real assumptions'!$B$33/12)*O261*AV261</f>
        <v>4.2865534708267559</v>
      </c>
      <c r="AN262">
        <f t="shared" si="160"/>
        <v>249.98369736984068</v>
      </c>
      <c r="AO262">
        <f t="shared" si="182"/>
        <v>0.46019812317120912</v>
      </c>
      <c r="AP262" s="121">
        <f t="shared" si="161"/>
        <v>4.5199203259962042</v>
      </c>
      <c r="AQ262">
        <f t="shared" si="162"/>
        <v>0</v>
      </c>
      <c r="AR262">
        <v>0</v>
      </c>
      <c r="AS262">
        <f t="shared" si="143"/>
        <v>0</v>
      </c>
      <c r="AT262">
        <f t="shared" si="163"/>
        <v>0</v>
      </c>
      <c r="AU262">
        <f>IFERROR(HLOOKUP(B262,'Real assumptions'!$B$43:$AL$44,2,TRUE)*($W$3/$U$2),0)</f>
        <v>0</v>
      </c>
      <c r="AV262">
        <f>AV261*(1+'Real assumptions'!$B$35)^(1/12)</f>
        <v>1.2953779423798981</v>
      </c>
      <c r="AW262">
        <f t="shared" si="144"/>
        <v>2039</v>
      </c>
      <c r="AX262">
        <f t="shared" si="179"/>
        <v>247.78219709451039</v>
      </c>
      <c r="AY262">
        <f t="shared" si="180"/>
        <v>1.3941673172086588</v>
      </c>
      <c r="AZ262">
        <f t="shared" si="145"/>
        <v>621.33491671006834</v>
      </c>
      <c r="BA262">
        <f t="shared" si="164"/>
        <v>4.1050336662422939</v>
      </c>
      <c r="BB262">
        <f t="shared" si="165"/>
        <v>78.083333333333329</v>
      </c>
      <c r="BC262">
        <f t="shared" si="146"/>
        <v>46.849999999999994</v>
      </c>
      <c r="BD262">
        <f t="shared" si="166"/>
        <v>0</v>
      </c>
      <c r="BE262">
        <f t="shared" si="147"/>
        <v>24</v>
      </c>
      <c r="BF262">
        <f t="shared" si="181"/>
        <v>5000</v>
      </c>
      <c r="BU262"/>
      <c r="FD262"/>
      <c r="FE262"/>
    </row>
    <row r="263" spans="1:161" x14ac:dyDescent="0.25">
      <c r="A263" s="7">
        <f t="shared" si="167"/>
        <v>51104</v>
      </c>
      <c r="B263">
        <f t="shared" si="148"/>
        <v>252</v>
      </c>
      <c r="C263">
        <f t="shared" si="149"/>
        <v>20.916666666666668</v>
      </c>
      <c r="D263">
        <f t="shared" si="150"/>
        <v>0</v>
      </c>
      <c r="E263">
        <f t="shared" si="151"/>
        <v>72</v>
      </c>
      <c r="F263">
        <f>IF(C263&gt;=$T$2,0,VLOOKUP($E263,EKM_F05!$A$3:$C$128,2,TRUE))</f>
        <v>2.2985641025641022E-2</v>
      </c>
      <c r="G263">
        <f>F263*'Real assumptions'!$B$3</f>
        <v>9.5919079999999979E-3</v>
      </c>
      <c r="H263">
        <f t="shared" si="168"/>
        <v>8.0286142157670604E-4</v>
      </c>
      <c r="I263">
        <f t="shared" si="169"/>
        <v>2.6445768701405606E-4</v>
      </c>
      <c r="J263">
        <f>IF(B263&gt;$AJ$2,0,HLOOKUP(C263,'Real assumptions'!$B$5:$L$8,4,TRUE))</f>
        <v>3.7900000000000003E-2</v>
      </c>
      <c r="K263">
        <f t="shared" si="138"/>
        <v>1</v>
      </c>
      <c r="L263">
        <f t="shared" si="170"/>
        <v>8.3333333333333329E-2</v>
      </c>
      <c r="M263">
        <f t="shared" si="171"/>
        <v>3.2145624959929453E-3</v>
      </c>
      <c r="N263">
        <f t="shared" si="172"/>
        <v>1.0601362855701948E-3</v>
      </c>
      <c r="O263" s="8">
        <f t="shared" si="152"/>
        <v>0.32859962714952784</v>
      </c>
      <c r="P263">
        <f t="shared" si="153"/>
        <v>7.9181813069306894</v>
      </c>
      <c r="Q263">
        <f t="shared" si="173"/>
        <v>1.3222884350702804</v>
      </c>
      <c r="R263" s="89">
        <f t="shared" si="139"/>
        <v>5000</v>
      </c>
      <c r="S263">
        <f t="shared" si="140"/>
        <v>1</v>
      </c>
      <c r="U263">
        <f>O262*AV262*'Real assumptions'!$B$33/12+AX263*'Real assumptions'!$B$34</f>
        <v>4.3419129538436652</v>
      </c>
      <c r="V263">
        <f>IF(P263=0,0,IF(E263&lt;=$C$7,$AN$5*O262,0))*'Real assumptions'!$D$28</f>
        <v>1.9795453267326724</v>
      </c>
      <c r="X263" s="94">
        <f t="shared" si="154"/>
        <v>0</v>
      </c>
      <c r="Y263">
        <f t="shared" si="141"/>
        <v>24</v>
      </c>
      <c r="Z263">
        <f t="shared" si="174"/>
        <v>78</v>
      </c>
      <c r="AA263">
        <f t="shared" si="142"/>
        <v>78</v>
      </c>
      <c r="AB263">
        <f t="shared" si="155"/>
        <v>50.505050505050505</v>
      </c>
      <c r="AC263">
        <f t="shared" si="175"/>
        <v>3939.3939393939395</v>
      </c>
      <c r="AD263">
        <f t="shared" si="156"/>
        <v>80.505050505050505</v>
      </c>
      <c r="AE263">
        <f t="shared" si="157"/>
        <v>313.96969696969694</v>
      </c>
      <c r="AF263" s="94">
        <f t="shared" si="158"/>
        <v>746.63636363636351</v>
      </c>
      <c r="AG263">
        <f t="shared" si="176"/>
        <v>0.79153630121709173</v>
      </c>
      <c r="AH263">
        <f t="shared" si="159"/>
        <v>245.34443070718834</v>
      </c>
      <c r="AI263">
        <f>HLOOKUP(AW263,'Real assumptions'!$A$21:$AK$24,2,TRUE)</f>
        <v>2.2315999999999998</v>
      </c>
      <c r="AJ263" s="123">
        <f t="shared" si="177"/>
        <v>1.8409125395499881E-3</v>
      </c>
      <c r="AK263" s="122">
        <f>(1+HLOOKUP(YEAR(A263),'Real assumptions'!$A$21:$AK$24,2,TRUE)/100)^(1/12)-1</f>
        <v>1.8409125395499881E-3</v>
      </c>
      <c r="AL263">
        <f t="shared" si="178"/>
        <v>4.3419129538436652</v>
      </c>
      <c r="AM263">
        <f>('Real assumptions'!$B$33/12)*O262*AV262</f>
        <v>4.2737655869845206</v>
      </c>
      <c r="AN263">
        <f t="shared" si="160"/>
        <v>250.95082510695516</v>
      </c>
      <c r="AO263">
        <f t="shared" si="182"/>
        <v>0.46197852074980977</v>
      </c>
      <c r="AP263" s="121">
        <f t="shared" si="161"/>
        <v>4.9818988467460139</v>
      </c>
      <c r="AQ263">
        <f t="shared" si="162"/>
        <v>0</v>
      </c>
      <c r="AR263">
        <v>0</v>
      </c>
      <c r="AS263">
        <f t="shared" si="143"/>
        <v>0</v>
      </c>
      <c r="AT263">
        <f t="shared" si="163"/>
        <v>0</v>
      </c>
      <c r="AU263">
        <f>IFERROR(HLOOKUP(B263,'Real assumptions'!$B$43:$AL$44,2,TRUE)*($W$3/$U$2),0)</f>
        <v>0</v>
      </c>
      <c r="AV263">
        <f>AV262*(1+'Real assumptions'!$B$35)^(1/12)</f>
        <v>1.2967196249212463</v>
      </c>
      <c r="AW263">
        <f t="shared" si="144"/>
        <v>2039</v>
      </c>
      <c r="AX263">
        <f t="shared" si="179"/>
        <v>248.76312670808579</v>
      </c>
      <c r="AY263">
        <f t="shared" si="180"/>
        <v>1.3885699542176433</v>
      </c>
      <c r="AZ263">
        <f t="shared" si="145"/>
        <v>621.96163823956715</v>
      </c>
      <c r="BA263">
        <f t="shared" si="164"/>
        <v>4.0933700630200445</v>
      </c>
      <c r="BB263">
        <f t="shared" si="165"/>
        <v>78</v>
      </c>
      <c r="BC263">
        <f t="shared" si="146"/>
        <v>46.8</v>
      </c>
      <c r="BD263">
        <f t="shared" si="166"/>
        <v>0</v>
      </c>
      <c r="BE263">
        <f t="shared" si="147"/>
        <v>24</v>
      </c>
      <c r="BF263">
        <f t="shared" si="181"/>
        <v>5000</v>
      </c>
      <c r="BU263"/>
      <c r="FD263"/>
      <c r="FE263"/>
    </row>
    <row r="264" spans="1:161" x14ac:dyDescent="0.25">
      <c r="A264" s="7">
        <f t="shared" si="167"/>
        <v>51135</v>
      </c>
      <c r="B264">
        <f t="shared" si="148"/>
        <v>253</v>
      </c>
      <c r="C264">
        <f t="shared" si="149"/>
        <v>21</v>
      </c>
      <c r="D264">
        <f t="shared" si="150"/>
        <v>1</v>
      </c>
      <c r="E264">
        <f t="shared" si="151"/>
        <v>73</v>
      </c>
      <c r="F264">
        <f>IF(C264&gt;=$T$2,0,VLOOKUP($E264,EKM_F05!$A$3:$C$128,2,TRUE))</f>
        <v>2.6098461538461539E-2</v>
      </c>
      <c r="G264">
        <f>F264*'Real assumptions'!$B$3</f>
        <v>1.0890888E-2</v>
      </c>
      <c r="H264">
        <f t="shared" si="168"/>
        <v>9.1213607271001251E-4</v>
      </c>
      <c r="I264">
        <f t="shared" si="169"/>
        <v>2.9924582689390796E-4</v>
      </c>
      <c r="J264">
        <f>IF(B264&gt;$AJ$2,0,HLOOKUP(C264,'Real assumptions'!$B$5:$L$8,4,TRUE))</f>
        <v>3.7900000000000003E-2</v>
      </c>
      <c r="K264">
        <f t="shared" si="138"/>
        <v>1</v>
      </c>
      <c r="L264">
        <f t="shared" si="170"/>
        <v>8.3333333333333329E-2</v>
      </c>
      <c r="M264">
        <f t="shared" si="171"/>
        <v>3.2145624959929453E-3</v>
      </c>
      <c r="N264">
        <f t="shared" si="172"/>
        <v>1.0558222911239005E-3</v>
      </c>
      <c r="O264" s="8">
        <f t="shared" si="152"/>
        <v>0.32724455903151006</v>
      </c>
      <c r="P264">
        <f t="shared" si="153"/>
        <v>7.8863910515886682</v>
      </c>
      <c r="Q264">
        <f t="shared" si="173"/>
        <v>1.4962291344695398</v>
      </c>
      <c r="R264" s="89">
        <f t="shared" si="139"/>
        <v>5000</v>
      </c>
      <c r="S264">
        <f t="shared" si="140"/>
        <v>0.91666666666666785</v>
      </c>
      <c r="U264">
        <f>O263*AV263*'Real assumptions'!$B$33/12+AX264*'Real assumptions'!$B$34</f>
        <v>4.3294302061746963</v>
      </c>
      <c r="V264">
        <f>IF(P264=0,0,IF(E264&lt;=$C$7,$AN$5*O263,0))*'Real assumptions'!$D$28</f>
        <v>1.971597762897167</v>
      </c>
      <c r="X264" s="94">
        <f t="shared" si="154"/>
        <v>0</v>
      </c>
      <c r="Y264">
        <f t="shared" si="141"/>
        <v>24</v>
      </c>
      <c r="Z264">
        <f t="shared" si="174"/>
        <v>78</v>
      </c>
      <c r="AA264">
        <f t="shared" si="142"/>
        <v>77.916666666666671</v>
      </c>
      <c r="AB264">
        <f t="shared" si="155"/>
        <v>50.505050505050505</v>
      </c>
      <c r="AC264">
        <f t="shared" si="175"/>
        <v>3935.1851851851852</v>
      </c>
      <c r="AD264">
        <f t="shared" si="156"/>
        <v>80.505050505050505</v>
      </c>
      <c r="AE264">
        <f t="shared" si="157"/>
        <v>313.63425925925924</v>
      </c>
      <c r="AF264" s="94">
        <f t="shared" si="158"/>
        <v>751.18055555555554</v>
      </c>
      <c r="AG264">
        <f t="shared" si="176"/>
        <v>0.79311317521439106</v>
      </c>
      <c r="AH264">
        <f t="shared" si="159"/>
        <v>245.81974965582253</v>
      </c>
      <c r="AI264">
        <f>HLOOKUP(AW264,'Real assumptions'!$A$21:$AK$24,2,TRUE)</f>
        <v>2.2315999999999998</v>
      </c>
      <c r="AJ264" s="123">
        <f t="shared" si="177"/>
        <v>1.8409125395499881E-3</v>
      </c>
      <c r="AK264" s="122">
        <f>(1+HLOOKUP(YEAR(A264),'Real assumptions'!$A$21:$AK$24,2,TRUE)/100)^(1/12)-1</f>
        <v>1.8409125395499881E-3</v>
      </c>
      <c r="AL264">
        <f t="shared" si="178"/>
        <v>4.3294302061746963</v>
      </c>
      <c r="AM264">
        <f>('Real assumptions'!$B$33/12)*O263*AV263</f>
        <v>4.2610158526659712</v>
      </c>
      <c r="AN264">
        <f t="shared" si="160"/>
        <v>251.91169263645119</v>
      </c>
      <c r="AO264">
        <f t="shared" si="182"/>
        <v>0.46374739383370539</v>
      </c>
      <c r="AP264" s="121">
        <f t="shared" si="161"/>
        <v>0</v>
      </c>
      <c r="AQ264">
        <f t="shared" si="162"/>
        <v>0</v>
      </c>
      <c r="AR264">
        <v>0</v>
      </c>
      <c r="AS264">
        <f t="shared" si="143"/>
        <v>0</v>
      </c>
      <c r="AT264">
        <f t="shared" si="163"/>
        <v>0</v>
      </c>
      <c r="AU264">
        <f>IFERROR(HLOOKUP(B264,'Real assumptions'!$B$43:$AL$44,2,TRUE)*($W$3/$U$2),0)</f>
        <v>0</v>
      </c>
      <c r="AV264">
        <f>AV263*(1+'Real assumptions'!$B$35)^(1/12)</f>
        <v>1.2980626971049396</v>
      </c>
      <c r="AW264">
        <f t="shared" si="144"/>
        <v>2039</v>
      </c>
      <c r="AX264">
        <f t="shared" si="179"/>
        <v>249.73772685479781</v>
      </c>
      <c r="AY264">
        <f t="shared" si="180"/>
        <v>1.382995063760639</v>
      </c>
      <c r="AZ264">
        <f t="shared" si="145"/>
        <v>622.40263599135426</v>
      </c>
      <c r="BA264">
        <f t="shared" si="164"/>
        <v>4.2609400725810982</v>
      </c>
      <c r="BB264">
        <f t="shared" si="165"/>
        <v>77.916666666666671</v>
      </c>
      <c r="BC264">
        <f t="shared" si="146"/>
        <v>46.75</v>
      </c>
      <c r="BD264">
        <f t="shared" si="166"/>
        <v>0</v>
      </c>
      <c r="BE264">
        <f t="shared" si="147"/>
        <v>24</v>
      </c>
      <c r="BF264">
        <f t="shared" si="181"/>
        <v>5000</v>
      </c>
      <c r="BU264"/>
      <c r="FD264"/>
      <c r="FE264"/>
    </row>
    <row r="265" spans="1:161" x14ac:dyDescent="0.25">
      <c r="A265" s="7">
        <f t="shared" si="167"/>
        <v>51166</v>
      </c>
      <c r="B265">
        <f t="shared" si="148"/>
        <v>254</v>
      </c>
      <c r="C265">
        <f t="shared" si="149"/>
        <v>21.083333333333332</v>
      </c>
      <c r="D265">
        <f t="shared" si="150"/>
        <v>0</v>
      </c>
      <c r="E265">
        <f t="shared" si="151"/>
        <v>73</v>
      </c>
      <c r="F265">
        <f>IF(C265&gt;=$T$2,0,VLOOKUP($E265,EKM_F05!$A$3:$C$128,2,TRUE))</f>
        <v>2.6098461538461539E-2</v>
      </c>
      <c r="G265">
        <f>F265*'Real assumptions'!$B$3</f>
        <v>1.0890888E-2</v>
      </c>
      <c r="H265">
        <f t="shared" si="168"/>
        <v>9.1213607271001251E-4</v>
      </c>
      <c r="I265">
        <f t="shared" si="169"/>
        <v>2.9801180699257291E-4</v>
      </c>
      <c r="J265">
        <f>IF(B265&gt;$AJ$2,0,HLOOKUP(C265,'Real assumptions'!$B$5:$L$8,4,TRUE))</f>
        <v>3.7900000000000003E-2</v>
      </c>
      <c r="K265">
        <f t="shared" si="138"/>
        <v>1</v>
      </c>
      <c r="L265">
        <f t="shared" si="170"/>
        <v>8.3333333333333329E-2</v>
      </c>
      <c r="M265">
        <f t="shared" si="171"/>
        <v>3.2145624959929453E-3</v>
      </c>
      <c r="N265">
        <f t="shared" si="172"/>
        <v>1.0514683265822932E-3</v>
      </c>
      <c r="O265" s="8">
        <f t="shared" si="152"/>
        <v>0.32589507889793518</v>
      </c>
      <c r="P265">
        <f t="shared" si="153"/>
        <v>7.8538694167562415</v>
      </c>
      <c r="Q265">
        <f t="shared" si="173"/>
        <v>1.4900590349628646</v>
      </c>
      <c r="R265" s="89">
        <f t="shared" si="139"/>
        <v>5000</v>
      </c>
      <c r="S265">
        <f t="shared" si="140"/>
        <v>0.83333333333333215</v>
      </c>
      <c r="U265">
        <f>O264*AV264*'Real assumptions'!$B$33/12+AX265*'Real assumptions'!$B$34</f>
        <v>4.3150200133749301</v>
      </c>
      <c r="V265">
        <f>IF(P265=0,0,IF(E265&lt;=$C$7,$AN$5*O264,0))*'Real assumptions'!$D$28</f>
        <v>1.9634673541890604</v>
      </c>
      <c r="X265" s="94">
        <f t="shared" si="154"/>
        <v>0</v>
      </c>
      <c r="Y265">
        <f t="shared" si="141"/>
        <v>24</v>
      </c>
      <c r="Z265">
        <f t="shared" si="174"/>
        <v>77</v>
      </c>
      <c r="AA265">
        <f t="shared" si="142"/>
        <v>77.833333333333329</v>
      </c>
      <c r="AB265">
        <f t="shared" si="155"/>
        <v>50.505050505050505</v>
      </c>
      <c r="AC265">
        <f t="shared" si="175"/>
        <v>3930.9764309764309</v>
      </c>
      <c r="AD265">
        <f t="shared" si="156"/>
        <v>80.505050505050505</v>
      </c>
      <c r="AE265">
        <f t="shared" si="157"/>
        <v>313.29882154882154</v>
      </c>
      <c r="AF265" s="94">
        <f t="shared" si="158"/>
        <v>755.72474747474757</v>
      </c>
      <c r="AG265">
        <f t="shared" si="176"/>
        <v>0.7946206355840989</v>
      </c>
      <c r="AH265">
        <f t="shared" si="159"/>
        <v>246.286976203405</v>
      </c>
      <c r="AI265">
        <f>HLOOKUP(AW265,'Real assumptions'!$A$21:$AK$24,2,TRUE)</f>
        <v>2.202</v>
      </c>
      <c r="AJ265" s="123">
        <f t="shared" si="177"/>
        <v>1.8167366918953043E-3</v>
      </c>
      <c r="AK265" s="122">
        <f>(1+HLOOKUP(YEAR(A265),'Real assumptions'!$A$21:$AK$24,2,TRUE)/100)^(1/12)-1</f>
        <v>1.8167366918953043E-3</v>
      </c>
      <c r="AL265">
        <f t="shared" si="178"/>
        <v>4.3150200133749301</v>
      </c>
      <c r="AM265">
        <f>('Real assumptions'!$B$33/12)*O264*AV264</f>
        <v>4.2478395490935856</v>
      </c>
      <c r="AN265">
        <f t="shared" si="160"/>
        <v>247.39513170501482</v>
      </c>
      <c r="AO265">
        <f t="shared" si="182"/>
        <v>0.44945181316477173</v>
      </c>
      <c r="AP265" s="121">
        <f t="shared" si="161"/>
        <v>0.44945181316477173</v>
      </c>
      <c r="AQ265">
        <f t="shared" si="162"/>
        <v>0</v>
      </c>
      <c r="AR265">
        <v>0</v>
      </c>
      <c r="AS265">
        <f t="shared" si="143"/>
        <v>0</v>
      </c>
      <c r="AT265">
        <f t="shared" si="163"/>
        <v>0</v>
      </c>
      <c r="AU265">
        <f>IFERROR(HLOOKUP(B265,'Real assumptions'!$B$43:$AL$44,2,TRUE)*($W$3/$U$2),0)</f>
        <v>0</v>
      </c>
      <c r="AV265">
        <f>AV264*(1+'Real assumptions'!$B$35)^(1/12)</f>
        <v>1.2994071603702946</v>
      </c>
      <c r="AW265">
        <f t="shared" si="144"/>
        <v>2040</v>
      </c>
      <c r="AX265">
        <f t="shared" si="179"/>
        <v>245.23357421674928</v>
      </c>
      <c r="AY265">
        <f t="shared" si="180"/>
        <v>1.377291915115783</v>
      </c>
      <c r="AZ265">
        <f t="shared" si="145"/>
        <v>622.82408007593733</v>
      </c>
      <c r="BA265">
        <f t="shared" si="164"/>
        <v>4.2481470247360242</v>
      </c>
      <c r="BB265">
        <f t="shared" si="165"/>
        <v>77.833333333333329</v>
      </c>
      <c r="BC265">
        <f t="shared" si="146"/>
        <v>46.699999999999996</v>
      </c>
      <c r="BD265">
        <f t="shared" si="166"/>
        <v>0</v>
      </c>
      <c r="BE265">
        <f t="shared" si="147"/>
        <v>24</v>
      </c>
      <c r="BF265">
        <f t="shared" si="181"/>
        <v>5000</v>
      </c>
      <c r="BU265"/>
      <c r="FD265"/>
      <c r="FE265"/>
    </row>
    <row r="266" spans="1:161" x14ac:dyDescent="0.25">
      <c r="A266" s="7">
        <f t="shared" si="167"/>
        <v>51195</v>
      </c>
      <c r="B266">
        <f t="shared" si="148"/>
        <v>255</v>
      </c>
      <c r="C266">
        <f t="shared" si="149"/>
        <v>21.166666666666668</v>
      </c>
      <c r="D266">
        <f t="shared" si="150"/>
        <v>0</v>
      </c>
      <c r="E266">
        <f t="shared" si="151"/>
        <v>73</v>
      </c>
      <c r="F266">
        <f>IF(C266&gt;=$T$2,0,VLOOKUP($E266,EKM_F05!$A$3:$C$128,2,TRUE))</f>
        <v>2.6098461538461539E-2</v>
      </c>
      <c r="G266">
        <f>F266*'Real assumptions'!$B$3</f>
        <v>1.0890888E-2</v>
      </c>
      <c r="H266">
        <f t="shared" si="168"/>
        <v>9.1213607271001251E-4</v>
      </c>
      <c r="I266">
        <f t="shared" si="169"/>
        <v>2.9678287590110587E-4</v>
      </c>
      <c r="J266">
        <f>IF(B266&gt;$AJ$2,0,HLOOKUP(C266,'Real assumptions'!$B$5:$L$8,4,TRUE))</f>
        <v>3.7900000000000003E-2</v>
      </c>
      <c r="K266">
        <f t="shared" si="138"/>
        <v>1</v>
      </c>
      <c r="L266">
        <f t="shared" si="170"/>
        <v>8.3333333333333329E-2</v>
      </c>
      <c r="M266">
        <f t="shared" si="171"/>
        <v>3.2145624959929453E-3</v>
      </c>
      <c r="N266">
        <f t="shared" si="172"/>
        <v>1.0471323167735879E-3</v>
      </c>
      <c r="O266" s="8">
        <f t="shared" si="152"/>
        <v>0.32455116370526044</v>
      </c>
      <c r="P266">
        <f t="shared" si="153"/>
        <v>7.8214818935504447</v>
      </c>
      <c r="Q266">
        <f t="shared" si="173"/>
        <v>1.4839143795055294</v>
      </c>
      <c r="R266" s="89">
        <f t="shared" si="139"/>
        <v>5000</v>
      </c>
      <c r="S266">
        <f t="shared" si="140"/>
        <v>0.75</v>
      </c>
      <c r="U266">
        <f>O265*AV265*'Real assumptions'!$B$33/12+AX266*'Real assumptions'!$B$34</f>
        <v>4.3021362362458619</v>
      </c>
      <c r="V266">
        <f>IF(P266=0,0,IF(E266&lt;=$C$7,$AN$5*O265,0))*'Real assumptions'!$D$28</f>
        <v>1.9553704733876112</v>
      </c>
      <c r="X266" s="94">
        <f t="shared" si="154"/>
        <v>0</v>
      </c>
      <c r="Y266">
        <f t="shared" si="141"/>
        <v>24</v>
      </c>
      <c r="Z266">
        <f t="shared" si="174"/>
        <v>77</v>
      </c>
      <c r="AA266">
        <f t="shared" si="142"/>
        <v>77.75</v>
      </c>
      <c r="AB266">
        <f t="shared" si="155"/>
        <v>50.505050505050505</v>
      </c>
      <c r="AC266">
        <f t="shared" si="175"/>
        <v>3926.7676767676767</v>
      </c>
      <c r="AD266">
        <f t="shared" si="156"/>
        <v>80.505050505050505</v>
      </c>
      <c r="AE266">
        <f t="shared" si="157"/>
        <v>312.96338383838383</v>
      </c>
      <c r="AF266" s="94">
        <f t="shared" si="158"/>
        <v>760.26893939393949</v>
      </c>
      <c r="AG266">
        <f t="shared" si="176"/>
        <v>0.79610217587857435</v>
      </c>
      <c r="AH266">
        <f t="shared" si="159"/>
        <v>246.74616900926719</v>
      </c>
      <c r="AI266">
        <f>HLOOKUP(AW266,'Real assumptions'!$A$21:$AK$24,2,TRUE)</f>
        <v>2.202</v>
      </c>
      <c r="AJ266" s="123">
        <f t="shared" si="177"/>
        <v>1.8167366918953043E-3</v>
      </c>
      <c r="AK266" s="122">
        <f>(1+HLOOKUP(YEAR(A266),'Real assumptions'!$A$21:$AK$24,2,TRUE)/100)^(1/12)-1</f>
        <v>1.8167366918953043E-3</v>
      </c>
      <c r="AL266">
        <f t="shared" si="178"/>
        <v>4.3021362362458619</v>
      </c>
      <c r="AM266">
        <f>('Real assumptions'!$B$33/12)*O265*AV265</f>
        <v>4.2347039904941903</v>
      </c>
      <c r="AN266">
        <f t="shared" si="160"/>
        <v>248.30040320048676</v>
      </c>
      <c r="AO266">
        <f t="shared" si="182"/>
        <v>0.45109645310672253</v>
      </c>
      <c r="AP266" s="121">
        <f t="shared" si="161"/>
        <v>0.90054826627149431</v>
      </c>
      <c r="AQ266">
        <f t="shared" si="162"/>
        <v>0</v>
      </c>
      <c r="AR266">
        <v>0</v>
      </c>
      <c r="AS266">
        <f t="shared" si="143"/>
        <v>0</v>
      </c>
      <c r="AT266">
        <f t="shared" si="163"/>
        <v>0</v>
      </c>
      <c r="AU266">
        <f>IFERROR(HLOOKUP(B266,'Real assumptions'!$B$43:$AL$44,2,TRUE)*($W$3/$U$2),0)</f>
        <v>0</v>
      </c>
      <c r="AV266">
        <f>AV265*(1+'Real assumptions'!$B$35)^(1/12)</f>
        <v>1.3007530161581187</v>
      </c>
      <c r="AW266">
        <f t="shared" si="144"/>
        <v>2040</v>
      </c>
      <c r="AX266">
        <f t="shared" si="179"/>
        <v>246.15266982810616</v>
      </c>
      <c r="AY266">
        <f t="shared" si="180"/>
        <v>1.3716122849239696</v>
      </c>
      <c r="AZ266">
        <f t="shared" si="145"/>
        <v>623.23954606334007</v>
      </c>
      <c r="BA266">
        <f t="shared" si="164"/>
        <v>4.235387028771715</v>
      </c>
      <c r="BB266">
        <f t="shared" si="165"/>
        <v>77.75</v>
      </c>
      <c r="BC266">
        <f t="shared" si="146"/>
        <v>46.65</v>
      </c>
      <c r="BD266">
        <f t="shared" si="166"/>
        <v>0</v>
      </c>
      <c r="BE266">
        <f t="shared" si="147"/>
        <v>24</v>
      </c>
      <c r="BF266">
        <f t="shared" si="181"/>
        <v>5000</v>
      </c>
      <c r="BU266"/>
      <c r="FD266"/>
      <c r="FE266"/>
    </row>
    <row r="267" spans="1:161" x14ac:dyDescent="0.25">
      <c r="A267" s="7">
        <f t="shared" si="167"/>
        <v>51226</v>
      </c>
      <c r="B267">
        <f t="shared" si="148"/>
        <v>256</v>
      </c>
      <c r="C267">
        <f t="shared" si="149"/>
        <v>21.25</v>
      </c>
      <c r="D267">
        <f t="shared" si="150"/>
        <v>0</v>
      </c>
      <c r="E267">
        <f t="shared" si="151"/>
        <v>73</v>
      </c>
      <c r="F267">
        <f>IF(C267&gt;=$T$2,0,VLOOKUP($E267,EKM_F05!$A$3:$C$128,2,TRUE))</f>
        <v>2.6098461538461539E-2</v>
      </c>
      <c r="G267">
        <f>F267*'Real assumptions'!$B$3</f>
        <v>1.0890888E-2</v>
      </c>
      <c r="H267">
        <f t="shared" si="168"/>
        <v>9.1213607271001251E-4</v>
      </c>
      <c r="I267">
        <f t="shared" si="169"/>
        <v>2.955590126344436E-4</v>
      </c>
      <c r="J267">
        <f>IF(B267&gt;$AJ$2,0,HLOOKUP(C267,'Real assumptions'!$B$5:$L$8,4,TRUE))</f>
        <v>3.7900000000000003E-2</v>
      </c>
      <c r="K267">
        <f t="shared" si="138"/>
        <v>1</v>
      </c>
      <c r="L267">
        <f t="shared" si="170"/>
        <v>8.3333333333333329E-2</v>
      </c>
      <c r="M267">
        <f t="shared" si="171"/>
        <v>3.2145624959929453E-3</v>
      </c>
      <c r="N267">
        <f t="shared" si="172"/>
        <v>1.0428141876566602E-3</v>
      </c>
      <c r="O267" s="8">
        <f t="shared" si="152"/>
        <v>0.32321279050496932</v>
      </c>
      <c r="P267">
        <f t="shared" si="153"/>
        <v>7.78922792892625</v>
      </c>
      <c r="Q267">
        <f t="shared" si="173"/>
        <v>1.4777950631722181</v>
      </c>
      <c r="R267" s="89">
        <f t="shared" si="139"/>
        <v>5000</v>
      </c>
      <c r="S267">
        <f t="shared" si="140"/>
        <v>0.66666666666666785</v>
      </c>
      <c r="U267">
        <f>O266*AV266*'Real assumptions'!$B$33/12+AX267*'Real assumptions'!$B$34</f>
        <v>4.28929132510246</v>
      </c>
      <c r="V267">
        <f>IF(P267=0,0,IF(E267&lt;=$C$7,$AN$5*O266,0))*'Real assumptions'!$D$28</f>
        <v>1.9473069822315625</v>
      </c>
      <c r="X267" s="94">
        <f t="shared" si="154"/>
        <v>0</v>
      </c>
      <c r="Y267">
        <f t="shared" si="141"/>
        <v>24</v>
      </c>
      <c r="Z267">
        <f t="shared" si="174"/>
        <v>77</v>
      </c>
      <c r="AA267">
        <f t="shared" si="142"/>
        <v>77.666666666666671</v>
      </c>
      <c r="AB267">
        <f t="shared" si="155"/>
        <v>50.505050505050505</v>
      </c>
      <c r="AC267">
        <f t="shared" si="175"/>
        <v>3922.5589225589229</v>
      </c>
      <c r="AD267">
        <f t="shared" si="156"/>
        <v>80.505050505050505</v>
      </c>
      <c r="AE267">
        <f t="shared" si="157"/>
        <v>312.62794612794613</v>
      </c>
      <c r="AF267" s="94">
        <f t="shared" si="158"/>
        <v>764.81313131313095</v>
      </c>
      <c r="AG267">
        <f t="shared" si="176"/>
        <v>0.79755798423944924</v>
      </c>
      <c r="AH267">
        <f t="shared" si="159"/>
        <v>247.19738638656059</v>
      </c>
      <c r="AI267">
        <f>HLOOKUP(AW267,'Real assumptions'!$A$21:$AK$24,2,TRUE)</f>
        <v>2.202</v>
      </c>
      <c r="AJ267" s="123">
        <f t="shared" si="177"/>
        <v>1.8167366918953043E-3</v>
      </c>
      <c r="AK267" s="122">
        <f>(1+HLOOKUP(YEAR(A267),'Real assumptions'!$A$21:$AK$24,2,TRUE)/100)^(1/12)-1</f>
        <v>1.8167366918953043E-3</v>
      </c>
      <c r="AL267">
        <f t="shared" si="178"/>
        <v>4.28929132510246</v>
      </c>
      <c r="AM267">
        <f>('Real assumptions'!$B$33/12)*O266*AV266</f>
        <v>4.2216090508724484</v>
      </c>
      <c r="AN267">
        <f t="shared" si="160"/>
        <v>249.19934689713091</v>
      </c>
      <c r="AO267">
        <f t="shared" si="182"/>
        <v>0.45272959710436395</v>
      </c>
      <c r="AP267" s="121">
        <f t="shared" si="161"/>
        <v>1.3532778633758582</v>
      </c>
      <c r="AQ267">
        <f t="shared" si="162"/>
        <v>0</v>
      </c>
      <c r="AR267">
        <v>0</v>
      </c>
      <c r="AS267">
        <f t="shared" si="143"/>
        <v>0</v>
      </c>
      <c r="AT267">
        <f t="shared" si="163"/>
        <v>0</v>
      </c>
      <c r="AU267">
        <f>IFERROR(HLOOKUP(B267,'Real assumptions'!$B$43:$AL$44,2,TRUE)*($W$3/$U$2),0)</f>
        <v>0</v>
      </c>
      <c r="AV267">
        <f>AV266*(1+'Real assumptions'!$B$35)^(1/12)</f>
        <v>1.3021002659107113</v>
      </c>
      <c r="AW267">
        <f t="shared" si="144"/>
        <v>2040</v>
      </c>
      <c r="AX267">
        <f t="shared" si="179"/>
        <v>247.06536636950773</v>
      </c>
      <c r="AY267">
        <f t="shared" si="180"/>
        <v>1.3659560762005909</v>
      </c>
      <c r="AZ267">
        <f t="shared" si="145"/>
        <v>623.64908478869415</v>
      </c>
      <c r="BA267">
        <f t="shared" si="164"/>
        <v>4.2226600296432295</v>
      </c>
      <c r="BB267">
        <f t="shared" si="165"/>
        <v>77.666666666666671</v>
      </c>
      <c r="BC267">
        <f t="shared" si="146"/>
        <v>46.6</v>
      </c>
      <c r="BD267">
        <f t="shared" si="166"/>
        <v>0</v>
      </c>
      <c r="BE267">
        <f t="shared" si="147"/>
        <v>24</v>
      </c>
      <c r="BF267">
        <f t="shared" si="181"/>
        <v>5000</v>
      </c>
      <c r="BU267"/>
      <c r="FD267"/>
      <c r="FE267"/>
    </row>
    <row r="268" spans="1:161" x14ac:dyDescent="0.25">
      <c r="A268" s="7">
        <f t="shared" si="167"/>
        <v>51256</v>
      </c>
      <c r="B268">
        <f t="shared" si="148"/>
        <v>257</v>
      </c>
      <c r="C268">
        <f t="shared" si="149"/>
        <v>21.333333333333332</v>
      </c>
      <c r="D268">
        <f t="shared" si="150"/>
        <v>0</v>
      </c>
      <c r="E268">
        <f t="shared" si="151"/>
        <v>73</v>
      </c>
      <c r="F268">
        <f>IF(C268&gt;=$T$2,0,VLOOKUP($E268,EKM_F05!$A$3:$C$128,2,TRUE))</f>
        <v>2.6098461538461539E-2</v>
      </c>
      <c r="G268">
        <f>F268*'Real assumptions'!$B$3</f>
        <v>1.0890888E-2</v>
      </c>
      <c r="H268">
        <f t="shared" si="168"/>
        <v>9.1213607271001251E-4</v>
      </c>
      <c r="I268">
        <f t="shared" si="169"/>
        <v>2.9434019629406008E-4</v>
      </c>
      <c r="J268">
        <f>IF(B268&gt;$AJ$2,0,HLOOKUP(C268,'Real assumptions'!$B$5:$L$8,4,TRUE))</f>
        <v>3.7900000000000003E-2</v>
      </c>
      <c r="K268">
        <f t="shared" ref="K268:K331" si="183">IF(B268&gt;$AJ$2,0,IF(($U$2*(B268+11))/12-INT(($U$2*(B268+11))/12)=0,1,0))</f>
        <v>1</v>
      </c>
      <c r="L268">
        <f t="shared" si="170"/>
        <v>8.3333333333333329E-2</v>
      </c>
      <c r="M268">
        <f t="shared" si="171"/>
        <v>3.2145624959929453E-3</v>
      </c>
      <c r="N268">
        <f t="shared" si="172"/>
        <v>1.0385138654957127E-3</v>
      </c>
      <c r="O268" s="8">
        <f t="shared" si="152"/>
        <v>0.32187993644317958</v>
      </c>
      <c r="P268">
        <f t="shared" si="153"/>
        <v>7.7571069721192636</v>
      </c>
      <c r="Q268">
        <f t="shared" si="173"/>
        <v>1.4717009814703004</v>
      </c>
      <c r="R268" s="89">
        <f t="shared" ref="R268:R331" si="184">$AI$2</f>
        <v>5000</v>
      </c>
      <c r="S268">
        <f t="shared" ref="S268:S331" si="185">INT(B268/12)+1-B268/12</f>
        <v>0.58333333333333215</v>
      </c>
      <c r="U268">
        <f>O267*AV267*'Real assumptions'!$B$33/12+AX268*'Real assumptions'!$B$34</f>
        <v>4.2764851671755926</v>
      </c>
      <c r="V268">
        <f>IF(P268=0,0,IF(E268&lt;=$C$7,$AN$5*O267,0))*'Real assumptions'!$D$28</f>
        <v>1.9392767430298159</v>
      </c>
      <c r="X268" s="94">
        <f t="shared" si="154"/>
        <v>0</v>
      </c>
      <c r="Y268">
        <f t="shared" ref="Y268:Y331" si="186">IF(P268=0,0,$AN$5)</f>
        <v>24</v>
      </c>
      <c r="Z268">
        <f t="shared" si="174"/>
        <v>77</v>
      </c>
      <c r="AA268">
        <f t="shared" ref="AA268:AA331" si="187">99-(B268/12)</f>
        <v>77.583333333333329</v>
      </c>
      <c r="AB268">
        <f t="shared" si="155"/>
        <v>50.505050505050505</v>
      </c>
      <c r="AC268">
        <f t="shared" si="175"/>
        <v>3918.3501683501681</v>
      </c>
      <c r="AD268">
        <f t="shared" si="156"/>
        <v>80.505050505050505</v>
      </c>
      <c r="AE268">
        <f t="shared" si="157"/>
        <v>312.29250841750837</v>
      </c>
      <c r="AF268" s="94">
        <f t="shared" si="158"/>
        <v>769.35732323232355</v>
      </c>
      <c r="AG268">
        <f t="shared" si="176"/>
        <v>0.79898824769743482</v>
      </c>
      <c r="AH268">
        <f t="shared" si="159"/>
        <v>247.64068630411506</v>
      </c>
      <c r="AI268">
        <f>HLOOKUP(AW268,'Real assumptions'!$A$21:$AK$24,2,TRUE)</f>
        <v>2.202</v>
      </c>
      <c r="AJ268" s="123">
        <f t="shared" si="177"/>
        <v>1.8167366918953043E-3</v>
      </c>
      <c r="AK268" s="122">
        <f>(1+HLOOKUP(YEAR(A268),'Real assumptions'!$A$21:$AK$24,2,TRUE)/100)^(1/12)-1</f>
        <v>1.8167366918953043E-3</v>
      </c>
      <c r="AL268">
        <f t="shared" si="178"/>
        <v>4.2764851671755926</v>
      </c>
      <c r="AM268">
        <f>('Real assumptions'!$B$33/12)*O267*AV267</f>
        <v>4.2085546046226359</v>
      </c>
      <c r="AN268">
        <f t="shared" si="160"/>
        <v>250.09200931185029</v>
      </c>
      <c r="AO268">
        <f t="shared" si="182"/>
        <v>0.45435132966666053</v>
      </c>
      <c r="AP268" s="121">
        <f t="shared" si="161"/>
        <v>1.8076291930425188</v>
      </c>
      <c r="AQ268">
        <f t="shared" si="162"/>
        <v>0</v>
      </c>
      <c r="AR268">
        <v>0</v>
      </c>
      <c r="AS268">
        <f t="shared" ref="AS268:AS331" si="188">IF(B268&gt;$B$12,IF(B268&lt;=$AJ$2,AT268,0),0)</f>
        <v>0</v>
      </c>
      <c r="AT268">
        <f t="shared" si="163"/>
        <v>0</v>
      </c>
      <c r="AU268">
        <f>IFERROR(HLOOKUP(B268,'Real assumptions'!$B$43:$AL$44,2,TRUE)*($W$3/$U$2),0)</f>
        <v>0</v>
      </c>
      <c r="AV268">
        <f>AV267*(1+'Real assumptions'!$B$35)^(1/12)</f>
        <v>1.3034489110718659</v>
      </c>
      <c r="AW268">
        <f t="shared" ref="AW268:AW331" si="189">YEAR(A268)</f>
        <v>2040</v>
      </c>
      <c r="AX268">
        <f t="shared" si="179"/>
        <v>247.97171069926765</v>
      </c>
      <c r="AY268">
        <f t="shared" si="180"/>
        <v>1.360323192360982</v>
      </c>
      <c r="AZ268">
        <f t="shared" ref="AZ268:AZ331" si="190">(AZ269+BA269-P269+U269+AQ269)/((1+AJ269))</f>
        <v>624.05274679664285</v>
      </c>
      <c r="BA268">
        <f t="shared" si="164"/>
        <v>4.2099659721975513</v>
      </c>
      <c r="BB268">
        <f t="shared" si="165"/>
        <v>77.583333333333329</v>
      </c>
      <c r="BC268">
        <f t="shared" ref="BC268:BC331" si="191">$AQ$5*BB268+IF($W$3=0,0,$AP$5*AA268)</f>
        <v>46.55</v>
      </c>
      <c r="BD268">
        <f t="shared" si="166"/>
        <v>0</v>
      </c>
      <c r="BE268">
        <f t="shared" ref="BE268:BE331" si="192">IF(B268=1,$AR$5,IF(P268=0,0,$W$3/$U$2))</f>
        <v>24</v>
      </c>
      <c r="BF268">
        <f t="shared" si="181"/>
        <v>5000</v>
      </c>
      <c r="BU268"/>
      <c r="FD268"/>
      <c r="FE268"/>
    </row>
    <row r="269" spans="1:161" x14ac:dyDescent="0.25">
      <c r="A269" s="7">
        <f t="shared" si="167"/>
        <v>51287</v>
      </c>
      <c r="B269">
        <f t="shared" ref="B269:B332" si="193">B268+1</f>
        <v>258</v>
      </c>
      <c r="C269">
        <f t="shared" ref="C269:C332" si="194">(B269+11)/12-1</f>
        <v>21.416666666666668</v>
      </c>
      <c r="D269">
        <f t="shared" ref="D269:D332" si="195">IF(C269-INT(C269)=0,1,0)</f>
        <v>0</v>
      </c>
      <c r="E269">
        <f t="shared" ref="E269:E332" si="196">$C$2+INT($C269)</f>
        <v>73</v>
      </c>
      <c r="F269">
        <f>IF(C269&gt;=$T$2,0,VLOOKUP($E269,EKM_F05!$A$3:$C$128,2,TRUE))</f>
        <v>2.6098461538461539E-2</v>
      </c>
      <c r="G269">
        <f>F269*'Real assumptions'!$B$3</f>
        <v>1.0890888E-2</v>
      </c>
      <c r="H269">
        <f t="shared" si="168"/>
        <v>9.1213607271001251E-4</v>
      </c>
      <c r="I269">
        <f t="shared" si="169"/>
        <v>2.9312640606761025E-4</v>
      </c>
      <c r="J269">
        <f>IF(B269&gt;$AJ$2,0,HLOOKUP(C269,'Real assumptions'!$B$5:$L$8,4,TRUE))</f>
        <v>3.7900000000000003E-2</v>
      </c>
      <c r="K269">
        <f t="shared" si="183"/>
        <v>1</v>
      </c>
      <c r="L269">
        <f t="shared" si="170"/>
        <v>8.3333333333333329E-2</v>
      </c>
      <c r="M269">
        <f t="shared" si="171"/>
        <v>3.2145624959929453E-3</v>
      </c>
      <c r="N269">
        <f t="shared" si="172"/>
        <v>1.034231276859018E-3</v>
      </c>
      <c r="O269" s="8">
        <f t="shared" ref="O269:O332" si="197">IF(E270&gt;$C$5,0,IF(B269&gt;$AJ$2,0,O268-I269-N269))</f>
        <v>0.32055257876025295</v>
      </c>
      <c r="P269">
        <f t="shared" ref="P269:P332" si="198">IF($U$2=0,0,$W$3/$U$2*K269*O268)</f>
        <v>7.72511847463631</v>
      </c>
      <c r="Q269">
        <f t="shared" si="173"/>
        <v>1.4656320303380512</v>
      </c>
      <c r="R269" s="89">
        <f t="shared" si="184"/>
        <v>5000</v>
      </c>
      <c r="S269">
        <f t="shared" si="185"/>
        <v>0.5</v>
      </c>
      <c r="U269">
        <f>O268*AV268*'Real assumptions'!$B$33/12+AX269*'Real assumptions'!$B$34</f>
        <v>4.2637176500133149</v>
      </c>
      <c r="V269">
        <f>IF(P269=0,0,IF(E269&lt;=$C$7,$AN$5*O268,0))*'Real assumptions'!$D$28</f>
        <v>1.9312796186590775</v>
      </c>
      <c r="X269" s="94">
        <f t="shared" ref="X269:X332" si="199">IF($U$2=12,0,IF($AM$2&lt;&gt;0,0,X268+Y269-($AN$5*($U$2/12))))</f>
        <v>0</v>
      </c>
      <c r="Y269">
        <f t="shared" si="186"/>
        <v>24</v>
      </c>
      <c r="Z269">
        <f t="shared" si="174"/>
        <v>77</v>
      </c>
      <c r="AA269">
        <f t="shared" si="187"/>
        <v>77.5</v>
      </c>
      <c r="AB269">
        <f t="shared" ref="AB269:AB332" si="200">IF($AM$2&lt;&gt;0,0,R269/99)</f>
        <v>50.505050505050505</v>
      </c>
      <c r="AC269">
        <f t="shared" si="175"/>
        <v>3914.1414141414143</v>
      </c>
      <c r="AD269">
        <f t="shared" ref="AD269:AD332" si="201">IF($AM$2&lt;&gt;0,0,AB269+$Q$4*$AI$2+$Q$5*$AI$2)</f>
        <v>80.505050505050505</v>
      </c>
      <c r="AE269">
        <f t="shared" ref="AE269:AE332" si="202">MIN($C$6*AD269*AA269,$AI$2-AC269+BD269)</f>
        <v>311.95707070707067</v>
      </c>
      <c r="AF269" s="94">
        <f t="shared" ref="AF269:AF332" si="203">MAX(($AI$2+$Y$2-AC269-AE269+X269+BD269),0)</f>
        <v>773.90151515151501</v>
      </c>
      <c r="AG269">
        <f t="shared" si="176"/>
        <v>0.80039315217828</v>
      </c>
      <c r="AH269">
        <f t="shared" ref="AH269:AH332" si="204">AF269*O269</f>
        <v>248.0761263882851</v>
      </c>
      <c r="AI269">
        <f>HLOOKUP(AW269,'Real assumptions'!$A$21:$AK$24,2,TRUE)</f>
        <v>2.202</v>
      </c>
      <c r="AJ269" s="123">
        <f t="shared" si="177"/>
        <v>1.8167366918953043E-3</v>
      </c>
      <c r="AK269" s="122">
        <f>(1+HLOOKUP(YEAR(A269),'Real assumptions'!$A$21:$AK$24,2,TRUE)/100)^(1/12)-1</f>
        <v>1.8167366918953043E-3</v>
      </c>
      <c r="AL269">
        <f t="shared" si="178"/>
        <v>4.2637176500133149</v>
      </c>
      <c r="AM269">
        <f>('Real assumptions'!$B$33/12)*O268*AV268</f>
        <v>4.1955405265274379</v>
      </c>
      <c r="AN269">
        <f t="shared" ref="AN269:AN332" si="205">AP268+P269+AH268-V269-AL269</f>
        <v>250.97843670312147</v>
      </c>
      <c r="AO269">
        <f t="shared" si="182"/>
        <v>0.45596173483308394</v>
      </c>
      <c r="AP269" s="121">
        <f t="shared" ref="AP269:AP332" si="206">IF(MONTH(A269)=12,0,AP268+AO269)</f>
        <v>2.2635909278756028</v>
      </c>
      <c r="AQ269">
        <f t="shared" ref="AQ269:AQ332" si="207">IF(P269=0,0,AR269+AS269)</f>
        <v>0</v>
      </c>
      <c r="AR269">
        <v>0</v>
      </c>
      <c r="AS269">
        <f t="shared" si="188"/>
        <v>0</v>
      </c>
      <c r="AT269">
        <f t="shared" ref="AT269:AT332" si="208">IF(OR(B269&lt;=$B$12,B269&gt;$AJ$2),0,AU269*O268)</f>
        <v>0</v>
      </c>
      <c r="AU269">
        <f>IFERROR(HLOOKUP(B269,'Real assumptions'!$B$43:$AL$44,2,TRUE)*($W$3/$U$2),0)</f>
        <v>0</v>
      </c>
      <c r="AV269">
        <f>AV268*(1+'Real assumptions'!$B$35)^(1/12)</f>
        <v>1.3047989530868715</v>
      </c>
      <c r="AW269">
        <f t="shared" si="189"/>
        <v>2040</v>
      </c>
      <c r="AX269">
        <f t="shared" si="179"/>
        <v>248.87174941571726</v>
      </c>
      <c r="AY269">
        <f t="shared" si="180"/>
        <v>1.3547135372187691</v>
      </c>
      <c r="AZ269">
        <f t="shared" si="190"/>
        <v>624.45058234287399</v>
      </c>
      <c r="BA269">
        <f t="shared" ref="BA269:BA332" si="209">AG269+V269+Q269</f>
        <v>4.1973048011754086</v>
      </c>
      <c r="BB269">
        <f t="shared" ref="BB269:BB332" si="210">Z270+IF(S269=1,0,S269)</f>
        <v>77.5</v>
      </c>
      <c r="BC269">
        <f t="shared" si="191"/>
        <v>46.5</v>
      </c>
      <c r="BD269">
        <f t="shared" ref="BD269:BD332" si="211">(BC269/100)*($AI$2+$Y$2)-AA269*(AD269-AB269)</f>
        <v>0</v>
      </c>
      <c r="BE269">
        <f t="shared" si="192"/>
        <v>24</v>
      </c>
      <c r="BF269">
        <f t="shared" si="181"/>
        <v>5000</v>
      </c>
      <c r="BU269"/>
      <c r="FD269"/>
      <c r="FE269"/>
    </row>
    <row r="270" spans="1:161" x14ac:dyDescent="0.25">
      <c r="A270" s="7">
        <f t="shared" ref="A270:A333" si="212">DATE(YEAR(A269),MONTH(A269)+2,1)-1</f>
        <v>51317</v>
      </c>
      <c r="B270">
        <f t="shared" si="193"/>
        <v>259</v>
      </c>
      <c r="C270">
        <f t="shared" si="194"/>
        <v>21.5</v>
      </c>
      <c r="D270">
        <f t="shared" si="195"/>
        <v>0</v>
      </c>
      <c r="E270">
        <f t="shared" si="196"/>
        <v>73</v>
      </c>
      <c r="F270">
        <f>IF(C270&gt;=$T$2,0,VLOOKUP($E270,EKM_F05!$A$3:$C$128,2,TRUE))</f>
        <v>2.6098461538461539E-2</v>
      </c>
      <c r="G270">
        <f>F270*'Real assumptions'!$B$3</f>
        <v>1.0890888E-2</v>
      </c>
      <c r="H270">
        <f t="shared" ref="H270:H333" si="213">(1-(1-G270)^(1/12))</f>
        <v>9.1213607271001251E-4</v>
      </c>
      <c r="I270">
        <f t="shared" ref="I270:I333" si="214">H270*O269*(1-M270/2)</f>
        <v>2.9191762122857384E-4</v>
      </c>
      <c r="J270">
        <f>IF(B270&gt;$AJ$2,0,HLOOKUP(C270,'Real assumptions'!$B$5:$L$8,4,TRUE))</f>
        <v>3.7900000000000003E-2</v>
      </c>
      <c r="K270">
        <f t="shared" si="183"/>
        <v>1</v>
      </c>
      <c r="L270">
        <f t="shared" ref="L270:L333" si="215">IF(B270&gt;$AJ$2,0,1/12)</f>
        <v>8.3333333333333329E-2</v>
      </c>
      <c r="M270">
        <f t="shared" ref="M270:M333" si="216">(1-(1-J270)^L270)</f>
        <v>3.2145624959929453E-3</v>
      </c>
      <c r="N270">
        <f t="shared" ref="N270:N333" si="217">M270*O269*(1-H270/2)</f>
        <v>1.0299663486176636E-3</v>
      </c>
      <c r="O270" s="8">
        <f t="shared" si="197"/>
        <v>0.31923069479040667</v>
      </c>
      <c r="P270">
        <f t="shared" si="198"/>
        <v>7.6932618902460703</v>
      </c>
      <c r="Q270">
        <f t="shared" ref="Q270:Q333" si="218">BF270*I270</f>
        <v>1.4595881061428693</v>
      </c>
      <c r="R270" s="89">
        <f t="shared" si="184"/>
        <v>5000</v>
      </c>
      <c r="S270">
        <f t="shared" si="185"/>
        <v>0.41666666666666785</v>
      </c>
      <c r="U270">
        <f>O269*AV269*'Real assumptions'!$B$33/12+AX270*'Real assumptions'!$B$34</f>
        <v>4.2509886614800507</v>
      </c>
      <c r="V270">
        <f>IF(P270=0,0,IF(E270&lt;=$C$7,$AN$5*O269,0))*'Real assumptions'!$D$28</f>
        <v>1.9233154725615176</v>
      </c>
      <c r="X270" s="94">
        <f t="shared" si="199"/>
        <v>0</v>
      </c>
      <c r="Y270">
        <f t="shared" si="186"/>
        <v>24</v>
      </c>
      <c r="Z270">
        <f t="shared" ref="Z270:Z333" si="219">IF(S268=1,Z269-1,Z269)</f>
        <v>77</v>
      </c>
      <c r="AA270">
        <f t="shared" si="187"/>
        <v>77.416666666666671</v>
      </c>
      <c r="AB270">
        <f t="shared" si="200"/>
        <v>50.505050505050505</v>
      </c>
      <c r="AC270">
        <f t="shared" ref="AC270:AC333" si="220">AB270*AA270</f>
        <v>3909.93265993266</v>
      </c>
      <c r="AD270">
        <f t="shared" si="201"/>
        <v>80.505050505050505</v>
      </c>
      <c r="AE270">
        <f t="shared" si="202"/>
        <v>311.62163299663302</v>
      </c>
      <c r="AF270" s="94">
        <f t="shared" si="203"/>
        <v>778.44570707070693</v>
      </c>
      <c r="AG270">
        <f t="shared" ref="AG270:AG333" si="221">IF(B270&lt;=$C$8,0,AF270*N270)</f>
        <v>0.80177288250871137</v>
      </c>
      <c r="AH270">
        <f t="shared" si="204"/>
        <v>248.50376392479114</v>
      </c>
      <c r="AI270">
        <f>HLOOKUP(AW270,'Real assumptions'!$A$21:$AK$24,2,TRUE)</f>
        <v>2.202</v>
      </c>
      <c r="AJ270" s="123">
        <f t="shared" ref="AJ270:AJ333" si="222">((1+AI270/100)^(1/12))-1</f>
        <v>1.8167366918953043E-3</v>
      </c>
      <c r="AK270" s="122">
        <f>(1+HLOOKUP(YEAR(A270),'Real assumptions'!$A$21:$AK$24,2,TRUE)/100)^(1/12)-1</f>
        <v>1.8167366918953043E-3</v>
      </c>
      <c r="AL270">
        <f t="shared" ref="AL270:AL333" si="223">AQ270+U270</f>
        <v>4.2509886614800507</v>
      </c>
      <c r="AM270">
        <f>('Real assumptions'!$B$33/12)*O269*AV269</f>
        <v>4.1825666917567501</v>
      </c>
      <c r="AN270">
        <f t="shared" si="205"/>
        <v>251.8586750723652</v>
      </c>
      <c r="AO270">
        <f t="shared" si="182"/>
        <v>0.45756089617610307</v>
      </c>
      <c r="AP270" s="121">
        <f t="shared" si="206"/>
        <v>2.7211518240517059</v>
      </c>
      <c r="AQ270">
        <f t="shared" si="207"/>
        <v>0</v>
      </c>
      <c r="AR270">
        <v>0</v>
      </c>
      <c r="AS270">
        <f t="shared" si="188"/>
        <v>0</v>
      </c>
      <c r="AT270">
        <f t="shared" si="208"/>
        <v>0</v>
      </c>
      <c r="AU270">
        <f>IFERROR(HLOOKUP(B270,'Real assumptions'!$B$43:$AL$44,2,TRUE)*($W$3/$U$2),0)</f>
        <v>0</v>
      </c>
      <c r="AV270">
        <f>AV269*(1+'Real assumptions'!$B$35)^(1/12)</f>
        <v>1.3061503934025138</v>
      </c>
      <c r="AW270">
        <f t="shared" si="189"/>
        <v>2040</v>
      </c>
      <c r="AX270">
        <f t="shared" ref="AX270:AX333" si="224">MAX(0,AH269+AP269-V270+AY270)</f>
        <v>249.76552885858342</v>
      </c>
      <c r="AY270">
        <f t="shared" ref="AY270:AY333" si="225">IF(P270=0,0,(AB270/$U$2)*O269)</f>
        <v>1.3491270149842296</v>
      </c>
      <c r="AZ270">
        <f t="shared" si="190"/>
        <v>624.84264139564448</v>
      </c>
      <c r="BA270">
        <f t="shared" si="209"/>
        <v>4.1846764612130976</v>
      </c>
      <c r="BB270">
        <f t="shared" si="210"/>
        <v>77.416666666666671</v>
      </c>
      <c r="BC270">
        <f t="shared" si="191"/>
        <v>46.45</v>
      </c>
      <c r="BD270">
        <f t="shared" si="211"/>
        <v>0</v>
      </c>
      <c r="BE270">
        <f t="shared" si="192"/>
        <v>24</v>
      </c>
      <c r="BF270">
        <f t="shared" ref="BF270:BF333" si="226">((IF(B270&lt;13,BF269+BE270,$AI$2+$Y$2)))</f>
        <v>5000</v>
      </c>
      <c r="BU270"/>
      <c r="FD270"/>
      <c r="FE270"/>
    </row>
    <row r="271" spans="1:161" x14ac:dyDescent="0.25">
      <c r="A271" s="7">
        <f t="shared" si="212"/>
        <v>51348</v>
      </c>
      <c r="B271">
        <f t="shared" si="193"/>
        <v>260</v>
      </c>
      <c r="C271">
        <f t="shared" si="194"/>
        <v>21.583333333333332</v>
      </c>
      <c r="D271">
        <f t="shared" si="195"/>
        <v>0</v>
      </c>
      <c r="E271">
        <f t="shared" si="196"/>
        <v>73</v>
      </c>
      <c r="F271">
        <f>IF(C271&gt;=$T$2,0,VLOOKUP($E271,EKM_F05!$A$3:$C$128,2,TRUE))</f>
        <v>2.6098461538461539E-2</v>
      </c>
      <c r="G271">
        <f>F271*'Real assumptions'!$B$3</f>
        <v>1.0890888E-2</v>
      </c>
      <c r="H271">
        <f t="shared" si="213"/>
        <v>9.1213607271001251E-4</v>
      </c>
      <c r="I271">
        <f t="shared" si="214"/>
        <v>2.9071382113590223E-4</v>
      </c>
      <c r="J271">
        <f>IF(B271&gt;$AJ$2,0,HLOOKUP(C271,'Real assumptions'!$B$5:$L$8,4,TRUE))</f>
        <v>3.7900000000000003E-2</v>
      </c>
      <c r="K271">
        <f t="shared" si="183"/>
        <v>1</v>
      </c>
      <c r="L271">
        <f t="shared" si="215"/>
        <v>8.3333333333333329E-2</v>
      </c>
      <c r="M271">
        <f t="shared" si="216"/>
        <v>3.2145624959929453E-3</v>
      </c>
      <c r="N271">
        <f t="shared" si="217"/>
        <v>1.0257190079443039E-3</v>
      </c>
      <c r="O271" s="8">
        <f t="shared" si="197"/>
        <v>0.31791426196132649</v>
      </c>
      <c r="P271">
        <f t="shared" si="198"/>
        <v>7.66153667496976</v>
      </c>
      <c r="Q271">
        <f t="shared" si="218"/>
        <v>1.453569105679511</v>
      </c>
      <c r="R271" s="89">
        <f t="shared" si="184"/>
        <v>5000</v>
      </c>
      <c r="S271">
        <f t="shared" si="185"/>
        <v>0.33333333333333215</v>
      </c>
      <c r="U271">
        <f>O270*AV270*'Real assumptions'!$B$33/12+AX271*'Real assumptions'!$B$34</f>
        <v>4.2382980897557623</v>
      </c>
      <c r="V271">
        <f>IF(P271=0,0,IF(E271&lt;=$C$7,$AN$5*O270,0))*'Real assumptions'!$D$28</f>
        <v>1.91538416874244</v>
      </c>
      <c r="X271" s="94">
        <f t="shared" si="199"/>
        <v>0</v>
      </c>
      <c r="Y271">
        <f t="shared" si="186"/>
        <v>24</v>
      </c>
      <c r="Z271">
        <f t="shared" si="219"/>
        <v>77</v>
      </c>
      <c r="AA271">
        <f t="shared" si="187"/>
        <v>77.333333333333329</v>
      </c>
      <c r="AB271">
        <f t="shared" si="200"/>
        <v>50.505050505050505</v>
      </c>
      <c r="AC271">
        <f t="shared" si="220"/>
        <v>3905.7239057239053</v>
      </c>
      <c r="AD271">
        <f t="shared" si="201"/>
        <v>80.505050505050505</v>
      </c>
      <c r="AE271">
        <f t="shared" si="202"/>
        <v>311.28619528619527</v>
      </c>
      <c r="AF271" s="94">
        <f t="shared" si="203"/>
        <v>782.98989898989942</v>
      </c>
      <c r="AG271">
        <f t="shared" si="221"/>
        <v>0.80312762242233038</v>
      </c>
      <c r="AH271">
        <f t="shared" si="204"/>
        <v>248.92365586054746</v>
      </c>
      <c r="AI271">
        <f>HLOOKUP(AW271,'Real assumptions'!$A$21:$AK$24,2,TRUE)</f>
        <v>2.202</v>
      </c>
      <c r="AJ271" s="123">
        <f t="shared" si="222"/>
        <v>1.8167366918953043E-3</v>
      </c>
      <c r="AK271" s="122">
        <f>(1+HLOOKUP(YEAR(A271),'Real assumptions'!$A$21:$AK$24,2,TRUE)/100)^(1/12)-1</f>
        <v>1.8167366918953043E-3</v>
      </c>
      <c r="AL271">
        <f t="shared" si="223"/>
        <v>4.2382980897557623</v>
      </c>
      <c r="AM271">
        <f>('Real assumptions'!$B$33/12)*O270*AV270</f>
        <v>4.1696329758664747</v>
      </c>
      <c r="AN271">
        <f t="shared" si="205"/>
        <v>252.73277016531441</v>
      </c>
      <c r="AO271">
        <f t="shared" si="182"/>
        <v>0.45914889680366955</v>
      </c>
      <c r="AP271" s="121">
        <f t="shared" si="206"/>
        <v>3.1803007208553753</v>
      </c>
      <c r="AQ271">
        <f t="shared" si="207"/>
        <v>0</v>
      </c>
      <c r="AR271">
        <v>0</v>
      </c>
      <c r="AS271">
        <f t="shared" si="188"/>
        <v>0</v>
      </c>
      <c r="AT271">
        <f t="shared" si="208"/>
        <v>0</v>
      </c>
      <c r="AU271">
        <f>IFERROR(HLOOKUP(B271,'Real assumptions'!$B$43:$AL$44,2,TRUE)*($W$3/$U$2),0)</f>
        <v>0</v>
      </c>
      <c r="AV271">
        <f>AV270*(1+'Real assumptions'!$B$35)^(1/12)</f>
        <v>1.3075032334670771</v>
      </c>
      <c r="AW271">
        <f t="shared" si="189"/>
        <v>2040</v>
      </c>
      <c r="AX271">
        <f t="shared" si="224"/>
        <v>250.65309511036307</v>
      </c>
      <c r="AY271">
        <f t="shared" si="225"/>
        <v>1.3435635302626543</v>
      </c>
      <c r="AZ271">
        <f t="shared" si="190"/>
        <v>625.22897363729851</v>
      </c>
      <c r="BA271">
        <f t="shared" si="209"/>
        <v>4.1720808968442817</v>
      </c>
      <c r="BB271">
        <f t="shared" si="210"/>
        <v>77.333333333333329</v>
      </c>
      <c r="BC271">
        <f t="shared" si="191"/>
        <v>46.399999999999991</v>
      </c>
      <c r="BD271">
        <f t="shared" si="211"/>
        <v>0</v>
      </c>
      <c r="BE271">
        <f t="shared" si="192"/>
        <v>24</v>
      </c>
      <c r="BF271">
        <f t="shared" si="226"/>
        <v>5000</v>
      </c>
      <c r="BU271"/>
      <c r="FD271"/>
      <c r="FE271"/>
    </row>
    <row r="272" spans="1:161" x14ac:dyDescent="0.25">
      <c r="A272" s="7">
        <f t="shared" si="212"/>
        <v>51379</v>
      </c>
      <c r="B272">
        <f t="shared" si="193"/>
        <v>261</v>
      </c>
      <c r="C272">
        <f t="shared" si="194"/>
        <v>21.666666666666668</v>
      </c>
      <c r="D272">
        <f t="shared" si="195"/>
        <v>0</v>
      </c>
      <c r="E272">
        <f t="shared" si="196"/>
        <v>73</v>
      </c>
      <c r="F272">
        <f>IF(C272&gt;=$T$2,0,VLOOKUP($E272,EKM_F05!$A$3:$C$128,2,TRUE))</f>
        <v>2.6098461538461539E-2</v>
      </c>
      <c r="G272">
        <f>F272*'Real assumptions'!$B$3</f>
        <v>1.0890888E-2</v>
      </c>
      <c r="H272">
        <f t="shared" si="213"/>
        <v>9.1213607271001251E-4</v>
      </c>
      <c r="I272">
        <f t="shared" si="214"/>
        <v>2.8951498523366575E-4</v>
      </c>
      <c r="J272">
        <f>IF(B272&gt;$AJ$2,0,HLOOKUP(C272,'Real assumptions'!$B$5:$L$8,4,TRUE))</f>
        <v>3.7900000000000003E-2</v>
      </c>
      <c r="K272">
        <f t="shared" si="183"/>
        <v>1</v>
      </c>
      <c r="L272">
        <f t="shared" si="215"/>
        <v>8.3333333333333329E-2</v>
      </c>
      <c r="M272">
        <f t="shared" si="216"/>
        <v>3.2145624959929453E-3</v>
      </c>
      <c r="N272">
        <f t="shared" si="217"/>
        <v>1.021489182311916E-3</v>
      </c>
      <c r="O272" s="8">
        <f t="shared" si="197"/>
        <v>0.3166032577937809</v>
      </c>
      <c r="P272">
        <f t="shared" si="198"/>
        <v>7.6299422870718363</v>
      </c>
      <c r="Q272">
        <f t="shared" si="218"/>
        <v>1.4475749261683288</v>
      </c>
      <c r="R272" s="89">
        <f t="shared" si="184"/>
        <v>5000</v>
      </c>
      <c r="S272">
        <f t="shared" si="185"/>
        <v>0.25</v>
      </c>
      <c r="U272">
        <f>O271*AV271*'Real assumptions'!$B$33/12+AX272*'Real assumptions'!$B$34</f>
        <v>4.2256458233351442</v>
      </c>
      <c r="V272">
        <f>IF(P272=0,0,IF(E272&lt;=$C$7,$AN$5*O271,0))*'Real assumptions'!$D$28</f>
        <v>1.9074855717679591</v>
      </c>
      <c r="X272" s="94">
        <f t="shared" si="199"/>
        <v>0</v>
      </c>
      <c r="Y272">
        <f t="shared" si="186"/>
        <v>24</v>
      </c>
      <c r="Z272">
        <f t="shared" si="219"/>
        <v>77</v>
      </c>
      <c r="AA272">
        <f t="shared" si="187"/>
        <v>77.25</v>
      </c>
      <c r="AB272">
        <f t="shared" si="200"/>
        <v>50.505050505050505</v>
      </c>
      <c r="AC272">
        <f t="shared" si="220"/>
        <v>3901.5151515151515</v>
      </c>
      <c r="AD272">
        <f t="shared" si="201"/>
        <v>80.505050505050505</v>
      </c>
      <c r="AE272">
        <f t="shared" si="202"/>
        <v>310.95075757575756</v>
      </c>
      <c r="AF272" s="94">
        <f t="shared" si="203"/>
        <v>787.53409090909099</v>
      </c>
      <c r="AG272">
        <f t="shared" si="221"/>
        <v>0.80445755456548551</v>
      </c>
      <c r="AH272">
        <f t="shared" si="204"/>
        <v>249.33585880548182</v>
      </c>
      <c r="AI272">
        <f>HLOOKUP(AW272,'Real assumptions'!$A$21:$AK$24,2,TRUE)</f>
        <v>2.202</v>
      </c>
      <c r="AJ272" s="123">
        <f t="shared" si="222"/>
        <v>1.8167366918953043E-3</v>
      </c>
      <c r="AK272" s="122">
        <f>(1+HLOOKUP(YEAR(A272),'Real assumptions'!$A$21:$AK$24,2,TRUE)/100)^(1/12)-1</f>
        <v>1.8167366918953043E-3</v>
      </c>
      <c r="AL272">
        <f t="shared" si="223"/>
        <v>4.2256458233351442</v>
      </c>
      <c r="AM272">
        <f>('Real assumptions'!$B$33/12)*O271*AV271</f>
        <v>4.1567392547973379</v>
      </c>
      <c r="AN272">
        <f t="shared" si="205"/>
        <v>253.60076747337158</v>
      </c>
      <c r="AO272">
        <f t="shared" si="182"/>
        <v>0.46072581936168339</v>
      </c>
      <c r="AP272" s="121">
        <f t="shared" si="206"/>
        <v>3.6410265402170587</v>
      </c>
      <c r="AQ272">
        <f t="shared" si="207"/>
        <v>0</v>
      </c>
      <c r="AR272">
        <v>0</v>
      </c>
      <c r="AS272">
        <f t="shared" si="188"/>
        <v>0</v>
      </c>
      <c r="AT272">
        <f t="shared" si="208"/>
        <v>0</v>
      </c>
      <c r="AU272">
        <f>IFERROR(HLOOKUP(B272,'Real assumptions'!$B$43:$AL$44,2,TRUE)*($W$3/$U$2),0)</f>
        <v>0</v>
      </c>
      <c r="AV272">
        <f>AV271*(1+'Real assumptions'!$B$35)^(1/12)</f>
        <v>1.3088574747303459</v>
      </c>
      <c r="AW272">
        <f t="shared" si="189"/>
        <v>2040</v>
      </c>
      <c r="AX272">
        <f t="shared" si="224"/>
        <v>251.5344939976876</v>
      </c>
      <c r="AY272">
        <f t="shared" si="225"/>
        <v>1.3380229880527208</v>
      </c>
      <c r="AZ272">
        <f t="shared" si="190"/>
        <v>625.60962846577627</v>
      </c>
      <c r="BA272">
        <f t="shared" si="209"/>
        <v>4.1595180525017739</v>
      </c>
      <c r="BB272">
        <f t="shared" si="210"/>
        <v>77.25</v>
      </c>
      <c r="BC272">
        <f t="shared" si="191"/>
        <v>46.349999999999994</v>
      </c>
      <c r="BD272">
        <f t="shared" si="211"/>
        <v>0</v>
      </c>
      <c r="BE272">
        <f t="shared" si="192"/>
        <v>24</v>
      </c>
      <c r="BF272">
        <f t="shared" si="226"/>
        <v>5000</v>
      </c>
      <c r="BU272"/>
      <c r="FD272"/>
      <c r="FE272"/>
    </row>
    <row r="273" spans="1:161" x14ac:dyDescent="0.25">
      <c r="A273" s="7">
        <f t="shared" si="212"/>
        <v>51409</v>
      </c>
      <c r="B273">
        <f t="shared" si="193"/>
        <v>262</v>
      </c>
      <c r="C273">
        <f t="shared" si="194"/>
        <v>21.75</v>
      </c>
      <c r="D273">
        <f t="shared" si="195"/>
        <v>0</v>
      </c>
      <c r="E273">
        <f t="shared" si="196"/>
        <v>73</v>
      </c>
      <c r="F273">
        <f>IF(C273&gt;=$T$2,0,VLOOKUP($E273,EKM_F05!$A$3:$C$128,2,TRUE))</f>
        <v>2.6098461538461539E-2</v>
      </c>
      <c r="G273">
        <f>F273*'Real assumptions'!$B$3</f>
        <v>1.0890888E-2</v>
      </c>
      <c r="H273">
        <f t="shared" si="213"/>
        <v>9.1213607271001251E-4</v>
      </c>
      <c r="I273">
        <f t="shared" si="214"/>
        <v>2.8832109305070225E-4</v>
      </c>
      <c r="J273">
        <f>IF(B273&gt;$AJ$2,0,HLOOKUP(C273,'Real assumptions'!$B$5:$L$8,4,TRUE))</f>
        <v>3.7900000000000003E-2</v>
      </c>
      <c r="K273">
        <f t="shared" si="183"/>
        <v>1</v>
      </c>
      <c r="L273">
        <f t="shared" si="215"/>
        <v>8.3333333333333329E-2</v>
      </c>
      <c r="M273">
        <f t="shared" si="216"/>
        <v>3.2145624959929453E-3</v>
      </c>
      <c r="N273">
        <f t="shared" si="217"/>
        <v>1.0172767994925615E-3</v>
      </c>
      <c r="O273" s="8">
        <f t="shared" si="197"/>
        <v>0.31529765990123765</v>
      </c>
      <c r="P273">
        <f t="shared" si="198"/>
        <v>7.5984781870507412</v>
      </c>
      <c r="Q273">
        <f t="shared" si="218"/>
        <v>1.4416054652535113</v>
      </c>
      <c r="R273" s="89">
        <f t="shared" si="184"/>
        <v>5000</v>
      </c>
      <c r="S273">
        <f t="shared" si="185"/>
        <v>0.16666666666666785</v>
      </c>
      <c r="U273">
        <f>O272*AV272*'Real assumptions'!$B$33/12+AX273*'Real assumptions'!$B$34</f>
        <v>4.2130317510267918</v>
      </c>
      <c r="V273">
        <f>IF(P273=0,0,IF(E273&lt;=$C$7,$AN$5*O272,0))*'Real assumptions'!$D$28</f>
        <v>1.8996195467626853</v>
      </c>
      <c r="X273" s="94">
        <f t="shared" si="199"/>
        <v>0</v>
      </c>
      <c r="Y273">
        <f t="shared" si="186"/>
        <v>24</v>
      </c>
      <c r="Z273">
        <f t="shared" si="219"/>
        <v>77</v>
      </c>
      <c r="AA273">
        <f t="shared" si="187"/>
        <v>77.166666666666671</v>
      </c>
      <c r="AB273">
        <f t="shared" si="200"/>
        <v>50.505050505050505</v>
      </c>
      <c r="AC273">
        <f t="shared" si="220"/>
        <v>3897.3063973063977</v>
      </c>
      <c r="AD273">
        <f t="shared" si="201"/>
        <v>80.505050505050505</v>
      </c>
      <c r="AE273">
        <f t="shared" si="202"/>
        <v>310.61531986531986</v>
      </c>
      <c r="AF273" s="94">
        <f t="shared" si="203"/>
        <v>792.07828282828245</v>
      </c>
      <c r="AG273">
        <f t="shared" si="221"/>
        <v>0.80576286050311907</v>
      </c>
      <c r="AH273">
        <f t="shared" si="204"/>
        <v>249.74042903434813</v>
      </c>
      <c r="AI273">
        <f>HLOOKUP(AW273,'Real assumptions'!$A$21:$AK$24,2,TRUE)</f>
        <v>2.202</v>
      </c>
      <c r="AJ273" s="123">
        <f t="shared" si="222"/>
        <v>1.8167366918953043E-3</v>
      </c>
      <c r="AK273" s="122">
        <f>(1+HLOOKUP(YEAR(A273),'Real assumptions'!$A$21:$AK$24,2,TRUE)/100)^(1/12)-1</f>
        <v>1.8167366918953043E-3</v>
      </c>
      <c r="AL273">
        <f t="shared" si="223"/>
        <v>4.2130317510267918</v>
      </c>
      <c r="AM273">
        <f>('Real assumptions'!$B$33/12)*O272*AV272</f>
        <v>4.1438854048736875</v>
      </c>
      <c r="AN273">
        <f t="shared" si="205"/>
        <v>254.46271223496018</v>
      </c>
      <c r="AO273">
        <f t="shared" si="182"/>
        <v>0.46229174603644835</v>
      </c>
      <c r="AP273" s="121">
        <f t="shared" si="206"/>
        <v>4.1033182862535069</v>
      </c>
      <c r="AQ273">
        <f t="shared" si="207"/>
        <v>0</v>
      </c>
      <c r="AR273">
        <v>0</v>
      </c>
      <c r="AS273">
        <f t="shared" si="188"/>
        <v>0</v>
      </c>
      <c r="AT273">
        <f t="shared" si="208"/>
        <v>0</v>
      </c>
      <c r="AU273">
        <f>IFERROR(HLOOKUP(B273,'Real assumptions'!$B$43:$AL$44,2,TRUE)*($W$3/$U$2),0)</f>
        <v>0</v>
      </c>
      <c r="AV273">
        <f>AV272*(1+'Real assumptions'!$B$35)^(1/12)</f>
        <v>1.3102131186436059</v>
      </c>
      <c r="AW273">
        <f t="shared" si="189"/>
        <v>2040</v>
      </c>
      <c r="AX273">
        <f t="shared" si="224"/>
        <v>252.40977109268107</v>
      </c>
      <c r="AY273">
        <f t="shared" si="225"/>
        <v>1.3325052937448689</v>
      </c>
      <c r="AZ273">
        <f t="shared" si="190"/>
        <v>625.98465499611768</v>
      </c>
      <c r="BA273">
        <f t="shared" si="209"/>
        <v>4.1469878725193157</v>
      </c>
      <c r="BB273">
        <f t="shared" si="210"/>
        <v>77.166666666666671</v>
      </c>
      <c r="BC273">
        <f t="shared" si="191"/>
        <v>46.3</v>
      </c>
      <c r="BD273">
        <f t="shared" si="211"/>
        <v>0</v>
      </c>
      <c r="BE273">
        <f t="shared" si="192"/>
        <v>24</v>
      </c>
      <c r="BF273">
        <f t="shared" si="226"/>
        <v>5000</v>
      </c>
      <c r="BU273"/>
      <c r="FD273"/>
      <c r="FE273"/>
    </row>
    <row r="274" spans="1:161" x14ac:dyDescent="0.25">
      <c r="A274" s="7">
        <f t="shared" si="212"/>
        <v>51440</v>
      </c>
      <c r="B274">
        <f t="shared" si="193"/>
        <v>263</v>
      </c>
      <c r="C274">
        <f t="shared" si="194"/>
        <v>21.833333333333332</v>
      </c>
      <c r="D274">
        <f t="shared" si="195"/>
        <v>0</v>
      </c>
      <c r="E274">
        <f t="shared" si="196"/>
        <v>73</v>
      </c>
      <c r="F274">
        <f>IF(C274&gt;=$T$2,0,VLOOKUP($E274,EKM_F05!$A$3:$C$128,2,TRUE))</f>
        <v>2.6098461538461539E-2</v>
      </c>
      <c r="G274">
        <f>F274*'Real assumptions'!$B$3</f>
        <v>1.0890888E-2</v>
      </c>
      <c r="H274">
        <f t="shared" si="213"/>
        <v>9.1213607271001251E-4</v>
      </c>
      <c r="I274">
        <f t="shared" si="214"/>
        <v>2.8713212420026818E-4</v>
      </c>
      <c r="J274">
        <f>IF(B274&gt;$AJ$2,0,HLOOKUP(C274,'Real assumptions'!$B$5:$L$8,4,TRUE))</f>
        <v>3.7900000000000003E-2</v>
      </c>
      <c r="K274">
        <f t="shared" si="183"/>
        <v>1</v>
      </c>
      <c r="L274">
        <f t="shared" si="215"/>
        <v>8.3333333333333329E-2</v>
      </c>
      <c r="M274">
        <f t="shared" si="216"/>
        <v>3.2145624959929453E-3</v>
      </c>
      <c r="N274">
        <f t="shared" si="217"/>
        <v>1.0130817875561534E-3</v>
      </c>
      <c r="O274" s="8">
        <f t="shared" si="197"/>
        <v>0.31399744598948121</v>
      </c>
      <c r="P274">
        <f t="shared" si="198"/>
        <v>7.567143837629704</v>
      </c>
      <c r="Q274">
        <f t="shared" si="218"/>
        <v>1.435660621001341</v>
      </c>
      <c r="R274" s="89">
        <f t="shared" si="184"/>
        <v>5000</v>
      </c>
      <c r="S274">
        <f t="shared" si="185"/>
        <v>8.3333333333332149E-2</v>
      </c>
      <c r="U274">
        <f>O273*AV273*'Real assumptions'!$B$33/12+AX274*'Real assumptions'!$B$34</f>
        <v>4.2004557619523917</v>
      </c>
      <c r="V274">
        <f>IF(P274=0,0,IF(E274&lt;=$C$7,$AN$5*O273,0))*'Real assumptions'!$D$28</f>
        <v>1.891785959407426</v>
      </c>
      <c r="X274" s="94">
        <f t="shared" si="199"/>
        <v>0</v>
      </c>
      <c r="Y274">
        <f t="shared" si="186"/>
        <v>24</v>
      </c>
      <c r="Z274">
        <f t="shared" si="219"/>
        <v>77</v>
      </c>
      <c r="AA274">
        <f t="shared" si="187"/>
        <v>77.083333333333329</v>
      </c>
      <c r="AB274">
        <f t="shared" si="200"/>
        <v>50.505050505050505</v>
      </c>
      <c r="AC274">
        <f t="shared" si="220"/>
        <v>3893.097643097643</v>
      </c>
      <c r="AD274">
        <f t="shared" si="201"/>
        <v>80.505050505050505</v>
      </c>
      <c r="AE274">
        <f t="shared" si="202"/>
        <v>310.2798821548821</v>
      </c>
      <c r="AF274" s="94">
        <f t="shared" si="203"/>
        <v>796.62247474747494</v>
      </c>
      <c r="AG274">
        <f t="shared" si="221"/>
        <v>0.80704372072457864</v>
      </c>
      <c r="AH274">
        <f t="shared" si="204"/>
        <v>250.13742248852711</v>
      </c>
      <c r="AI274">
        <f>HLOOKUP(AW274,'Real assumptions'!$A$21:$AK$24,2,TRUE)</f>
        <v>2.202</v>
      </c>
      <c r="AJ274" s="123">
        <f t="shared" si="222"/>
        <v>1.8167366918953043E-3</v>
      </c>
      <c r="AK274" s="122">
        <f>(1+HLOOKUP(YEAR(A274),'Real assumptions'!$A$21:$AK$24,2,TRUE)/100)^(1/12)-1</f>
        <v>1.8167366918953043E-3</v>
      </c>
      <c r="AL274">
        <f t="shared" si="223"/>
        <v>4.2004557619523917</v>
      </c>
      <c r="AM274">
        <f>('Real assumptions'!$B$33/12)*O273*AV273</f>
        <v>4.131071302802316</v>
      </c>
      <c r="AN274">
        <f t="shared" si="205"/>
        <v>255.31864943687154</v>
      </c>
      <c r="AO274">
        <f t="shared" si="182"/>
        <v>0.46384675855711888</v>
      </c>
      <c r="AP274" s="121">
        <f t="shared" si="206"/>
        <v>4.5671650448106256</v>
      </c>
      <c r="AQ274">
        <f t="shared" si="207"/>
        <v>0</v>
      </c>
      <c r="AR274">
        <v>0</v>
      </c>
      <c r="AS274">
        <f t="shared" si="188"/>
        <v>0</v>
      </c>
      <c r="AT274">
        <f t="shared" si="208"/>
        <v>0</v>
      </c>
      <c r="AU274">
        <f>IFERROR(HLOOKUP(B274,'Real assumptions'!$B$43:$AL$44,2,TRUE)*($W$3/$U$2),0)</f>
        <v>0</v>
      </c>
      <c r="AV274">
        <f>AV273*(1+'Real assumptions'!$B$35)^(1/12)</f>
        <v>1.3115701666596464</v>
      </c>
      <c r="AW274">
        <f t="shared" si="189"/>
        <v>2040</v>
      </c>
      <c r="AX274">
        <f t="shared" si="224"/>
        <v>253.27897171431388</v>
      </c>
      <c r="AY274">
        <f t="shared" si="225"/>
        <v>1.3270103531196871</v>
      </c>
      <c r="AZ274">
        <f t="shared" si="190"/>
        <v>626.3541020619565</v>
      </c>
      <c r="BA274">
        <f t="shared" si="209"/>
        <v>4.1344903011333454</v>
      </c>
      <c r="BB274">
        <f t="shared" si="210"/>
        <v>77.083333333333329</v>
      </c>
      <c r="BC274">
        <f t="shared" si="191"/>
        <v>46.25</v>
      </c>
      <c r="BD274">
        <f t="shared" si="211"/>
        <v>0</v>
      </c>
      <c r="BE274">
        <f t="shared" si="192"/>
        <v>24</v>
      </c>
      <c r="BF274">
        <f t="shared" si="226"/>
        <v>5000</v>
      </c>
      <c r="BU274"/>
      <c r="FD274"/>
      <c r="FE274"/>
    </row>
    <row r="275" spans="1:161" x14ac:dyDescent="0.25">
      <c r="A275" s="7">
        <f t="shared" si="212"/>
        <v>51470</v>
      </c>
      <c r="B275">
        <f t="shared" si="193"/>
        <v>264</v>
      </c>
      <c r="C275">
        <f t="shared" si="194"/>
        <v>21.916666666666668</v>
      </c>
      <c r="D275">
        <f t="shared" si="195"/>
        <v>0</v>
      </c>
      <c r="E275">
        <f t="shared" si="196"/>
        <v>73</v>
      </c>
      <c r="F275">
        <f>IF(C275&gt;=$T$2,0,VLOOKUP($E275,EKM_F05!$A$3:$C$128,2,TRUE))</f>
        <v>2.6098461538461539E-2</v>
      </c>
      <c r="G275">
        <f>F275*'Real assumptions'!$B$3</f>
        <v>1.0890888E-2</v>
      </c>
      <c r="H275">
        <f t="shared" si="213"/>
        <v>9.1213607271001251E-4</v>
      </c>
      <c r="I275">
        <f t="shared" si="214"/>
        <v>2.8594805837968987E-4</v>
      </c>
      <c r="J275">
        <f>IF(B275&gt;$AJ$2,0,HLOOKUP(C275,'Real assumptions'!$B$5:$L$8,4,TRUE))</f>
        <v>3.7900000000000003E-2</v>
      </c>
      <c r="K275">
        <f t="shared" si="183"/>
        <v>1</v>
      </c>
      <c r="L275">
        <f t="shared" si="215"/>
        <v>8.3333333333333329E-2</v>
      </c>
      <c r="M275">
        <f t="shared" si="216"/>
        <v>3.2145624959929453E-3</v>
      </c>
      <c r="N275">
        <f t="shared" si="217"/>
        <v>1.0089040748692268E-3</v>
      </c>
      <c r="O275" s="8">
        <f t="shared" si="197"/>
        <v>0.31270259385623234</v>
      </c>
      <c r="P275">
        <f t="shared" si="198"/>
        <v>7.5359387037475489</v>
      </c>
      <c r="Q275">
        <f t="shared" si="218"/>
        <v>1.4297402918984494</v>
      </c>
      <c r="R275" s="89">
        <f t="shared" si="184"/>
        <v>5000</v>
      </c>
      <c r="S275">
        <f t="shared" si="185"/>
        <v>1</v>
      </c>
      <c r="U275">
        <f>O274*AV274*'Real assumptions'!$B$33/12+AX275*'Real assumptions'!$B$34</f>
        <v>4.1879177455459091</v>
      </c>
      <c r="V275">
        <f>IF(P275=0,0,IF(E275&lt;=$C$7,$AN$5*O274,0))*'Real assumptions'!$D$28</f>
        <v>1.8839846759368872</v>
      </c>
      <c r="X275" s="94">
        <f t="shared" si="199"/>
        <v>0</v>
      </c>
      <c r="Y275">
        <f t="shared" si="186"/>
        <v>24</v>
      </c>
      <c r="Z275">
        <f t="shared" si="219"/>
        <v>77</v>
      </c>
      <c r="AA275">
        <f t="shared" si="187"/>
        <v>77</v>
      </c>
      <c r="AB275">
        <f t="shared" si="200"/>
        <v>50.505050505050505</v>
      </c>
      <c r="AC275">
        <f t="shared" si="220"/>
        <v>3888.8888888888887</v>
      </c>
      <c r="AD275">
        <f t="shared" si="201"/>
        <v>80.505050505050505</v>
      </c>
      <c r="AE275">
        <f t="shared" si="202"/>
        <v>309.94444444444446</v>
      </c>
      <c r="AF275" s="94">
        <f t="shared" si="203"/>
        <v>801.16666666666686</v>
      </c>
      <c r="AG275">
        <f t="shared" si="221"/>
        <v>0.80830031464939578</v>
      </c>
      <c r="AH275">
        <f t="shared" si="204"/>
        <v>250.5268947778182</v>
      </c>
      <c r="AI275">
        <f>HLOOKUP(AW275,'Real assumptions'!$A$21:$AK$24,2,TRUE)</f>
        <v>2.202</v>
      </c>
      <c r="AJ275" s="123">
        <f t="shared" si="222"/>
        <v>1.8167366918953043E-3</v>
      </c>
      <c r="AK275" s="122">
        <f>(1+HLOOKUP(YEAR(A275),'Real assumptions'!$A$21:$AK$24,2,TRUE)/100)^(1/12)-1</f>
        <v>1.8167366918953043E-3</v>
      </c>
      <c r="AL275">
        <f t="shared" si="223"/>
        <v>4.1879177455459091</v>
      </c>
      <c r="AM275">
        <f>('Real assumptions'!$B$33/12)*O274*AV274</f>
        <v>4.1182968256712718</v>
      </c>
      <c r="AN275">
        <f t="shared" si="205"/>
        <v>256.16862381560247</v>
      </c>
      <c r="AO275">
        <f t="shared" si="182"/>
        <v>0.46539093819813032</v>
      </c>
      <c r="AP275" s="121">
        <f t="shared" si="206"/>
        <v>5.0325559830087556</v>
      </c>
      <c r="AQ275">
        <f t="shared" si="207"/>
        <v>0</v>
      </c>
      <c r="AR275">
        <v>0</v>
      </c>
      <c r="AS275">
        <f t="shared" si="188"/>
        <v>0</v>
      </c>
      <c r="AT275">
        <f t="shared" si="208"/>
        <v>0</v>
      </c>
      <c r="AU275">
        <f>IFERROR(HLOOKUP(B275,'Real assumptions'!$B$43:$AL$44,2,TRUE)*($W$3/$U$2),0)</f>
        <v>0</v>
      </c>
      <c r="AV275">
        <f>AV274*(1+'Real assumptions'!$B$35)^(1/12)</f>
        <v>1.3129286202327615</v>
      </c>
      <c r="AW275">
        <f t="shared" si="189"/>
        <v>2040</v>
      </c>
      <c r="AX275">
        <f t="shared" si="224"/>
        <v>254.14214092974714</v>
      </c>
      <c r="AY275">
        <f t="shared" si="225"/>
        <v>1.3215380723463013</v>
      </c>
      <c r="AZ275">
        <f t="shared" si="190"/>
        <v>626.71801821700853</v>
      </c>
      <c r="BA275">
        <f t="shared" si="209"/>
        <v>4.1220252824847323</v>
      </c>
      <c r="BB275">
        <f t="shared" si="210"/>
        <v>77</v>
      </c>
      <c r="BC275">
        <f t="shared" si="191"/>
        <v>46.2</v>
      </c>
      <c r="BD275">
        <f t="shared" si="211"/>
        <v>0</v>
      </c>
      <c r="BE275">
        <f t="shared" si="192"/>
        <v>24</v>
      </c>
      <c r="BF275">
        <f t="shared" si="226"/>
        <v>5000</v>
      </c>
      <c r="BU275"/>
      <c r="FD275"/>
      <c r="FE275"/>
    </row>
    <row r="276" spans="1:161" x14ac:dyDescent="0.25">
      <c r="A276" s="7">
        <f t="shared" si="212"/>
        <v>51501</v>
      </c>
      <c r="B276">
        <f t="shared" si="193"/>
        <v>265</v>
      </c>
      <c r="C276">
        <f t="shared" si="194"/>
        <v>22</v>
      </c>
      <c r="D276">
        <f t="shared" si="195"/>
        <v>1</v>
      </c>
      <c r="E276">
        <f t="shared" si="196"/>
        <v>74</v>
      </c>
      <c r="F276">
        <f>IF(C276&gt;=$T$2,0,VLOOKUP($E276,EKM_F05!$A$3:$C$128,2,TRUE))</f>
        <v>2.9589358974358972E-2</v>
      </c>
      <c r="G276">
        <f>F276*'Real assumptions'!$B$3</f>
        <v>1.2347639499999999E-2</v>
      </c>
      <c r="H276">
        <f t="shared" si="213"/>
        <v>1.0348396000031679E-3</v>
      </c>
      <c r="I276">
        <f t="shared" si="214"/>
        <v>3.2307691571249714E-4</v>
      </c>
      <c r="J276">
        <f>IF(B276&gt;$AJ$2,0,HLOOKUP(C276,'Real assumptions'!$B$5:$L$8,4,TRUE))</f>
        <v>3.7900000000000003E-2</v>
      </c>
      <c r="K276">
        <f t="shared" si="183"/>
        <v>1</v>
      </c>
      <c r="L276">
        <f t="shared" si="215"/>
        <v>8.3333333333333329E-2</v>
      </c>
      <c r="M276">
        <f t="shared" si="216"/>
        <v>3.2145624959929453E-3</v>
      </c>
      <c r="N276">
        <f t="shared" si="217"/>
        <v>1.0046819191763191E-3</v>
      </c>
      <c r="O276" s="8">
        <f t="shared" si="197"/>
        <v>0.31137483502134355</v>
      </c>
      <c r="P276">
        <f t="shared" si="198"/>
        <v>7.5048622525495761</v>
      </c>
      <c r="Q276">
        <f t="shared" si="218"/>
        <v>1.6153845785624856</v>
      </c>
      <c r="R276" s="89">
        <f t="shared" si="184"/>
        <v>5000</v>
      </c>
      <c r="S276">
        <f t="shared" si="185"/>
        <v>0.91666666666666785</v>
      </c>
      <c r="U276">
        <f>O275*AV275*'Real assumptions'!$B$33/12+AX276*'Real assumptions'!$B$34</f>
        <v>4.1754175915527751</v>
      </c>
      <c r="V276">
        <f>IF(P276=0,0,IF(E276&lt;=$C$7,$AN$5*O275,0))*'Real assumptions'!$D$28</f>
        <v>1.876215563137394</v>
      </c>
      <c r="X276" s="94">
        <f t="shared" si="199"/>
        <v>0</v>
      </c>
      <c r="Y276">
        <f t="shared" si="186"/>
        <v>24</v>
      </c>
      <c r="Z276">
        <f t="shared" si="219"/>
        <v>77</v>
      </c>
      <c r="AA276">
        <f t="shared" si="187"/>
        <v>76.916666666666671</v>
      </c>
      <c r="AB276">
        <f t="shared" si="200"/>
        <v>50.505050505050505</v>
      </c>
      <c r="AC276">
        <f t="shared" si="220"/>
        <v>3884.6801346801349</v>
      </c>
      <c r="AD276">
        <f t="shared" si="201"/>
        <v>80.505050505050505</v>
      </c>
      <c r="AE276">
        <f t="shared" si="202"/>
        <v>309.60900673400675</v>
      </c>
      <c r="AF276" s="94">
        <f t="shared" si="203"/>
        <v>805.71085858585843</v>
      </c>
      <c r="AG276">
        <f t="shared" si="221"/>
        <v>0.80948313170524011</v>
      </c>
      <c r="AH276">
        <f t="shared" si="204"/>
        <v>250.87808566707673</v>
      </c>
      <c r="AI276">
        <f>HLOOKUP(AW276,'Real assumptions'!$A$21:$AK$24,2,TRUE)</f>
        <v>2.202</v>
      </c>
      <c r="AJ276" s="123">
        <f t="shared" si="222"/>
        <v>1.8167366918953043E-3</v>
      </c>
      <c r="AK276" s="122">
        <f>(1+HLOOKUP(YEAR(A276),'Real assumptions'!$A$21:$AK$24,2,TRUE)/100)^(1/12)-1</f>
        <v>1.8167366918953043E-3</v>
      </c>
      <c r="AL276">
        <f t="shared" si="223"/>
        <v>4.1754175915527751</v>
      </c>
      <c r="AM276">
        <f>('Real assumptions'!$B$33/12)*O275*AV275</f>
        <v>4.1055618509486873</v>
      </c>
      <c r="AN276">
        <f t="shared" si="205"/>
        <v>257.01267985868634</v>
      </c>
      <c r="AO276">
        <f t="shared" si="182"/>
        <v>0.46692436578161672</v>
      </c>
      <c r="AP276" s="121">
        <f t="shared" si="206"/>
        <v>0</v>
      </c>
      <c r="AQ276">
        <f t="shared" si="207"/>
        <v>0</v>
      </c>
      <c r="AR276">
        <v>0</v>
      </c>
      <c r="AS276">
        <f t="shared" si="188"/>
        <v>0</v>
      </c>
      <c r="AT276">
        <f t="shared" si="208"/>
        <v>0</v>
      </c>
      <c r="AU276">
        <f>IFERROR(HLOOKUP(B276,'Real assumptions'!$B$43:$AL$44,2,TRUE)*($W$3/$U$2),0)</f>
        <v>0</v>
      </c>
      <c r="AV276">
        <f>AV275*(1+'Real assumptions'!$B$35)^(1/12)</f>
        <v>1.3142884808187509</v>
      </c>
      <c r="AW276">
        <f t="shared" si="189"/>
        <v>2040</v>
      </c>
      <c r="AX276">
        <f t="shared" si="224"/>
        <v>254.99932355567034</v>
      </c>
      <c r="AY276">
        <f t="shared" si="225"/>
        <v>1.3160883579807758</v>
      </c>
      <c r="AZ276">
        <f t="shared" si="190"/>
        <v>626.88496122376705</v>
      </c>
      <c r="BA276">
        <f t="shared" si="209"/>
        <v>4.3010832734051192</v>
      </c>
      <c r="BB276">
        <f t="shared" si="210"/>
        <v>76.916666666666671</v>
      </c>
      <c r="BC276">
        <f t="shared" si="191"/>
        <v>46.150000000000006</v>
      </c>
      <c r="BD276">
        <f t="shared" si="211"/>
        <v>0</v>
      </c>
      <c r="BE276">
        <f t="shared" si="192"/>
        <v>24</v>
      </c>
      <c r="BF276">
        <f t="shared" si="226"/>
        <v>5000</v>
      </c>
      <c r="BU276"/>
      <c r="FD276"/>
      <c r="FE276"/>
    </row>
    <row r="277" spans="1:161" x14ac:dyDescent="0.25">
      <c r="A277" s="7">
        <f t="shared" si="212"/>
        <v>51532</v>
      </c>
      <c r="B277">
        <f t="shared" si="193"/>
        <v>266</v>
      </c>
      <c r="C277">
        <f t="shared" si="194"/>
        <v>22.083333333333332</v>
      </c>
      <c r="D277">
        <f t="shared" si="195"/>
        <v>0</v>
      </c>
      <c r="E277">
        <f t="shared" si="196"/>
        <v>74</v>
      </c>
      <c r="F277">
        <f>IF(C277&gt;=$T$2,0,VLOOKUP($E277,EKM_F05!$A$3:$C$128,2,TRUE))</f>
        <v>2.9589358974358972E-2</v>
      </c>
      <c r="G277">
        <f>F277*'Real assumptions'!$B$3</f>
        <v>1.2347639499999999E-2</v>
      </c>
      <c r="H277">
        <f t="shared" si="213"/>
        <v>1.0348396000031679E-3</v>
      </c>
      <c r="I277">
        <f t="shared" si="214"/>
        <v>3.2170510672333632E-4</v>
      </c>
      <c r="J277">
        <f>IF(B277&gt;$AJ$2,0,HLOOKUP(C277,'Real assumptions'!$B$5:$L$8,4,TRUE))</f>
        <v>3.7900000000000003E-2</v>
      </c>
      <c r="K277">
        <f t="shared" si="183"/>
        <v>1</v>
      </c>
      <c r="L277">
        <f t="shared" si="215"/>
        <v>8.3333333333333329E-2</v>
      </c>
      <c r="M277">
        <f t="shared" si="216"/>
        <v>3.2145624959929453E-3</v>
      </c>
      <c r="N277">
        <f t="shared" si="217"/>
        <v>1.0004159638543986E-3</v>
      </c>
      <c r="O277" s="8">
        <f t="shared" si="197"/>
        <v>0.31005271395076578</v>
      </c>
      <c r="P277">
        <f t="shared" si="198"/>
        <v>7.4729960405122453</v>
      </c>
      <c r="Q277">
        <f t="shared" si="218"/>
        <v>1.6085255336166815</v>
      </c>
      <c r="R277" s="89">
        <f t="shared" si="184"/>
        <v>5000</v>
      </c>
      <c r="S277">
        <f t="shared" si="185"/>
        <v>0.83333333333333215</v>
      </c>
      <c r="U277">
        <f>O276*AV276*'Real assumptions'!$B$33/12+AX277*'Real assumptions'!$B$34</f>
        <v>4.1609375453331099</v>
      </c>
      <c r="V277">
        <f>IF(P277=0,0,IF(E277&lt;=$C$7,$AN$5*O276,0))*'Real assumptions'!$D$28</f>
        <v>1.8682490101280613</v>
      </c>
      <c r="X277" s="94">
        <f t="shared" si="199"/>
        <v>0</v>
      </c>
      <c r="Y277">
        <f t="shared" si="186"/>
        <v>24</v>
      </c>
      <c r="Z277">
        <f t="shared" si="219"/>
        <v>76</v>
      </c>
      <c r="AA277">
        <f t="shared" si="187"/>
        <v>76.833333333333329</v>
      </c>
      <c r="AB277">
        <f t="shared" si="200"/>
        <v>50.505050505050505</v>
      </c>
      <c r="AC277">
        <f t="shared" si="220"/>
        <v>3880.4713804713801</v>
      </c>
      <c r="AD277">
        <f t="shared" si="201"/>
        <v>80.505050505050505</v>
      </c>
      <c r="AE277">
        <f t="shared" si="202"/>
        <v>309.273569023569</v>
      </c>
      <c r="AF277" s="94">
        <f t="shared" si="203"/>
        <v>810.2550505050508</v>
      </c>
      <c r="AG277">
        <f t="shared" si="221"/>
        <v>0.81059208731890475</v>
      </c>
      <c r="AH277">
        <f t="shared" si="204"/>
        <v>251.2217774014058</v>
      </c>
      <c r="AI277">
        <f>HLOOKUP(AW277,'Real assumptions'!$A$21:$AK$24,2,TRUE)</f>
        <v>2.1831</v>
      </c>
      <c r="AJ277" s="123">
        <f t="shared" si="222"/>
        <v>1.801296728749513E-3</v>
      </c>
      <c r="AK277" s="122">
        <f>(1+HLOOKUP(YEAR(A277),'Real assumptions'!$A$21:$AK$24,2,TRUE)/100)^(1/12)-1</f>
        <v>1.801296728749513E-3</v>
      </c>
      <c r="AL277">
        <f t="shared" si="223"/>
        <v>4.1609375453331099</v>
      </c>
      <c r="AM277">
        <f>('Real assumptions'!$B$33/12)*O276*AV276</f>
        <v>4.0923635888539076</v>
      </c>
      <c r="AN277">
        <f t="shared" si="205"/>
        <v>252.32189515212784</v>
      </c>
      <c r="AO277">
        <f t="shared" si="182"/>
        <v>0.45450660432940548</v>
      </c>
      <c r="AP277" s="121">
        <f t="shared" si="206"/>
        <v>0.45450660432940548</v>
      </c>
      <c r="AQ277">
        <f t="shared" si="207"/>
        <v>0</v>
      </c>
      <c r="AR277">
        <v>0</v>
      </c>
      <c r="AS277">
        <f t="shared" si="188"/>
        <v>0</v>
      </c>
      <c r="AT277">
        <f t="shared" si="208"/>
        <v>0</v>
      </c>
      <c r="AU277">
        <f>IFERROR(HLOOKUP(B277,'Real assumptions'!$B$43:$AL$44,2,TRUE)*($W$3/$U$2),0)</f>
        <v>0</v>
      </c>
      <c r="AV277">
        <f>AV276*(1+'Real assumptions'!$B$35)^(1/12)</f>
        <v>1.3156497498749229</v>
      </c>
      <c r="AW277">
        <f t="shared" si="189"/>
        <v>2041</v>
      </c>
      <c r="AX277">
        <f t="shared" si="224"/>
        <v>250.32033680434489</v>
      </c>
      <c r="AY277">
        <f t="shared" si="225"/>
        <v>1.310500147396227</v>
      </c>
      <c r="AZ277">
        <f t="shared" si="190"/>
        <v>627.03885891783727</v>
      </c>
      <c r="BA277">
        <f t="shared" si="209"/>
        <v>4.287366631063648</v>
      </c>
      <c r="BB277">
        <f t="shared" si="210"/>
        <v>76.833333333333329</v>
      </c>
      <c r="BC277">
        <f t="shared" si="191"/>
        <v>46.099999999999994</v>
      </c>
      <c r="BD277">
        <f t="shared" si="211"/>
        <v>0</v>
      </c>
      <c r="BE277">
        <f t="shared" si="192"/>
        <v>24</v>
      </c>
      <c r="BF277">
        <f t="shared" si="226"/>
        <v>5000</v>
      </c>
      <c r="BU277"/>
      <c r="FD277"/>
      <c r="FE277"/>
    </row>
    <row r="278" spans="1:161" x14ac:dyDescent="0.25">
      <c r="A278" s="7">
        <f t="shared" si="212"/>
        <v>51560</v>
      </c>
      <c r="B278">
        <f t="shared" si="193"/>
        <v>267</v>
      </c>
      <c r="C278">
        <f t="shared" si="194"/>
        <v>22.166666666666668</v>
      </c>
      <c r="D278">
        <f t="shared" si="195"/>
        <v>0</v>
      </c>
      <c r="E278">
        <f t="shared" si="196"/>
        <v>74</v>
      </c>
      <c r="F278">
        <f>IF(C278&gt;=$T$2,0,VLOOKUP($E278,EKM_F05!$A$3:$C$128,2,TRUE))</f>
        <v>2.9589358974358972E-2</v>
      </c>
      <c r="G278">
        <f>F278*'Real assumptions'!$B$3</f>
        <v>1.2347639499999999E-2</v>
      </c>
      <c r="H278">
        <f t="shared" si="213"/>
        <v>1.0348396000031679E-3</v>
      </c>
      <c r="I278">
        <f t="shared" si="214"/>
        <v>3.2033912253876906E-4</v>
      </c>
      <c r="J278">
        <f>IF(B278&gt;$AJ$2,0,HLOOKUP(C278,'Real assumptions'!$B$5:$L$8,4,TRUE))</f>
        <v>3.7900000000000003E-2</v>
      </c>
      <c r="K278">
        <f t="shared" si="183"/>
        <v>1</v>
      </c>
      <c r="L278">
        <f t="shared" si="215"/>
        <v>8.3333333333333329E-2</v>
      </c>
      <c r="M278">
        <f t="shared" si="216"/>
        <v>3.2145624959929453E-3</v>
      </c>
      <c r="N278">
        <f t="shared" si="217"/>
        <v>9.961681221010224E-4</v>
      </c>
      <c r="O278" s="8">
        <f t="shared" si="197"/>
        <v>0.308736206706126</v>
      </c>
      <c r="P278">
        <f t="shared" si="198"/>
        <v>7.4412651348183783</v>
      </c>
      <c r="Q278">
        <f t="shared" si="218"/>
        <v>1.6016956126938453</v>
      </c>
      <c r="R278" s="89">
        <f t="shared" si="184"/>
        <v>5000</v>
      </c>
      <c r="S278">
        <f t="shared" si="185"/>
        <v>0.75</v>
      </c>
      <c r="U278">
        <f>O277*AV277*'Real assumptions'!$B$33/12+AX278*'Real assumptions'!$B$34</f>
        <v>4.1480010231111848</v>
      </c>
      <c r="V278">
        <f>IF(P278=0,0,IF(E278&lt;=$C$7,$AN$5*O277,0))*'Real assumptions'!$D$28</f>
        <v>1.8603162837045946</v>
      </c>
      <c r="X278" s="94">
        <f t="shared" si="199"/>
        <v>0</v>
      </c>
      <c r="Y278">
        <f t="shared" si="186"/>
        <v>24</v>
      </c>
      <c r="Z278">
        <f t="shared" si="219"/>
        <v>76</v>
      </c>
      <c r="AA278">
        <f t="shared" si="187"/>
        <v>76.75</v>
      </c>
      <c r="AB278">
        <f t="shared" si="200"/>
        <v>50.505050505050505</v>
      </c>
      <c r="AC278">
        <f t="shared" si="220"/>
        <v>3876.2626262626263</v>
      </c>
      <c r="AD278">
        <f t="shared" si="201"/>
        <v>80.505050505050505</v>
      </c>
      <c r="AE278">
        <f t="shared" si="202"/>
        <v>308.93813131313129</v>
      </c>
      <c r="AF278" s="94">
        <f t="shared" si="203"/>
        <v>814.79924242424238</v>
      </c>
      <c r="AG278">
        <f t="shared" si="221"/>
        <v>0.81167703121509327</v>
      </c>
      <c r="AH278">
        <f t="shared" si="204"/>
        <v>251.55802733308576</v>
      </c>
      <c r="AI278">
        <f>HLOOKUP(AW278,'Real assumptions'!$A$21:$AK$24,2,TRUE)</f>
        <v>2.1831</v>
      </c>
      <c r="AJ278" s="123">
        <f t="shared" si="222"/>
        <v>1.801296728749513E-3</v>
      </c>
      <c r="AK278" s="122">
        <f>(1+HLOOKUP(YEAR(A278),'Real assumptions'!$A$21:$AK$24,2,TRUE)/100)^(1/12)-1</f>
        <v>1.801296728749513E-3</v>
      </c>
      <c r="AL278">
        <f t="shared" si="223"/>
        <v>4.1480010231111848</v>
      </c>
      <c r="AM278">
        <f>('Real assumptions'!$B$33/12)*O277*AV277</f>
        <v>4.0792077555736599</v>
      </c>
      <c r="AN278">
        <f t="shared" si="205"/>
        <v>253.10923183373779</v>
      </c>
      <c r="AO278">
        <f t="shared" si="182"/>
        <v>0.45592483131841399</v>
      </c>
      <c r="AP278" s="121">
        <f t="shared" si="206"/>
        <v>0.91043143564781948</v>
      </c>
      <c r="AQ278">
        <f t="shared" si="207"/>
        <v>0</v>
      </c>
      <c r="AR278">
        <v>0</v>
      </c>
      <c r="AS278">
        <f t="shared" si="188"/>
        <v>0</v>
      </c>
      <c r="AT278">
        <f t="shared" si="208"/>
        <v>0</v>
      </c>
      <c r="AU278">
        <f>IFERROR(HLOOKUP(B278,'Real assumptions'!$B$43:$AL$44,2,TRUE)*($W$3/$U$2),0)</f>
        <v>0</v>
      </c>
      <c r="AV278">
        <f>AV277*(1+'Real assumptions'!$B$35)^(1/12)</f>
        <v>1.3170124288600948</v>
      </c>
      <c r="AW278">
        <f t="shared" si="189"/>
        <v>2041</v>
      </c>
      <c r="AX278">
        <f t="shared" si="224"/>
        <v>251.12090338680653</v>
      </c>
      <c r="AY278">
        <f t="shared" si="225"/>
        <v>1.3049356647759502</v>
      </c>
      <c r="AZ278">
        <f t="shared" si="190"/>
        <v>627.18791714729855</v>
      </c>
      <c r="BA278">
        <f t="shared" si="209"/>
        <v>4.2736889276135326</v>
      </c>
      <c r="BB278">
        <f t="shared" si="210"/>
        <v>76.75</v>
      </c>
      <c r="BC278">
        <f t="shared" si="191"/>
        <v>46.05</v>
      </c>
      <c r="BD278">
        <f t="shared" si="211"/>
        <v>0</v>
      </c>
      <c r="BE278">
        <f t="shared" si="192"/>
        <v>24</v>
      </c>
      <c r="BF278">
        <f t="shared" si="226"/>
        <v>5000</v>
      </c>
      <c r="BU278"/>
      <c r="FD278"/>
      <c r="FE278"/>
    </row>
    <row r="279" spans="1:161" x14ac:dyDescent="0.25">
      <c r="A279" s="7">
        <f t="shared" si="212"/>
        <v>51591</v>
      </c>
      <c r="B279">
        <f t="shared" si="193"/>
        <v>268</v>
      </c>
      <c r="C279">
        <f t="shared" si="194"/>
        <v>22.25</v>
      </c>
      <c r="D279">
        <f t="shared" si="195"/>
        <v>0</v>
      </c>
      <c r="E279">
        <f t="shared" si="196"/>
        <v>74</v>
      </c>
      <c r="F279">
        <f>IF(C279&gt;=$T$2,0,VLOOKUP($E279,EKM_F05!$A$3:$C$128,2,TRUE))</f>
        <v>2.9589358974358972E-2</v>
      </c>
      <c r="G279">
        <f>F279*'Real assumptions'!$B$3</f>
        <v>1.2347639499999999E-2</v>
      </c>
      <c r="H279">
        <f t="shared" si="213"/>
        <v>1.0348396000031679E-3</v>
      </c>
      <c r="I279">
        <f t="shared" si="214"/>
        <v>3.1897893842623519E-4</v>
      </c>
      <c r="J279">
        <f>IF(B279&gt;$AJ$2,0,HLOOKUP(C279,'Real assumptions'!$B$5:$L$8,4,TRUE))</f>
        <v>3.7900000000000003E-2</v>
      </c>
      <c r="K279">
        <f t="shared" si="183"/>
        <v>1</v>
      </c>
      <c r="L279">
        <f t="shared" si="215"/>
        <v>8.3333333333333329E-2</v>
      </c>
      <c r="M279">
        <f t="shared" si="216"/>
        <v>3.2145624959929453E-3</v>
      </c>
      <c r="N279">
        <f t="shared" si="217"/>
        <v>9.9193831700461086E-4</v>
      </c>
      <c r="O279" s="8">
        <f t="shared" si="197"/>
        <v>0.30742528945069514</v>
      </c>
      <c r="P279">
        <f t="shared" si="198"/>
        <v>7.4096689609470241</v>
      </c>
      <c r="Q279">
        <f t="shared" si="218"/>
        <v>1.594894692131176</v>
      </c>
      <c r="R279" s="89">
        <f t="shared" si="184"/>
        <v>5000</v>
      </c>
      <c r="S279">
        <f t="shared" si="185"/>
        <v>0.66666666666666785</v>
      </c>
      <c r="U279">
        <f>O278*AV278*'Real assumptions'!$B$33/12+AX279*'Real assumptions'!$B$34</f>
        <v>4.135105140424729</v>
      </c>
      <c r="V279">
        <f>IF(P279=0,0,IF(E279&lt;=$C$7,$AN$5*O278,0))*'Real assumptions'!$D$28</f>
        <v>1.852417240236756</v>
      </c>
      <c r="X279" s="94">
        <f t="shared" si="199"/>
        <v>0</v>
      </c>
      <c r="Y279">
        <f t="shared" si="186"/>
        <v>24</v>
      </c>
      <c r="Z279">
        <f t="shared" si="219"/>
        <v>76</v>
      </c>
      <c r="AA279">
        <f t="shared" si="187"/>
        <v>76.666666666666671</v>
      </c>
      <c r="AB279">
        <f t="shared" si="200"/>
        <v>50.505050505050505</v>
      </c>
      <c r="AC279">
        <f t="shared" si="220"/>
        <v>3872.0538720538725</v>
      </c>
      <c r="AD279">
        <f t="shared" si="201"/>
        <v>80.505050505050505</v>
      </c>
      <c r="AE279">
        <f t="shared" si="202"/>
        <v>308.60269360269359</v>
      </c>
      <c r="AF279" s="94">
        <f t="shared" si="203"/>
        <v>819.34343434343396</v>
      </c>
      <c r="AG279">
        <f t="shared" si="221"/>
        <v>0.81273814731140381</v>
      </c>
      <c r="AH279">
        <f t="shared" si="204"/>
        <v>251.8868924625568</v>
      </c>
      <c r="AI279">
        <f>HLOOKUP(AW279,'Real assumptions'!$A$21:$AK$24,2,TRUE)</f>
        <v>2.1831</v>
      </c>
      <c r="AJ279" s="123">
        <f t="shared" si="222"/>
        <v>1.801296728749513E-3</v>
      </c>
      <c r="AK279" s="122">
        <f>(1+HLOOKUP(YEAR(A279),'Real assumptions'!$A$21:$AK$24,2,TRUE)/100)^(1/12)-1</f>
        <v>1.801296728749513E-3</v>
      </c>
      <c r="AL279">
        <f t="shared" si="223"/>
        <v>4.135105140424729</v>
      </c>
      <c r="AM279">
        <f>('Real assumptions'!$B$33/12)*O278*AV278</f>
        <v>4.0660942147108736</v>
      </c>
      <c r="AN279">
        <f t="shared" si="205"/>
        <v>253.8906053490191</v>
      </c>
      <c r="AO279">
        <f t="shared" si="182"/>
        <v>0.4573323168754217</v>
      </c>
      <c r="AP279" s="121">
        <f t="shared" si="206"/>
        <v>1.3677637525232411</v>
      </c>
      <c r="AQ279">
        <f t="shared" si="207"/>
        <v>0</v>
      </c>
      <c r="AR279">
        <v>0</v>
      </c>
      <c r="AS279">
        <f t="shared" si="188"/>
        <v>0</v>
      </c>
      <c r="AT279">
        <f t="shared" si="208"/>
        <v>0</v>
      </c>
      <c r="AU279">
        <f>IFERROR(HLOOKUP(B279,'Real assumptions'!$B$43:$AL$44,2,TRUE)*($W$3/$U$2),0)</f>
        <v>0</v>
      </c>
      <c r="AV279">
        <f>AV278*(1+'Real assumptions'!$B$35)^(1/12)</f>
        <v>1.3183765192345949</v>
      </c>
      <c r="AW279">
        <f t="shared" si="189"/>
        <v>2041</v>
      </c>
      <c r="AX279">
        <f t="shared" si="224"/>
        <v>251.91543633786603</v>
      </c>
      <c r="AY279">
        <f t="shared" si="225"/>
        <v>1.2993948093692171</v>
      </c>
      <c r="AZ279">
        <f t="shared" si="190"/>
        <v>627.33218243161014</v>
      </c>
      <c r="BA279">
        <f t="shared" si="209"/>
        <v>4.2600500796793357</v>
      </c>
      <c r="BB279">
        <f t="shared" si="210"/>
        <v>76.666666666666671</v>
      </c>
      <c r="BC279">
        <f t="shared" si="191"/>
        <v>46</v>
      </c>
      <c r="BD279">
        <f t="shared" si="211"/>
        <v>0</v>
      </c>
      <c r="BE279">
        <f t="shared" si="192"/>
        <v>24</v>
      </c>
      <c r="BF279">
        <f t="shared" si="226"/>
        <v>5000</v>
      </c>
      <c r="BU279"/>
      <c r="FD279"/>
      <c r="FE279"/>
    </row>
    <row r="280" spans="1:161" x14ac:dyDescent="0.25">
      <c r="A280" s="7">
        <f t="shared" si="212"/>
        <v>51621</v>
      </c>
      <c r="B280">
        <f t="shared" si="193"/>
        <v>269</v>
      </c>
      <c r="C280">
        <f t="shared" si="194"/>
        <v>22.333333333333332</v>
      </c>
      <c r="D280">
        <f t="shared" si="195"/>
        <v>0</v>
      </c>
      <c r="E280">
        <f t="shared" si="196"/>
        <v>74</v>
      </c>
      <c r="F280">
        <f>IF(C280&gt;=$T$2,0,VLOOKUP($E280,EKM_F05!$A$3:$C$128,2,TRUE))</f>
        <v>2.9589358974358972E-2</v>
      </c>
      <c r="G280">
        <f>F280*'Real assumptions'!$B$3</f>
        <v>1.2347639499999999E-2</v>
      </c>
      <c r="H280">
        <f t="shared" si="213"/>
        <v>1.0348396000031679E-3</v>
      </c>
      <c r="I280">
        <f t="shared" si="214"/>
        <v>3.1762452975819062E-4</v>
      </c>
      <c r="J280">
        <f>IF(B280&gt;$AJ$2,0,HLOOKUP(C280,'Real assumptions'!$B$5:$L$8,4,TRUE))</f>
        <v>3.7900000000000003E-2</v>
      </c>
      <c r="K280">
        <f t="shared" si="183"/>
        <v>1</v>
      </c>
      <c r="L280">
        <f t="shared" si="215"/>
        <v>8.3333333333333329E-2</v>
      </c>
      <c r="M280">
        <f t="shared" si="216"/>
        <v>3.2145624959929453E-3</v>
      </c>
      <c r="N280">
        <f t="shared" si="217"/>
        <v>9.8772647198015545E-4</v>
      </c>
      <c r="O280" s="8">
        <f t="shared" si="197"/>
        <v>0.3061199384489568</v>
      </c>
      <c r="P280">
        <f t="shared" si="198"/>
        <v>7.3782069468166833</v>
      </c>
      <c r="Q280">
        <f t="shared" si="218"/>
        <v>1.5881226487909532</v>
      </c>
      <c r="R280" s="89">
        <f t="shared" si="184"/>
        <v>5000</v>
      </c>
      <c r="S280">
        <f t="shared" si="185"/>
        <v>0.58333333333333215</v>
      </c>
      <c r="U280">
        <f>O279*AV279*'Real assumptions'!$B$33/12+AX280*'Real assumptions'!$B$34</f>
        <v>4.1222497739992567</v>
      </c>
      <c r="V280">
        <f>IF(P280=0,0,IF(E280&lt;=$C$7,$AN$5*O279,0))*'Real assumptions'!$D$28</f>
        <v>1.8445517367041708</v>
      </c>
      <c r="X280" s="94">
        <f t="shared" si="199"/>
        <v>0</v>
      </c>
      <c r="Y280">
        <f t="shared" si="186"/>
        <v>24</v>
      </c>
      <c r="Z280">
        <f t="shared" si="219"/>
        <v>76</v>
      </c>
      <c r="AA280">
        <f t="shared" si="187"/>
        <v>76.583333333333329</v>
      </c>
      <c r="AB280">
        <f t="shared" si="200"/>
        <v>50.505050505050505</v>
      </c>
      <c r="AC280">
        <f t="shared" si="220"/>
        <v>3867.8451178451178</v>
      </c>
      <c r="AD280">
        <f t="shared" si="201"/>
        <v>80.505050505050505</v>
      </c>
      <c r="AE280">
        <f t="shared" si="202"/>
        <v>308.26725589225583</v>
      </c>
      <c r="AF280" s="94">
        <f t="shared" si="203"/>
        <v>823.88762626262633</v>
      </c>
      <c r="AG280">
        <f t="shared" si="221"/>
        <v>0.81377561839648882</v>
      </c>
      <c r="AH280">
        <f t="shared" si="204"/>
        <v>252.2084294403723</v>
      </c>
      <c r="AI280">
        <f>HLOOKUP(AW280,'Real assumptions'!$A$21:$AK$24,2,TRUE)</f>
        <v>2.1831</v>
      </c>
      <c r="AJ280" s="123">
        <f t="shared" si="222"/>
        <v>1.801296728749513E-3</v>
      </c>
      <c r="AK280" s="122">
        <f>(1+HLOOKUP(YEAR(A280),'Real assumptions'!$A$21:$AK$24,2,TRUE)/100)^(1/12)-1</f>
        <v>1.801296728749513E-3</v>
      </c>
      <c r="AL280">
        <f t="shared" si="223"/>
        <v>4.1222497739992567</v>
      </c>
      <c r="AM280">
        <f>('Real assumptions'!$B$33/12)*O279*AV279</f>
        <v>4.0530228303069533</v>
      </c>
      <c r="AN280">
        <f t="shared" si="205"/>
        <v>254.66606165119336</v>
      </c>
      <c r="AO280">
        <f t="shared" si="182"/>
        <v>0.45872914377581642</v>
      </c>
      <c r="AP280" s="121">
        <f t="shared" si="206"/>
        <v>1.8264928962990576</v>
      </c>
      <c r="AQ280">
        <f t="shared" si="207"/>
        <v>0</v>
      </c>
      <c r="AR280">
        <v>0</v>
      </c>
      <c r="AS280">
        <f t="shared" si="188"/>
        <v>0</v>
      </c>
      <c r="AT280">
        <f t="shared" si="208"/>
        <v>0</v>
      </c>
      <c r="AU280">
        <f>IFERROR(HLOOKUP(B280,'Real assumptions'!$B$43:$AL$44,2,TRUE)*($W$3/$U$2),0)</f>
        <v>0</v>
      </c>
      <c r="AV280">
        <f>AV279*(1+'Real assumptions'!$B$35)^(1/12)</f>
        <v>1.3197420224602641</v>
      </c>
      <c r="AW280">
        <f t="shared" si="189"/>
        <v>2041</v>
      </c>
      <c r="AX280">
        <f t="shared" si="224"/>
        <v>252.70398195922897</v>
      </c>
      <c r="AY280">
        <f t="shared" si="225"/>
        <v>1.293877480853094</v>
      </c>
      <c r="AZ280">
        <f t="shared" si="190"/>
        <v>627.47170100858943</v>
      </c>
      <c r="BA280">
        <f t="shared" si="209"/>
        <v>4.2464500038916135</v>
      </c>
      <c r="BB280">
        <f t="shared" si="210"/>
        <v>76.583333333333329</v>
      </c>
      <c r="BC280">
        <f t="shared" si="191"/>
        <v>45.949999999999996</v>
      </c>
      <c r="BD280">
        <f t="shared" si="211"/>
        <v>0</v>
      </c>
      <c r="BE280">
        <f t="shared" si="192"/>
        <v>24</v>
      </c>
      <c r="BF280">
        <f t="shared" si="226"/>
        <v>5000</v>
      </c>
      <c r="BU280"/>
      <c r="FD280"/>
      <c r="FE280"/>
    </row>
    <row r="281" spans="1:161" x14ac:dyDescent="0.25">
      <c r="A281" s="7">
        <f t="shared" si="212"/>
        <v>51652</v>
      </c>
      <c r="B281">
        <f t="shared" si="193"/>
        <v>270</v>
      </c>
      <c r="C281">
        <f t="shared" si="194"/>
        <v>22.416666666666668</v>
      </c>
      <c r="D281">
        <f t="shared" si="195"/>
        <v>0</v>
      </c>
      <c r="E281">
        <f t="shared" si="196"/>
        <v>74</v>
      </c>
      <c r="F281">
        <f>IF(C281&gt;=$T$2,0,VLOOKUP($E281,EKM_F05!$A$3:$C$128,2,TRUE))</f>
        <v>2.9589358974358972E-2</v>
      </c>
      <c r="G281">
        <f>F281*'Real assumptions'!$B$3</f>
        <v>1.2347639499999999E-2</v>
      </c>
      <c r="H281">
        <f t="shared" si="213"/>
        <v>1.0348396000031679E-3</v>
      </c>
      <c r="I281">
        <f t="shared" si="214"/>
        <v>3.1627587201166191E-4</v>
      </c>
      <c r="J281">
        <f>IF(B281&gt;$AJ$2,0,HLOOKUP(C281,'Real assumptions'!$B$5:$L$8,4,TRUE))</f>
        <v>3.7900000000000003E-2</v>
      </c>
      <c r="K281">
        <f t="shared" si="183"/>
        <v>1</v>
      </c>
      <c r="L281">
        <f t="shared" si="215"/>
        <v>8.3333333333333329E-2</v>
      </c>
      <c r="M281">
        <f t="shared" si="216"/>
        <v>3.2145624959929453E-3</v>
      </c>
      <c r="N281">
        <f t="shared" si="217"/>
        <v>9.8353251076783456E-4</v>
      </c>
      <c r="O281" s="8">
        <f t="shared" si="197"/>
        <v>0.30482013006617731</v>
      </c>
      <c r="P281">
        <f t="shared" si="198"/>
        <v>7.3468785227749631</v>
      </c>
      <c r="Q281">
        <f t="shared" si="218"/>
        <v>1.5813793600583095</v>
      </c>
      <c r="R281" s="89">
        <f t="shared" si="184"/>
        <v>5000</v>
      </c>
      <c r="S281">
        <f t="shared" si="185"/>
        <v>0.5</v>
      </c>
      <c r="U281">
        <f>O280*AV280*'Real assumptions'!$B$33/12+AX281*'Real assumptions'!$B$34</f>
        <v>4.1094348009241388</v>
      </c>
      <c r="V281">
        <f>IF(P281=0,0,IF(E281&lt;=$C$7,$AN$5*O280,0))*'Real assumptions'!$D$28</f>
        <v>1.8367196306937408</v>
      </c>
      <c r="X281" s="94">
        <f t="shared" si="199"/>
        <v>0</v>
      </c>
      <c r="Y281">
        <f t="shared" si="186"/>
        <v>24</v>
      </c>
      <c r="Z281">
        <f t="shared" si="219"/>
        <v>76</v>
      </c>
      <c r="AA281">
        <f t="shared" si="187"/>
        <v>76.5</v>
      </c>
      <c r="AB281">
        <f t="shared" si="200"/>
        <v>50.505050505050505</v>
      </c>
      <c r="AC281">
        <f t="shared" si="220"/>
        <v>3863.6363636363635</v>
      </c>
      <c r="AD281">
        <f t="shared" si="201"/>
        <v>80.505050505050505</v>
      </c>
      <c r="AE281">
        <f t="shared" si="202"/>
        <v>307.93181818181819</v>
      </c>
      <c r="AF281" s="94">
        <f t="shared" si="203"/>
        <v>828.43181818181824</v>
      </c>
      <c r="AG281">
        <f t="shared" si="221"/>
        <v>0.81478962613632588</v>
      </c>
      <c r="AH281">
        <f t="shared" si="204"/>
        <v>252.52269456914158</v>
      </c>
      <c r="AI281">
        <f>HLOOKUP(AW281,'Real assumptions'!$A$21:$AK$24,2,TRUE)</f>
        <v>2.1831</v>
      </c>
      <c r="AJ281" s="123">
        <f t="shared" si="222"/>
        <v>1.801296728749513E-3</v>
      </c>
      <c r="AK281" s="122">
        <f>(1+HLOOKUP(YEAR(A281),'Real assumptions'!$A$21:$AK$24,2,TRUE)/100)^(1/12)-1</f>
        <v>1.801296728749513E-3</v>
      </c>
      <c r="AL281">
        <f t="shared" si="223"/>
        <v>4.1094348009241388</v>
      </c>
      <c r="AM281">
        <f>('Real assumptions'!$B$33/12)*O280*AV280</f>
        <v>4.0399934668403779</v>
      </c>
      <c r="AN281">
        <f t="shared" si="205"/>
        <v>255.43564642782849</v>
      </c>
      <c r="AO281">
        <f t="shared" si="182"/>
        <v>0.4601153943164647</v>
      </c>
      <c r="AP281" s="121">
        <f t="shared" si="206"/>
        <v>2.2866082906155225</v>
      </c>
      <c r="AQ281">
        <f t="shared" si="207"/>
        <v>0</v>
      </c>
      <c r="AR281">
        <v>0</v>
      </c>
      <c r="AS281">
        <f t="shared" si="188"/>
        <v>0</v>
      </c>
      <c r="AT281">
        <f t="shared" si="208"/>
        <v>0</v>
      </c>
      <c r="AU281">
        <f>IFERROR(HLOOKUP(B281,'Real assumptions'!$B$43:$AL$44,2,TRUE)*($W$3/$U$2),0)</f>
        <v>0</v>
      </c>
      <c r="AV281">
        <f>AV280*(1+'Real assumptions'!$B$35)^(1/12)</f>
        <v>1.3211089400004572</v>
      </c>
      <c r="AW281">
        <f t="shared" si="189"/>
        <v>2041</v>
      </c>
      <c r="AX281">
        <f t="shared" si="224"/>
        <v>253.48658628530822</v>
      </c>
      <c r="AY281">
        <f t="shared" si="225"/>
        <v>1.2883835793306262</v>
      </c>
      <c r="AZ281">
        <f t="shared" si="190"/>
        <v>627.60651883596142</v>
      </c>
      <c r="BA281">
        <f t="shared" si="209"/>
        <v>4.2328886168883759</v>
      </c>
      <c r="BB281">
        <f t="shared" si="210"/>
        <v>76.5</v>
      </c>
      <c r="BC281">
        <f t="shared" si="191"/>
        <v>45.9</v>
      </c>
      <c r="BD281">
        <f t="shared" si="211"/>
        <v>0</v>
      </c>
      <c r="BE281">
        <f t="shared" si="192"/>
        <v>24</v>
      </c>
      <c r="BF281">
        <f t="shared" si="226"/>
        <v>5000</v>
      </c>
      <c r="BU281"/>
      <c r="FD281"/>
      <c r="FE281"/>
    </row>
    <row r="282" spans="1:161" x14ac:dyDescent="0.25">
      <c r="A282" s="7">
        <f t="shared" si="212"/>
        <v>51682</v>
      </c>
      <c r="B282">
        <f t="shared" si="193"/>
        <v>271</v>
      </c>
      <c r="C282">
        <f t="shared" si="194"/>
        <v>22.5</v>
      </c>
      <c r="D282">
        <f t="shared" si="195"/>
        <v>0</v>
      </c>
      <c r="E282">
        <f t="shared" si="196"/>
        <v>74</v>
      </c>
      <c r="F282">
        <f>IF(C282&gt;=$T$2,0,VLOOKUP($E282,EKM_F05!$A$3:$C$128,2,TRUE))</f>
        <v>2.9589358974358972E-2</v>
      </c>
      <c r="G282">
        <f>F282*'Real assumptions'!$B$3</f>
        <v>1.2347639499999999E-2</v>
      </c>
      <c r="H282">
        <f t="shared" si="213"/>
        <v>1.0348396000031679E-3</v>
      </c>
      <c r="I282">
        <f t="shared" si="214"/>
        <v>3.1493294076780174E-4</v>
      </c>
      <c r="J282">
        <f>IF(B282&gt;$AJ$2,0,HLOOKUP(C282,'Real assumptions'!$B$5:$L$8,4,TRUE))</f>
        <v>3.7900000000000003E-2</v>
      </c>
      <c r="K282">
        <f t="shared" si="183"/>
        <v>1</v>
      </c>
      <c r="L282">
        <f t="shared" si="215"/>
        <v>8.3333333333333329E-2</v>
      </c>
      <c r="M282">
        <f t="shared" si="216"/>
        <v>3.2145624959929453E-3</v>
      </c>
      <c r="N282">
        <f t="shared" si="217"/>
        <v>9.7935635743163054E-4</v>
      </c>
      <c r="O282" s="8">
        <f t="shared" si="197"/>
        <v>0.30352584076797789</v>
      </c>
      <c r="P282">
        <f t="shared" si="198"/>
        <v>7.3156831215882558</v>
      </c>
      <c r="Q282">
        <f t="shared" si="218"/>
        <v>1.5746647038390087</v>
      </c>
      <c r="R282" s="89">
        <f t="shared" si="184"/>
        <v>5000</v>
      </c>
      <c r="S282">
        <f t="shared" si="185"/>
        <v>0.41666666666666785</v>
      </c>
      <c r="U282">
        <f>O281*AV281*'Real assumptions'!$B$33/12+AX282*'Real assumptions'!$B$34</f>
        <v>4.0966600986515811</v>
      </c>
      <c r="V282">
        <f>IF(P282=0,0,IF(E282&lt;=$C$7,$AN$5*O281,0))*'Real assumptions'!$D$28</f>
        <v>1.828920780397064</v>
      </c>
      <c r="X282" s="94">
        <f t="shared" si="199"/>
        <v>0</v>
      </c>
      <c r="Y282">
        <f t="shared" si="186"/>
        <v>24</v>
      </c>
      <c r="Z282">
        <f t="shared" si="219"/>
        <v>76</v>
      </c>
      <c r="AA282">
        <f t="shared" si="187"/>
        <v>76.416666666666671</v>
      </c>
      <c r="AB282">
        <f t="shared" si="200"/>
        <v>50.505050505050505</v>
      </c>
      <c r="AC282">
        <f t="shared" si="220"/>
        <v>3859.4276094276097</v>
      </c>
      <c r="AD282">
        <f t="shared" si="201"/>
        <v>80.505050505050505</v>
      </c>
      <c r="AE282">
        <f t="shared" si="202"/>
        <v>307.59638047138048</v>
      </c>
      <c r="AF282" s="94">
        <f t="shared" si="203"/>
        <v>832.97601010100982</v>
      </c>
      <c r="AG282">
        <f t="shared" si="221"/>
        <v>0.8157803510804581</v>
      </c>
      <c r="AH282">
        <f t="shared" si="204"/>
        <v>252.82974380546466</v>
      </c>
      <c r="AI282">
        <f>HLOOKUP(AW282,'Real assumptions'!$A$21:$AK$24,2,TRUE)</f>
        <v>2.1831</v>
      </c>
      <c r="AJ282" s="123">
        <f t="shared" si="222"/>
        <v>1.801296728749513E-3</v>
      </c>
      <c r="AK282" s="122">
        <f>(1+HLOOKUP(YEAR(A282),'Real assumptions'!$A$21:$AK$24,2,TRUE)/100)^(1/12)-1</f>
        <v>1.801296728749513E-3</v>
      </c>
      <c r="AL282">
        <f t="shared" si="223"/>
        <v>4.0966600986515811</v>
      </c>
      <c r="AM282">
        <f>('Real assumptions'!$B$33/12)*O281*AV281</f>
        <v>4.0270059892252901</v>
      </c>
      <c r="AN282">
        <f t="shared" si="205"/>
        <v>256.19940510229668</v>
      </c>
      <c r="AO282">
        <f t="shared" si="182"/>
        <v>0.46149115031833832</v>
      </c>
      <c r="AP282" s="121">
        <f t="shared" si="206"/>
        <v>2.7480994409338608</v>
      </c>
      <c r="AQ282">
        <f t="shared" si="207"/>
        <v>0</v>
      </c>
      <c r="AR282">
        <v>0</v>
      </c>
      <c r="AS282">
        <f t="shared" si="188"/>
        <v>0</v>
      </c>
      <c r="AT282">
        <f t="shared" si="208"/>
        <v>0</v>
      </c>
      <c r="AU282">
        <f>IFERROR(HLOOKUP(B282,'Real assumptions'!$B$43:$AL$44,2,TRUE)*($W$3/$U$2),0)</f>
        <v>0</v>
      </c>
      <c r="AV282">
        <f>AV281*(1+'Real assumptions'!$B$35)^(1/12)</f>
        <v>1.3224772733200449</v>
      </c>
      <c r="AW282">
        <f t="shared" si="189"/>
        <v>2041</v>
      </c>
      <c r="AX282">
        <f t="shared" si="224"/>
        <v>254.26329508468908</v>
      </c>
      <c r="AY282">
        <f t="shared" si="225"/>
        <v>1.282913005329029</v>
      </c>
      <c r="AZ282">
        <f t="shared" si="190"/>
        <v>627.73668159290253</v>
      </c>
      <c r="BA282">
        <f t="shared" si="209"/>
        <v>4.2193658353165304</v>
      </c>
      <c r="BB282">
        <f t="shared" si="210"/>
        <v>76.416666666666671</v>
      </c>
      <c r="BC282">
        <f t="shared" si="191"/>
        <v>45.85</v>
      </c>
      <c r="BD282">
        <f t="shared" si="211"/>
        <v>0</v>
      </c>
      <c r="BE282">
        <f t="shared" si="192"/>
        <v>24</v>
      </c>
      <c r="BF282">
        <f t="shared" si="226"/>
        <v>5000</v>
      </c>
      <c r="BU282"/>
      <c r="FD282"/>
      <c r="FE282"/>
    </row>
    <row r="283" spans="1:161" x14ac:dyDescent="0.25">
      <c r="A283" s="7">
        <f t="shared" si="212"/>
        <v>51713</v>
      </c>
      <c r="B283">
        <f t="shared" si="193"/>
        <v>272</v>
      </c>
      <c r="C283">
        <f t="shared" si="194"/>
        <v>22.583333333333332</v>
      </c>
      <c r="D283">
        <f t="shared" si="195"/>
        <v>0</v>
      </c>
      <c r="E283">
        <f t="shared" si="196"/>
        <v>74</v>
      </c>
      <c r="F283">
        <f>IF(C283&gt;=$T$2,0,VLOOKUP($E283,EKM_F05!$A$3:$C$128,2,TRUE))</f>
        <v>2.9589358974358972E-2</v>
      </c>
      <c r="G283">
        <f>F283*'Real assumptions'!$B$3</f>
        <v>1.2347639499999999E-2</v>
      </c>
      <c r="H283">
        <f t="shared" si="213"/>
        <v>1.0348396000031679E-3</v>
      </c>
      <c r="I283">
        <f t="shared" si="214"/>
        <v>3.1359571171144727E-4</v>
      </c>
      <c r="J283">
        <f>IF(B283&gt;$AJ$2,0,HLOOKUP(C283,'Real assumptions'!$B$5:$L$8,4,TRUE))</f>
        <v>3.7900000000000003E-2</v>
      </c>
      <c r="K283">
        <f t="shared" si="183"/>
        <v>1</v>
      </c>
      <c r="L283">
        <f t="shared" si="215"/>
        <v>8.3333333333333329E-2</v>
      </c>
      <c r="M283">
        <f t="shared" si="216"/>
        <v>3.2145624959929453E-3</v>
      </c>
      <c r="N283">
        <f t="shared" si="217"/>
        <v>9.7519793635795615E-4</v>
      </c>
      <c r="O283" s="8">
        <f t="shared" si="197"/>
        <v>0.30223704711990845</v>
      </c>
      <c r="P283">
        <f t="shared" si="198"/>
        <v>7.284620178431469</v>
      </c>
      <c r="Q283">
        <f t="shared" si="218"/>
        <v>1.5679785585572363</v>
      </c>
      <c r="R283" s="89">
        <f t="shared" si="184"/>
        <v>5000</v>
      </c>
      <c r="S283">
        <f t="shared" si="185"/>
        <v>0.33333333333333215</v>
      </c>
      <c r="U283">
        <f>O282*AV282*'Real assumptions'!$B$33/12+AX283*'Real assumptions'!$B$34</f>
        <v>4.0839255449956333</v>
      </c>
      <c r="V283">
        <f>IF(P283=0,0,IF(E283&lt;=$C$7,$AN$5*O282,0))*'Real assumptions'!$D$28</f>
        <v>1.8211550446078673</v>
      </c>
      <c r="X283" s="94">
        <f t="shared" si="199"/>
        <v>0</v>
      </c>
      <c r="Y283">
        <f t="shared" si="186"/>
        <v>24</v>
      </c>
      <c r="Z283">
        <f t="shared" si="219"/>
        <v>76</v>
      </c>
      <c r="AA283">
        <f t="shared" si="187"/>
        <v>76.333333333333329</v>
      </c>
      <c r="AB283">
        <f t="shared" si="200"/>
        <v>50.505050505050505</v>
      </c>
      <c r="AC283">
        <f t="shared" si="220"/>
        <v>3855.218855218855</v>
      </c>
      <c r="AD283">
        <f t="shared" si="201"/>
        <v>80.505050505050505</v>
      </c>
      <c r="AE283">
        <f t="shared" si="202"/>
        <v>307.26094276094273</v>
      </c>
      <c r="AF283" s="94">
        <f t="shared" si="203"/>
        <v>837.5202020202023</v>
      </c>
      <c r="AG283">
        <f t="shared" si="221"/>
        <v>0.81674797266819987</v>
      </c>
      <c r="AH283">
        <f t="shared" si="204"/>
        <v>253.12963276185513</v>
      </c>
      <c r="AI283">
        <f>HLOOKUP(AW283,'Real assumptions'!$A$21:$AK$24,2,TRUE)</f>
        <v>2.1831</v>
      </c>
      <c r="AJ283" s="123">
        <f t="shared" si="222"/>
        <v>1.801296728749513E-3</v>
      </c>
      <c r="AK283" s="122">
        <f>(1+HLOOKUP(YEAR(A283),'Real assumptions'!$A$21:$AK$24,2,TRUE)/100)^(1/12)-1</f>
        <v>1.801296728749513E-3</v>
      </c>
      <c r="AL283">
        <f t="shared" si="223"/>
        <v>4.0839255449956333</v>
      </c>
      <c r="AM283">
        <f>('Real assumptions'!$B$33/12)*O282*AV282</f>
        <v>4.0140602628100952</v>
      </c>
      <c r="AN283">
        <f t="shared" si="205"/>
        <v>256.9573828352265</v>
      </c>
      <c r="AO283">
        <f t="shared" si="182"/>
        <v>0.46285649312912974</v>
      </c>
      <c r="AP283" s="121">
        <f t="shared" si="206"/>
        <v>3.2109559340629907</v>
      </c>
      <c r="AQ283">
        <f t="shared" si="207"/>
        <v>0</v>
      </c>
      <c r="AR283">
        <v>0</v>
      </c>
      <c r="AS283">
        <f t="shared" si="188"/>
        <v>0</v>
      </c>
      <c r="AT283">
        <f t="shared" si="208"/>
        <v>0</v>
      </c>
      <c r="AU283">
        <f>IFERROR(HLOOKUP(B283,'Real assumptions'!$B$43:$AL$44,2,TRUE)*($W$3/$U$2),0)</f>
        <v>0</v>
      </c>
      <c r="AV283">
        <f>AV282*(1+'Real assumptions'!$B$35)^(1/12)</f>
        <v>1.3238470238854154</v>
      </c>
      <c r="AW283">
        <f t="shared" si="189"/>
        <v>2041</v>
      </c>
      <c r="AX283">
        <f t="shared" si="224"/>
        <v>255.03415386158852</v>
      </c>
      <c r="AY283">
        <f t="shared" si="225"/>
        <v>1.2774656597978866</v>
      </c>
      <c r="AZ283">
        <f t="shared" si="190"/>
        <v>627.86223468157448</v>
      </c>
      <c r="BA283">
        <f t="shared" si="209"/>
        <v>4.2058815758333035</v>
      </c>
      <c r="BB283">
        <f t="shared" si="210"/>
        <v>76.333333333333329</v>
      </c>
      <c r="BC283">
        <f t="shared" si="191"/>
        <v>45.8</v>
      </c>
      <c r="BD283">
        <f t="shared" si="211"/>
        <v>0</v>
      </c>
      <c r="BE283">
        <f t="shared" si="192"/>
        <v>24</v>
      </c>
      <c r="BF283">
        <f t="shared" si="226"/>
        <v>5000</v>
      </c>
      <c r="BU283"/>
      <c r="FD283"/>
      <c r="FE283"/>
    </row>
    <row r="284" spans="1:161" x14ac:dyDescent="0.25">
      <c r="A284" s="7">
        <f t="shared" si="212"/>
        <v>51744</v>
      </c>
      <c r="B284">
        <f t="shared" si="193"/>
        <v>273</v>
      </c>
      <c r="C284">
        <f t="shared" si="194"/>
        <v>22.666666666666668</v>
      </c>
      <c r="D284">
        <f t="shared" si="195"/>
        <v>0</v>
      </c>
      <c r="E284">
        <f t="shared" si="196"/>
        <v>74</v>
      </c>
      <c r="F284">
        <f>IF(C284&gt;=$T$2,0,VLOOKUP($E284,EKM_F05!$A$3:$C$128,2,TRUE))</f>
        <v>2.9589358974358972E-2</v>
      </c>
      <c r="G284">
        <f>F284*'Real assumptions'!$B$3</f>
        <v>1.2347639499999999E-2</v>
      </c>
      <c r="H284">
        <f t="shared" si="213"/>
        <v>1.0348396000031679E-3</v>
      </c>
      <c r="I284">
        <f t="shared" si="214"/>
        <v>3.1226416063067958E-4</v>
      </c>
      <c r="J284">
        <f>IF(B284&gt;$AJ$2,0,HLOOKUP(C284,'Real assumptions'!$B$5:$L$8,4,TRUE))</f>
        <v>3.7900000000000003E-2</v>
      </c>
      <c r="K284">
        <f t="shared" si="183"/>
        <v>1</v>
      </c>
      <c r="L284">
        <f t="shared" si="215"/>
        <v>8.3333333333333329E-2</v>
      </c>
      <c r="M284">
        <f t="shared" si="216"/>
        <v>3.2145624959929453E-3</v>
      </c>
      <c r="N284">
        <f t="shared" si="217"/>
        <v>9.7105717225428527E-4</v>
      </c>
      <c r="O284" s="8">
        <f t="shared" si="197"/>
        <v>0.30095372578702351</v>
      </c>
      <c r="P284">
        <f t="shared" si="198"/>
        <v>7.2536891308778024</v>
      </c>
      <c r="Q284">
        <f t="shared" si="218"/>
        <v>1.5613208031533978</v>
      </c>
      <c r="R284" s="89">
        <f t="shared" si="184"/>
        <v>5000</v>
      </c>
      <c r="S284">
        <f t="shared" si="185"/>
        <v>0.25</v>
      </c>
      <c r="U284">
        <f>O283*AV283*'Real assumptions'!$B$33/12+AX284*'Real assumptions'!$B$34</f>
        <v>4.0712310181311908</v>
      </c>
      <c r="V284">
        <f>IF(P284=0,0,IF(E284&lt;=$C$7,$AN$5*O283,0))*'Real assumptions'!$D$28</f>
        <v>1.8134222827194506</v>
      </c>
      <c r="X284" s="94">
        <f t="shared" si="199"/>
        <v>0</v>
      </c>
      <c r="Y284">
        <f t="shared" si="186"/>
        <v>24</v>
      </c>
      <c r="Z284">
        <f t="shared" si="219"/>
        <v>76</v>
      </c>
      <c r="AA284">
        <f t="shared" si="187"/>
        <v>76.25</v>
      </c>
      <c r="AB284">
        <f t="shared" si="200"/>
        <v>50.505050505050505</v>
      </c>
      <c r="AC284">
        <f t="shared" si="220"/>
        <v>3851.0101010101012</v>
      </c>
      <c r="AD284">
        <f t="shared" si="201"/>
        <v>80.505050505050505</v>
      </c>
      <c r="AE284">
        <f t="shared" si="202"/>
        <v>306.92550505050502</v>
      </c>
      <c r="AF284" s="94">
        <f t="shared" si="203"/>
        <v>842.06439393939377</v>
      </c>
      <c r="AG284">
        <f t="shared" si="221"/>
        <v>0.81769266923480621</v>
      </c>
      <c r="AH284">
        <f t="shared" si="204"/>
        <v>253.42241670865246</v>
      </c>
      <c r="AI284">
        <f>HLOOKUP(AW284,'Real assumptions'!$A$21:$AK$24,2,TRUE)</f>
        <v>2.1831</v>
      </c>
      <c r="AJ284" s="123">
        <f t="shared" si="222"/>
        <v>1.801296728749513E-3</v>
      </c>
      <c r="AK284" s="122">
        <f>(1+HLOOKUP(YEAR(A284),'Real assumptions'!$A$21:$AK$24,2,TRUE)/100)^(1/12)-1</f>
        <v>1.801296728749513E-3</v>
      </c>
      <c r="AL284">
        <f t="shared" si="223"/>
        <v>4.0712310181311908</v>
      </c>
      <c r="AM284">
        <f>('Real assumptions'!$B$33/12)*O283*AV283</f>
        <v>4.0011561533760691</v>
      </c>
      <c r="AN284">
        <f t="shared" si="205"/>
        <v>257.70962452594529</v>
      </c>
      <c r="AO284">
        <f t="shared" si="182"/>
        <v>0.46421150362585051</v>
      </c>
      <c r="AP284" s="121">
        <f t="shared" si="206"/>
        <v>3.6751674376888412</v>
      </c>
      <c r="AQ284">
        <f t="shared" si="207"/>
        <v>0</v>
      </c>
      <c r="AR284">
        <v>0</v>
      </c>
      <c r="AS284">
        <f t="shared" si="188"/>
        <v>0</v>
      </c>
      <c r="AT284">
        <f t="shared" si="208"/>
        <v>0</v>
      </c>
      <c r="AU284">
        <f>IFERROR(HLOOKUP(B284,'Real assumptions'!$B$43:$AL$44,2,TRUE)*($W$3/$U$2),0)</f>
        <v>0</v>
      </c>
      <c r="AV284">
        <f>AV283*(1+'Real assumptions'!$B$35)^(1/12)</f>
        <v>1.3252181931644751</v>
      </c>
      <c r="AW284">
        <f t="shared" si="189"/>
        <v>2041</v>
      </c>
      <c r="AX284">
        <f t="shared" si="224"/>
        <v>255.79920785730604</v>
      </c>
      <c r="AY284">
        <f t="shared" si="225"/>
        <v>1.2720414441073586</v>
      </c>
      <c r="AZ284">
        <f t="shared" si="190"/>
        <v>627.98322322865056</v>
      </c>
      <c r="BA284">
        <f t="shared" si="209"/>
        <v>4.1924357551076543</v>
      </c>
      <c r="BB284">
        <f t="shared" si="210"/>
        <v>76.25</v>
      </c>
      <c r="BC284">
        <f t="shared" si="191"/>
        <v>45.75</v>
      </c>
      <c r="BD284">
        <f t="shared" si="211"/>
        <v>0</v>
      </c>
      <c r="BE284">
        <f t="shared" si="192"/>
        <v>24</v>
      </c>
      <c r="BF284">
        <f t="shared" si="226"/>
        <v>5000</v>
      </c>
      <c r="BU284"/>
      <c r="FD284"/>
      <c r="FE284"/>
    </row>
    <row r="285" spans="1:161" x14ac:dyDescent="0.25">
      <c r="A285" s="7">
        <f t="shared" si="212"/>
        <v>51774</v>
      </c>
      <c r="B285">
        <f t="shared" si="193"/>
        <v>274</v>
      </c>
      <c r="C285">
        <f t="shared" si="194"/>
        <v>22.75</v>
      </c>
      <c r="D285">
        <f t="shared" si="195"/>
        <v>0</v>
      </c>
      <c r="E285">
        <f t="shared" si="196"/>
        <v>74</v>
      </c>
      <c r="F285">
        <f>IF(C285&gt;=$T$2,0,VLOOKUP($E285,EKM_F05!$A$3:$C$128,2,TRUE))</f>
        <v>2.9589358974358972E-2</v>
      </c>
      <c r="G285">
        <f>F285*'Real assumptions'!$B$3</f>
        <v>1.2347639499999999E-2</v>
      </c>
      <c r="H285">
        <f t="shared" si="213"/>
        <v>1.0348396000031679E-3</v>
      </c>
      <c r="I285">
        <f t="shared" si="214"/>
        <v>3.1093826341638546E-4</v>
      </c>
      <c r="J285">
        <f>IF(B285&gt;$AJ$2,0,HLOOKUP(C285,'Real assumptions'!$B$5:$L$8,4,TRUE))</f>
        <v>3.7900000000000003E-2</v>
      </c>
      <c r="K285">
        <f t="shared" si="183"/>
        <v>1</v>
      </c>
      <c r="L285">
        <f t="shared" si="215"/>
        <v>8.3333333333333329E-2</v>
      </c>
      <c r="M285">
        <f t="shared" si="216"/>
        <v>3.2145624959929453E-3</v>
      </c>
      <c r="N285">
        <f t="shared" si="217"/>
        <v>9.6693399014778983E-4</v>
      </c>
      <c r="O285" s="8">
        <f t="shared" si="197"/>
        <v>0.29967585353345932</v>
      </c>
      <c r="P285">
        <f t="shared" si="198"/>
        <v>7.2228894188885642</v>
      </c>
      <c r="Q285">
        <f t="shared" si="218"/>
        <v>1.5546913170819272</v>
      </c>
      <c r="R285" s="89">
        <f t="shared" si="184"/>
        <v>5000</v>
      </c>
      <c r="S285">
        <f t="shared" si="185"/>
        <v>0.16666666666666785</v>
      </c>
      <c r="U285">
        <f>O284*AV284*'Real assumptions'!$B$33/12+AX285*'Real assumptions'!$B$34</f>
        <v>4.0585763965929935</v>
      </c>
      <c r="V285">
        <f>IF(P285=0,0,IF(E285&lt;=$C$7,$AN$5*O284,0))*'Real assumptions'!$D$28</f>
        <v>1.805722354722141</v>
      </c>
      <c r="X285" s="94">
        <f t="shared" si="199"/>
        <v>0</v>
      </c>
      <c r="Y285">
        <f t="shared" si="186"/>
        <v>24</v>
      </c>
      <c r="Z285">
        <f t="shared" si="219"/>
        <v>76</v>
      </c>
      <c r="AA285">
        <f t="shared" si="187"/>
        <v>76.166666666666671</v>
      </c>
      <c r="AB285">
        <f t="shared" si="200"/>
        <v>50.505050505050505</v>
      </c>
      <c r="AC285">
        <f t="shared" si="220"/>
        <v>3846.8013468013469</v>
      </c>
      <c r="AD285">
        <f t="shared" si="201"/>
        <v>80.505050505050505</v>
      </c>
      <c r="AE285">
        <f t="shared" si="202"/>
        <v>306.59006734006732</v>
      </c>
      <c r="AF285" s="94">
        <f t="shared" si="203"/>
        <v>846.6085858585858</v>
      </c>
      <c r="AG285">
        <f t="shared" si="221"/>
        <v>0.81861461801762003</v>
      </c>
      <c r="AH285">
        <f t="shared" si="204"/>
        <v>253.70815057592668</v>
      </c>
      <c r="AI285">
        <f>HLOOKUP(AW285,'Real assumptions'!$A$21:$AK$24,2,TRUE)</f>
        <v>2.1831</v>
      </c>
      <c r="AJ285" s="123">
        <f t="shared" si="222"/>
        <v>1.801296728749513E-3</v>
      </c>
      <c r="AK285" s="122">
        <f>(1+HLOOKUP(YEAR(A285),'Real assumptions'!$A$21:$AK$24,2,TRUE)/100)^(1/12)-1</f>
        <v>1.801296728749513E-3</v>
      </c>
      <c r="AL285">
        <f t="shared" si="223"/>
        <v>4.0585763965929935</v>
      </c>
      <c r="AM285">
        <f>('Real assumptions'!$B$33/12)*O284*AV284</f>
        <v>3.9882935271359621</v>
      </c>
      <c r="AN285">
        <f t="shared" si="205"/>
        <v>258.45617481391474</v>
      </c>
      <c r="AO285">
        <f t="shared" si="182"/>
        <v>0.46555626221741692</v>
      </c>
      <c r="AP285" s="121">
        <f t="shared" si="206"/>
        <v>4.1407236999062578</v>
      </c>
      <c r="AQ285">
        <f t="shared" si="207"/>
        <v>0</v>
      </c>
      <c r="AR285">
        <v>0</v>
      </c>
      <c r="AS285">
        <f t="shared" si="188"/>
        <v>0</v>
      </c>
      <c r="AT285">
        <f t="shared" si="208"/>
        <v>0</v>
      </c>
      <c r="AU285">
        <f>IFERROR(HLOOKUP(B285,'Real assumptions'!$B$43:$AL$44,2,TRUE)*($W$3/$U$2),0)</f>
        <v>0</v>
      </c>
      <c r="AV285">
        <f>AV284*(1+'Real assumptions'!$B$35)^(1/12)</f>
        <v>1.326590782626651</v>
      </c>
      <c r="AW285">
        <f t="shared" si="189"/>
        <v>2041</v>
      </c>
      <c r="AX285">
        <f t="shared" si="224"/>
        <v>256.55850205166558</v>
      </c>
      <c r="AY285">
        <f t="shared" si="225"/>
        <v>1.2666402600463951</v>
      </c>
      <c r="AZ285">
        <f t="shared" si="190"/>
        <v>628.09969208683583</v>
      </c>
      <c r="BA285">
        <f t="shared" si="209"/>
        <v>4.1790282898216882</v>
      </c>
      <c r="BB285">
        <f t="shared" si="210"/>
        <v>76.166666666666671</v>
      </c>
      <c r="BC285">
        <f t="shared" si="191"/>
        <v>45.7</v>
      </c>
      <c r="BD285">
        <f t="shared" si="211"/>
        <v>0</v>
      </c>
      <c r="BE285">
        <f t="shared" si="192"/>
        <v>24</v>
      </c>
      <c r="BF285">
        <f t="shared" si="226"/>
        <v>5000</v>
      </c>
      <c r="BU285"/>
      <c r="FD285"/>
      <c r="FE285"/>
    </row>
    <row r="286" spans="1:161" x14ac:dyDescent="0.25">
      <c r="A286" s="7">
        <f t="shared" si="212"/>
        <v>51805</v>
      </c>
      <c r="B286">
        <f t="shared" si="193"/>
        <v>275</v>
      </c>
      <c r="C286">
        <f t="shared" si="194"/>
        <v>22.833333333333332</v>
      </c>
      <c r="D286">
        <f t="shared" si="195"/>
        <v>0</v>
      </c>
      <c r="E286">
        <f t="shared" si="196"/>
        <v>74</v>
      </c>
      <c r="F286">
        <f>IF(C286&gt;=$T$2,0,VLOOKUP($E286,EKM_F05!$A$3:$C$128,2,TRUE))</f>
        <v>2.9589358974358972E-2</v>
      </c>
      <c r="G286">
        <f>F286*'Real assumptions'!$B$3</f>
        <v>1.2347639499999999E-2</v>
      </c>
      <c r="H286">
        <f t="shared" si="213"/>
        <v>1.0348396000031679E-3</v>
      </c>
      <c r="I286">
        <f t="shared" si="214"/>
        <v>3.0961799606182074E-4</v>
      </c>
      <c r="J286">
        <f>IF(B286&gt;$AJ$2,0,HLOOKUP(C286,'Real assumptions'!$B$5:$L$8,4,TRUE))</f>
        <v>3.7900000000000003E-2</v>
      </c>
      <c r="K286">
        <f t="shared" si="183"/>
        <v>1</v>
      </c>
      <c r="L286">
        <f t="shared" si="215"/>
        <v>8.3333333333333329E-2</v>
      </c>
      <c r="M286">
        <f t="shared" si="216"/>
        <v>3.2145624959929453E-3</v>
      </c>
      <c r="N286">
        <f t="shared" si="217"/>
        <v>9.6282831538398118E-4</v>
      </c>
      <c r="O286" s="8">
        <f t="shared" si="197"/>
        <v>0.29840340722201353</v>
      </c>
      <c r="P286">
        <f t="shared" si="198"/>
        <v>7.1922204848030233</v>
      </c>
      <c r="Q286">
        <f t="shared" si="218"/>
        <v>1.5480899803091037</v>
      </c>
      <c r="R286" s="89">
        <f t="shared" si="184"/>
        <v>5000</v>
      </c>
      <c r="S286">
        <f t="shared" si="185"/>
        <v>8.3333333333332149E-2</v>
      </c>
      <c r="U286">
        <f>O285*AV285*'Real assumptions'!$B$33/12+AX286*'Real assumptions'!$B$34</f>
        <v>4.0459615592746347</v>
      </c>
      <c r="V286">
        <f>IF(P286=0,0,IF(E286&lt;=$C$7,$AN$5*O285,0))*'Real assumptions'!$D$28</f>
        <v>1.7980551212007558</v>
      </c>
      <c r="X286" s="94">
        <f t="shared" si="199"/>
        <v>0</v>
      </c>
      <c r="Y286">
        <f t="shared" si="186"/>
        <v>24</v>
      </c>
      <c r="Z286">
        <f t="shared" si="219"/>
        <v>76</v>
      </c>
      <c r="AA286">
        <f t="shared" si="187"/>
        <v>76.083333333333329</v>
      </c>
      <c r="AB286">
        <f t="shared" si="200"/>
        <v>50.505050505050505</v>
      </c>
      <c r="AC286">
        <f t="shared" si="220"/>
        <v>3842.5925925925922</v>
      </c>
      <c r="AD286">
        <f t="shared" si="201"/>
        <v>80.505050505050505</v>
      </c>
      <c r="AE286">
        <f t="shared" si="202"/>
        <v>306.25462962962962</v>
      </c>
      <c r="AF286" s="94">
        <f t="shared" si="203"/>
        <v>851.15277777777828</v>
      </c>
      <c r="AG286">
        <f t="shared" si="221"/>
        <v>0.81951399516217438</v>
      </c>
      <c r="AH286">
        <f t="shared" si="204"/>
        <v>253.98688895537035</v>
      </c>
      <c r="AI286">
        <f>HLOOKUP(AW286,'Real assumptions'!$A$21:$AK$24,2,TRUE)</f>
        <v>2.1831</v>
      </c>
      <c r="AJ286" s="123">
        <f t="shared" si="222"/>
        <v>1.801296728749513E-3</v>
      </c>
      <c r="AK286" s="122">
        <f>(1+HLOOKUP(YEAR(A286),'Real assumptions'!$A$21:$AK$24,2,TRUE)/100)^(1/12)-1</f>
        <v>1.801296728749513E-3</v>
      </c>
      <c r="AL286">
        <f t="shared" si="223"/>
        <v>4.0459615592746347</v>
      </c>
      <c r="AM286">
        <f>('Real assumptions'!$B$33/12)*O285*AV285</f>
        <v>3.9754722507326146</v>
      </c>
      <c r="AN286">
        <f t="shared" si="205"/>
        <v>259.19707808016057</v>
      </c>
      <c r="AO286">
        <f t="shared" ref="AO286:AO349" si="227">AN286*AJ286</f>
        <v>0.46689084884722531</v>
      </c>
      <c r="AP286" s="121">
        <f t="shared" si="206"/>
        <v>4.6076145487534834</v>
      </c>
      <c r="AQ286">
        <f t="shared" si="207"/>
        <v>0</v>
      </c>
      <c r="AR286">
        <v>0</v>
      </c>
      <c r="AS286">
        <f t="shared" si="188"/>
        <v>0</v>
      </c>
      <c r="AT286">
        <f t="shared" si="208"/>
        <v>0</v>
      </c>
      <c r="AU286">
        <f>IFERROR(HLOOKUP(B286,'Real assumptions'!$B$43:$AL$44,2,TRUE)*($W$3/$U$2),0)</f>
        <v>0</v>
      </c>
      <c r="AV286">
        <f>AV285*(1+'Real assumptions'!$B$35)^(1/12)</f>
        <v>1.327964793742892</v>
      </c>
      <c r="AW286">
        <f t="shared" si="189"/>
        <v>2041</v>
      </c>
      <c r="AX286">
        <f t="shared" si="224"/>
        <v>257.3120811644531</v>
      </c>
      <c r="AY286">
        <f t="shared" si="225"/>
        <v>1.2612620098209566</v>
      </c>
      <c r="AZ286">
        <f t="shared" si="190"/>
        <v>628.21168583637677</v>
      </c>
      <c r="BA286">
        <f t="shared" si="209"/>
        <v>4.1656590966720337</v>
      </c>
      <c r="BB286">
        <f t="shared" si="210"/>
        <v>76.083333333333329</v>
      </c>
      <c r="BC286">
        <f t="shared" si="191"/>
        <v>45.649999999999991</v>
      </c>
      <c r="BD286">
        <f t="shared" si="211"/>
        <v>0</v>
      </c>
      <c r="BE286">
        <f t="shared" si="192"/>
        <v>24</v>
      </c>
      <c r="BF286">
        <f t="shared" si="226"/>
        <v>5000</v>
      </c>
      <c r="BU286"/>
      <c r="FD286"/>
      <c r="FE286"/>
    </row>
    <row r="287" spans="1:161" x14ac:dyDescent="0.25">
      <c r="A287" s="7">
        <f t="shared" si="212"/>
        <v>51835</v>
      </c>
      <c r="B287">
        <f t="shared" si="193"/>
        <v>276</v>
      </c>
      <c r="C287">
        <f t="shared" si="194"/>
        <v>22.916666666666668</v>
      </c>
      <c r="D287">
        <f t="shared" si="195"/>
        <v>0</v>
      </c>
      <c r="E287">
        <f t="shared" si="196"/>
        <v>74</v>
      </c>
      <c r="F287">
        <f>IF(C287&gt;=$T$2,0,VLOOKUP($E287,EKM_F05!$A$3:$C$128,2,TRUE))</f>
        <v>2.9589358974358972E-2</v>
      </c>
      <c r="G287">
        <f>F287*'Real assumptions'!$B$3</f>
        <v>1.2347639499999999E-2</v>
      </c>
      <c r="H287">
        <f t="shared" si="213"/>
        <v>1.0348396000031679E-3</v>
      </c>
      <c r="I287">
        <f t="shared" si="214"/>
        <v>3.0830333466217574E-4</v>
      </c>
      <c r="J287">
        <f>IF(B287&gt;$AJ$2,0,HLOOKUP(C287,'Real assumptions'!$B$5:$L$8,4,TRUE))</f>
        <v>3.7900000000000003E-2</v>
      </c>
      <c r="K287">
        <f t="shared" si="183"/>
        <v>1</v>
      </c>
      <c r="L287">
        <f t="shared" si="215"/>
        <v>8.3333333333333329E-2</v>
      </c>
      <c r="M287">
        <f t="shared" si="216"/>
        <v>3.2145624959929453E-3</v>
      </c>
      <c r="N287">
        <f t="shared" si="217"/>
        <v>9.5874007362535996E-4</v>
      </c>
      <c r="O287" s="8">
        <f t="shared" si="197"/>
        <v>0.29713636381372599</v>
      </c>
      <c r="P287">
        <f t="shared" si="198"/>
        <v>7.1616817733283247</v>
      </c>
      <c r="Q287">
        <f t="shared" si="218"/>
        <v>1.5415166733108787</v>
      </c>
      <c r="R287" s="89">
        <f t="shared" si="184"/>
        <v>5000</v>
      </c>
      <c r="S287">
        <f t="shared" si="185"/>
        <v>1</v>
      </c>
      <c r="U287">
        <f>O286*AV286*'Real assumptions'!$B$33/12+AX287*'Real assumptions'!$B$34</f>
        <v>4.03338638542757</v>
      </c>
      <c r="V287">
        <f>IF(P287=0,0,IF(E287&lt;=$C$7,$AN$5*O286,0))*'Real assumptions'!$D$28</f>
        <v>1.7904204433320812</v>
      </c>
      <c r="X287" s="94">
        <f t="shared" si="199"/>
        <v>0</v>
      </c>
      <c r="Y287">
        <f t="shared" si="186"/>
        <v>24</v>
      </c>
      <c r="Z287">
        <f t="shared" si="219"/>
        <v>76</v>
      </c>
      <c r="AA287">
        <f t="shared" si="187"/>
        <v>76</v>
      </c>
      <c r="AB287">
        <f t="shared" si="200"/>
        <v>50.505050505050505</v>
      </c>
      <c r="AC287">
        <f t="shared" si="220"/>
        <v>3838.3838383838383</v>
      </c>
      <c r="AD287">
        <f t="shared" si="201"/>
        <v>80.505050505050505</v>
      </c>
      <c r="AE287">
        <f t="shared" si="202"/>
        <v>305.91919191919192</v>
      </c>
      <c r="AF287" s="94">
        <f t="shared" si="203"/>
        <v>855.69696969696975</v>
      </c>
      <c r="AG287">
        <f t="shared" si="221"/>
        <v>0.82039097572827013</v>
      </c>
      <c r="AH287">
        <f t="shared" si="204"/>
        <v>254.25868610218166</v>
      </c>
      <c r="AI287">
        <f>HLOOKUP(AW287,'Real assumptions'!$A$21:$AK$24,2,TRUE)</f>
        <v>2.1831</v>
      </c>
      <c r="AJ287" s="123">
        <f t="shared" si="222"/>
        <v>1.801296728749513E-3</v>
      </c>
      <c r="AK287" s="122">
        <f>(1+HLOOKUP(YEAR(A287),'Real assumptions'!$A$21:$AK$24,2,TRUE)/100)^(1/12)-1</f>
        <v>1.801296728749513E-3</v>
      </c>
      <c r="AL287">
        <f t="shared" si="223"/>
        <v>4.03338638542757</v>
      </c>
      <c r="AM287">
        <f>('Real assumptions'!$B$33/12)*O286*AV286</f>
        <v>3.9626921912375739</v>
      </c>
      <c r="AN287">
        <f t="shared" si="205"/>
        <v>259.93237844869253</v>
      </c>
      <c r="AO287">
        <f t="shared" si="227"/>
        <v>0.46821534299571027</v>
      </c>
      <c r="AP287" s="121">
        <f t="shared" si="206"/>
        <v>5.0758298917491933</v>
      </c>
      <c r="AQ287">
        <f t="shared" si="207"/>
        <v>0</v>
      </c>
      <c r="AR287">
        <v>0</v>
      </c>
      <c r="AS287">
        <f t="shared" si="188"/>
        <v>0</v>
      </c>
      <c r="AT287">
        <f t="shared" si="208"/>
        <v>0</v>
      </c>
      <c r="AU287">
        <f>IFERROR(HLOOKUP(B287,'Real assumptions'!$B$43:$AL$44,2,TRUE)*($W$3/$U$2),0)</f>
        <v>0</v>
      </c>
      <c r="AV287">
        <f>AV286*(1+'Real assumptions'!$B$35)^(1/12)</f>
        <v>1.329340227985671</v>
      </c>
      <c r="AW287">
        <f t="shared" si="189"/>
        <v>2041</v>
      </c>
      <c r="AX287">
        <f t="shared" si="224"/>
        <v>258.05998965684398</v>
      </c>
      <c r="AY287">
        <f t="shared" si="225"/>
        <v>1.2559065960522453</v>
      </c>
      <c r="AZ287">
        <f t="shared" si="190"/>
        <v>628.31924878656548</v>
      </c>
      <c r="BA287">
        <f t="shared" si="209"/>
        <v>4.1523280923712296</v>
      </c>
      <c r="BB287">
        <f t="shared" si="210"/>
        <v>76</v>
      </c>
      <c r="BC287">
        <f t="shared" si="191"/>
        <v>45.599999999999994</v>
      </c>
      <c r="BD287">
        <f t="shared" si="211"/>
        <v>0</v>
      </c>
      <c r="BE287">
        <f t="shared" si="192"/>
        <v>24</v>
      </c>
      <c r="BF287">
        <f t="shared" si="226"/>
        <v>5000</v>
      </c>
      <c r="BU287"/>
      <c r="FD287"/>
      <c r="FE287"/>
    </row>
    <row r="288" spans="1:161" x14ac:dyDescent="0.25">
      <c r="A288" s="7">
        <f t="shared" si="212"/>
        <v>51866</v>
      </c>
      <c r="B288">
        <f t="shared" si="193"/>
        <v>277</v>
      </c>
      <c r="C288">
        <f t="shared" si="194"/>
        <v>23</v>
      </c>
      <c r="D288">
        <f t="shared" si="195"/>
        <v>1</v>
      </c>
      <c r="E288">
        <f t="shared" si="196"/>
        <v>75</v>
      </c>
      <c r="F288">
        <f>IF(C288&gt;=$T$2,0,VLOOKUP($E288,EKM_F05!$A$3:$C$128,2,TRUE))</f>
        <v>3.3457692307692306E-2</v>
      </c>
      <c r="G288">
        <f>F288*'Real assumptions'!$B$3</f>
        <v>1.3961895E-2</v>
      </c>
      <c r="H288">
        <f t="shared" si="213"/>
        <v>1.1710037628449577E-3</v>
      </c>
      <c r="I288">
        <f t="shared" si="214"/>
        <v>3.4738855012955277E-4</v>
      </c>
      <c r="J288">
        <f>IF(B288&gt;$AJ$2,0,HLOOKUP(C288,'Real assumptions'!$B$5:$L$8,4,TRUE))</f>
        <v>3.7900000000000003E-2</v>
      </c>
      <c r="K288">
        <f t="shared" si="183"/>
        <v>1</v>
      </c>
      <c r="L288">
        <f t="shared" si="215"/>
        <v>8.3333333333333329E-2</v>
      </c>
      <c r="M288">
        <f t="shared" si="216"/>
        <v>3.2145624959929453E-3</v>
      </c>
      <c r="N288">
        <f t="shared" si="217"/>
        <v>9.5460416133693021E-4</v>
      </c>
      <c r="O288" s="8">
        <f t="shared" si="197"/>
        <v>0.29583437110225952</v>
      </c>
      <c r="P288">
        <f t="shared" si="198"/>
        <v>7.1312727315294238</v>
      </c>
      <c r="Q288">
        <f t="shared" si="218"/>
        <v>1.7369427506477639</v>
      </c>
      <c r="R288" s="89">
        <f t="shared" si="184"/>
        <v>5000</v>
      </c>
      <c r="S288">
        <f t="shared" si="185"/>
        <v>0.91666666666666785</v>
      </c>
      <c r="U288">
        <f>O287*AV287*'Real assumptions'!$B$33/12+AX288*'Real assumptions'!$B$34</f>
        <v>4.0208507546601293</v>
      </c>
      <c r="V288">
        <f>IF(P288=0,0,IF(E288&lt;=$C$7,$AN$5*O287,0))*'Real assumptions'!$D$28</f>
        <v>1.7828181828823559</v>
      </c>
      <c r="X288" s="94">
        <f t="shared" si="199"/>
        <v>0</v>
      </c>
      <c r="Y288">
        <f t="shared" si="186"/>
        <v>24</v>
      </c>
      <c r="Z288">
        <f t="shared" si="219"/>
        <v>76</v>
      </c>
      <c r="AA288">
        <f t="shared" si="187"/>
        <v>75.916666666666671</v>
      </c>
      <c r="AB288">
        <f t="shared" si="200"/>
        <v>50.505050505050505</v>
      </c>
      <c r="AC288">
        <f t="shared" si="220"/>
        <v>3834.1750841750845</v>
      </c>
      <c r="AD288">
        <f t="shared" si="201"/>
        <v>80.505050505050505</v>
      </c>
      <c r="AE288">
        <f t="shared" si="202"/>
        <v>305.58375420875421</v>
      </c>
      <c r="AF288" s="94">
        <f t="shared" si="203"/>
        <v>860.24116161616121</v>
      </c>
      <c r="AG288">
        <f t="shared" si="221"/>
        <v>0.82118979263210223</v>
      </c>
      <c r="AH288">
        <f t="shared" si="204"/>
        <v>254.48890304299425</v>
      </c>
      <c r="AI288">
        <f>HLOOKUP(AW288,'Real assumptions'!$A$21:$AK$24,2,TRUE)</f>
        <v>2.1831</v>
      </c>
      <c r="AJ288" s="123">
        <f t="shared" si="222"/>
        <v>1.801296728749513E-3</v>
      </c>
      <c r="AK288" s="122">
        <f>(1+HLOOKUP(YEAR(A288),'Real assumptions'!$A$21:$AK$24,2,TRUE)/100)^(1/12)-1</f>
        <v>1.801296728749513E-3</v>
      </c>
      <c r="AL288">
        <f t="shared" si="223"/>
        <v>4.0208507546601293</v>
      </c>
      <c r="AM288">
        <f>('Real assumptions'!$B$33/12)*O287*AV287</f>
        <v>3.9499532161497175</v>
      </c>
      <c r="AN288">
        <f t="shared" si="205"/>
        <v>260.66211978791785</v>
      </c>
      <c r="AO288">
        <f t="shared" si="227"/>
        <v>0.46952982368289009</v>
      </c>
      <c r="AP288" s="121">
        <f t="shared" si="206"/>
        <v>0</v>
      </c>
      <c r="AQ288">
        <f t="shared" si="207"/>
        <v>0</v>
      </c>
      <c r="AR288">
        <v>0</v>
      </c>
      <c r="AS288">
        <f t="shared" si="188"/>
        <v>0</v>
      </c>
      <c r="AT288">
        <f t="shared" si="208"/>
        <v>0</v>
      </c>
      <c r="AU288">
        <f>IFERROR(HLOOKUP(B288,'Real assumptions'!$B$43:$AL$44,2,TRUE)*($W$3/$U$2),0)</f>
        <v>0</v>
      </c>
      <c r="AV288">
        <f>AV287*(1+'Real assumptions'!$B$35)^(1/12)</f>
        <v>1.3307170868289853</v>
      </c>
      <c r="AW288">
        <f t="shared" si="189"/>
        <v>2041</v>
      </c>
      <c r="AX288">
        <f t="shared" si="224"/>
        <v>258.80227173282344</v>
      </c>
      <c r="AY288">
        <f t="shared" si="225"/>
        <v>1.250573921774941</v>
      </c>
      <c r="AZ288">
        <f t="shared" si="190"/>
        <v>628.2205094447221</v>
      </c>
      <c r="BA288">
        <f t="shared" si="209"/>
        <v>4.3409507261622222</v>
      </c>
      <c r="BB288">
        <f t="shared" si="210"/>
        <v>75.916666666666671</v>
      </c>
      <c r="BC288">
        <f t="shared" si="191"/>
        <v>45.55</v>
      </c>
      <c r="BD288">
        <f t="shared" si="211"/>
        <v>0</v>
      </c>
      <c r="BE288">
        <f t="shared" si="192"/>
        <v>24</v>
      </c>
      <c r="BF288">
        <f t="shared" si="226"/>
        <v>5000</v>
      </c>
      <c r="BU288"/>
      <c r="FD288"/>
      <c r="FE288"/>
    </row>
    <row r="289" spans="1:161" x14ac:dyDescent="0.25">
      <c r="A289" s="7">
        <f t="shared" si="212"/>
        <v>51897</v>
      </c>
      <c r="B289">
        <f t="shared" si="193"/>
        <v>278</v>
      </c>
      <c r="C289">
        <f t="shared" si="194"/>
        <v>23.083333333333332</v>
      </c>
      <c r="D289">
        <f t="shared" si="195"/>
        <v>0</v>
      </c>
      <c r="E289">
        <f t="shared" si="196"/>
        <v>75</v>
      </c>
      <c r="F289">
        <f>IF(C289&gt;=$T$2,0,VLOOKUP($E289,EKM_F05!$A$3:$C$128,2,TRUE))</f>
        <v>3.3457692307692306E-2</v>
      </c>
      <c r="G289">
        <f>F289*'Real assumptions'!$B$3</f>
        <v>1.3961895E-2</v>
      </c>
      <c r="H289">
        <f t="shared" si="213"/>
        <v>1.1710037628449577E-3</v>
      </c>
      <c r="I289">
        <f t="shared" si="214"/>
        <v>3.4586636228788178E-4</v>
      </c>
      <c r="J289">
        <f>IF(B289&gt;$AJ$2,0,HLOOKUP(C289,'Real assumptions'!$B$5:$L$8,4,TRUE))</f>
        <v>3.7900000000000003E-2</v>
      </c>
      <c r="K289">
        <f t="shared" si="183"/>
        <v>1</v>
      </c>
      <c r="L289">
        <f t="shared" si="215"/>
        <v>8.3333333333333329E-2</v>
      </c>
      <c r="M289">
        <f t="shared" si="216"/>
        <v>3.2145624959929453E-3</v>
      </c>
      <c r="N289">
        <f t="shared" si="217"/>
        <v>9.5042127491924689E-4</v>
      </c>
      <c r="O289" s="8">
        <f t="shared" si="197"/>
        <v>0.29453808346505239</v>
      </c>
      <c r="P289">
        <f t="shared" si="198"/>
        <v>7.1000249064542285</v>
      </c>
      <c r="Q289">
        <f t="shared" si="218"/>
        <v>1.729331811439409</v>
      </c>
      <c r="R289" s="89">
        <f t="shared" si="184"/>
        <v>5000</v>
      </c>
      <c r="S289">
        <f t="shared" si="185"/>
        <v>0.83333333333333215</v>
      </c>
      <c r="U289">
        <f>O288*AV288*'Real assumptions'!$B$33/12+AX289*'Real assumptions'!$B$34</f>
        <v>4.0062892718652412</v>
      </c>
      <c r="V289">
        <f>IF(P289=0,0,IF(E289&lt;=$C$7,$AN$5*O288,0))*'Real assumptions'!$D$28</f>
        <v>1.7750062266135571</v>
      </c>
      <c r="X289" s="94">
        <f t="shared" si="199"/>
        <v>0</v>
      </c>
      <c r="Y289">
        <f t="shared" si="186"/>
        <v>24</v>
      </c>
      <c r="Z289">
        <f t="shared" si="219"/>
        <v>75</v>
      </c>
      <c r="AA289">
        <f t="shared" si="187"/>
        <v>75.833333333333329</v>
      </c>
      <c r="AB289">
        <f t="shared" si="200"/>
        <v>50.505050505050505</v>
      </c>
      <c r="AC289">
        <f t="shared" si="220"/>
        <v>3829.9663299663298</v>
      </c>
      <c r="AD289">
        <f t="shared" si="201"/>
        <v>80.505050505050505</v>
      </c>
      <c r="AE289">
        <f t="shared" si="202"/>
        <v>305.24831649831646</v>
      </c>
      <c r="AF289" s="94">
        <f t="shared" si="203"/>
        <v>864.78535353535381</v>
      </c>
      <c r="AG289">
        <f t="shared" si="221"/>
        <v>0.8219103982385626</v>
      </c>
      <c r="AH289">
        <f t="shared" si="204"/>
        <v>254.71222063895087</v>
      </c>
      <c r="AI289">
        <f>HLOOKUP(AW289,'Real assumptions'!$A$21:$AK$24,2,TRUE)</f>
        <v>2.1678000000000002</v>
      </c>
      <c r="AJ289" s="123">
        <f t="shared" si="222"/>
        <v>1.7887957934823451E-3</v>
      </c>
      <c r="AK289" s="122">
        <f>(1+HLOOKUP(YEAR(A289),'Real assumptions'!$A$21:$AK$24,2,TRUE)/100)^(1/12)-1</f>
        <v>1.7887957934823451E-3</v>
      </c>
      <c r="AL289">
        <f t="shared" si="223"/>
        <v>4.0062892718652412</v>
      </c>
      <c r="AM289">
        <f>('Real assumptions'!$B$33/12)*O288*AV288</f>
        <v>3.9367185249708374</v>
      </c>
      <c r="AN289">
        <f t="shared" si="205"/>
        <v>255.80763245096966</v>
      </c>
      <c r="AO289">
        <f t="shared" si="227"/>
        <v>0.45758761686897237</v>
      </c>
      <c r="AP289" s="121">
        <f t="shared" si="206"/>
        <v>0.45758761686897237</v>
      </c>
      <c r="AQ289">
        <f t="shared" si="207"/>
        <v>0</v>
      </c>
      <c r="AR289">
        <v>0</v>
      </c>
      <c r="AS289">
        <f t="shared" si="188"/>
        <v>0</v>
      </c>
      <c r="AT289">
        <f t="shared" si="208"/>
        <v>0</v>
      </c>
      <c r="AU289">
        <f>IFERROR(HLOOKUP(B289,'Real assumptions'!$B$43:$AL$44,2,TRUE)*($W$3/$U$2),0)</f>
        <v>0</v>
      </c>
      <c r="AV289">
        <f>AV288*(1+'Real assumptions'!$B$35)^(1/12)</f>
        <v>1.3320953717483595</v>
      </c>
      <c r="AW289">
        <f t="shared" si="189"/>
        <v>2042</v>
      </c>
      <c r="AX289">
        <f t="shared" si="224"/>
        <v>253.95899097085149</v>
      </c>
      <c r="AY289">
        <f t="shared" si="225"/>
        <v>1.2450941544707892</v>
      </c>
      <c r="AZ289">
        <f t="shared" si="190"/>
        <v>628.11175484769353</v>
      </c>
      <c r="BA289">
        <f t="shared" si="209"/>
        <v>4.3262484362915288</v>
      </c>
      <c r="BB289">
        <f t="shared" si="210"/>
        <v>75.833333333333329</v>
      </c>
      <c r="BC289">
        <f t="shared" si="191"/>
        <v>45.5</v>
      </c>
      <c r="BD289">
        <f t="shared" si="211"/>
        <v>0</v>
      </c>
      <c r="BE289">
        <f t="shared" si="192"/>
        <v>24</v>
      </c>
      <c r="BF289">
        <f t="shared" si="226"/>
        <v>5000</v>
      </c>
      <c r="BU289"/>
      <c r="FD289"/>
      <c r="FE289"/>
    </row>
    <row r="290" spans="1:161" x14ac:dyDescent="0.25">
      <c r="A290" s="7">
        <f t="shared" si="212"/>
        <v>51925</v>
      </c>
      <c r="B290">
        <f t="shared" si="193"/>
        <v>279</v>
      </c>
      <c r="C290">
        <f t="shared" si="194"/>
        <v>23.166666666666668</v>
      </c>
      <c r="D290">
        <f t="shared" si="195"/>
        <v>0</v>
      </c>
      <c r="E290">
        <f t="shared" si="196"/>
        <v>75</v>
      </c>
      <c r="F290">
        <f>IF(C290&gt;=$T$2,0,VLOOKUP($E290,EKM_F05!$A$3:$C$128,2,TRUE))</f>
        <v>3.3457692307692306E-2</v>
      </c>
      <c r="G290">
        <f>F290*'Real assumptions'!$B$3</f>
        <v>1.3961895E-2</v>
      </c>
      <c r="H290">
        <f t="shared" si="213"/>
        <v>1.1710037628449577E-3</v>
      </c>
      <c r="I290">
        <f t="shared" si="214"/>
        <v>3.4435084437193071E-4</v>
      </c>
      <c r="J290">
        <f>IF(B290&gt;$AJ$2,0,HLOOKUP(C290,'Real assumptions'!$B$5:$L$8,4,TRUE))</f>
        <v>3.7900000000000003E-2</v>
      </c>
      <c r="K290">
        <f t="shared" si="183"/>
        <v>1</v>
      </c>
      <c r="L290">
        <f t="shared" si="215"/>
        <v>8.3333333333333329E-2</v>
      </c>
      <c r="M290">
        <f t="shared" si="216"/>
        <v>3.2145624959929453E-3</v>
      </c>
      <c r="N290">
        <f t="shared" si="217"/>
        <v>9.462567170816094E-4</v>
      </c>
      <c r="O290" s="8">
        <f t="shared" si="197"/>
        <v>0.29324747590359884</v>
      </c>
      <c r="P290">
        <f t="shared" si="198"/>
        <v>7.0689140031612574</v>
      </c>
      <c r="Q290">
        <f t="shared" si="218"/>
        <v>1.7217542218596535</v>
      </c>
      <c r="R290" s="89">
        <f t="shared" si="184"/>
        <v>5000</v>
      </c>
      <c r="S290">
        <f t="shared" si="185"/>
        <v>0.75</v>
      </c>
      <c r="U290">
        <f>O289*AV289*'Real assumptions'!$B$33/12+AX290*'Real assumptions'!$B$34</f>
        <v>3.9932860913077031</v>
      </c>
      <c r="V290">
        <f>IF(P290=0,0,IF(E290&lt;=$C$7,$AN$5*O289,0))*'Real assumptions'!$D$28</f>
        <v>1.7672285007903143</v>
      </c>
      <c r="X290" s="94">
        <f t="shared" si="199"/>
        <v>0</v>
      </c>
      <c r="Y290">
        <f t="shared" si="186"/>
        <v>24</v>
      </c>
      <c r="Z290">
        <f t="shared" si="219"/>
        <v>75</v>
      </c>
      <c r="AA290">
        <f t="shared" si="187"/>
        <v>75.75</v>
      </c>
      <c r="AB290">
        <f t="shared" si="200"/>
        <v>50.505050505050505</v>
      </c>
      <c r="AC290">
        <f t="shared" si="220"/>
        <v>3825.757575757576</v>
      </c>
      <c r="AD290">
        <f t="shared" si="201"/>
        <v>80.505050505050505</v>
      </c>
      <c r="AE290">
        <f t="shared" si="202"/>
        <v>304.91287878787875</v>
      </c>
      <c r="AF290" s="94">
        <f t="shared" si="203"/>
        <v>869.32954545454527</v>
      </c>
      <c r="AG290">
        <f t="shared" si="221"/>
        <v>0.82260892174386568</v>
      </c>
      <c r="AH290">
        <f t="shared" si="204"/>
        <v>254.92869493296828</v>
      </c>
      <c r="AI290">
        <f>HLOOKUP(AW290,'Real assumptions'!$A$21:$AK$24,2,TRUE)</f>
        <v>2.1678000000000002</v>
      </c>
      <c r="AJ290" s="123">
        <f t="shared" si="222"/>
        <v>1.7887957934823451E-3</v>
      </c>
      <c r="AK290" s="122">
        <f>(1+HLOOKUP(YEAR(A290),'Real assumptions'!$A$21:$AK$24,2,TRUE)/100)^(1/12)-1</f>
        <v>1.7887957934823451E-3</v>
      </c>
      <c r="AL290">
        <f t="shared" si="223"/>
        <v>3.9932860913077031</v>
      </c>
      <c r="AM290">
        <f>('Real assumptions'!$B$33/12)*O289*AV289</f>
        <v>3.923528177874283</v>
      </c>
      <c r="AN290">
        <f t="shared" si="205"/>
        <v>256.47820766688307</v>
      </c>
      <c r="AO290">
        <f t="shared" si="227"/>
        <v>0.45878713899441176</v>
      </c>
      <c r="AP290" s="121">
        <f t="shared" si="206"/>
        <v>0.91637475586338413</v>
      </c>
      <c r="AQ290">
        <f t="shared" si="207"/>
        <v>0</v>
      </c>
      <c r="AR290">
        <v>0</v>
      </c>
      <c r="AS290">
        <f t="shared" si="188"/>
        <v>0</v>
      </c>
      <c r="AT290">
        <f t="shared" si="208"/>
        <v>0</v>
      </c>
      <c r="AU290">
        <f>IFERROR(HLOOKUP(B290,'Real assumptions'!$B$43:$AL$44,2,TRUE)*($W$3/$U$2),0)</f>
        <v>0</v>
      </c>
      <c r="AV290">
        <f>AV289*(1+'Real assumptions'!$B$35)^(1/12)</f>
        <v>1.333475084220846</v>
      </c>
      <c r="AW290">
        <f t="shared" si="189"/>
        <v>2042</v>
      </c>
      <c r="AX290">
        <f t="shared" si="224"/>
        <v>254.64221815345147</v>
      </c>
      <c r="AY290">
        <f t="shared" si="225"/>
        <v>1.2396383984219377</v>
      </c>
      <c r="AZ290">
        <f t="shared" si="190"/>
        <v>627.99935478006159</v>
      </c>
      <c r="BA290">
        <f t="shared" si="209"/>
        <v>4.3115916443938342</v>
      </c>
      <c r="BB290">
        <f t="shared" si="210"/>
        <v>75.75</v>
      </c>
      <c r="BC290">
        <f t="shared" si="191"/>
        <v>45.45</v>
      </c>
      <c r="BD290">
        <f t="shared" si="211"/>
        <v>0</v>
      </c>
      <c r="BE290">
        <f t="shared" si="192"/>
        <v>24</v>
      </c>
      <c r="BF290">
        <f t="shared" si="226"/>
        <v>5000</v>
      </c>
      <c r="BU290"/>
      <c r="FD290"/>
      <c r="FE290"/>
    </row>
    <row r="291" spans="1:161" x14ac:dyDescent="0.25">
      <c r="A291" s="7">
        <f t="shared" si="212"/>
        <v>51956</v>
      </c>
      <c r="B291">
        <f t="shared" si="193"/>
        <v>280</v>
      </c>
      <c r="C291">
        <f t="shared" si="194"/>
        <v>23.25</v>
      </c>
      <c r="D291">
        <f t="shared" si="195"/>
        <v>0</v>
      </c>
      <c r="E291">
        <f t="shared" si="196"/>
        <v>75</v>
      </c>
      <c r="F291">
        <f>IF(C291&gt;=$T$2,0,VLOOKUP($E291,EKM_F05!$A$3:$C$128,2,TRUE))</f>
        <v>3.3457692307692306E-2</v>
      </c>
      <c r="G291">
        <f>F291*'Real assumptions'!$B$3</f>
        <v>1.3961895E-2</v>
      </c>
      <c r="H291">
        <f t="shared" si="213"/>
        <v>1.1710037628449577E-3</v>
      </c>
      <c r="I291">
        <f t="shared" si="214"/>
        <v>3.4284196715540582E-4</v>
      </c>
      <c r="J291">
        <f>IF(B291&gt;$AJ$2,0,HLOOKUP(C291,'Real assumptions'!$B$5:$L$8,4,TRUE))</f>
        <v>3.7900000000000003E-2</v>
      </c>
      <c r="K291">
        <f t="shared" si="183"/>
        <v>1</v>
      </c>
      <c r="L291">
        <f t="shared" si="215"/>
        <v>8.3333333333333329E-2</v>
      </c>
      <c r="M291">
        <f t="shared" si="216"/>
        <v>3.2145624959929453E-3</v>
      </c>
      <c r="N291">
        <f t="shared" si="217"/>
        <v>9.4211040751180925E-4</v>
      </c>
      <c r="O291" s="8">
        <f t="shared" si="197"/>
        <v>0.29196252352893165</v>
      </c>
      <c r="P291">
        <f t="shared" si="198"/>
        <v>7.0379394216863727</v>
      </c>
      <c r="Q291">
        <f t="shared" si="218"/>
        <v>1.714209835777029</v>
      </c>
      <c r="R291" s="89">
        <f t="shared" si="184"/>
        <v>5000</v>
      </c>
      <c r="S291">
        <f t="shared" si="185"/>
        <v>0.66666666666666785</v>
      </c>
      <c r="U291">
        <f>O290*AV290*'Real assumptions'!$B$33/12+AX291*'Real assumptions'!$B$34</f>
        <v>3.9803255573820544</v>
      </c>
      <c r="V291">
        <f>IF(P291=0,0,IF(E291&lt;=$C$7,$AN$5*O290,0))*'Real assumptions'!$D$28</f>
        <v>1.7594848554215932</v>
      </c>
      <c r="X291" s="94">
        <f t="shared" si="199"/>
        <v>0</v>
      </c>
      <c r="Y291">
        <f t="shared" si="186"/>
        <v>24</v>
      </c>
      <c r="Z291">
        <f t="shared" si="219"/>
        <v>75</v>
      </c>
      <c r="AA291">
        <f t="shared" si="187"/>
        <v>75.666666666666671</v>
      </c>
      <c r="AB291">
        <f t="shared" si="200"/>
        <v>50.505050505050505</v>
      </c>
      <c r="AC291">
        <f t="shared" si="220"/>
        <v>3821.5488215488217</v>
      </c>
      <c r="AD291">
        <f t="shared" si="201"/>
        <v>80.505050505050505</v>
      </c>
      <c r="AE291">
        <f t="shared" si="202"/>
        <v>304.57744107744111</v>
      </c>
      <c r="AF291" s="94">
        <f t="shared" si="203"/>
        <v>873.87373737373719</v>
      </c>
      <c r="AG291">
        <f t="shared" si="221"/>
        <v>0.82328554283103927</v>
      </c>
      <c r="AH291">
        <f t="shared" si="204"/>
        <v>255.13838160929518</v>
      </c>
      <c r="AI291">
        <f>HLOOKUP(AW291,'Real assumptions'!$A$21:$AK$24,2,TRUE)</f>
        <v>2.1678000000000002</v>
      </c>
      <c r="AJ291" s="123">
        <f t="shared" si="222"/>
        <v>1.7887957934823451E-3</v>
      </c>
      <c r="AK291" s="122">
        <f>(1+HLOOKUP(YEAR(A291),'Real assumptions'!$A$21:$AK$24,2,TRUE)/100)^(1/12)-1</f>
        <v>1.7887957934823451E-3</v>
      </c>
      <c r="AL291">
        <f t="shared" si="223"/>
        <v>3.9803255573820544</v>
      </c>
      <c r="AM291">
        <f>('Real assumptions'!$B$33/12)*O290*AV290</f>
        <v>3.9103820262810198</v>
      </c>
      <c r="AN291">
        <f t="shared" si="205"/>
        <v>257.14319869771441</v>
      </c>
      <c r="AO291">
        <f t="shared" si="227"/>
        <v>0.45997667215306637</v>
      </c>
      <c r="AP291" s="121">
        <f t="shared" si="206"/>
        <v>1.3763514280164504</v>
      </c>
      <c r="AQ291">
        <f t="shared" si="207"/>
        <v>0</v>
      </c>
      <c r="AR291">
        <v>0</v>
      </c>
      <c r="AS291">
        <f t="shared" si="188"/>
        <v>0</v>
      </c>
      <c r="AT291">
        <f t="shared" si="208"/>
        <v>0</v>
      </c>
      <c r="AU291">
        <f>IFERROR(HLOOKUP(B291,'Real assumptions'!$B$43:$AL$44,2,TRUE)*($W$3/$U$2),0)</f>
        <v>0</v>
      </c>
      <c r="AV291">
        <f>AV290*(1+'Real assumptions'!$B$35)^(1/12)</f>
        <v>1.3348562257250274</v>
      </c>
      <c r="AW291">
        <f t="shared" si="189"/>
        <v>2042</v>
      </c>
      <c r="AX291">
        <f t="shared" si="224"/>
        <v>255.31979138182589</v>
      </c>
      <c r="AY291">
        <f t="shared" si="225"/>
        <v>1.23420654841582</v>
      </c>
      <c r="AZ291">
        <f t="shared" si="190"/>
        <v>627.88335101447649</v>
      </c>
      <c r="BA291">
        <f t="shared" si="209"/>
        <v>4.2969802340296619</v>
      </c>
      <c r="BB291">
        <f t="shared" si="210"/>
        <v>75.666666666666671</v>
      </c>
      <c r="BC291">
        <f t="shared" si="191"/>
        <v>45.400000000000006</v>
      </c>
      <c r="BD291">
        <f t="shared" si="211"/>
        <v>0</v>
      </c>
      <c r="BE291">
        <f t="shared" si="192"/>
        <v>24</v>
      </c>
      <c r="BF291">
        <f t="shared" si="226"/>
        <v>5000</v>
      </c>
      <c r="BU291"/>
      <c r="FD291"/>
      <c r="FE291"/>
    </row>
    <row r="292" spans="1:161" x14ac:dyDescent="0.25">
      <c r="A292" s="7">
        <f t="shared" si="212"/>
        <v>51986</v>
      </c>
      <c r="B292">
        <f t="shared" si="193"/>
        <v>281</v>
      </c>
      <c r="C292">
        <f t="shared" si="194"/>
        <v>23.333333333333332</v>
      </c>
      <c r="D292">
        <f t="shared" si="195"/>
        <v>0</v>
      </c>
      <c r="E292">
        <f t="shared" si="196"/>
        <v>75</v>
      </c>
      <c r="F292">
        <f>IF(C292&gt;=$T$2,0,VLOOKUP($E292,EKM_F05!$A$3:$C$128,2,TRUE))</f>
        <v>3.3457692307692306E-2</v>
      </c>
      <c r="G292">
        <f>F292*'Real assumptions'!$B$3</f>
        <v>1.3961895E-2</v>
      </c>
      <c r="H292">
        <f t="shared" si="213"/>
        <v>1.1710037628449577E-3</v>
      </c>
      <c r="I292">
        <f t="shared" si="214"/>
        <v>3.4133970154007714E-4</v>
      </c>
      <c r="J292">
        <f>IF(B292&gt;$AJ$2,0,HLOOKUP(C292,'Real assumptions'!$B$5:$L$8,4,TRUE))</f>
        <v>3.7900000000000003E-2</v>
      </c>
      <c r="K292">
        <f t="shared" si="183"/>
        <v>1</v>
      </c>
      <c r="L292">
        <f t="shared" si="215"/>
        <v>8.3333333333333329E-2</v>
      </c>
      <c r="M292">
        <f t="shared" si="216"/>
        <v>3.2145624959929453E-3</v>
      </c>
      <c r="N292">
        <f t="shared" si="217"/>
        <v>9.3798226624955026E-4</v>
      </c>
      <c r="O292" s="8">
        <f t="shared" si="197"/>
        <v>0.29068320156114202</v>
      </c>
      <c r="P292">
        <f t="shared" si="198"/>
        <v>7.00710056469436</v>
      </c>
      <c r="Q292">
        <f t="shared" si="218"/>
        <v>1.7066985077003858</v>
      </c>
      <c r="R292" s="89">
        <f t="shared" si="184"/>
        <v>5000</v>
      </c>
      <c r="S292">
        <f t="shared" si="185"/>
        <v>0.58333333333333215</v>
      </c>
      <c r="U292">
        <f>O291*AV291*'Real assumptions'!$B$33/12+AX292*'Real assumptions'!$B$34</f>
        <v>3.967407534537287</v>
      </c>
      <c r="V292">
        <f>IF(P292=0,0,IF(E292&lt;=$C$7,$AN$5*O291,0))*'Real assumptions'!$D$28</f>
        <v>1.75177514117359</v>
      </c>
      <c r="X292" s="94">
        <f t="shared" si="199"/>
        <v>0</v>
      </c>
      <c r="Y292">
        <f t="shared" si="186"/>
        <v>24</v>
      </c>
      <c r="Z292">
        <f t="shared" si="219"/>
        <v>75</v>
      </c>
      <c r="AA292">
        <f t="shared" si="187"/>
        <v>75.583333333333329</v>
      </c>
      <c r="AB292">
        <f t="shared" si="200"/>
        <v>50.505050505050505</v>
      </c>
      <c r="AC292">
        <f t="shared" si="220"/>
        <v>3817.340067340067</v>
      </c>
      <c r="AD292">
        <f t="shared" si="201"/>
        <v>80.505050505050505</v>
      </c>
      <c r="AE292">
        <f t="shared" si="202"/>
        <v>304.24200336700335</v>
      </c>
      <c r="AF292" s="94">
        <f t="shared" si="203"/>
        <v>878.41792929292967</v>
      </c>
      <c r="AG292">
        <f t="shared" si="221"/>
        <v>0.8239404400324194</v>
      </c>
      <c r="AH292">
        <f t="shared" si="204"/>
        <v>255.34133599557768</v>
      </c>
      <c r="AI292">
        <f>HLOOKUP(AW292,'Real assumptions'!$A$21:$AK$24,2,TRUE)</f>
        <v>2.1678000000000002</v>
      </c>
      <c r="AJ292" s="123">
        <f t="shared" si="222"/>
        <v>1.7887957934823451E-3</v>
      </c>
      <c r="AK292" s="122">
        <f>(1+HLOOKUP(YEAR(A292),'Real assumptions'!$A$21:$AK$24,2,TRUE)/100)^(1/12)-1</f>
        <v>1.7887957934823451E-3</v>
      </c>
      <c r="AL292">
        <f t="shared" si="223"/>
        <v>3.967407534537287</v>
      </c>
      <c r="AM292">
        <f>('Real assumptions'!$B$33/12)*O291*AV291</f>
        <v>3.897279922109842</v>
      </c>
      <c r="AN292">
        <f t="shared" si="205"/>
        <v>257.80265092629509</v>
      </c>
      <c r="AO292">
        <f t="shared" si="227"/>
        <v>0.46115629752555404</v>
      </c>
      <c r="AP292" s="121">
        <f t="shared" si="206"/>
        <v>1.8375077255420045</v>
      </c>
      <c r="AQ292">
        <f t="shared" si="207"/>
        <v>0</v>
      </c>
      <c r="AR292">
        <v>0</v>
      </c>
      <c r="AS292">
        <f t="shared" si="188"/>
        <v>0</v>
      </c>
      <c r="AT292">
        <f t="shared" si="208"/>
        <v>0</v>
      </c>
      <c r="AU292">
        <f>IFERROR(HLOOKUP(B292,'Real assumptions'!$B$43:$AL$44,2,TRUE)*($W$3/$U$2),0)</f>
        <v>0</v>
      </c>
      <c r="AV292">
        <f>AV291*(1+'Real assumptions'!$B$35)^(1/12)</f>
        <v>1.3362387977410173</v>
      </c>
      <c r="AW292">
        <f t="shared" si="189"/>
        <v>2042</v>
      </c>
      <c r="AX292">
        <f t="shared" si="224"/>
        <v>255.99175639583896</v>
      </c>
      <c r="AY292">
        <f t="shared" si="225"/>
        <v>1.2287984997008907</v>
      </c>
      <c r="AZ292">
        <f t="shared" si="190"/>
        <v>627.76378505281946</v>
      </c>
      <c r="BA292">
        <f t="shared" si="209"/>
        <v>4.2824140889063953</v>
      </c>
      <c r="BB292">
        <f t="shared" si="210"/>
        <v>75.583333333333329</v>
      </c>
      <c r="BC292">
        <f t="shared" si="191"/>
        <v>45.349999999999994</v>
      </c>
      <c r="BD292">
        <f t="shared" si="211"/>
        <v>0</v>
      </c>
      <c r="BE292">
        <f t="shared" si="192"/>
        <v>24</v>
      </c>
      <c r="BF292">
        <f t="shared" si="226"/>
        <v>5000</v>
      </c>
      <c r="BU292"/>
      <c r="FD292"/>
      <c r="FE292"/>
    </row>
    <row r="293" spans="1:161" x14ac:dyDescent="0.25">
      <c r="A293" s="7">
        <f t="shared" si="212"/>
        <v>52017</v>
      </c>
      <c r="B293">
        <f t="shared" si="193"/>
        <v>282</v>
      </c>
      <c r="C293">
        <f t="shared" si="194"/>
        <v>23.416666666666668</v>
      </c>
      <c r="D293">
        <f t="shared" si="195"/>
        <v>0</v>
      </c>
      <c r="E293">
        <f t="shared" si="196"/>
        <v>75</v>
      </c>
      <c r="F293">
        <f>IF(C293&gt;=$T$2,0,VLOOKUP($E293,EKM_F05!$A$3:$C$128,2,TRUE))</f>
        <v>3.3457692307692306E-2</v>
      </c>
      <c r="G293">
        <f>F293*'Real assumptions'!$B$3</f>
        <v>1.3961895E-2</v>
      </c>
      <c r="H293">
        <f t="shared" si="213"/>
        <v>1.1710037628449577E-3</v>
      </c>
      <c r="I293">
        <f t="shared" si="214"/>
        <v>3.3984401855521721E-4</v>
      </c>
      <c r="J293">
        <f>IF(B293&gt;$AJ$2,0,HLOOKUP(C293,'Real assumptions'!$B$5:$L$8,4,TRUE))</f>
        <v>3.7900000000000003E-2</v>
      </c>
      <c r="K293">
        <f t="shared" si="183"/>
        <v>1</v>
      </c>
      <c r="L293">
        <f t="shared" si="215"/>
        <v>8.3333333333333329E-2</v>
      </c>
      <c r="M293">
        <f t="shared" si="216"/>
        <v>3.2145624959929453E-3</v>
      </c>
      <c r="N293">
        <f t="shared" si="217"/>
        <v>9.3387221368490579E-4</v>
      </c>
      <c r="O293" s="8">
        <f t="shared" si="197"/>
        <v>0.28940948532890193</v>
      </c>
      <c r="P293">
        <f t="shared" si="198"/>
        <v>6.9763968374674086</v>
      </c>
      <c r="Q293">
        <f t="shared" si="218"/>
        <v>1.6992200927760861</v>
      </c>
      <c r="R293" s="89">
        <f t="shared" si="184"/>
        <v>5000</v>
      </c>
      <c r="S293">
        <f t="shared" si="185"/>
        <v>0.5</v>
      </c>
      <c r="U293">
        <f>O292*AV292*'Real assumptions'!$B$33/12+AX293*'Real assumptions'!$B$34</f>
        <v>3.9545318876430482</v>
      </c>
      <c r="V293">
        <f>IF(P293=0,0,IF(E293&lt;=$C$7,$AN$5*O292,0))*'Real assumptions'!$D$28</f>
        <v>1.7440992093668521</v>
      </c>
      <c r="X293" s="94">
        <f t="shared" si="199"/>
        <v>0</v>
      </c>
      <c r="Y293">
        <f t="shared" si="186"/>
        <v>24</v>
      </c>
      <c r="Z293">
        <f t="shared" si="219"/>
        <v>75</v>
      </c>
      <c r="AA293">
        <f t="shared" si="187"/>
        <v>75.5</v>
      </c>
      <c r="AB293">
        <f t="shared" si="200"/>
        <v>50.505050505050505</v>
      </c>
      <c r="AC293">
        <f t="shared" si="220"/>
        <v>3813.1313131313132</v>
      </c>
      <c r="AD293">
        <f t="shared" si="201"/>
        <v>80.505050505050505</v>
      </c>
      <c r="AE293">
        <f t="shared" si="202"/>
        <v>303.90656565656565</v>
      </c>
      <c r="AF293" s="94">
        <f t="shared" si="203"/>
        <v>882.96212121212125</v>
      </c>
      <c r="AG293">
        <f t="shared" si="221"/>
        <v>0.82457379073628378</v>
      </c>
      <c r="AH293">
        <f t="shared" si="204"/>
        <v>255.53761306491552</v>
      </c>
      <c r="AI293">
        <f>HLOOKUP(AW293,'Real assumptions'!$A$21:$AK$24,2,TRUE)</f>
        <v>2.1678000000000002</v>
      </c>
      <c r="AJ293" s="123">
        <f t="shared" si="222"/>
        <v>1.7887957934823451E-3</v>
      </c>
      <c r="AK293" s="122">
        <f>(1+HLOOKUP(YEAR(A293),'Real assumptions'!$A$21:$AK$24,2,TRUE)/100)^(1/12)-1</f>
        <v>1.7887957934823451E-3</v>
      </c>
      <c r="AL293">
        <f t="shared" si="223"/>
        <v>3.9545318876430482</v>
      </c>
      <c r="AM293">
        <f>('Real assumptions'!$B$33/12)*O292*AV292</f>
        <v>3.8842217177757021</v>
      </c>
      <c r="AN293">
        <f t="shared" si="205"/>
        <v>258.45660946157716</v>
      </c>
      <c r="AO293">
        <f t="shared" si="227"/>
        <v>0.4623260958025785</v>
      </c>
      <c r="AP293" s="121">
        <f t="shared" si="206"/>
        <v>2.299833821344583</v>
      </c>
      <c r="AQ293">
        <f t="shared" si="207"/>
        <v>0</v>
      </c>
      <c r="AR293">
        <v>0</v>
      </c>
      <c r="AS293">
        <f t="shared" si="188"/>
        <v>0</v>
      </c>
      <c r="AT293">
        <f t="shared" si="208"/>
        <v>0</v>
      </c>
      <c r="AU293">
        <f>IFERROR(HLOOKUP(B293,'Real assumptions'!$B$43:$AL$44,2,TRUE)*($W$3/$U$2),0)</f>
        <v>0</v>
      </c>
      <c r="AV293">
        <f>AV292*(1+'Real assumptions'!$B$35)^(1/12)</f>
        <v>1.3376228017504628</v>
      </c>
      <c r="AW293">
        <f t="shared" si="189"/>
        <v>2042</v>
      </c>
      <c r="AX293">
        <f t="shared" si="224"/>
        <v>256.65815865973741</v>
      </c>
      <c r="AY293">
        <f t="shared" si="225"/>
        <v>1.2234141479846043</v>
      </c>
      <c r="AZ293">
        <f t="shared" si="190"/>
        <v>627.64069812776756</v>
      </c>
      <c r="BA293">
        <f t="shared" si="209"/>
        <v>4.2678930928792216</v>
      </c>
      <c r="BB293">
        <f t="shared" si="210"/>
        <v>75.5</v>
      </c>
      <c r="BC293">
        <f t="shared" si="191"/>
        <v>45.3</v>
      </c>
      <c r="BD293">
        <f t="shared" si="211"/>
        <v>0</v>
      </c>
      <c r="BE293">
        <f t="shared" si="192"/>
        <v>24</v>
      </c>
      <c r="BF293">
        <f t="shared" si="226"/>
        <v>5000</v>
      </c>
      <c r="BU293"/>
      <c r="FD293"/>
      <c r="FE293"/>
    </row>
    <row r="294" spans="1:161" x14ac:dyDescent="0.25">
      <c r="A294" s="7">
        <f t="shared" si="212"/>
        <v>52047</v>
      </c>
      <c r="B294">
        <f t="shared" si="193"/>
        <v>283</v>
      </c>
      <c r="C294">
        <f t="shared" si="194"/>
        <v>23.5</v>
      </c>
      <c r="D294">
        <f t="shared" si="195"/>
        <v>0</v>
      </c>
      <c r="E294">
        <f t="shared" si="196"/>
        <v>75</v>
      </c>
      <c r="F294">
        <f>IF(C294&gt;=$T$2,0,VLOOKUP($E294,EKM_F05!$A$3:$C$128,2,TRUE))</f>
        <v>3.3457692307692306E-2</v>
      </c>
      <c r="G294">
        <f>F294*'Real assumptions'!$B$3</f>
        <v>1.3961895E-2</v>
      </c>
      <c r="H294">
        <f t="shared" si="213"/>
        <v>1.1710037628449577E-3</v>
      </c>
      <c r="I294">
        <f t="shared" si="214"/>
        <v>3.3835488935704289E-4</v>
      </c>
      <c r="J294">
        <f>IF(B294&gt;$AJ$2,0,HLOOKUP(C294,'Real assumptions'!$B$5:$L$8,4,TRUE))</f>
        <v>3.7900000000000003E-2</v>
      </c>
      <c r="K294">
        <f t="shared" si="183"/>
        <v>1</v>
      </c>
      <c r="L294">
        <f t="shared" si="215"/>
        <v>8.3333333333333329E-2</v>
      </c>
      <c r="M294">
        <f t="shared" si="216"/>
        <v>3.2145624959929453E-3</v>
      </c>
      <c r="N294">
        <f t="shared" si="217"/>
        <v>9.297801705567849E-4</v>
      </c>
      <c r="O294" s="8">
        <f t="shared" si="197"/>
        <v>0.28814135026898813</v>
      </c>
      <c r="P294">
        <f t="shared" si="198"/>
        <v>6.9458276478936458</v>
      </c>
      <c r="Q294">
        <f t="shared" si="218"/>
        <v>1.6917744467852145</v>
      </c>
      <c r="R294" s="89">
        <f t="shared" si="184"/>
        <v>5000</v>
      </c>
      <c r="S294">
        <f t="shared" si="185"/>
        <v>0.41666666666666785</v>
      </c>
      <c r="U294">
        <f>O293*AV293*'Real assumptions'!$B$33/12+AX294*'Real assumptions'!$B$34</f>
        <v>3.9416984819884107</v>
      </c>
      <c r="V294">
        <f>IF(P294=0,0,IF(E294&lt;=$C$7,$AN$5*O293,0))*'Real assumptions'!$D$28</f>
        <v>1.7364569119734115</v>
      </c>
      <c r="X294" s="94">
        <f t="shared" si="199"/>
        <v>0</v>
      </c>
      <c r="Y294">
        <f t="shared" si="186"/>
        <v>24</v>
      </c>
      <c r="Z294">
        <f t="shared" si="219"/>
        <v>75</v>
      </c>
      <c r="AA294">
        <f t="shared" si="187"/>
        <v>75.416666666666671</v>
      </c>
      <c r="AB294">
        <f t="shared" si="200"/>
        <v>50.505050505050505</v>
      </c>
      <c r="AC294">
        <f t="shared" si="220"/>
        <v>3808.9225589225593</v>
      </c>
      <c r="AD294">
        <f t="shared" si="201"/>
        <v>80.505050505050505</v>
      </c>
      <c r="AE294">
        <f t="shared" si="202"/>
        <v>303.57112794612794</v>
      </c>
      <c r="AF294" s="94">
        <f t="shared" si="203"/>
        <v>887.50631313131271</v>
      </c>
      <c r="AG294">
        <f t="shared" si="221"/>
        <v>0.82518577119345526</v>
      </c>
      <c r="AH294">
        <f t="shared" si="204"/>
        <v>255.72726743790784</v>
      </c>
      <c r="AI294">
        <f>HLOOKUP(AW294,'Real assumptions'!$A$21:$AK$24,2,TRUE)</f>
        <v>2.1678000000000002</v>
      </c>
      <c r="AJ294" s="123">
        <f t="shared" si="222"/>
        <v>1.7887957934823451E-3</v>
      </c>
      <c r="AK294" s="122">
        <f>(1+HLOOKUP(YEAR(A294),'Real assumptions'!$A$21:$AK$24,2,TRUE)/100)^(1/12)-1</f>
        <v>1.7887957934823451E-3</v>
      </c>
      <c r="AL294">
        <f t="shared" si="223"/>
        <v>3.9416984819884107</v>
      </c>
      <c r="AM294">
        <f>('Real assumptions'!$B$33/12)*O293*AV293</f>
        <v>3.8712072661880526</v>
      </c>
      <c r="AN294">
        <f t="shared" si="205"/>
        <v>259.10511914019196</v>
      </c>
      <c r="AO294">
        <f t="shared" si="227"/>
        <v>0.46348614718771725</v>
      </c>
      <c r="AP294" s="121">
        <f t="shared" si="206"/>
        <v>2.7633199685323002</v>
      </c>
      <c r="AQ294">
        <f t="shared" si="207"/>
        <v>0</v>
      </c>
      <c r="AR294">
        <v>0</v>
      </c>
      <c r="AS294">
        <f t="shared" si="188"/>
        <v>0</v>
      </c>
      <c r="AT294">
        <f t="shared" si="208"/>
        <v>0</v>
      </c>
      <c r="AU294">
        <f>IFERROR(HLOOKUP(B294,'Real assumptions'!$B$43:$AL$44,2,TRUE)*($W$3/$U$2),0)</f>
        <v>0</v>
      </c>
      <c r="AV294">
        <f>AV293*(1+'Real assumptions'!$B$35)^(1/12)</f>
        <v>1.3390082392365454</v>
      </c>
      <c r="AW294">
        <f t="shared" si="189"/>
        <v>2042</v>
      </c>
      <c r="AX294">
        <f t="shared" si="224"/>
        <v>257.31904336371815</v>
      </c>
      <c r="AY294">
        <f t="shared" si="225"/>
        <v>1.2180533894314054</v>
      </c>
      <c r="AZ294">
        <f t="shared" si="190"/>
        <v>627.51413120435006</v>
      </c>
      <c r="BA294">
        <f t="shared" si="209"/>
        <v>4.2534171299520809</v>
      </c>
      <c r="BB294">
        <f t="shared" si="210"/>
        <v>75.416666666666671</v>
      </c>
      <c r="BC294">
        <f t="shared" si="191"/>
        <v>45.25</v>
      </c>
      <c r="BD294">
        <f t="shared" si="211"/>
        <v>0</v>
      </c>
      <c r="BE294">
        <f t="shared" si="192"/>
        <v>24</v>
      </c>
      <c r="BF294">
        <f t="shared" si="226"/>
        <v>5000</v>
      </c>
      <c r="BU294"/>
      <c r="FD294"/>
      <c r="FE294"/>
    </row>
    <row r="295" spans="1:161" x14ac:dyDescent="0.25">
      <c r="A295" s="7">
        <f t="shared" si="212"/>
        <v>52078</v>
      </c>
      <c r="B295">
        <f t="shared" si="193"/>
        <v>284</v>
      </c>
      <c r="C295">
        <f t="shared" si="194"/>
        <v>23.583333333333332</v>
      </c>
      <c r="D295">
        <f t="shared" si="195"/>
        <v>0</v>
      </c>
      <c r="E295">
        <f t="shared" si="196"/>
        <v>75</v>
      </c>
      <c r="F295">
        <f>IF(C295&gt;=$T$2,0,VLOOKUP($E295,EKM_F05!$A$3:$C$128,2,TRUE))</f>
        <v>3.3457692307692306E-2</v>
      </c>
      <c r="G295">
        <f>F295*'Real assumptions'!$B$3</f>
        <v>1.3961895E-2</v>
      </c>
      <c r="H295">
        <f t="shared" si="213"/>
        <v>1.1710037628449577E-3</v>
      </c>
      <c r="I295">
        <f t="shared" si="214"/>
        <v>3.3687228522815863E-4</v>
      </c>
      <c r="J295">
        <f>IF(B295&gt;$AJ$2,0,HLOOKUP(C295,'Real assumptions'!$B$5:$L$8,4,TRUE))</f>
        <v>3.7900000000000003E-2</v>
      </c>
      <c r="K295">
        <f t="shared" si="183"/>
        <v>1</v>
      </c>
      <c r="L295">
        <f t="shared" si="215"/>
        <v>8.3333333333333329E-2</v>
      </c>
      <c r="M295">
        <f t="shared" si="216"/>
        <v>3.2145624959929453E-3</v>
      </c>
      <c r="N295">
        <f t="shared" si="217"/>
        <v>9.2570605795140246E-4</v>
      </c>
      <c r="O295" s="8">
        <f t="shared" si="197"/>
        <v>0.28687877192580857</v>
      </c>
      <c r="P295">
        <f t="shared" si="198"/>
        <v>6.9153924064557151</v>
      </c>
      <c r="Q295">
        <f t="shared" si="218"/>
        <v>1.6843614261407931</v>
      </c>
      <c r="R295" s="89">
        <f t="shared" si="184"/>
        <v>5000</v>
      </c>
      <c r="S295">
        <f t="shared" si="185"/>
        <v>0.33333333333333215</v>
      </c>
      <c r="U295">
        <f>O294*AV294*'Real assumptions'!$B$33/12+AX295*'Real assumptions'!$B$34</f>
        <v>3.928907183280637</v>
      </c>
      <c r="V295">
        <f>IF(P295=0,0,IF(E295&lt;=$C$7,$AN$5*O294,0))*'Real assumptions'!$D$28</f>
        <v>1.7288481016139288</v>
      </c>
      <c r="X295" s="94">
        <f t="shared" si="199"/>
        <v>0</v>
      </c>
      <c r="Y295">
        <f t="shared" si="186"/>
        <v>24</v>
      </c>
      <c r="Z295">
        <f t="shared" si="219"/>
        <v>75</v>
      </c>
      <c r="AA295">
        <f t="shared" si="187"/>
        <v>75.333333333333329</v>
      </c>
      <c r="AB295">
        <f t="shared" si="200"/>
        <v>50.505050505050505</v>
      </c>
      <c r="AC295">
        <f t="shared" si="220"/>
        <v>3804.7138047138046</v>
      </c>
      <c r="AD295">
        <f t="shared" si="201"/>
        <v>80.505050505050505</v>
      </c>
      <c r="AE295">
        <f t="shared" si="202"/>
        <v>303.23569023569019</v>
      </c>
      <c r="AF295" s="94">
        <f t="shared" si="203"/>
        <v>892.05050505050519</v>
      </c>
      <c r="AG295">
        <f t="shared" si="221"/>
        <v>0.82577655652386084</v>
      </c>
      <c r="AH295">
        <f t="shared" si="204"/>
        <v>255.91035338468623</v>
      </c>
      <c r="AI295">
        <f>HLOOKUP(AW295,'Real assumptions'!$A$21:$AK$24,2,TRUE)</f>
        <v>2.1678000000000002</v>
      </c>
      <c r="AJ295" s="123">
        <f t="shared" si="222"/>
        <v>1.7887957934823451E-3</v>
      </c>
      <c r="AK295" s="122">
        <f>(1+HLOOKUP(YEAR(A295),'Real assumptions'!$A$21:$AK$24,2,TRUE)/100)^(1/12)-1</f>
        <v>1.7887957934823451E-3</v>
      </c>
      <c r="AL295">
        <f t="shared" si="223"/>
        <v>3.928907183280637</v>
      </c>
      <c r="AM295">
        <f>('Real assumptions'!$B$33/12)*O294*AV294</f>
        <v>3.8582364207491846</v>
      </c>
      <c r="AN295">
        <f t="shared" si="205"/>
        <v>259.74822452800129</v>
      </c>
      <c r="AO295">
        <f t="shared" si="227"/>
        <v>0.4646365314001964</v>
      </c>
      <c r="AP295" s="121">
        <f t="shared" si="206"/>
        <v>3.2279564999324966</v>
      </c>
      <c r="AQ295">
        <f t="shared" si="207"/>
        <v>0</v>
      </c>
      <c r="AR295">
        <v>0</v>
      </c>
      <c r="AS295">
        <f t="shared" si="188"/>
        <v>0</v>
      </c>
      <c r="AT295">
        <f t="shared" si="208"/>
        <v>0</v>
      </c>
      <c r="AU295">
        <f>IFERROR(HLOOKUP(B295,'Real assumptions'!$B$43:$AL$44,2,TRUE)*($W$3/$U$2),0)</f>
        <v>0</v>
      </c>
      <c r="AV295">
        <f>AV294*(1+'Real assumptions'!$B$35)^(1/12)</f>
        <v>1.340395111683983</v>
      </c>
      <c r="AW295">
        <f t="shared" si="189"/>
        <v>2042</v>
      </c>
      <c r="AX295">
        <f t="shared" si="224"/>
        <v>257.97445542548689</v>
      </c>
      <c r="AY295">
        <f t="shared" si="225"/>
        <v>1.2127161206607244</v>
      </c>
      <c r="AZ295">
        <f t="shared" si="190"/>
        <v>627.38412498149557</v>
      </c>
      <c r="BA295">
        <f t="shared" si="209"/>
        <v>4.2389860842785829</v>
      </c>
      <c r="BB295">
        <f t="shared" si="210"/>
        <v>75.333333333333329</v>
      </c>
      <c r="BC295">
        <f t="shared" si="191"/>
        <v>45.199999999999996</v>
      </c>
      <c r="BD295">
        <f t="shared" si="211"/>
        <v>0</v>
      </c>
      <c r="BE295">
        <f t="shared" si="192"/>
        <v>24</v>
      </c>
      <c r="BF295">
        <f t="shared" si="226"/>
        <v>5000</v>
      </c>
      <c r="BU295"/>
      <c r="FD295"/>
      <c r="FE295"/>
    </row>
    <row r="296" spans="1:161" x14ac:dyDescent="0.25">
      <c r="A296" s="7">
        <f t="shared" si="212"/>
        <v>52109</v>
      </c>
      <c r="B296">
        <f t="shared" si="193"/>
        <v>285</v>
      </c>
      <c r="C296">
        <f t="shared" si="194"/>
        <v>23.666666666666668</v>
      </c>
      <c r="D296">
        <f t="shared" si="195"/>
        <v>0</v>
      </c>
      <c r="E296">
        <f t="shared" si="196"/>
        <v>75</v>
      </c>
      <c r="F296">
        <f>IF(C296&gt;=$T$2,0,VLOOKUP($E296,EKM_F05!$A$3:$C$128,2,TRUE))</f>
        <v>3.3457692307692306E-2</v>
      </c>
      <c r="G296">
        <f>F296*'Real assumptions'!$B$3</f>
        <v>1.3961895E-2</v>
      </c>
      <c r="H296">
        <f t="shared" si="213"/>
        <v>1.1710037628449577E-3</v>
      </c>
      <c r="I296">
        <f t="shared" si="214"/>
        <v>3.3539617757700259E-4</v>
      </c>
      <c r="J296">
        <f>IF(B296&gt;$AJ$2,0,HLOOKUP(C296,'Real assumptions'!$B$5:$L$8,4,TRUE))</f>
        <v>3.7900000000000003E-2</v>
      </c>
      <c r="K296">
        <f t="shared" si="183"/>
        <v>1</v>
      </c>
      <c r="L296">
        <f t="shared" si="215"/>
        <v>8.3333333333333329E-2</v>
      </c>
      <c r="M296">
        <f t="shared" si="216"/>
        <v>3.2145624959929453E-3</v>
      </c>
      <c r="N296">
        <f t="shared" si="217"/>
        <v>9.2164979730075848E-4</v>
      </c>
      <c r="O296" s="8">
        <f t="shared" si="197"/>
        <v>0.28562172595093083</v>
      </c>
      <c r="P296">
        <f t="shared" si="198"/>
        <v>6.8850905262194058</v>
      </c>
      <c r="Q296">
        <f t="shared" si="218"/>
        <v>1.676980887885013</v>
      </c>
      <c r="R296" s="89">
        <f t="shared" si="184"/>
        <v>5000</v>
      </c>
      <c r="S296">
        <f t="shared" si="185"/>
        <v>0.25</v>
      </c>
      <c r="U296">
        <f>O295*AV295*'Real assumptions'!$B$33/12+AX296*'Real assumptions'!$B$34</f>
        <v>3.9161578576439591</v>
      </c>
      <c r="V296">
        <f>IF(P296=0,0,IF(E296&lt;=$C$7,$AN$5*O295,0))*'Real assumptions'!$D$28</f>
        <v>1.7212726315548514</v>
      </c>
      <c r="X296" s="94">
        <f t="shared" si="199"/>
        <v>0</v>
      </c>
      <c r="Y296">
        <f t="shared" si="186"/>
        <v>24</v>
      </c>
      <c r="Z296">
        <f t="shared" si="219"/>
        <v>75</v>
      </c>
      <c r="AA296">
        <f t="shared" si="187"/>
        <v>75.25</v>
      </c>
      <c r="AB296">
        <f t="shared" si="200"/>
        <v>50.505050505050505</v>
      </c>
      <c r="AC296">
        <f t="shared" si="220"/>
        <v>3800.5050505050503</v>
      </c>
      <c r="AD296">
        <f t="shared" si="201"/>
        <v>80.505050505050505</v>
      </c>
      <c r="AE296">
        <f t="shared" si="202"/>
        <v>302.90025252525254</v>
      </c>
      <c r="AF296" s="94">
        <f t="shared" si="203"/>
        <v>896.59469696969711</v>
      </c>
      <c r="AG296">
        <f t="shared" si="221"/>
        <v>0.82634632072305636</v>
      </c>
      <c r="AH296">
        <f t="shared" si="204"/>
        <v>256.08692482693669</v>
      </c>
      <c r="AI296">
        <f>HLOOKUP(AW296,'Real assumptions'!$A$21:$AK$24,2,TRUE)</f>
        <v>2.1678000000000002</v>
      </c>
      <c r="AJ296" s="123">
        <f t="shared" si="222"/>
        <v>1.7887957934823451E-3</v>
      </c>
      <c r="AK296" s="122">
        <f>(1+HLOOKUP(YEAR(A296),'Real assumptions'!$A$21:$AK$24,2,TRUE)/100)^(1/12)-1</f>
        <v>1.7887957934823451E-3</v>
      </c>
      <c r="AL296">
        <f t="shared" si="223"/>
        <v>3.9161578576439591</v>
      </c>
      <c r="AM296">
        <f>('Real assumptions'!$B$33/12)*O295*AV295</f>
        <v>3.8453090353525807</v>
      </c>
      <c r="AN296">
        <f t="shared" si="205"/>
        <v>260.38596992163934</v>
      </c>
      <c r="AO296">
        <f t="shared" si="227"/>
        <v>0.4657773276776489</v>
      </c>
      <c r="AP296" s="121">
        <f t="shared" si="206"/>
        <v>3.6937338276101457</v>
      </c>
      <c r="AQ296">
        <f t="shared" si="207"/>
        <v>0</v>
      </c>
      <c r="AR296">
        <v>0</v>
      </c>
      <c r="AS296">
        <f t="shared" si="188"/>
        <v>0</v>
      </c>
      <c r="AT296">
        <f t="shared" si="208"/>
        <v>0</v>
      </c>
      <c r="AU296">
        <f>IFERROR(HLOOKUP(B296,'Real assumptions'!$B$43:$AL$44,2,TRUE)*($W$3/$U$2),0)</f>
        <v>0</v>
      </c>
      <c r="AV296">
        <f>AV295*(1+'Real assumptions'!$B$35)^(1/12)</f>
        <v>1.3417834205790309</v>
      </c>
      <c r="AW296">
        <f t="shared" si="189"/>
        <v>2042</v>
      </c>
      <c r="AX296">
        <f t="shared" si="224"/>
        <v>258.62443949180886</v>
      </c>
      <c r="AY296">
        <f t="shared" si="225"/>
        <v>1.2074022387449854</v>
      </c>
      <c r="AZ296">
        <f t="shared" si="190"/>
        <v>627.25071989357264</v>
      </c>
      <c r="BA296">
        <f t="shared" si="209"/>
        <v>4.224599840162921</v>
      </c>
      <c r="BB296">
        <f t="shared" si="210"/>
        <v>75.25</v>
      </c>
      <c r="BC296">
        <f t="shared" si="191"/>
        <v>45.15</v>
      </c>
      <c r="BD296">
        <f t="shared" si="211"/>
        <v>0</v>
      </c>
      <c r="BE296">
        <f t="shared" si="192"/>
        <v>24</v>
      </c>
      <c r="BF296">
        <f t="shared" si="226"/>
        <v>5000</v>
      </c>
      <c r="BU296"/>
      <c r="FD296"/>
      <c r="FE296"/>
    </row>
    <row r="297" spans="1:161" x14ac:dyDescent="0.25">
      <c r="A297" s="7">
        <f t="shared" si="212"/>
        <v>52139</v>
      </c>
      <c r="B297">
        <f t="shared" si="193"/>
        <v>286</v>
      </c>
      <c r="C297">
        <f t="shared" si="194"/>
        <v>23.75</v>
      </c>
      <c r="D297">
        <f t="shared" si="195"/>
        <v>0</v>
      </c>
      <c r="E297">
        <f t="shared" si="196"/>
        <v>75</v>
      </c>
      <c r="F297">
        <f>IF(C297&gt;=$T$2,0,VLOOKUP($E297,EKM_F05!$A$3:$C$128,2,TRUE))</f>
        <v>3.3457692307692306E-2</v>
      </c>
      <c r="G297">
        <f>F297*'Real assumptions'!$B$3</f>
        <v>1.3961895E-2</v>
      </c>
      <c r="H297">
        <f t="shared" si="213"/>
        <v>1.1710037628449577E-3</v>
      </c>
      <c r="I297">
        <f t="shared" si="214"/>
        <v>3.3392653793729585E-4</v>
      </c>
      <c r="J297">
        <f>IF(B297&gt;$AJ$2,0,HLOOKUP(C297,'Real assumptions'!$B$5:$L$8,4,TRUE))</f>
        <v>3.7900000000000003E-2</v>
      </c>
      <c r="K297">
        <f t="shared" si="183"/>
        <v>1</v>
      </c>
      <c r="L297">
        <f t="shared" si="215"/>
        <v>8.3333333333333329E-2</v>
      </c>
      <c r="M297">
        <f t="shared" si="216"/>
        <v>3.2145624959929453E-3</v>
      </c>
      <c r="N297">
        <f t="shared" si="217"/>
        <v>9.1761131038112166E-4</v>
      </c>
      <c r="O297" s="8">
        <f t="shared" si="197"/>
        <v>0.28437018810261244</v>
      </c>
      <c r="P297">
        <f t="shared" si="198"/>
        <v>6.8549214228223398</v>
      </c>
      <c r="Q297">
        <f t="shared" si="218"/>
        <v>1.6696326896864793</v>
      </c>
      <c r="R297" s="89">
        <f t="shared" si="184"/>
        <v>5000</v>
      </c>
      <c r="S297">
        <f t="shared" si="185"/>
        <v>0.16666666666666785</v>
      </c>
      <c r="U297">
        <f>O296*AV296*'Real assumptions'!$B$33/12+AX297*'Real assumptions'!$B$34</f>
        <v>3.903450371618352</v>
      </c>
      <c r="V297">
        <f>IF(P297=0,0,IF(E297&lt;=$C$7,$AN$5*O296,0))*'Real assumptions'!$D$28</f>
        <v>1.713730355705585</v>
      </c>
      <c r="X297" s="94">
        <f t="shared" si="199"/>
        <v>0</v>
      </c>
      <c r="Y297">
        <f t="shared" si="186"/>
        <v>24</v>
      </c>
      <c r="Z297">
        <f t="shared" si="219"/>
        <v>75</v>
      </c>
      <c r="AA297">
        <f t="shared" si="187"/>
        <v>75.166666666666671</v>
      </c>
      <c r="AB297">
        <f t="shared" si="200"/>
        <v>50.505050505050505</v>
      </c>
      <c r="AC297">
        <f t="shared" si="220"/>
        <v>3796.2962962962965</v>
      </c>
      <c r="AD297">
        <f t="shared" si="201"/>
        <v>80.505050505050505</v>
      </c>
      <c r="AE297">
        <f t="shared" si="202"/>
        <v>302.56481481481484</v>
      </c>
      <c r="AF297" s="94">
        <f t="shared" si="203"/>
        <v>901.13888888888869</v>
      </c>
      <c r="AG297">
        <f t="shared" si="221"/>
        <v>0.82689523666872111</v>
      </c>
      <c r="AH297">
        <f t="shared" si="204"/>
        <v>256.25703533991248</v>
      </c>
      <c r="AI297">
        <f>HLOOKUP(AW297,'Real assumptions'!$A$21:$AK$24,2,TRUE)</f>
        <v>2.1678000000000002</v>
      </c>
      <c r="AJ297" s="123">
        <f t="shared" si="222"/>
        <v>1.7887957934823451E-3</v>
      </c>
      <c r="AK297" s="122">
        <f>(1+HLOOKUP(YEAR(A297),'Real assumptions'!$A$21:$AK$24,2,TRUE)/100)^(1/12)-1</f>
        <v>1.7887957934823451E-3</v>
      </c>
      <c r="AL297">
        <f t="shared" si="223"/>
        <v>3.903450371618352</v>
      </c>
      <c r="AM297">
        <f>('Real assumptions'!$B$33/12)*O296*AV296</f>
        <v>3.8324249643812651</v>
      </c>
      <c r="AN297">
        <f t="shared" si="205"/>
        <v>261.01839935004523</v>
      </c>
      <c r="AO297">
        <f t="shared" si="227"/>
        <v>0.46690861477885576</v>
      </c>
      <c r="AP297" s="121">
        <f t="shared" si="206"/>
        <v>4.1606424423890012</v>
      </c>
      <c r="AQ297">
        <f t="shared" si="207"/>
        <v>0</v>
      </c>
      <c r="AR297">
        <v>0</v>
      </c>
      <c r="AS297">
        <f t="shared" si="188"/>
        <v>0</v>
      </c>
      <c r="AT297">
        <f t="shared" si="208"/>
        <v>0</v>
      </c>
      <c r="AU297">
        <f>IFERROR(HLOOKUP(B297,'Real assumptions'!$B$43:$AL$44,2,TRUE)*($W$3/$U$2),0)</f>
        <v>0</v>
      </c>
      <c r="AV297">
        <f>AV296*(1+'Real assumptions'!$B$35)^(1/12)</f>
        <v>1.343173167409484</v>
      </c>
      <c r="AW297">
        <f t="shared" si="189"/>
        <v>2042</v>
      </c>
      <c r="AX297">
        <f t="shared" si="224"/>
        <v>259.26903994004891</v>
      </c>
      <c r="AY297">
        <f t="shared" si="225"/>
        <v>1.2021116412076212</v>
      </c>
      <c r="AZ297">
        <f t="shared" si="190"/>
        <v>627.1139561119204</v>
      </c>
      <c r="BA297">
        <f t="shared" si="209"/>
        <v>4.210258282060785</v>
      </c>
      <c r="BB297">
        <f t="shared" si="210"/>
        <v>75.166666666666671</v>
      </c>
      <c r="BC297">
        <f t="shared" si="191"/>
        <v>45.1</v>
      </c>
      <c r="BD297">
        <f t="shared" si="211"/>
        <v>0</v>
      </c>
      <c r="BE297">
        <f t="shared" si="192"/>
        <v>24</v>
      </c>
      <c r="BF297">
        <f t="shared" si="226"/>
        <v>5000</v>
      </c>
      <c r="BU297"/>
      <c r="FD297"/>
      <c r="FE297"/>
    </row>
    <row r="298" spans="1:161" x14ac:dyDescent="0.25">
      <c r="A298" s="7">
        <f t="shared" si="212"/>
        <v>52170</v>
      </c>
      <c r="B298">
        <f t="shared" si="193"/>
        <v>287</v>
      </c>
      <c r="C298">
        <f t="shared" si="194"/>
        <v>23.833333333333332</v>
      </c>
      <c r="D298">
        <f t="shared" si="195"/>
        <v>0</v>
      </c>
      <c r="E298">
        <f t="shared" si="196"/>
        <v>75</v>
      </c>
      <c r="F298">
        <f>IF(C298&gt;=$T$2,0,VLOOKUP($E298,EKM_F05!$A$3:$C$128,2,TRUE))</f>
        <v>3.3457692307692306E-2</v>
      </c>
      <c r="G298">
        <f>F298*'Real assumptions'!$B$3</f>
        <v>1.3961895E-2</v>
      </c>
      <c r="H298">
        <f t="shared" si="213"/>
        <v>1.1710037628449577E-3</v>
      </c>
      <c r="I298">
        <f t="shared" si="214"/>
        <v>3.3246333796749299E-4</v>
      </c>
      <c r="J298">
        <f>IF(B298&gt;$AJ$2,0,HLOOKUP(C298,'Real assumptions'!$B$5:$L$8,4,TRUE))</f>
        <v>3.7900000000000003E-2</v>
      </c>
      <c r="K298">
        <f t="shared" si="183"/>
        <v>1</v>
      </c>
      <c r="L298">
        <f t="shared" si="215"/>
        <v>8.3333333333333329E-2</v>
      </c>
      <c r="M298">
        <f t="shared" si="216"/>
        <v>3.2145624959929453E-3</v>
      </c>
      <c r="N298">
        <f t="shared" si="217"/>
        <v>9.1359051931152254E-4</v>
      </c>
      <c r="O298" s="8">
        <f t="shared" si="197"/>
        <v>0.28312413424533345</v>
      </c>
      <c r="P298">
        <f t="shared" si="198"/>
        <v>6.8248845144626991</v>
      </c>
      <c r="Q298">
        <f t="shared" si="218"/>
        <v>1.6623166898374648</v>
      </c>
      <c r="R298" s="89">
        <f t="shared" si="184"/>
        <v>5000</v>
      </c>
      <c r="S298">
        <f t="shared" si="185"/>
        <v>8.3333333333332149E-2</v>
      </c>
      <c r="U298">
        <f>O297*AV297*'Real assumptions'!$B$33/12+AX298*'Real assumptions'!$B$34</f>
        <v>3.8907845921583109</v>
      </c>
      <c r="V298">
        <f>IF(P298=0,0,IF(E298&lt;=$C$7,$AN$5*O297,0))*'Real assumptions'!$D$28</f>
        <v>1.7062211286156748</v>
      </c>
      <c r="X298" s="94">
        <f t="shared" si="199"/>
        <v>0</v>
      </c>
      <c r="Y298">
        <f t="shared" si="186"/>
        <v>24</v>
      </c>
      <c r="Z298">
        <f t="shared" si="219"/>
        <v>75</v>
      </c>
      <c r="AA298">
        <f t="shared" si="187"/>
        <v>75.083333333333329</v>
      </c>
      <c r="AB298">
        <f t="shared" si="200"/>
        <v>50.505050505050505</v>
      </c>
      <c r="AC298">
        <f t="shared" si="220"/>
        <v>3792.0875420875418</v>
      </c>
      <c r="AD298">
        <f t="shared" si="201"/>
        <v>80.505050505050505</v>
      </c>
      <c r="AE298">
        <f t="shared" si="202"/>
        <v>302.22937710437708</v>
      </c>
      <c r="AF298" s="94">
        <f t="shared" si="203"/>
        <v>905.68308080808106</v>
      </c>
      <c r="AG298">
        <f t="shared" si="221"/>
        <v>0.82742347612711442</v>
      </c>
      <c r="AH298">
        <f t="shared" si="204"/>
        <v>256.42073815443433</v>
      </c>
      <c r="AI298">
        <f>HLOOKUP(AW298,'Real assumptions'!$A$21:$AK$24,2,TRUE)</f>
        <v>2.1678000000000002</v>
      </c>
      <c r="AJ298" s="123">
        <f t="shared" si="222"/>
        <v>1.7887957934823451E-3</v>
      </c>
      <c r="AK298" s="122">
        <f>(1+HLOOKUP(YEAR(A298),'Real assumptions'!$A$21:$AK$24,2,TRUE)/100)^(1/12)-1</f>
        <v>1.7887957934823451E-3</v>
      </c>
      <c r="AL298">
        <f t="shared" si="223"/>
        <v>3.8907845921583109</v>
      </c>
      <c r="AM298">
        <f>('Real assumptions'!$B$33/12)*O297*AV297</f>
        <v>3.8195840627061672</v>
      </c>
      <c r="AN298">
        <f t="shared" si="205"/>
        <v>261.64555657599021</v>
      </c>
      <c r="AO298">
        <f t="shared" si="227"/>
        <v>0.46803047098647821</v>
      </c>
      <c r="AP298" s="121">
        <f t="shared" si="206"/>
        <v>4.6286729133754791</v>
      </c>
      <c r="AQ298">
        <f t="shared" si="207"/>
        <v>0</v>
      </c>
      <c r="AR298">
        <v>0</v>
      </c>
      <c r="AS298">
        <f t="shared" si="188"/>
        <v>0</v>
      </c>
      <c r="AT298">
        <f t="shared" si="208"/>
        <v>0</v>
      </c>
      <c r="AU298">
        <f>IFERROR(HLOOKUP(B298,'Real assumptions'!$B$43:$AL$44,2,TRUE)*($W$3/$U$2),0)</f>
        <v>0</v>
      </c>
      <c r="AV298">
        <f>AV297*(1+'Real assumptions'!$B$35)^(1/12)</f>
        <v>1.3445643536646781</v>
      </c>
      <c r="AW298">
        <f t="shared" si="189"/>
        <v>2042</v>
      </c>
      <c r="AX298">
        <f t="shared" si="224"/>
        <v>259.90830087970693</v>
      </c>
      <c r="AY298">
        <f t="shared" si="225"/>
        <v>1.1968442260210961</v>
      </c>
      <c r="AZ298">
        <f t="shared" si="190"/>
        <v>626.97387354637169</v>
      </c>
      <c r="BA298">
        <f t="shared" si="209"/>
        <v>4.195961294580254</v>
      </c>
      <c r="BB298">
        <f t="shared" si="210"/>
        <v>75.083333333333329</v>
      </c>
      <c r="BC298">
        <f t="shared" si="191"/>
        <v>45.05</v>
      </c>
      <c r="BD298">
        <f t="shared" si="211"/>
        <v>0</v>
      </c>
      <c r="BE298">
        <f t="shared" si="192"/>
        <v>24</v>
      </c>
      <c r="BF298">
        <f t="shared" si="226"/>
        <v>5000</v>
      </c>
      <c r="BU298"/>
      <c r="FD298"/>
      <c r="FE298"/>
    </row>
    <row r="299" spans="1:161" x14ac:dyDescent="0.25">
      <c r="A299" s="7">
        <f t="shared" si="212"/>
        <v>52200</v>
      </c>
      <c r="B299">
        <f t="shared" si="193"/>
        <v>288</v>
      </c>
      <c r="C299">
        <f t="shared" si="194"/>
        <v>23.916666666666668</v>
      </c>
      <c r="D299">
        <f t="shared" si="195"/>
        <v>0</v>
      </c>
      <c r="E299">
        <f t="shared" si="196"/>
        <v>75</v>
      </c>
      <c r="F299">
        <f>IF(C299&gt;=$T$2,0,VLOOKUP($E299,EKM_F05!$A$3:$C$128,2,TRUE))</f>
        <v>3.3457692307692306E-2</v>
      </c>
      <c r="G299">
        <f>F299*'Real assumptions'!$B$3</f>
        <v>1.3961895E-2</v>
      </c>
      <c r="H299">
        <f t="shared" si="213"/>
        <v>1.1710037628449577E-3</v>
      </c>
      <c r="I299">
        <f t="shared" si="214"/>
        <v>3.3100654945023543E-4</v>
      </c>
      <c r="J299">
        <f>IF(B299&gt;$AJ$2,0,HLOOKUP(C299,'Real assumptions'!$B$5:$L$8,4,TRUE))</f>
        <v>3.7900000000000003E-2</v>
      </c>
      <c r="K299">
        <f t="shared" si="183"/>
        <v>1</v>
      </c>
      <c r="L299">
        <f t="shared" si="215"/>
        <v>8.3333333333333329E-2</v>
      </c>
      <c r="M299">
        <f t="shared" si="216"/>
        <v>3.2145624959929453E-3</v>
      </c>
      <c r="N299">
        <f t="shared" si="217"/>
        <v>9.095873465522499E-4</v>
      </c>
      <c r="O299" s="8">
        <f t="shared" si="197"/>
        <v>0.28188354034933094</v>
      </c>
      <c r="P299">
        <f t="shared" si="198"/>
        <v>6.7949792218880027</v>
      </c>
      <c r="Q299">
        <f t="shared" si="218"/>
        <v>1.6550327472511772</v>
      </c>
      <c r="R299" s="89">
        <f t="shared" si="184"/>
        <v>5000</v>
      </c>
      <c r="S299">
        <f t="shared" si="185"/>
        <v>1</v>
      </c>
      <c r="U299">
        <f>O298*AV298*'Real assumptions'!$B$33/12+AX299*'Real assumptions'!$B$34</f>
        <v>3.8781603866316385</v>
      </c>
      <c r="V299">
        <f>IF(P299=0,0,IF(E299&lt;=$C$7,$AN$5*O298,0))*'Real assumptions'!$D$28</f>
        <v>1.6987448054720007</v>
      </c>
      <c r="X299" s="94">
        <f t="shared" si="199"/>
        <v>0</v>
      </c>
      <c r="Y299">
        <f t="shared" si="186"/>
        <v>24</v>
      </c>
      <c r="Z299">
        <f t="shared" si="219"/>
        <v>75</v>
      </c>
      <c r="AA299">
        <f t="shared" si="187"/>
        <v>75</v>
      </c>
      <c r="AB299">
        <f t="shared" si="200"/>
        <v>50.505050505050505</v>
      </c>
      <c r="AC299">
        <f t="shared" si="220"/>
        <v>3787.878787878788</v>
      </c>
      <c r="AD299">
        <f t="shared" si="201"/>
        <v>80.505050505050505</v>
      </c>
      <c r="AE299">
        <f t="shared" si="202"/>
        <v>301.89393939393938</v>
      </c>
      <c r="AF299" s="94">
        <f t="shared" si="203"/>
        <v>910.22727272727263</v>
      </c>
      <c r="AG299">
        <f t="shared" si="221"/>
        <v>0.82793120975949097</v>
      </c>
      <c r="AH299">
        <f t="shared" si="204"/>
        <v>256.57808615887961</v>
      </c>
      <c r="AI299">
        <f>HLOOKUP(AW299,'Real assumptions'!$A$21:$AK$24,2,TRUE)</f>
        <v>2.1678000000000002</v>
      </c>
      <c r="AJ299" s="123">
        <f t="shared" si="222"/>
        <v>1.7887957934823451E-3</v>
      </c>
      <c r="AK299" s="122">
        <f>(1+HLOOKUP(YEAR(A299),'Real assumptions'!$A$21:$AK$24,2,TRUE)/100)^(1/12)-1</f>
        <v>1.7887957934823451E-3</v>
      </c>
      <c r="AL299">
        <f t="shared" si="223"/>
        <v>3.8781603866316385</v>
      </c>
      <c r="AM299">
        <f>('Real assumptions'!$B$33/12)*O298*AV298</f>
        <v>3.8067861856844831</v>
      </c>
      <c r="AN299">
        <f t="shared" si="205"/>
        <v>262.26748509759415</v>
      </c>
      <c r="AO299">
        <f t="shared" si="227"/>
        <v>0.46914297410977002</v>
      </c>
      <c r="AP299" s="121">
        <f t="shared" si="206"/>
        <v>5.0978158874852495</v>
      </c>
      <c r="AQ299">
        <f t="shared" si="207"/>
        <v>0</v>
      </c>
      <c r="AR299">
        <v>0</v>
      </c>
      <c r="AS299">
        <f t="shared" si="188"/>
        <v>0</v>
      </c>
      <c r="AT299">
        <f t="shared" si="208"/>
        <v>0</v>
      </c>
      <c r="AU299">
        <f>IFERROR(HLOOKUP(B299,'Real assumptions'!$B$43:$AL$44,2,TRUE)*($W$3/$U$2),0)</f>
        <v>0</v>
      </c>
      <c r="AV299">
        <f>AV298*(1+'Real assumptions'!$B$35)^(1/12)</f>
        <v>1.3459569808354916</v>
      </c>
      <c r="AW299">
        <f t="shared" si="189"/>
        <v>2042</v>
      </c>
      <c r="AX299">
        <f t="shared" si="224"/>
        <v>260.54226615394271</v>
      </c>
      <c r="AY299">
        <f t="shared" si="225"/>
        <v>1.1915998916049386</v>
      </c>
      <c r="AZ299">
        <f t="shared" si="190"/>
        <v>626.83051184676845</v>
      </c>
      <c r="BA299">
        <f t="shared" si="209"/>
        <v>4.1817087624826694</v>
      </c>
      <c r="BB299">
        <f t="shared" si="210"/>
        <v>75</v>
      </c>
      <c r="BC299">
        <f t="shared" si="191"/>
        <v>45</v>
      </c>
      <c r="BD299">
        <f t="shared" si="211"/>
        <v>0</v>
      </c>
      <c r="BE299">
        <f t="shared" si="192"/>
        <v>24</v>
      </c>
      <c r="BF299">
        <f t="shared" si="226"/>
        <v>5000</v>
      </c>
      <c r="BU299"/>
      <c r="FD299"/>
      <c r="FE299"/>
    </row>
    <row r="300" spans="1:161" x14ac:dyDescent="0.25">
      <c r="A300" s="7">
        <f t="shared" si="212"/>
        <v>52231</v>
      </c>
      <c r="B300">
        <f t="shared" si="193"/>
        <v>289</v>
      </c>
      <c r="C300">
        <f t="shared" si="194"/>
        <v>24</v>
      </c>
      <c r="D300">
        <f t="shared" si="195"/>
        <v>1</v>
      </c>
      <c r="E300">
        <f t="shared" si="196"/>
        <v>76</v>
      </c>
      <c r="F300">
        <f>IF(C300&gt;=$T$2,0,VLOOKUP($E300,EKM_F05!$A$3:$C$128,2,TRUE))</f>
        <v>3.7702692307692305E-2</v>
      </c>
      <c r="G300">
        <f>F300*'Real assumptions'!$B$3</f>
        <v>1.5733333499999998E-2</v>
      </c>
      <c r="H300">
        <f t="shared" si="213"/>
        <v>1.3206618329062447E-3</v>
      </c>
      <c r="I300">
        <f t="shared" si="214"/>
        <v>3.7167448592012673E-4</v>
      </c>
      <c r="J300">
        <f>IF(B300&gt;$AJ$2,0,HLOOKUP(C300,'Real assumptions'!$B$5:$L$8,4,TRUE))</f>
        <v>3.7900000000000003E-2</v>
      </c>
      <c r="K300">
        <f t="shared" si="183"/>
        <v>1</v>
      </c>
      <c r="L300">
        <f t="shared" si="215"/>
        <v>8.3333333333333329E-2</v>
      </c>
      <c r="M300">
        <f t="shared" si="216"/>
        <v>3.2145624959929453E-3</v>
      </c>
      <c r="N300">
        <f t="shared" si="217"/>
        <v>9.0553390990095128E-4</v>
      </c>
      <c r="O300" s="8">
        <f t="shared" si="197"/>
        <v>0.28060633195350987</v>
      </c>
      <c r="P300">
        <f t="shared" si="198"/>
        <v>6.7652049683839426</v>
      </c>
      <c r="Q300">
        <f t="shared" si="218"/>
        <v>1.8583724296006336</v>
      </c>
      <c r="R300" s="89">
        <f t="shared" si="184"/>
        <v>5000</v>
      </c>
      <c r="S300">
        <f t="shared" si="185"/>
        <v>0.91666666666666785</v>
      </c>
      <c r="U300">
        <f>O299*AV299*'Real assumptions'!$B$33/12+AX300*'Real assumptions'!$B$34</f>
        <v>3.8655776228182317</v>
      </c>
      <c r="V300">
        <f>IF(P300=0,0,IF(E300&lt;=$C$7,$AN$5*O299,0))*'Real assumptions'!$D$28</f>
        <v>1.6913012420959856</v>
      </c>
      <c r="X300" s="94">
        <f t="shared" si="199"/>
        <v>0</v>
      </c>
      <c r="Y300">
        <f t="shared" si="186"/>
        <v>24</v>
      </c>
      <c r="Z300">
        <f t="shared" si="219"/>
        <v>75</v>
      </c>
      <c r="AA300">
        <f t="shared" si="187"/>
        <v>74.916666666666671</v>
      </c>
      <c r="AB300">
        <f t="shared" si="200"/>
        <v>50.505050505050505</v>
      </c>
      <c r="AC300">
        <f t="shared" si="220"/>
        <v>3783.6700336700337</v>
      </c>
      <c r="AD300">
        <f t="shared" si="201"/>
        <v>80.505050505050505</v>
      </c>
      <c r="AE300">
        <f t="shared" si="202"/>
        <v>301.55850168350167</v>
      </c>
      <c r="AF300" s="94">
        <f t="shared" si="203"/>
        <v>914.77146464646466</v>
      </c>
      <c r="AG300">
        <f t="shared" si="221"/>
        <v>0.82835658104713294</v>
      </c>
      <c r="AH300">
        <f t="shared" si="204"/>
        <v>256.6906652701843</v>
      </c>
      <c r="AI300">
        <f>HLOOKUP(AW300,'Real assumptions'!$A$21:$AK$24,2,TRUE)</f>
        <v>2.1678000000000002</v>
      </c>
      <c r="AJ300" s="123">
        <f t="shared" si="222"/>
        <v>1.7887957934823451E-3</v>
      </c>
      <c r="AK300" s="122">
        <f>(1+HLOOKUP(YEAR(A300),'Real assumptions'!$A$21:$AK$24,2,TRUE)/100)^(1/12)-1</f>
        <v>1.7887957934823451E-3</v>
      </c>
      <c r="AL300">
        <f t="shared" si="223"/>
        <v>3.8655776228182317</v>
      </c>
      <c r="AM300">
        <f>('Real assumptions'!$B$33/12)*O299*AV299</f>
        <v>3.7940311891580496</v>
      </c>
      <c r="AN300">
        <f t="shared" si="205"/>
        <v>262.8842281498346</v>
      </c>
      <c r="AO300">
        <f t="shared" si="227"/>
        <v>0.47024620148727719</v>
      </c>
      <c r="AP300" s="121">
        <f t="shared" si="206"/>
        <v>0</v>
      </c>
      <c r="AQ300">
        <f t="shared" si="207"/>
        <v>0</v>
      </c>
      <c r="AR300">
        <v>0</v>
      </c>
      <c r="AS300">
        <f t="shared" si="188"/>
        <v>0</v>
      </c>
      <c r="AT300">
        <f t="shared" si="208"/>
        <v>0</v>
      </c>
      <c r="AU300">
        <f>IFERROR(HLOOKUP(B300,'Real assumptions'!$B$43:$AL$44,2,TRUE)*($W$3/$U$2),0)</f>
        <v>0</v>
      </c>
      <c r="AV300">
        <f>AV299*(1+'Real assumptions'!$B$35)^(1/12)</f>
        <v>1.3473510504143473</v>
      </c>
      <c r="AW300">
        <f t="shared" si="189"/>
        <v>2042</v>
      </c>
      <c r="AX300">
        <f t="shared" si="224"/>
        <v>261.17097934109267</v>
      </c>
      <c r="AY300">
        <f t="shared" si="225"/>
        <v>1.1863785368237834</v>
      </c>
      <c r="AZ300">
        <f t="shared" si="190"/>
        <v>626.47338072240825</v>
      </c>
      <c r="BA300">
        <f t="shared" si="209"/>
        <v>4.378030252743752</v>
      </c>
      <c r="BB300">
        <f t="shared" si="210"/>
        <v>74.916666666666671</v>
      </c>
      <c r="BC300">
        <f t="shared" si="191"/>
        <v>44.95</v>
      </c>
      <c r="BD300">
        <f t="shared" si="211"/>
        <v>0</v>
      </c>
      <c r="BE300">
        <f t="shared" si="192"/>
        <v>24</v>
      </c>
      <c r="BF300">
        <f t="shared" si="226"/>
        <v>5000</v>
      </c>
      <c r="BU300"/>
      <c r="FD300"/>
      <c r="FE300"/>
    </row>
    <row r="301" spans="1:161" x14ac:dyDescent="0.25">
      <c r="A301" s="7">
        <f t="shared" si="212"/>
        <v>52262</v>
      </c>
      <c r="B301">
        <f t="shared" si="193"/>
        <v>290</v>
      </c>
      <c r="C301">
        <f t="shared" si="194"/>
        <v>24.083333333333332</v>
      </c>
      <c r="D301">
        <f t="shared" si="195"/>
        <v>0</v>
      </c>
      <c r="E301">
        <f t="shared" si="196"/>
        <v>76</v>
      </c>
      <c r="F301">
        <f>IF(C301&gt;=$T$2,0,VLOOKUP($E301,EKM_F05!$A$3:$C$128,2,TRUE))</f>
        <v>3.7702692307692305E-2</v>
      </c>
      <c r="G301">
        <f>F301*'Real assumptions'!$B$3</f>
        <v>1.5733333499999998E-2</v>
      </c>
      <c r="H301">
        <f t="shared" si="213"/>
        <v>1.3206618329062447E-3</v>
      </c>
      <c r="I301">
        <f t="shared" si="214"/>
        <v>3.6999043663742874E-4</v>
      </c>
      <c r="J301">
        <f>IF(B301&gt;$AJ$2,0,HLOOKUP(C301,'Real assumptions'!$B$5:$L$8,4,TRUE))</f>
        <v>3.7900000000000003E-2</v>
      </c>
      <c r="K301">
        <f t="shared" si="183"/>
        <v>1</v>
      </c>
      <c r="L301">
        <f t="shared" si="215"/>
        <v>8.3333333333333329E-2</v>
      </c>
      <c r="M301">
        <f t="shared" si="216"/>
        <v>3.2145624959929453E-3</v>
      </c>
      <c r="N301">
        <f t="shared" si="217"/>
        <v>9.0143095479050788E-4</v>
      </c>
      <c r="O301" s="8">
        <f t="shared" si="197"/>
        <v>0.27933491056208193</v>
      </c>
      <c r="P301">
        <f t="shared" si="198"/>
        <v>6.7345519668842364</v>
      </c>
      <c r="Q301">
        <f t="shared" si="218"/>
        <v>1.8499521831871437</v>
      </c>
      <c r="R301" s="89">
        <f t="shared" si="184"/>
        <v>5000</v>
      </c>
      <c r="S301">
        <f t="shared" si="185"/>
        <v>0.83333333333333215</v>
      </c>
      <c r="U301">
        <f>O300*AV300*'Real assumptions'!$B$33/12+AX301*'Real assumptions'!$B$34</f>
        <v>3.8509337417653065</v>
      </c>
      <c r="V301">
        <f>IF(P301=0,0,IF(E301&lt;=$C$7,$AN$5*O300,0))*'Real assumptions'!$D$28</f>
        <v>1.6836379917210591</v>
      </c>
      <c r="X301" s="94">
        <f t="shared" si="199"/>
        <v>0</v>
      </c>
      <c r="Y301">
        <f t="shared" si="186"/>
        <v>24</v>
      </c>
      <c r="Z301">
        <f t="shared" si="219"/>
        <v>74</v>
      </c>
      <c r="AA301">
        <f t="shared" si="187"/>
        <v>74.833333333333329</v>
      </c>
      <c r="AB301">
        <f t="shared" si="200"/>
        <v>50.505050505050505</v>
      </c>
      <c r="AC301">
        <f t="shared" si="220"/>
        <v>3779.4612794612794</v>
      </c>
      <c r="AD301">
        <f t="shared" si="201"/>
        <v>80.505050505050505</v>
      </c>
      <c r="AE301">
        <f t="shared" si="202"/>
        <v>301.22306397306392</v>
      </c>
      <c r="AF301" s="94">
        <f t="shared" si="203"/>
        <v>919.31565656565658</v>
      </c>
      <c r="AG301">
        <f t="shared" si="221"/>
        <v>0.82869959005184246</v>
      </c>
      <c r="AH301">
        <f t="shared" si="204"/>
        <v>256.79695670508931</v>
      </c>
      <c r="AI301">
        <f>HLOOKUP(AW301,'Real assumptions'!$A$21:$AK$24,2,TRUE)</f>
        <v>2.1593</v>
      </c>
      <c r="AJ301" s="123">
        <f t="shared" si="222"/>
        <v>1.7818500879200894E-3</v>
      </c>
      <c r="AK301" s="122">
        <f>(1+HLOOKUP(YEAR(A301),'Real assumptions'!$A$21:$AK$24,2,TRUE)/100)^(1/12)-1</f>
        <v>1.7818500879200894E-3</v>
      </c>
      <c r="AL301">
        <f t="shared" si="223"/>
        <v>3.8509337417653065</v>
      </c>
      <c r="AM301">
        <f>('Real assumptions'!$B$33/12)*O300*AV300</f>
        <v>3.7807523611047857</v>
      </c>
      <c r="AN301">
        <f t="shared" si="205"/>
        <v>257.89064550358216</v>
      </c>
      <c r="AO301">
        <f t="shared" si="227"/>
        <v>0.4595224693643265</v>
      </c>
      <c r="AP301" s="121">
        <f t="shared" si="206"/>
        <v>0.4595224693643265</v>
      </c>
      <c r="AQ301">
        <f t="shared" si="207"/>
        <v>0</v>
      </c>
      <c r="AR301">
        <v>0</v>
      </c>
      <c r="AS301">
        <f t="shared" si="188"/>
        <v>0</v>
      </c>
      <c r="AT301">
        <f t="shared" si="208"/>
        <v>0</v>
      </c>
      <c r="AU301">
        <f>IFERROR(HLOOKUP(B301,'Real assumptions'!$B$43:$AL$44,2,TRUE)*($W$3/$U$2),0)</f>
        <v>0</v>
      </c>
      <c r="AV301">
        <f>AV300*(1+'Real assumptions'!$B$35)^(1/12)</f>
        <v>1.3487465638952136</v>
      </c>
      <c r="AW301">
        <f t="shared" si="189"/>
        <v>2043</v>
      </c>
      <c r="AX301">
        <f t="shared" si="224"/>
        <v>256.18803035907564</v>
      </c>
      <c r="AY301">
        <f t="shared" si="225"/>
        <v>1.1810030806124152</v>
      </c>
      <c r="AZ301">
        <f t="shared" si="190"/>
        <v>626.11099083108707</v>
      </c>
      <c r="BA301">
        <f t="shared" si="209"/>
        <v>4.3622897649600452</v>
      </c>
      <c r="BB301">
        <f t="shared" si="210"/>
        <v>74.833333333333329</v>
      </c>
      <c r="BC301">
        <f t="shared" si="191"/>
        <v>44.899999999999991</v>
      </c>
      <c r="BD301">
        <f t="shared" si="211"/>
        <v>0</v>
      </c>
      <c r="BE301">
        <f t="shared" si="192"/>
        <v>24</v>
      </c>
      <c r="BF301">
        <f t="shared" si="226"/>
        <v>5000</v>
      </c>
      <c r="BU301"/>
      <c r="FD301"/>
      <c r="FE301"/>
    </row>
    <row r="302" spans="1:161" x14ac:dyDescent="0.25">
      <c r="A302" s="7">
        <f t="shared" si="212"/>
        <v>52290</v>
      </c>
      <c r="B302">
        <f t="shared" si="193"/>
        <v>291</v>
      </c>
      <c r="C302">
        <f t="shared" si="194"/>
        <v>24.166666666666668</v>
      </c>
      <c r="D302">
        <f t="shared" si="195"/>
        <v>0</v>
      </c>
      <c r="E302">
        <f t="shared" si="196"/>
        <v>76</v>
      </c>
      <c r="F302">
        <f>IF(C302&gt;=$T$2,0,VLOOKUP($E302,EKM_F05!$A$3:$C$128,2,TRUE))</f>
        <v>3.7702692307692305E-2</v>
      </c>
      <c r="G302">
        <f>F302*'Real assumptions'!$B$3</f>
        <v>1.5733333499999998E-2</v>
      </c>
      <c r="H302">
        <f t="shared" si="213"/>
        <v>1.3206618329062447E-3</v>
      </c>
      <c r="I302">
        <f t="shared" si="214"/>
        <v>3.6831401774663008E-4</v>
      </c>
      <c r="J302">
        <f>IF(B302&gt;$AJ$2,0,HLOOKUP(C302,'Real assumptions'!$B$5:$L$8,4,TRUE))</f>
        <v>3.7900000000000003E-2</v>
      </c>
      <c r="K302">
        <f t="shared" si="183"/>
        <v>1</v>
      </c>
      <c r="L302">
        <f t="shared" si="215"/>
        <v>8.3333333333333329E-2</v>
      </c>
      <c r="M302">
        <f t="shared" si="216"/>
        <v>3.2145624959929453E-3</v>
      </c>
      <c r="N302">
        <f t="shared" si="217"/>
        <v>8.9734659008342118E-4</v>
      </c>
      <c r="O302" s="8">
        <f t="shared" si="197"/>
        <v>0.27806924995425186</v>
      </c>
      <c r="P302">
        <f t="shared" si="198"/>
        <v>6.7040378534899663</v>
      </c>
      <c r="Q302">
        <f t="shared" si="218"/>
        <v>1.8415700887331503</v>
      </c>
      <c r="R302" s="89">
        <f t="shared" si="184"/>
        <v>5000</v>
      </c>
      <c r="S302">
        <f t="shared" si="185"/>
        <v>0.75</v>
      </c>
      <c r="U302">
        <f>O301*AV301*'Real assumptions'!$B$33/12+AX302*'Real assumptions'!$B$34</f>
        <v>3.8378570142970894</v>
      </c>
      <c r="V302">
        <f>IF(P302=0,0,IF(E302&lt;=$C$7,$AN$5*O301,0))*'Real assumptions'!$D$28</f>
        <v>1.6760094633724916</v>
      </c>
      <c r="X302" s="94">
        <f t="shared" si="199"/>
        <v>0</v>
      </c>
      <c r="Y302">
        <f t="shared" si="186"/>
        <v>24</v>
      </c>
      <c r="Z302">
        <f t="shared" si="219"/>
        <v>74</v>
      </c>
      <c r="AA302">
        <f t="shared" si="187"/>
        <v>74.75</v>
      </c>
      <c r="AB302">
        <f t="shared" si="200"/>
        <v>50.505050505050505</v>
      </c>
      <c r="AC302">
        <f t="shared" si="220"/>
        <v>3775.2525252525252</v>
      </c>
      <c r="AD302">
        <f t="shared" si="201"/>
        <v>80.505050505050505</v>
      </c>
      <c r="AE302">
        <f t="shared" si="202"/>
        <v>300.88762626262627</v>
      </c>
      <c r="AF302" s="94">
        <f t="shared" si="203"/>
        <v>923.8598484848485</v>
      </c>
      <c r="AG302">
        <f t="shared" si="221"/>
        <v>0.829022484752865</v>
      </c>
      <c r="AH302">
        <f t="shared" si="204"/>
        <v>256.89701513103057</v>
      </c>
      <c r="AI302">
        <f>HLOOKUP(AW302,'Real assumptions'!$A$21:$AK$24,2,TRUE)</f>
        <v>2.1593</v>
      </c>
      <c r="AJ302" s="123">
        <f t="shared" si="222"/>
        <v>1.7818500879200894E-3</v>
      </c>
      <c r="AK302" s="122">
        <f>(1+HLOOKUP(YEAR(A302),'Real assumptions'!$A$21:$AK$24,2,TRUE)/100)^(1/12)-1</f>
        <v>1.7818500879200894E-3</v>
      </c>
      <c r="AL302">
        <f t="shared" si="223"/>
        <v>3.8378570142970894</v>
      </c>
      <c r="AM302">
        <f>('Real assumptions'!$B$33/12)*O301*AV301</f>
        <v>3.7675200079658482</v>
      </c>
      <c r="AN302">
        <f t="shared" si="205"/>
        <v>258.446650550274</v>
      </c>
      <c r="AO302">
        <f t="shared" si="227"/>
        <v>0.46051318700565835</v>
      </c>
      <c r="AP302" s="121">
        <f t="shared" si="206"/>
        <v>0.92003565636998486</v>
      </c>
      <c r="AQ302">
        <f t="shared" si="207"/>
        <v>0</v>
      </c>
      <c r="AR302">
        <v>0</v>
      </c>
      <c r="AS302">
        <f t="shared" si="188"/>
        <v>0</v>
      </c>
      <c r="AT302">
        <f t="shared" si="208"/>
        <v>0</v>
      </c>
      <c r="AU302">
        <f>IFERROR(HLOOKUP(B302,'Real assumptions'!$B$43:$AL$44,2,TRUE)*($W$3/$U$2),0)</f>
        <v>0</v>
      </c>
      <c r="AV302">
        <f>AV301*(1+'Real assumptions'!$B$35)^(1/12)</f>
        <v>1.3501435227736063</v>
      </c>
      <c r="AW302">
        <f t="shared" si="189"/>
        <v>2043</v>
      </c>
      <c r="AX302">
        <f t="shared" si="224"/>
        <v>256.7561216915613</v>
      </c>
      <c r="AY302">
        <f t="shared" si="225"/>
        <v>1.1756519804801426</v>
      </c>
      <c r="AZ302">
        <f t="shared" si="190"/>
        <v>625.74620555748152</v>
      </c>
      <c r="BA302">
        <f t="shared" si="209"/>
        <v>4.3466020368585072</v>
      </c>
      <c r="BB302">
        <f t="shared" si="210"/>
        <v>74.75</v>
      </c>
      <c r="BC302">
        <f t="shared" si="191"/>
        <v>44.849999999999994</v>
      </c>
      <c r="BD302">
        <f t="shared" si="211"/>
        <v>0</v>
      </c>
      <c r="BE302">
        <f t="shared" si="192"/>
        <v>24</v>
      </c>
      <c r="BF302">
        <f t="shared" si="226"/>
        <v>5000</v>
      </c>
      <c r="BU302"/>
      <c r="FD302"/>
      <c r="FE302"/>
    </row>
    <row r="303" spans="1:161" x14ac:dyDescent="0.25">
      <c r="A303" s="7">
        <f t="shared" si="212"/>
        <v>52321</v>
      </c>
      <c r="B303">
        <f t="shared" si="193"/>
        <v>292</v>
      </c>
      <c r="C303">
        <f t="shared" si="194"/>
        <v>24.25</v>
      </c>
      <c r="D303">
        <f t="shared" si="195"/>
        <v>0</v>
      </c>
      <c r="E303">
        <f t="shared" si="196"/>
        <v>76</v>
      </c>
      <c r="F303">
        <f>IF(C303&gt;=$T$2,0,VLOOKUP($E303,EKM_F05!$A$3:$C$128,2,TRUE))</f>
        <v>3.7702692307692305E-2</v>
      </c>
      <c r="G303">
        <f>F303*'Real assumptions'!$B$3</f>
        <v>1.5733333499999998E-2</v>
      </c>
      <c r="H303">
        <f t="shared" si="213"/>
        <v>1.3206618329062447E-3</v>
      </c>
      <c r="I303">
        <f t="shared" si="214"/>
        <v>3.666451946745854E-4</v>
      </c>
      <c r="J303">
        <f>IF(B303&gt;$AJ$2,0,HLOOKUP(C303,'Real assumptions'!$B$5:$L$8,4,TRUE))</f>
        <v>3.7900000000000003E-2</v>
      </c>
      <c r="K303">
        <f t="shared" si="183"/>
        <v>1</v>
      </c>
      <c r="L303">
        <f t="shared" si="215"/>
        <v>8.3333333333333329E-2</v>
      </c>
      <c r="M303">
        <f t="shared" si="216"/>
        <v>3.2145624959929453E-3</v>
      </c>
      <c r="N303">
        <f t="shared" si="217"/>
        <v>8.9328073154696448E-4</v>
      </c>
      <c r="O303" s="8">
        <f t="shared" si="197"/>
        <v>0.27680932402803027</v>
      </c>
      <c r="P303">
        <f t="shared" si="198"/>
        <v>6.6736619989020447</v>
      </c>
      <c r="Q303">
        <f t="shared" si="218"/>
        <v>1.833225973372927</v>
      </c>
      <c r="R303" s="89">
        <f t="shared" si="184"/>
        <v>5000</v>
      </c>
      <c r="S303">
        <f t="shared" si="185"/>
        <v>0.66666666666666785</v>
      </c>
      <c r="U303">
        <f>O302*AV302*'Real assumptions'!$B$33/12+AX303*'Real assumptions'!$B$34</f>
        <v>3.8248251601591243</v>
      </c>
      <c r="V303">
        <f>IF(P303=0,0,IF(E303&lt;=$C$7,$AN$5*O302,0))*'Real assumptions'!$D$28</f>
        <v>1.6684154997255112</v>
      </c>
      <c r="X303" s="94">
        <f t="shared" si="199"/>
        <v>0</v>
      </c>
      <c r="Y303">
        <f t="shared" si="186"/>
        <v>24</v>
      </c>
      <c r="Z303">
        <f t="shared" si="219"/>
        <v>74</v>
      </c>
      <c r="AA303">
        <f t="shared" si="187"/>
        <v>74.666666666666671</v>
      </c>
      <c r="AB303">
        <f t="shared" si="200"/>
        <v>50.505050505050505</v>
      </c>
      <c r="AC303">
        <f t="shared" si="220"/>
        <v>3771.0437710437714</v>
      </c>
      <c r="AD303">
        <f t="shared" si="201"/>
        <v>80.505050505050505</v>
      </c>
      <c r="AE303">
        <f t="shared" si="202"/>
        <v>300.55218855218857</v>
      </c>
      <c r="AF303" s="94">
        <f t="shared" si="203"/>
        <v>928.40404040404007</v>
      </c>
      <c r="AG303">
        <f t="shared" si="221"/>
        <v>0.82932544038327849</v>
      </c>
      <c r="AH303">
        <f t="shared" si="204"/>
        <v>256.99089484913441</v>
      </c>
      <c r="AI303">
        <f>HLOOKUP(AW303,'Real assumptions'!$A$21:$AK$24,2,TRUE)</f>
        <v>2.1593</v>
      </c>
      <c r="AJ303" s="123">
        <f t="shared" si="222"/>
        <v>1.7818500879200894E-3</v>
      </c>
      <c r="AK303" s="122">
        <f>(1+HLOOKUP(YEAR(A303),'Real assumptions'!$A$21:$AK$24,2,TRUE)/100)^(1/12)-1</f>
        <v>1.7818500879200894E-3</v>
      </c>
      <c r="AL303">
        <f t="shared" si="223"/>
        <v>3.8248251601591243</v>
      </c>
      <c r="AM303">
        <f>('Real assumptions'!$B$33/12)*O302*AV302</f>
        <v>3.7543339670824807</v>
      </c>
      <c r="AN303">
        <f t="shared" si="205"/>
        <v>258.99747212641796</v>
      </c>
      <c r="AO303">
        <f t="shared" si="227"/>
        <v>0.46149466847953874</v>
      </c>
      <c r="AP303" s="121">
        <f t="shared" si="206"/>
        <v>1.3815303248495236</v>
      </c>
      <c r="AQ303">
        <f t="shared" si="207"/>
        <v>0</v>
      </c>
      <c r="AR303">
        <v>0</v>
      </c>
      <c r="AS303">
        <f t="shared" si="188"/>
        <v>0</v>
      </c>
      <c r="AT303">
        <f t="shared" si="208"/>
        <v>0</v>
      </c>
      <c r="AU303">
        <f>IFERROR(HLOOKUP(B303,'Real assumptions'!$B$43:$AL$44,2,TRUE)*($W$3/$U$2),0)</f>
        <v>0</v>
      </c>
      <c r="AV303">
        <f>AV302*(1+'Real assumptions'!$B$35)^(1/12)</f>
        <v>1.3515419285465899</v>
      </c>
      <c r="AW303">
        <f t="shared" si="189"/>
        <v>2043</v>
      </c>
      <c r="AX303">
        <f t="shared" si="224"/>
        <v>257.31896041374517</v>
      </c>
      <c r="AY303">
        <f t="shared" si="225"/>
        <v>1.1703251260700835</v>
      </c>
      <c r="AZ303">
        <f t="shared" si="190"/>
        <v>625.379061414131</v>
      </c>
      <c r="BA303">
        <f t="shared" si="209"/>
        <v>4.330966913481717</v>
      </c>
      <c r="BB303">
        <f t="shared" si="210"/>
        <v>74.666666666666671</v>
      </c>
      <c r="BC303">
        <f t="shared" si="191"/>
        <v>44.8</v>
      </c>
      <c r="BD303">
        <f t="shared" si="211"/>
        <v>0</v>
      </c>
      <c r="BE303">
        <f t="shared" si="192"/>
        <v>24</v>
      </c>
      <c r="BF303">
        <f t="shared" si="226"/>
        <v>5000</v>
      </c>
      <c r="BU303"/>
      <c r="FD303"/>
      <c r="FE303"/>
    </row>
    <row r="304" spans="1:161" x14ac:dyDescent="0.25">
      <c r="A304" s="7">
        <f t="shared" si="212"/>
        <v>52351</v>
      </c>
      <c r="B304">
        <f t="shared" si="193"/>
        <v>293</v>
      </c>
      <c r="C304">
        <f t="shared" si="194"/>
        <v>24.333333333333332</v>
      </c>
      <c r="D304">
        <f t="shared" si="195"/>
        <v>0</v>
      </c>
      <c r="E304">
        <f t="shared" si="196"/>
        <v>76</v>
      </c>
      <c r="F304">
        <f>IF(C304&gt;=$T$2,0,VLOOKUP($E304,EKM_F05!$A$3:$C$128,2,TRUE))</f>
        <v>3.7702692307692305E-2</v>
      </c>
      <c r="G304">
        <f>F304*'Real assumptions'!$B$3</f>
        <v>1.5733333499999998E-2</v>
      </c>
      <c r="H304">
        <f t="shared" si="213"/>
        <v>1.3206618329062447E-3</v>
      </c>
      <c r="I304">
        <f t="shared" si="214"/>
        <v>3.6498393300479965E-4</v>
      </c>
      <c r="J304">
        <f>IF(B304&gt;$AJ$2,0,HLOOKUP(C304,'Real assumptions'!$B$5:$L$8,4,TRUE))</f>
        <v>3.7900000000000003E-2</v>
      </c>
      <c r="K304">
        <f t="shared" si="183"/>
        <v>1</v>
      </c>
      <c r="L304">
        <f t="shared" si="215"/>
        <v>8.3333333333333329E-2</v>
      </c>
      <c r="M304">
        <f t="shared" si="216"/>
        <v>3.2145624959929453E-3</v>
      </c>
      <c r="N304">
        <f t="shared" si="217"/>
        <v>8.8923329533006749E-4</v>
      </c>
      <c r="O304" s="8">
        <f t="shared" si="197"/>
        <v>0.27555510679969536</v>
      </c>
      <c r="P304">
        <f t="shared" si="198"/>
        <v>6.6434237766727264</v>
      </c>
      <c r="Q304">
        <f t="shared" si="218"/>
        <v>1.8249196650239983</v>
      </c>
      <c r="R304" s="89">
        <f t="shared" si="184"/>
        <v>5000</v>
      </c>
      <c r="S304">
        <f t="shared" si="185"/>
        <v>0.58333333333333215</v>
      </c>
      <c r="U304">
        <f>O303*AV303*'Real assumptions'!$B$33/12+AX304*'Real assumptions'!$B$34</f>
        <v>3.8118380296200671</v>
      </c>
      <c r="V304">
        <f>IF(P304=0,0,IF(E304&lt;=$C$7,$AN$5*O303,0))*'Real assumptions'!$D$28</f>
        <v>1.6608559441681816</v>
      </c>
      <c r="X304" s="94">
        <f t="shared" si="199"/>
        <v>0</v>
      </c>
      <c r="Y304">
        <f t="shared" si="186"/>
        <v>24</v>
      </c>
      <c r="Z304">
        <f t="shared" si="219"/>
        <v>74</v>
      </c>
      <c r="AA304">
        <f t="shared" si="187"/>
        <v>74.583333333333329</v>
      </c>
      <c r="AB304">
        <f t="shared" si="200"/>
        <v>50.505050505050505</v>
      </c>
      <c r="AC304">
        <f t="shared" si="220"/>
        <v>3766.8350168350166</v>
      </c>
      <c r="AD304">
        <f t="shared" si="201"/>
        <v>80.505050505050505</v>
      </c>
      <c r="AE304">
        <f t="shared" si="202"/>
        <v>300.21675084175081</v>
      </c>
      <c r="AF304" s="94">
        <f t="shared" si="203"/>
        <v>932.94823232323256</v>
      </c>
      <c r="AG304">
        <f t="shared" si="221"/>
        <v>0.82960863100114945</v>
      </c>
      <c r="AH304">
        <f t="shared" si="204"/>
        <v>257.07864979641533</v>
      </c>
      <c r="AI304">
        <f>HLOOKUP(AW304,'Real assumptions'!$A$21:$AK$24,2,TRUE)</f>
        <v>2.1593</v>
      </c>
      <c r="AJ304" s="123">
        <f t="shared" si="222"/>
        <v>1.7818500879200894E-3</v>
      </c>
      <c r="AK304" s="122">
        <f>(1+HLOOKUP(YEAR(A304),'Real assumptions'!$A$21:$AK$24,2,TRUE)/100)^(1/12)-1</f>
        <v>1.7818500879200894E-3</v>
      </c>
      <c r="AL304">
        <f t="shared" si="223"/>
        <v>3.8118380296200671</v>
      </c>
      <c r="AM304">
        <f>('Real assumptions'!$B$33/12)*O303*AV303</f>
        <v>3.7411940763652196</v>
      </c>
      <c r="AN304">
        <f t="shared" si="205"/>
        <v>259.54315497686844</v>
      </c>
      <c r="AO304">
        <f t="shared" si="227"/>
        <v>0.46246699351459042</v>
      </c>
      <c r="AP304" s="121">
        <f t="shared" si="206"/>
        <v>1.8439973183641141</v>
      </c>
      <c r="AQ304">
        <f t="shared" si="207"/>
        <v>0</v>
      </c>
      <c r="AR304">
        <v>0</v>
      </c>
      <c r="AS304">
        <f t="shared" si="188"/>
        <v>0</v>
      </c>
      <c r="AT304">
        <f t="shared" si="208"/>
        <v>0</v>
      </c>
      <c r="AU304">
        <f>IFERROR(HLOOKUP(B304,'Real assumptions'!$B$43:$AL$44,2,TRUE)*($W$3/$U$2),0)</f>
        <v>0</v>
      </c>
      <c r="AV304">
        <f>AV303*(1+'Real assumptions'!$B$35)^(1/12)</f>
        <v>1.3529417827127799</v>
      </c>
      <c r="AW304">
        <f t="shared" si="189"/>
        <v>2043</v>
      </c>
      <c r="AX304">
        <f t="shared" si="224"/>
        <v>257.87659163734111</v>
      </c>
      <c r="AY304">
        <f t="shared" si="225"/>
        <v>1.1650224075253799</v>
      </c>
      <c r="AZ304">
        <f t="shared" si="190"/>
        <v>625.00959465655455</v>
      </c>
      <c r="BA304">
        <f t="shared" si="209"/>
        <v>4.3153842401933291</v>
      </c>
      <c r="BB304">
        <f t="shared" si="210"/>
        <v>74.583333333333329</v>
      </c>
      <c r="BC304">
        <f t="shared" si="191"/>
        <v>44.75</v>
      </c>
      <c r="BD304">
        <f t="shared" si="211"/>
        <v>0</v>
      </c>
      <c r="BE304">
        <f t="shared" si="192"/>
        <v>24</v>
      </c>
      <c r="BF304">
        <f t="shared" si="226"/>
        <v>5000</v>
      </c>
      <c r="BU304"/>
      <c r="FD304"/>
      <c r="FE304"/>
    </row>
    <row r="305" spans="1:161" x14ac:dyDescent="0.25">
      <c r="A305" s="7">
        <f t="shared" si="212"/>
        <v>52382</v>
      </c>
      <c r="B305">
        <f t="shared" si="193"/>
        <v>294</v>
      </c>
      <c r="C305">
        <f t="shared" si="194"/>
        <v>24.416666666666668</v>
      </c>
      <c r="D305">
        <f t="shared" si="195"/>
        <v>0</v>
      </c>
      <c r="E305">
        <f t="shared" si="196"/>
        <v>76</v>
      </c>
      <c r="F305">
        <f>IF(C305&gt;=$T$2,0,VLOOKUP($E305,EKM_F05!$A$3:$C$128,2,TRUE))</f>
        <v>3.7702692307692305E-2</v>
      </c>
      <c r="G305">
        <f>F305*'Real assumptions'!$B$3</f>
        <v>1.5733333499999998E-2</v>
      </c>
      <c r="H305">
        <f t="shared" si="213"/>
        <v>1.3206618329062447E-3</v>
      </c>
      <c r="I305">
        <f t="shared" si="214"/>
        <v>3.6333019847671811E-4</v>
      </c>
      <c r="J305">
        <f>IF(B305&gt;$AJ$2,0,HLOOKUP(C305,'Real assumptions'!$B$5:$L$8,4,TRUE))</f>
        <v>3.7900000000000003E-2</v>
      </c>
      <c r="K305">
        <f t="shared" si="183"/>
        <v>1</v>
      </c>
      <c r="L305">
        <f t="shared" si="215"/>
        <v>8.3333333333333329E-2</v>
      </c>
      <c r="M305">
        <f t="shared" si="216"/>
        <v>3.2145624959929453E-3</v>
      </c>
      <c r="N305">
        <f t="shared" si="217"/>
        <v>8.8520419796158777E-4</v>
      </c>
      <c r="O305" s="8">
        <f t="shared" si="197"/>
        <v>0.27430657240325707</v>
      </c>
      <c r="P305">
        <f t="shared" si="198"/>
        <v>6.6133225631926891</v>
      </c>
      <c r="Q305">
        <f t="shared" si="218"/>
        <v>1.8166509923835905</v>
      </c>
      <c r="R305" s="89">
        <f t="shared" si="184"/>
        <v>5000</v>
      </c>
      <c r="S305">
        <f t="shared" si="185"/>
        <v>0.5</v>
      </c>
      <c r="U305">
        <f>O304*AV304*'Real assumptions'!$B$33/12+AX305*'Real assumptions'!$B$34</f>
        <v>3.7988954734379128</v>
      </c>
      <c r="V305">
        <f>IF(P305=0,0,IF(E305&lt;=$C$7,$AN$5*O304,0))*'Real assumptions'!$D$28</f>
        <v>1.6533306407981723</v>
      </c>
      <c r="X305" s="94">
        <f t="shared" si="199"/>
        <v>0</v>
      </c>
      <c r="Y305">
        <f t="shared" si="186"/>
        <v>24</v>
      </c>
      <c r="Z305">
        <f t="shared" si="219"/>
        <v>74</v>
      </c>
      <c r="AA305">
        <f t="shared" si="187"/>
        <v>74.5</v>
      </c>
      <c r="AB305">
        <f t="shared" si="200"/>
        <v>50.505050505050505</v>
      </c>
      <c r="AC305">
        <f t="shared" si="220"/>
        <v>3762.6262626262628</v>
      </c>
      <c r="AD305">
        <f t="shared" si="201"/>
        <v>80.505050505050505</v>
      </c>
      <c r="AE305">
        <f t="shared" si="202"/>
        <v>299.88131313131311</v>
      </c>
      <c r="AF305" s="94">
        <f t="shared" si="203"/>
        <v>937.49242424242402</v>
      </c>
      <c r="AG305">
        <f t="shared" si="221"/>
        <v>0.82987222949657957</v>
      </c>
      <c r="AH305">
        <f t="shared" si="204"/>
        <v>257.16033354795945</v>
      </c>
      <c r="AI305">
        <f>HLOOKUP(AW305,'Real assumptions'!$A$21:$AK$24,2,TRUE)</f>
        <v>2.1593</v>
      </c>
      <c r="AJ305" s="123">
        <f t="shared" si="222"/>
        <v>1.7818500879200894E-3</v>
      </c>
      <c r="AK305" s="122">
        <f>(1+HLOOKUP(YEAR(A305),'Real assumptions'!$A$21:$AK$24,2,TRUE)/100)^(1/12)-1</f>
        <v>1.7818500879200894E-3</v>
      </c>
      <c r="AL305">
        <f t="shared" si="223"/>
        <v>3.7988954734379128</v>
      </c>
      <c r="AM305">
        <f>('Real assumptions'!$B$33/12)*O304*AV304</f>
        <v>3.7281001742919027</v>
      </c>
      <c r="AN305">
        <f t="shared" si="205"/>
        <v>260.08374356373605</v>
      </c>
      <c r="AO305">
        <f t="shared" si="227"/>
        <v>0.46343024133562905</v>
      </c>
      <c r="AP305" s="121">
        <f t="shared" si="206"/>
        <v>2.3074275596997431</v>
      </c>
      <c r="AQ305">
        <f t="shared" si="207"/>
        <v>0</v>
      </c>
      <c r="AR305">
        <v>0</v>
      </c>
      <c r="AS305">
        <f t="shared" si="188"/>
        <v>0</v>
      </c>
      <c r="AT305">
        <f t="shared" si="208"/>
        <v>0</v>
      </c>
      <c r="AU305">
        <f>IFERROR(HLOOKUP(B305,'Real assumptions'!$B$43:$AL$44,2,TRUE)*($W$3/$U$2),0)</f>
        <v>0</v>
      </c>
      <c r="AV305">
        <f>AV304*(1+'Real assumptions'!$B$35)^(1/12)</f>
        <v>1.3543430867723436</v>
      </c>
      <c r="AW305">
        <f t="shared" si="189"/>
        <v>2043</v>
      </c>
      <c r="AX305">
        <f t="shared" si="224"/>
        <v>258.4290601894682</v>
      </c>
      <c r="AY305">
        <f t="shared" si="225"/>
        <v>1.1597437154869332</v>
      </c>
      <c r="AZ305">
        <f t="shared" si="190"/>
        <v>624.63784128482064</v>
      </c>
      <c r="BA305">
        <f t="shared" si="209"/>
        <v>4.2998538626783418</v>
      </c>
      <c r="BB305">
        <f t="shared" si="210"/>
        <v>74.5</v>
      </c>
      <c r="BC305">
        <f t="shared" si="191"/>
        <v>44.7</v>
      </c>
      <c r="BD305">
        <f t="shared" si="211"/>
        <v>0</v>
      </c>
      <c r="BE305">
        <f t="shared" si="192"/>
        <v>24</v>
      </c>
      <c r="BF305">
        <f t="shared" si="226"/>
        <v>5000</v>
      </c>
      <c r="BU305"/>
      <c r="FD305"/>
      <c r="FE305"/>
    </row>
    <row r="306" spans="1:161" x14ac:dyDescent="0.25">
      <c r="A306" s="7">
        <f t="shared" si="212"/>
        <v>52412</v>
      </c>
      <c r="B306">
        <f t="shared" si="193"/>
        <v>295</v>
      </c>
      <c r="C306">
        <f t="shared" si="194"/>
        <v>24.5</v>
      </c>
      <c r="D306">
        <f t="shared" si="195"/>
        <v>0</v>
      </c>
      <c r="E306">
        <f t="shared" si="196"/>
        <v>76</v>
      </c>
      <c r="F306">
        <f>IF(C306&gt;=$T$2,0,VLOOKUP($E306,EKM_F05!$A$3:$C$128,2,TRUE))</f>
        <v>3.7702692307692305E-2</v>
      </c>
      <c r="G306">
        <f>F306*'Real assumptions'!$B$3</f>
        <v>1.5733333499999998E-2</v>
      </c>
      <c r="H306">
        <f t="shared" si="213"/>
        <v>1.3206618329062447E-3</v>
      </c>
      <c r="I306">
        <f t="shared" si="214"/>
        <v>3.616839569850201E-4</v>
      </c>
      <c r="J306">
        <f>IF(B306&gt;$AJ$2,0,HLOOKUP(C306,'Real assumptions'!$B$5:$L$8,4,TRUE))</f>
        <v>3.7900000000000003E-2</v>
      </c>
      <c r="K306">
        <f t="shared" si="183"/>
        <v>1</v>
      </c>
      <c r="L306">
        <f t="shared" si="215"/>
        <v>8.3333333333333329E-2</v>
      </c>
      <c r="M306">
        <f t="shared" si="216"/>
        <v>3.2145624959929453E-3</v>
      </c>
      <c r="N306">
        <f t="shared" si="217"/>
        <v>8.8119335634858872E-4</v>
      </c>
      <c r="O306" s="8">
        <f t="shared" si="197"/>
        <v>0.27306369508992351</v>
      </c>
      <c r="P306">
        <f t="shared" si="198"/>
        <v>6.5833577376781696</v>
      </c>
      <c r="Q306">
        <f t="shared" si="218"/>
        <v>1.8084197849251005</v>
      </c>
      <c r="R306" s="89">
        <f t="shared" si="184"/>
        <v>5000</v>
      </c>
      <c r="S306">
        <f t="shared" si="185"/>
        <v>0.41666666666666785</v>
      </c>
      <c r="U306">
        <f>O305*AV305*'Real assumptions'!$B$33/12+AX306*'Real assumptions'!$B$34</f>
        <v>3.7859973428584688</v>
      </c>
      <c r="V306">
        <f>IF(P306=0,0,IF(E306&lt;=$C$7,$AN$5*O305,0))*'Real assumptions'!$D$28</f>
        <v>1.6458394344195424</v>
      </c>
      <c r="X306" s="94">
        <f t="shared" si="199"/>
        <v>0</v>
      </c>
      <c r="Y306">
        <f t="shared" si="186"/>
        <v>24</v>
      </c>
      <c r="Z306">
        <f t="shared" si="219"/>
        <v>74</v>
      </c>
      <c r="AA306">
        <f t="shared" si="187"/>
        <v>74.416666666666671</v>
      </c>
      <c r="AB306">
        <f t="shared" si="200"/>
        <v>50.505050505050505</v>
      </c>
      <c r="AC306">
        <f t="shared" si="220"/>
        <v>3758.4175084175085</v>
      </c>
      <c r="AD306">
        <f t="shared" si="201"/>
        <v>80.505050505050505</v>
      </c>
      <c r="AE306">
        <f t="shared" si="202"/>
        <v>299.5458754208754</v>
      </c>
      <c r="AF306" s="94">
        <f t="shared" si="203"/>
        <v>942.03661616161605</v>
      </c>
      <c r="AG306">
        <f t="shared" si="221"/>
        <v>0.83011640759872163</v>
      </c>
      <c r="AH306">
        <f t="shared" si="204"/>
        <v>257.23599931909882</v>
      </c>
      <c r="AI306">
        <f>HLOOKUP(AW306,'Real assumptions'!$A$21:$AK$24,2,TRUE)</f>
        <v>2.1593</v>
      </c>
      <c r="AJ306" s="123">
        <f t="shared" si="222"/>
        <v>1.7818500879200894E-3</v>
      </c>
      <c r="AK306" s="122">
        <f>(1+HLOOKUP(YEAR(A306),'Real assumptions'!$A$21:$AK$24,2,TRUE)/100)^(1/12)-1</f>
        <v>1.7818500879200894E-3</v>
      </c>
      <c r="AL306">
        <f t="shared" si="223"/>
        <v>3.7859973428584688</v>
      </c>
      <c r="AM306">
        <f>('Real assumptions'!$B$33/12)*O305*AV305</f>
        <v>3.7150520999056851</v>
      </c>
      <c r="AN306">
        <f t="shared" si="205"/>
        <v>260.61928206805936</v>
      </c>
      <c r="AO306">
        <f t="shared" si="227"/>
        <v>0.46438449066664217</v>
      </c>
      <c r="AP306" s="121">
        <f t="shared" si="206"/>
        <v>2.7718120503663854</v>
      </c>
      <c r="AQ306">
        <f t="shared" si="207"/>
        <v>0</v>
      </c>
      <c r="AR306">
        <v>0</v>
      </c>
      <c r="AS306">
        <f t="shared" si="188"/>
        <v>0</v>
      </c>
      <c r="AT306">
        <f t="shared" si="208"/>
        <v>0</v>
      </c>
      <c r="AU306">
        <f>IFERROR(HLOOKUP(B306,'Real assumptions'!$B$43:$AL$44,2,TRUE)*($W$3/$U$2),0)</f>
        <v>0</v>
      </c>
      <c r="AV306">
        <f>AV305*(1+'Real assumptions'!$B$35)^(1/12)</f>
        <v>1.3557458422270023</v>
      </c>
      <c r="AW306">
        <f t="shared" si="189"/>
        <v>2043</v>
      </c>
      <c r="AX306">
        <f t="shared" si="224"/>
        <v>258.9764106143308</v>
      </c>
      <c r="AY306">
        <f t="shared" si="225"/>
        <v>1.1544889410911492</v>
      </c>
      <c r="AZ306">
        <f t="shared" si="190"/>
        <v>624.26383704510852</v>
      </c>
      <c r="BA306">
        <f t="shared" si="209"/>
        <v>4.2843756269433646</v>
      </c>
      <c r="BB306">
        <f t="shared" si="210"/>
        <v>74.416666666666671</v>
      </c>
      <c r="BC306">
        <f t="shared" si="191"/>
        <v>44.650000000000006</v>
      </c>
      <c r="BD306">
        <f t="shared" si="211"/>
        <v>0</v>
      </c>
      <c r="BE306">
        <f t="shared" si="192"/>
        <v>24</v>
      </c>
      <c r="BF306">
        <f t="shared" si="226"/>
        <v>5000</v>
      </c>
      <c r="BU306"/>
      <c r="FD306"/>
      <c r="FE306"/>
    </row>
    <row r="307" spans="1:161" x14ac:dyDescent="0.25">
      <c r="A307" s="7">
        <f t="shared" si="212"/>
        <v>52443</v>
      </c>
      <c r="B307">
        <f t="shared" si="193"/>
        <v>296</v>
      </c>
      <c r="C307">
        <f t="shared" si="194"/>
        <v>24.583333333333332</v>
      </c>
      <c r="D307">
        <f t="shared" si="195"/>
        <v>0</v>
      </c>
      <c r="E307">
        <f t="shared" si="196"/>
        <v>76</v>
      </c>
      <c r="F307">
        <f>IF(C307&gt;=$T$2,0,VLOOKUP($E307,EKM_F05!$A$3:$C$128,2,TRUE))</f>
        <v>3.7702692307692305E-2</v>
      </c>
      <c r="G307">
        <f>F307*'Real assumptions'!$B$3</f>
        <v>1.5733333499999998E-2</v>
      </c>
      <c r="H307">
        <f t="shared" si="213"/>
        <v>1.3206618329062447E-3</v>
      </c>
      <c r="I307">
        <f t="shared" si="214"/>
        <v>3.6004517457891526E-4</v>
      </c>
      <c r="J307">
        <f>IF(B307&gt;$AJ$2,0,HLOOKUP(C307,'Real assumptions'!$B$5:$L$8,4,TRUE))</f>
        <v>3.7900000000000003E-2</v>
      </c>
      <c r="K307">
        <f t="shared" si="183"/>
        <v>1</v>
      </c>
      <c r="L307">
        <f t="shared" si="215"/>
        <v>8.3333333333333329E-2</v>
      </c>
      <c r="M307">
        <f t="shared" si="216"/>
        <v>3.2145624959929453E-3</v>
      </c>
      <c r="N307">
        <f t="shared" si="217"/>
        <v>8.7720068777462595E-4</v>
      </c>
      <c r="O307" s="8">
        <f t="shared" si="197"/>
        <v>0.27182644922756993</v>
      </c>
      <c r="P307">
        <f t="shared" si="198"/>
        <v>6.5535286821581646</v>
      </c>
      <c r="Q307">
        <f t="shared" si="218"/>
        <v>1.8002258728945764</v>
      </c>
      <c r="R307" s="89">
        <f t="shared" si="184"/>
        <v>5000</v>
      </c>
      <c r="S307">
        <f t="shared" si="185"/>
        <v>0.33333333333333215</v>
      </c>
      <c r="U307">
        <f>O306*AV306*'Real assumptions'!$B$33/12+AX307*'Real assumptions'!$B$34</f>
        <v>3.7731434896138358</v>
      </c>
      <c r="V307">
        <f>IF(P307=0,0,IF(E307&lt;=$C$7,$AN$5*O306,0))*'Real assumptions'!$D$28</f>
        <v>1.6383821705395412</v>
      </c>
      <c r="X307" s="94">
        <f t="shared" si="199"/>
        <v>0</v>
      </c>
      <c r="Y307">
        <f t="shared" si="186"/>
        <v>24</v>
      </c>
      <c r="Z307">
        <f t="shared" si="219"/>
        <v>74</v>
      </c>
      <c r="AA307">
        <f t="shared" si="187"/>
        <v>74.333333333333329</v>
      </c>
      <c r="AB307">
        <f t="shared" si="200"/>
        <v>50.505050505050505</v>
      </c>
      <c r="AC307">
        <f t="shared" si="220"/>
        <v>3754.2087542087538</v>
      </c>
      <c r="AD307">
        <f t="shared" si="201"/>
        <v>80.505050505050505</v>
      </c>
      <c r="AE307">
        <f t="shared" si="202"/>
        <v>299.2104377104377</v>
      </c>
      <c r="AF307" s="94">
        <f t="shared" si="203"/>
        <v>946.58080808080854</v>
      </c>
      <c r="AG307">
        <f t="shared" si="221"/>
        <v>0.8303413358827465</v>
      </c>
      <c r="AH307">
        <f t="shared" si="204"/>
        <v>257.30569996757004</v>
      </c>
      <c r="AI307">
        <f>HLOOKUP(AW307,'Real assumptions'!$A$21:$AK$24,2,TRUE)</f>
        <v>2.1593</v>
      </c>
      <c r="AJ307" s="123">
        <f t="shared" si="222"/>
        <v>1.7818500879200894E-3</v>
      </c>
      <c r="AK307" s="122">
        <f>(1+HLOOKUP(YEAR(A307),'Real assumptions'!$A$21:$AK$24,2,TRUE)/100)^(1/12)-1</f>
        <v>1.7818500879200894E-3</v>
      </c>
      <c r="AL307">
        <f t="shared" si="223"/>
        <v>3.7731434896138358</v>
      </c>
      <c r="AM307">
        <f>('Real assumptions'!$B$33/12)*O306*AV306</f>
        <v>3.7020496928130568</v>
      </c>
      <c r="AN307">
        <f t="shared" si="205"/>
        <v>261.14981439146993</v>
      </c>
      <c r="AO307">
        <f t="shared" si="227"/>
        <v>0.4653298197337557</v>
      </c>
      <c r="AP307" s="121">
        <f t="shared" si="206"/>
        <v>3.2371418701001411</v>
      </c>
      <c r="AQ307">
        <f t="shared" si="207"/>
        <v>0</v>
      </c>
      <c r="AR307">
        <v>0</v>
      </c>
      <c r="AS307">
        <f t="shared" si="188"/>
        <v>0</v>
      </c>
      <c r="AT307">
        <f t="shared" si="208"/>
        <v>0</v>
      </c>
      <c r="AU307">
        <f>IFERROR(HLOOKUP(B307,'Real assumptions'!$B$43:$AL$44,2,TRUE)*($W$3/$U$2),0)</f>
        <v>0</v>
      </c>
      <c r="AV307">
        <f>AV306*(1+'Real assumptions'!$B$35)^(1/12)</f>
        <v>1.3571500505800329</v>
      </c>
      <c r="AW307">
        <f t="shared" si="189"/>
        <v>2043</v>
      </c>
      <c r="AX307">
        <f t="shared" si="224"/>
        <v>259.51868717489339</v>
      </c>
      <c r="AY307">
        <f t="shared" si="225"/>
        <v>1.1492579759676915</v>
      </c>
      <c r="AZ307">
        <f t="shared" si="190"/>
        <v>623.88761743126008</v>
      </c>
      <c r="BA307">
        <f t="shared" si="209"/>
        <v>4.2689493793168642</v>
      </c>
      <c r="BB307">
        <f t="shared" si="210"/>
        <v>74.333333333333329</v>
      </c>
      <c r="BC307">
        <f t="shared" si="191"/>
        <v>44.599999999999994</v>
      </c>
      <c r="BD307">
        <f t="shared" si="211"/>
        <v>0</v>
      </c>
      <c r="BE307">
        <f t="shared" si="192"/>
        <v>24</v>
      </c>
      <c r="BF307">
        <f t="shared" si="226"/>
        <v>5000</v>
      </c>
      <c r="BU307"/>
      <c r="FD307"/>
      <c r="FE307"/>
    </row>
    <row r="308" spans="1:161" x14ac:dyDescent="0.25">
      <c r="A308" s="7">
        <f t="shared" si="212"/>
        <v>52474</v>
      </c>
      <c r="B308">
        <f t="shared" si="193"/>
        <v>297</v>
      </c>
      <c r="C308">
        <f t="shared" si="194"/>
        <v>24.666666666666668</v>
      </c>
      <c r="D308">
        <f t="shared" si="195"/>
        <v>0</v>
      </c>
      <c r="E308">
        <f t="shared" si="196"/>
        <v>76</v>
      </c>
      <c r="F308">
        <f>IF(C308&gt;=$T$2,0,VLOOKUP($E308,EKM_F05!$A$3:$C$128,2,TRUE))</f>
        <v>3.7702692307692305E-2</v>
      </c>
      <c r="G308">
        <f>F308*'Real assumptions'!$B$3</f>
        <v>1.5733333499999998E-2</v>
      </c>
      <c r="H308">
        <f t="shared" si="213"/>
        <v>1.3206618329062447E-3</v>
      </c>
      <c r="I308">
        <f t="shared" si="214"/>
        <v>3.5841381746144329E-4</v>
      </c>
      <c r="J308">
        <f>IF(B308&gt;$AJ$2,0,HLOOKUP(C308,'Real assumptions'!$B$5:$L$8,4,TRUE))</f>
        <v>3.7900000000000003E-2</v>
      </c>
      <c r="K308">
        <f t="shared" si="183"/>
        <v>1</v>
      </c>
      <c r="L308">
        <f t="shared" si="215"/>
        <v>8.3333333333333329E-2</v>
      </c>
      <c r="M308">
        <f t="shared" si="216"/>
        <v>3.2145624959929453E-3</v>
      </c>
      <c r="N308">
        <f t="shared" si="217"/>
        <v>8.7322610989804136E-4</v>
      </c>
      <c r="O308" s="8">
        <f t="shared" si="197"/>
        <v>0.27059480930021046</v>
      </c>
      <c r="P308">
        <f t="shared" si="198"/>
        <v>6.5238347814616784</v>
      </c>
      <c r="Q308">
        <f t="shared" si="218"/>
        <v>1.7920690873072165</v>
      </c>
      <c r="R308" s="89">
        <f t="shared" si="184"/>
        <v>5000</v>
      </c>
      <c r="S308">
        <f t="shared" si="185"/>
        <v>0.25</v>
      </c>
      <c r="U308">
        <f>O307*AV307*'Real assumptions'!$B$33/12+AX308*'Real assumptions'!$B$34</f>
        <v>3.7603337659208877</v>
      </c>
      <c r="V308">
        <f>IF(P308=0,0,IF(E308&lt;=$C$7,$AN$5*O307,0))*'Real assumptions'!$D$28</f>
        <v>1.6309586953654196</v>
      </c>
      <c r="X308" s="94">
        <f t="shared" si="199"/>
        <v>0</v>
      </c>
      <c r="Y308">
        <f t="shared" si="186"/>
        <v>24</v>
      </c>
      <c r="Z308">
        <f t="shared" si="219"/>
        <v>74</v>
      </c>
      <c r="AA308">
        <f t="shared" si="187"/>
        <v>74.25</v>
      </c>
      <c r="AB308">
        <f t="shared" si="200"/>
        <v>50.505050505050505</v>
      </c>
      <c r="AC308">
        <f t="shared" si="220"/>
        <v>3750</v>
      </c>
      <c r="AD308">
        <f t="shared" si="201"/>
        <v>80.505050505050505</v>
      </c>
      <c r="AE308">
        <f t="shared" si="202"/>
        <v>298.875</v>
      </c>
      <c r="AF308" s="94">
        <f t="shared" si="203"/>
        <v>951.125</v>
      </c>
      <c r="AG308">
        <f t="shared" si="221"/>
        <v>0.83054718377677461</v>
      </c>
      <c r="AH308">
        <f t="shared" si="204"/>
        <v>257.36948799566267</v>
      </c>
      <c r="AI308">
        <f>HLOOKUP(AW308,'Real assumptions'!$A$21:$AK$24,2,TRUE)</f>
        <v>2.1593</v>
      </c>
      <c r="AJ308" s="123">
        <f t="shared" si="222"/>
        <v>1.7818500879200894E-3</v>
      </c>
      <c r="AK308" s="122">
        <f>(1+HLOOKUP(YEAR(A308),'Real assumptions'!$A$21:$AK$24,2,TRUE)/100)^(1/12)-1</f>
        <v>1.7818500879200894E-3</v>
      </c>
      <c r="AL308">
        <f t="shared" si="223"/>
        <v>3.7603337659208877</v>
      </c>
      <c r="AM308">
        <f>('Real assumptions'!$B$33/12)*O307*AV307</f>
        <v>3.6890927931818727</v>
      </c>
      <c r="AN308">
        <f t="shared" si="205"/>
        <v>261.67538415784554</v>
      </c>
      <c r="AO308">
        <f t="shared" si="227"/>
        <v>0.46626630626818022</v>
      </c>
      <c r="AP308" s="121">
        <f t="shared" si="206"/>
        <v>3.7034081763683213</v>
      </c>
      <c r="AQ308">
        <f t="shared" si="207"/>
        <v>0</v>
      </c>
      <c r="AR308">
        <v>0</v>
      </c>
      <c r="AS308">
        <f t="shared" si="188"/>
        <v>0</v>
      </c>
      <c r="AT308">
        <f t="shared" si="208"/>
        <v>0</v>
      </c>
      <c r="AU308">
        <f>IFERROR(HLOOKUP(B308,'Real assumptions'!$B$43:$AL$44,2,TRUE)*($W$3/$U$2),0)</f>
        <v>0</v>
      </c>
      <c r="AV308">
        <f>AV307*(1+'Real assumptions'!$B$35)^(1/12)</f>
        <v>1.3585557133362689</v>
      </c>
      <c r="AW308">
        <f t="shared" si="189"/>
        <v>2043</v>
      </c>
      <c r="AX308">
        <f t="shared" si="224"/>
        <v>260.05593385454199</v>
      </c>
      <c r="AY308">
        <f t="shared" si="225"/>
        <v>1.1440507122372472</v>
      </c>
      <c r="AZ308">
        <f t="shared" si="190"/>
        <v>623.50921768632361</v>
      </c>
      <c r="BA308">
        <f t="shared" si="209"/>
        <v>4.2535749664494107</v>
      </c>
      <c r="BB308">
        <f t="shared" si="210"/>
        <v>74.25</v>
      </c>
      <c r="BC308">
        <f t="shared" si="191"/>
        <v>44.55</v>
      </c>
      <c r="BD308">
        <f t="shared" si="211"/>
        <v>0</v>
      </c>
      <c r="BE308">
        <f t="shared" si="192"/>
        <v>24</v>
      </c>
      <c r="BF308">
        <f t="shared" si="226"/>
        <v>5000</v>
      </c>
      <c r="BU308"/>
      <c r="FD308"/>
      <c r="FE308"/>
    </row>
    <row r="309" spans="1:161" x14ac:dyDescent="0.25">
      <c r="A309" s="7">
        <f t="shared" si="212"/>
        <v>52504</v>
      </c>
      <c r="B309">
        <f t="shared" si="193"/>
        <v>298</v>
      </c>
      <c r="C309">
        <f t="shared" si="194"/>
        <v>24.75</v>
      </c>
      <c r="D309">
        <f t="shared" si="195"/>
        <v>0</v>
      </c>
      <c r="E309">
        <f t="shared" si="196"/>
        <v>76</v>
      </c>
      <c r="F309">
        <f>IF(C309&gt;=$T$2,0,VLOOKUP($E309,EKM_F05!$A$3:$C$128,2,TRUE))</f>
        <v>3.7702692307692305E-2</v>
      </c>
      <c r="G309">
        <f>F309*'Real assumptions'!$B$3</f>
        <v>1.5733333499999998E-2</v>
      </c>
      <c r="H309">
        <f t="shared" si="213"/>
        <v>1.3206618329062447E-3</v>
      </c>
      <c r="I309">
        <f t="shared" si="214"/>
        <v>3.5678985198877775E-4</v>
      </c>
      <c r="J309">
        <f>IF(B309&gt;$AJ$2,0,HLOOKUP(C309,'Real assumptions'!$B$5:$L$8,4,TRUE))</f>
        <v>3.7900000000000003E-2</v>
      </c>
      <c r="K309">
        <f t="shared" si="183"/>
        <v>1</v>
      </c>
      <c r="L309">
        <f t="shared" si="215"/>
        <v>8.3333333333333329E-2</v>
      </c>
      <c r="M309">
        <f t="shared" si="216"/>
        <v>3.2145624959929453E-3</v>
      </c>
      <c r="N309">
        <f t="shared" si="217"/>
        <v>8.6926954075026563E-4</v>
      </c>
      <c r="O309" s="8">
        <f t="shared" si="197"/>
        <v>0.26936874990747139</v>
      </c>
      <c r="P309">
        <f t="shared" si="198"/>
        <v>6.4942754232050515</v>
      </c>
      <c r="Q309">
        <f t="shared" si="218"/>
        <v>1.7839492599438886</v>
      </c>
      <c r="R309" s="89">
        <f t="shared" si="184"/>
        <v>5000</v>
      </c>
      <c r="S309">
        <f t="shared" si="185"/>
        <v>0.16666666666666785</v>
      </c>
      <c r="U309">
        <f>O308*AV308*'Real assumptions'!$B$33/12+AX309*'Real assumptions'!$B$34</f>
        <v>3.7475680244797682</v>
      </c>
      <c r="V309">
        <f>IF(P309=0,0,IF(E309&lt;=$C$7,$AN$5*O308,0))*'Real assumptions'!$D$28</f>
        <v>1.6235688558012629</v>
      </c>
      <c r="X309" s="94">
        <f t="shared" si="199"/>
        <v>0</v>
      </c>
      <c r="Y309">
        <f t="shared" si="186"/>
        <v>24</v>
      </c>
      <c r="Z309">
        <f t="shared" si="219"/>
        <v>74</v>
      </c>
      <c r="AA309">
        <f t="shared" si="187"/>
        <v>74.166666666666671</v>
      </c>
      <c r="AB309">
        <f t="shared" si="200"/>
        <v>50.505050505050505</v>
      </c>
      <c r="AC309">
        <f t="shared" si="220"/>
        <v>3745.7912457912462</v>
      </c>
      <c r="AD309">
        <f t="shared" si="201"/>
        <v>80.505050505050505</v>
      </c>
      <c r="AE309">
        <f t="shared" si="202"/>
        <v>298.5395622895623</v>
      </c>
      <c r="AF309" s="94">
        <f t="shared" si="203"/>
        <v>955.66919191919146</v>
      </c>
      <c r="AG309">
        <f t="shared" si="221"/>
        <v>0.83073411956877308</v>
      </c>
      <c r="AH309">
        <f t="shared" si="204"/>
        <v>257.42741555235597</v>
      </c>
      <c r="AI309">
        <f>HLOOKUP(AW309,'Real assumptions'!$A$21:$AK$24,2,TRUE)</f>
        <v>2.1593</v>
      </c>
      <c r="AJ309" s="123">
        <f t="shared" si="222"/>
        <v>1.7818500879200894E-3</v>
      </c>
      <c r="AK309" s="122">
        <f>(1+HLOOKUP(YEAR(A309),'Real assumptions'!$A$21:$AK$24,2,TRUE)/100)^(1/12)-1</f>
        <v>1.7818500879200894E-3</v>
      </c>
      <c r="AL309">
        <f t="shared" si="223"/>
        <v>3.7475680244797682</v>
      </c>
      <c r="AM309">
        <f>('Real assumptions'!$B$33/12)*O308*AV308</f>
        <v>3.6761812417393904</v>
      </c>
      <c r="AN309">
        <f t="shared" si="205"/>
        <v>262.19603471495503</v>
      </c>
      <c r="AO309">
        <f t="shared" si="227"/>
        <v>0.46719402750914141</v>
      </c>
      <c r="AP309" s="121">
        <f t="shared" si="206"/>
        <v>4.1706022038774631</v>
      </c>
      <c r="AQ309">
        <f t="shared" si="207"/>
        <v>0</v>
      </c>
      <c r="AR309">
        <v>0</v>
      </c>
      <c r="AS309">
        <f t="shared" si="188"/>
        <v>0</v>
      </c>
      <c r="AT309">
        <f t="shared" si="208"/>
        <v>0</v>
      </c>
      <c r="AU309">
        <f>IFERROR(HLOOKUP(B309,'Real assumptions'!$B$43:$AL$44,2,TRUE)*($W$3/$U$2),0)</f>
        <v>0</v>
      </c>
      <c r="AV309">
        <f>AV308*(1+'Real assumptions'!$B$35)^(1/12)</f>
        <v>1.3599628320021027</v>
      </c>
      <c r="AW309">
        <f t="shared" si="189"/>
        <v>2043</v>
      </c>
      <c r="AX309">
        <f t="shared" si="224"/>
        <v>260.58819435873903</v>
      </c>
      <c r="AY309">
        <f t="shared" si="225"/>
        <v>1.1388670425093033</v>
      </c>
      <c r="AZ309">
        <f t="shared" si="190"/>
        <v>623.12867280408841</v>
      </c>
      <c r="BA309">
        <f t="shared" si="209"/>
        <v>4.2382522353139249</v>
      </c>
      <c r="BB309">
        <f t="shared" si="210"/>
        <v>74.166666666666671</v>
      </c>
      <c r="BC309">
        <f t="shared" si="191"/>
        <v>44.5</v>
      </c>
      <c r="BD309">
        <f t="shared" si="211"/>
        <v>0</v>
      </c>
      <c r="BE309">
        <f t="shared" si="192"/>
        <v>24</v>
      </c>
      <c r="BF309">
        <f t="shared" si="226"/>
        <v>5000</v>
      </c>
      <c r="BU309"/>
      <c r="FD309"/>
      <c r="FE309"/>
    </row>
    <row r="310" spans="1:161" x14ac:dyDescent="0.25">
      <c r="A310" s="7">
        <f t="shared" si="212"/>
        <v>52535</v>
      </c>
      <c r="B310">
        <f t="shared" si="193"/>
        <v>299</v>
      </c>
      <c r="C310">
        <f t="shared" si="194"/>
        <v>24.833333333333332</v>
      </c>
      <c r="D310">
        <f t="shared" si="195"/>
        <v>0</v>
      </c>
      <c r="E310">
        <f t="shared" si="196"/>
        <v>76</v>
      </c>
      <c r="F310">
        <f>IF(C310&gt;=$T$2,0,VLOOKUP($E310,EKM_F05!$A$3:$C$128,2,TRUE))</f>
        <v>3.7702692307692305E-2</v>
      </c>
      <c r="G310">
        <f>F310*'Real assumptions'!$B$3</f>
        <v>1.5733333499999998E-2</v>
      </c>
      <c r="H310">
        <f t="shared" si="213"/>
        <v>1.3206618329062447E-3</v>
      </c>
      <c r="I310">
        <f t="shared" si="214"/>
        <v>3.5517324466953129E-4</v>
      </c>
      <c r="J310">
        <f>IF(B310&gt;$AJ$2,0,HLOOKUP(C310,'Real assumptions'!$B$5:$L$8,4,TRUE))</f>
        <v>3.7900000000000003E-2</v>
      </c>
      <c r="K310">
        <f t="shared" si="183"/>
        <v>1</v>
      </c>
      <c r="L310">
        <f t="shared" si="215"/>
        <v>8.3333333333333329E-2</v>
      </c>
      <c r="M310">
        <f t="shared" si="216"/>
        <v>3.2145624959929453E-3</v>
      </c>
      <c r="N310">
        <f t="shared" si="217"/>
        <v>8.6533089873412703E-4</v>
      </c>
      <c r="O310" s="8">
        <f t="shared" si="197"/>
        <v>0.26814824576406771</v>
      </c>
      <c r="P310">
        <f t="shared" si="198"/>
        <v>6.4648499977793135</v>
      </c>
      <c r="Q310">
        <f t="shared" si="218"/>
        <v>1.7758662233476565</v>
      </c>
      <c r="R310" s="89">
        <f t="shared" si="184"/>
        <v>5000</v>
      </c>
      <c r="S310">
        <f t="shared" si="185"/>
        <v>8.3333333333332149E-2</v>
      </c>
      <c r="U310">
        <f>O309*AV309*'Real assumptions'!$B$33/12+AX310*'Real assumptions'!$B$34</f>
        <v>3.7348461184723738</v>
      </c>
      <c r="V310">
        <f>IF(P310=0,0,IF(E310&lt;=$C$7,$AN$5*O309,0))*'Real assumptions'!$D$28</f>
        <v>1.6162124994448284</v>
      </c>
      <c r="X310" s="94">
        <f t="shared" si="199"/>
        <v>0</v>
      </c>
      <c r="Y310">
        <f t="shared" si="186"/>
        <v>24</v>
      </c>
      <c r="Z310">
        <f t="shared" si="219"/>
        <v>74</v>
      </c>
      <c r="AA310">
        <f t="shared" si="187"/>
        <v>74.083333333333329</v>
      </c>
      <c r="AB310">
        <f t="shared" si="200"/>
        <v>50.505050505050505</v>
      </c>
      <c r="AC310">
        <f t="shared" si="220"/>
        <v>3741.5824915824915</v>
      </c>
      <c r="AD310">
        <f t="shared" si="201"/>
        <v>80.505050505050505</v>
      </c>
      <c r="AE310">
        <f t="shared" si="202"/>
        <v>298.20412457912454</v>
      </c>
      <c r="AF310" s="94">
        <f t="shared" si="203"/>
        <v>960.21338383838406</v>
      </c>
      <c r="AG310">
        <f t="shared" si="221"/>
        <v>0.83090231041340612</v>
      </c>
      <c r="AH310">
        <f t="shared" si="204"/>
        <v>257.47953443544208</v>
      </c>
      <c r="AI310">
        <f>HLOOKUP(AW310,'Real assumptions'!$A$21:$AK$24,2,TRUE)</f>
        <v>2.1593</v>
      </c>
      <c r="AJ310" s="123">
        <f t="shared" si="222"/>
        <v>1.7818500879200894E-3</v>
      </c>
      <c r="AK310" s="122">
        <f>(1+HLOOKUP(YEAR(A310),'Real assumptions'!$A$21:$AK$24,2,TRUE)/100)^(1/12)-1</f>
        <v>1.7818500879200894E-3</v>
      </c>
      <c r="AL310">
        <f t="shared" si="223"/>
        <v>3.7348461184723738</v>
      </c>
      <c r="AM310">
        <f>('Real assumptions'!$B$33/12)*O309*AV309</f>
        <v>3.6633148797703088</v>
      </c>
      <c r="AN310">
        <f t="shared" si="205"/>
        <v>262.71180913609555</v>
      </c>
      <c r="AO310">
        <f t="shared" si="227"/>
        <v>0.4681130602067976</v>
      </c>
      <c r="AP310" s="121">
        <f t="shared" si="206"/>
        <v>4.6387152640842606</v>
      </c>
      <c r="AQ310">
        <f t="shared" si="207"/>
        <v>0</v>
      </c>
      <c r="AR310">
        <v>0</v>
      </c>
      <c r="AS310">
        <f t="shared" si="188"/>
        <v>0</v>
      </c>
      <c r="AT310">
        <f t="shared" si="208"/>
        <v>0</v>
      </c>
      <c r="AU310">
        <f>IFERROR(HLOOKUP(B310,'Real assumptions'!$B$43:$AL$44,2,TRUE)*($W$3/$U$2),0)</f>
        <v>0</v>
      </c>
      <c r="AV310">
        <f>AV309*(1+'Real assumptions'!$B$35)^(1/12)</f>
        <v>1.3613714080854866</v>
      </c>
      <c r="AW310">
        <f t="shared" si="189"/>
        <v>2043</v>
      </c>
      <c r="AX310">
        <f t="shared" si="224"/>
        <v>261.11551211666853</v>
      </c>
      <c r="AY310">
        <f t="shared" si="225"/>
        <v>1.13370685987993</v>
      </c>
      <c r="AZ310">
        <f t="shared" si="190"/>
        <v>622.74601753061097</v>
      </c>
      <c r="BA310">
        <f t="shared" si="209"/>
        <v>4.2229810332058912</v>
      </c>
      <c r="BB310">
        <f t="shared" si="210"/>
        <v>74.083333333333329</v>
      </c>
      <c r="BC310">
        <f t="shared" si="191"/>
        <v>44.449999999999996</v>
      </c>
      <c r="BD310">
        <f t="shared" si="211"/>
        <v>0</v>
      </c>
      <c r="BE310">
        <f t="shared" si="192"/>
        <v>24</v>
      </c>
      <c r="BF310">
        <f t="shared" si="226"/>
        <v>5000</v>
      </c>
      <c r="BU310"/>
      <c r="FD310"/>
      <c r="FE310"/>
    </row>
    <row r="311" spans="1:161" x14ac:dyDescent="0.25">
      <c r="A311" s="7">
        <f t="shared" si="212"/>
        <v>52565</v>
      </c>
      <c r="B311">
        <f t="shared" si="193"/>
        <v>300</v>
      </c>
      <c r="C311">
        <f t="shared" si="194"/>
        <v>24.916666666666668</v>
      </c>
      <c r="D311">
        <f t="shared" si="195"/>
        <v>0</v>
      </c>
      <c r="E311">
        <f t="shared" si="196"/>
        <v>76</v>
      </c>
      <c r="F311">
        <f>IF(C311&gt;=$T$2,0,VLOOKUP($E311,EKM_F05!$A$3:$C$128,2,TRUE))</f>
        <v>3.7702692307692305E-2</v>
      </c>
      <c r="G311">
        <f>F311*'Real assumptions'!$B$3</f>
        <v>1.5733333499999998E-2</v>
      </c>
      <c r="H311">
        <f t="shared" si="213"/>
        <v>1.3206618329062447E-3</v>
      </c>
      <c r="I311">
        <f t="shared" si="214"/>
        <v>3.5356396216406548E-4</v>
      </c>
      <c r="J311">
        <f>IF(B311&gt;$AJ$2,0,HLOOKUP(C311,'Real assumptions'!$B$5:$L$8,4,TRUE))</f>
        <v>3.7900000000000003E-2</v>
      </c>
      <c r="K311">
        <f t="shared" si="183"/>
        <v>1</v>
      </c>
      <c r="L311">
        <f t="shared" si="215"/>
        <v>8.3333333333333329E-2</v>
      </c>
      <c r="M311">
        <f t="shared" si="216"/>
        <v>3.2145624959929453E-3</v>
      </c>
      <c r="N311">
        <f t="shared" si="217"/>
        <v>8.6141010262216885E-4</v>
      </c>
      <c r="O311" s="8">
        <f t="shared" si="197"/>
        <v>0.26693327169928144</v>
      </c>
      <c r="P311">
        <f t="shared" si="198"/>
        <v>6.4355578983376249</v>
      </c>
      <c r="Q311">
        <f t="shared" si="218"/>
        <v>1.7678198108203274</v>
      </c>
      <c r="R311" s="89">
        <f t="shared" si="184"/>
        <v>5000</v>
      </c>
      <c r="S311">
        <f t="shared" si="185"/>
        <v>1</v>
      </c>
      <c r="U311">
        <f>O310*AV310*'Real assumptions'!$B$33/12+AX311*'Real assumptions'!$B$34</f>
        <v>3.7221679015608595</v>
      </c>
      <c r="V311">
        <f>IF(P311=0,0,IF(E311&lt;=$C$7,$AN$5*O310,0))*'Real assumptions'!$D$28</f>
        <v>1.6088894745844062</v>
      </c>
      <c r="X311" s="94">
        <f t="shared" si="199"/>
        <v>0</v>
      </c>
      <c r="Y311">
        <f t="shared" si="186"/>
        <v>24</v>
      </c>
      <c r="Z311">
        <f t="shared" si="219"/>
        <v>74</v>
      </c>
      <c r="AA311">
        <f t="shared" si="187"/>
        <v>74</v>
      </c>
      <c r="AB311">
        <f t="shared" si="200"/>
        <v>50.505050505050505</v>
      </c>
      <c r="AC311">
        <f t="shared" si="220"/>
        <v>3737.3737373737372</v>
      </c>
      <c r="AD311">
        <f t="shared" si="201"/>
        <v>80.505050505050505</v>
      </c>
      <c r="AE311">
        <f t="shared" si="202"/>
        <v>297.86868686868684</v>
      </c>
      <c r="AF311" s="94">
        <f t="shared" si="203"/>
        <v>964.75757575757598</v>
      </c>
      <c r="AG311">
        <f t="shared" si="221"/>
        <v>0.83105192233884839</v>
      </c>
      <c r="AH311">
        <f t="shared" si="204"/>
        <v>257.52589609363713</v>
      </c>
      <c r="AI311">
        <f>HLOOKUP(AW311,'Real assumptions'!$A$21:$AK$24,2,TRUE)</f>
        <v>2.1593</v>
      </c>
      <c r="AJ311" s="123">
        <f t="shared" si="222"/>
        <v>1.7818500879200894E-3</v>
      </c>
      <c r="AK311" s="122">
        <f>(1+HLOOKUP(YEAR(A311),'Real assumptions'!$A$21:$AK$24,2,TRUE)/100)^(1/12)-1</f>
        <v>1.7818500879200894E-3</v>
      </c>
      <c r="AL311">
        <f t="shared" si="223"/>
        <v>3.7221679015608595</v>
      </c>
      <c r="AM311">
        <f>('Real assumptions'!$B$33/12)*O310*AV310</f>
        <v>3.6504935491148203</v>
      </c>
      <c r="AN311">
        <f t="shared" si="205"/>
        <v>263.22275022171868</v>
      </c>
      <c r="AO311">
        <f t="shared" si="227"/>
        <v>0.46902348062513716</v>
      </c>
      <c r="AP311" s="121">
        <f t="shared" si="206"/>
        <v>5.1077387447093976</v>
      </c>
      <c r="AQ311">
        <f t="shared" si="207"/>
        <v>0</v>
      </c>
      <c r="AR311">
        <v>0</v>
      </c>
      <c r="AS311">
        <f t="shared" si="188"/>
        <v>0</v>
      </c>
      <c r="AT311">
        <f t="shared" si="208"/>
        <v>0</v>
      </c>
      <c r="AU311">
        <f>IFERROR(HLOOKUP(B311,'Real assumptions'!$B$43:$AL$44,2,TRUE)*($W$3/$U$2),0)</f>
        <v>0</v>
      </c>
      <c r="AV311">
        <f>AV310*(1+'Real assumptions'!$B$35)^(1/12)</f>
        <v>1.3627814430959355</v>
      </c>
      <c r="AW311">
        <f t="shared" si="189"/>
        <v>2043</v>
      </c>
      <c r="AX311">
        <f t="shared" si="224"/>
        <v>261.63793028287148</v>
      </c>
      <c r="AY311">
        <f t="shared" si="225"/>
        <v>1.1285700579295779</v>
      </c>
      <c r="AZ311">
        <f t="shared" si="190"/>
        <v>622.36128636573289</v>
      </c>
      <c r="BA311">
        <f t="shared" si="209"/>
        <v>4.207761207743582</v>
      </c>
      <c r="BB311">
        <f t="shared" si="210"/>
        <v>74</v>
      </c>
      <c r="BC311">
        <f t="shared" si="191"/>
        <v>44.4</v>
      </c>
      <c r="BD311">
        <f t="shared" si="211"/>
        <v>0</v>
      </c>
      <c r="BE311">
        <f t="shared" si="192"/>
        <v>24</v>
      </c>
      <c r="BF311">
        <f t="shared" si="226"/>
        <v>5000</v>
      </c>
      <c r="BU311"/>
      <c r="FD311"/>
      <c r="FE311"/>
    </row>
    <row r="312" spans="1:161" x14ac:dyDescent="0.25">
      <c r="A312" s="7">
        <f t="shared" si="212"/>
        <v>52596</v>
      </c>
      <c r="B312">
        <f t="shared" si="193"/>
        <v>301</v>
      </c>
      <c r="C312">
        <f t="shared" si="194"/>
        <v>25</v>
      </c>
      <c r="D312">
        <f t="shared" si="195"/>
        <v>1</v>
      </c>
      <c r="E312">
        <f t="shared" si="196"/>
        <v>77</v>
      </c>
      <c r="F312">
        <f>IF(C312&gt;=$T$2,0,VLOOKUP($E312,EKM_F05!$A$3:$C$128,2,TRUE))</f>
        <v>4.232358974358974E-2</v>
      </c>
      <c r="G312">
        <f>F312*'Real assumptions'!$B$3</f>
        <v>1.7661633999999999E-2</v>
      </c>
      <c r="H312">
        <f t="shared" si="213"/>
        <v>1.483853145445635E-3</v>
      </c>
      <c r="I312">
        <f t="shared" si="214"/>
        <v>3.9545314716745751E-4</v>
      </c>
      <c r="J312">
        <f>IF(B312&gt;$AJ$2,0,HLOOKUP(C312,'Real assumptions'!$B$5:$L$8,4,TRUE))</f>
        <v>3.7900000000000003E-2</v>
      </c>
      <c r="K312">
        <f t="shared" si="183"/>
        <v>1</v>
      </c>
      <c r="L312">
        <f t="shared" si="215"/>
        <v>8.3333333333333329E-2</v>
      </c>
      <c r="M312">
        <f t="shared" si="216"/>
        <v>3.2145624959929453E-3</v>
      </c>
      <c r="N312">
        <f t="shared" si="217"/>
        <v>8.5743705646958959E-4</v>
      </c>
      <c r="O312" s="8">
        <f t="shared" si="197"/>
        <v>0.26568038149564444</v>
      </c>
      <c r="P312">
        <f t="shared" si="198"/>
        <v>6.406398520782755</v>
      </c>
      <c r="Q312">
        <f t="shared" si="218"/>
        <v>1.9772657358372876</v>
      </c>
      <c r="R312" s="89">
        <f t="shared" si="184"/>
        <v>5000</v>
      </c>
      <c r="S312">
        <f t="shared" si="185"/>
        <v>0.91666666666666785</v>
      </c>
      <c r="U312">
        <f>O311*AV311*'Real assumptions'!$B$33/12+AX312*'Real assumptions'!$B$34</f>
        <v>3.7095332278861348</v>
      </c>
      <c r="V312">
        <f>IF(P312=0,0,IF(E312&lt;=$C$7,$AN$5*O311,0))*'Real assumptions'!$D$28</f>
        <v>1.6015996301956887</v>
      </c>
      <c r="X312" s="94">
        <f t="shared" si="199"/>
        <v>0</v>
      </c>
      <c r="Y312">
        <f t="shared" si="186"/>
        <v>24</v>
      </c>
      <c r="Z312">
        <f t="shared" si="219"/>
        <v>74</v>
      </c>
      <c r="AA312">
        <f t="shared" si="187"/>
        <v>73.916666666666671</v>
      </c>
      <c r="AB312">
        <f t="shared" si="200"/>
        <v>50.505050505050505</v>
      </c>
      <c r="AC312">
        <f t="shared" si="220"/>
        <v>3733.1649831649834</v>
      </c>
      <c r="AD312">
        <f t="shared" si="201"/>
        <v>80.505050505050505</v>
      </c>
      <c r="AE312">
        <f t="shared" si="202"/>
        <v>297.53324915824919</v>
      </c>
      <c r="AF312" s="94">
        <f t="shared" si="203"/>
        <v>969.30176767676744</v>
      </c>
      <c r="AG312">
        <f t="shared" si="221"/>
        <v>0.83111525450753743</v>
      </c>
      <c r="AH312">
        <f t="shared" si="204"/>
        <v>257.5244634207661</v>
      </c>
      <c r="AI312">
        <f>HLOOKUP(AW312,'Real assumptions'!$A$21:$AK$24,2,TRUE)</f>
        <v>2.1593</v>
      </c>
      <c r="AJ312" s="123">
        <f t="shared" si="222"/>
        <v>1.7818500879200894E-3</v>
      </c>
      <c r="AK312" s="122">
        <f>(1+HLOOKUP(YEAR(A312),'Real assumptions'!$A$21:$AK$24,2,TRUE)/100)^(1/12)-1</f>
        <v>1.7818500879200894E-3</v>
      </c>
      <c r="AL312">
        <f t="shared" si="223"/>
        <v>3.7095332278861348</v>
      </c>
      <c r="AM312">
        <f>('Real assumptions'!$B$33/12)*O311*AV311</f>
        <v>3.6377170921666617</v>
      </c>
      <c r="AN312">
        <f t="shared" si="205"/>
        <v>263.72890050104746</v>
      </c>
      <c r="AO312">
        <f t="shared" si="227"/>
        <v>0.46992536454485995</v>
      </c>
      <c r="AP312" s="121">
        <f t="shared" si="206"/>
        <v>0</v>
      </c>
      <c r="AQ312">
        <f t="shared" si="207"/>
        <v>0</v>
      </c>
      <c r="AR312">
        <v>0</v>
      </c>
      <c r="AS312">
        <f t="shared" si="188"/>
        <v>0</v>
      </c>
      <c r="AT312">
        <f t="shared" si="208"/>
        <v>0</v>
      </c>
      <c r="AU312">
        <f>IFERROR(HLOOKUP(B312,'Real assumptions'!$B$43:$AL$44,2,TRUE)*($W$3/$U$2),0)</f>
        <v>0</v>
      </c>
      <c r="AV312">
        <f>AV311*(1+'Real assumptions'!$B$35)^(1/12)</f>
        <v>1.3641929385445271</v>
      </c>
      <c r="AW312">
        <f t="shared" si="189"/>
        <v>2043</v>
      </c>
      <c r="AX312">
        <f t="shared" si="224"/>
        <v>262.15549173887177</v>
      </c>
      <c r="AY312">
        <f t="shared" si="225"/>
        <v>1.1234565307208815</v>
      </c>
      <c r="AZ312">
        <f t="shared" si="190"/>
        <v>621.75712555091786</v>
      </c>
      <c r="BA312">
        <f t="shared" si="209"/>
        <v>4.4099806205405141</v>
      </c>
      <c r="BB312">
        <f t="shared" si="210"/>
        <v>73.916666666666671</v>
      </c>
      <c r="BC312">
        <f t="shared" si="191"/>
        <v>44.35</v>
      </c>
      <c r="BD312">
        <f t="shared" si="211"/>
        <v>0</v>
      </c>
      <c r="BE312">
        <f t="shared" si="192"/>
        <v>24</v>
      </c>
      <c r="BF312">
        <f t="shared" si="226"/>
        <v>5000</v>
      </c>
      <c r="BU312"/>
      <c r="FD312"/>
      <c r="FE312"/>
    </row>
    <row r="313" spans="1:161" x14ac:dyDescent="0.25">
      <c r="A313" s="7">
        <f t="shared" si="212"/>
        <v>52627</v>
      </c>
      <c r="B313">
        <f t="shared" si="193"/>
        <v>302</v>
      </c>
      <c r="C313">
        <f t="shared" si="194"/>
        <v>25.083333333333332</v>
      </c>
      <c r="D313">
        <f t="shared" si="195"/>
        <v>0</v>
      </c>
      <c r="E313">
        <f t="shared" si="196"/>
        <v>77</v>
      </c>
      <c r="F313">
        <f>IF(C313&gt;=$T$2,0,VLOOKUP($E313,EKM_F05!$A$3:$C$128,2,TRUE))</f>
        <v>4.232358974358974E-2</v>
      </c>
      <c r="G313">
        <f>F313*'Real assumptions'!$B$3</f>
        <v>1.7661633999999999E-2</v>
      </c>
      <c r="H313">
        <f t="shared" si="213"/>
        <v>1.483853145445635E-3</v>
      </c>
      <c r="I313">
        <f t="shared" si="214"/>
        <v>3.9359703020260906E-4</v>
      </c>
      <c r="J313">
        <f>IF(B313&gt;$AJ$2,0,HLOOKUP(C313,'Real assumptions'!$B$5:$L$8,4,TRUE))</f>
        <v>3.7900000000000003E-2</v>
      </c>
      <c r="K313">
        <f t="shared" si="183"/>
        <v>1</v>
      </c>
      <c r="L313">
        <f t="shared" si="215"/>
        <v>8.3333333333333329E-2</v>
      </c>
      <c r="M313">
        <f t="shared" si="216"/>
        <v>3.2145624959929453E-3</v>
      </c>
      <c r="N313">
        <f t="shared" si="217"/>
        <v>8.5341255071409738E-4</v>
      </c>
      <c r="O313" s="8">
        <f t="shared" si="197"/>
        <v>0.26443337191472777</v>
      </c>
      <c r="P313">
        <f t="shared" si="198"/>
        <v>6.3763291558954664</v>
      </c>
      <c r="Q313">
        <f t="shared" si="218"/>
        <v>1.9679851510130453</v>
      </c>
      <c r="R313" s="89">
        <f t="shared" si="184"/>
        <v>5000</v>
      </c>
      <c r="S313">
        <f t="shared" si="185"/>
        <v>0.83333333333333215</v>
      </c>
      <c r="U313">
        <f>O312*AV312*'Real assumptions'!$B$33/12+AX313*'Real assumptions'!$B$34</f>
        <v>3.694810122997076</v>
      </c>
      <c r="V313">
        <f>IF(P313=0,0,IF(E313&lt;=$C$7,$AN$5*O312,0))*'Real assumptions'!$D$28</f>
        <v>1.5940822889738666</v>
      </c>
      <c r="X313" s="94">
        <f t="shared" si="199"/>
        <v>0</v>
      </c>
      <c r="Y313">
        <f t="shared" si="186"/>
        <v>24</v>
      </c>
      <c r="Z313">
        <f t="shared" si="219"/>
        <v>73</v>
      </c>
      <c r="AA313">
        <f t="shared" si="187"/>
        <v>73.833333333333329</v>
      </c>
      <c r="AB313">
        <f t="shared" si="200"/>
        <v>50.505050505050505</v>
      </c>
      <c r="AC313">
        <f t="shared" si="220"/>
        <v>3728.9562289562286</v>
      </c>
      <c r="AD313">
        <f t="shared" si="201"/>
        <v>80.505050505050505</v>
      </c>
      <c r="AE313">
        <f t="shared" si="202"/>
        <v>297.19781144781143</v>
      </c>
      <c r="AF313" s="94">
        <f t="shared" si="203"/>
        <v>973.84595959595993</v>
      </c>
      <c r="AG313">
        <f t="shared" si="221"/>
        <v>0.83109236438140599</v>
      </c>
      <c r="AH313">
        <f t="shared" si="204"/>
        <v>257.51737082149344</v>
      </c>
      <c r="AI313">
        <f>HLOOKUP(AW313,'Real assumptions'!$A$21:$AK$24,2,TRUE)</f>
        <v>2.2875000000000001</v>
      </c>
      <c r="AJ313" s="123">
        <f t="shared" si="222"/>
        <v>1.8865514586889898E-3</v>
      </c>
      <c r="AK313" s="122">
        <f>(1+HLOOKUP(YEAR(A313),'Real assumptions'!$A$21:$AK$24,2,TRUE)/100)^(1/12)-1</f>
        <v>1.8865514586889898E-3</v>
      </c>
      <c r="AL313">
        <f t="shared" si="223"/>
        <v>3.694810122997076</v>
      </c>
      <c r="AM313">
        <f>('Real assumptions'!$B$33/12)*O312*AV312</f>
        <v>3.624393003461742</v>
      </c>
      <c r="AN313">
        <f t="shared" si="205"/>
        <v>258.61190016469061</v>
      </c>
      <c r="AO313">
        <f t="shared" si="227"/>
        <v>0.48788465749002846</v>
      </c>
      <c r="AP313" s="121">
        <f t="shared" si="206"/>
        <v>0.48788465749002846</v>
      </c>
      <c r="AQ313">
        <f t="shared" si="207"/>
        <v>0</v>
      </c>
      <c r="AR313">
        <v>0</v>
      </c>
      <c r="AS313">
        <f t="shared" si="188"/>
        <v>0</v>
      </c>
      <c r="AT313">
        <f t="shared" si="208"/>
        <v>0</v>
      </c>
      <c r="AU313">
        <f>IFERROR(HLOOKUP(B313,'Real assumptions'!$B$43:$AL$44,2,TRUE)*($W$3/$U$2),0)</f>
        <v>0</v>
      </c>
      <c r="AV313">
        <f>AV312*(1+'Real assumptions'!$B$35)^(1/12)</f>
        <v>1.3656058959439041</v>
      </c>
      <c r="AW313">
        <f t="shared" si="189"/>
        <v>2044</v>
      </c>
      <c r="AX313">
        <f t="shared" si="224"/>
        <v>257.04856455559542</v>
      </c>
      <c r="AY313">
        <f t="shared" si="225"/>
        <v>1.1181834238032173</v>
      </c>
      <c r="AZ313">
        <f t="shared" si="190"/>
        <v>621.21846159160634</v>
      </c>
      <c r="BA313">
        <f t="shared" si="209"/>
        <v>4.3931598043683184</v>
      </c>
      <c r="BB313">
        <f t="shared" si="210"/>
        <v>73.833333333333329</v>
      </c>
      <c r="BC313">
        <f t="shared" si="191"/>
        <v>44.3</v>
      </c>
      <c r="BD313">
        <f t="shared" si="211"/>
        <v>0</v>
      </c>
      <c r="BE313">
        <f t="shared" si="192"/>
        <v>24</v>
      </c>
      <c r="BF313">
        <f t="shared" si="226"/>
        <v>5000</v>
      </c>
      <c r="BU313"/>
      <c r="FD313"/>
      <c r="FE313"/>
    </row>
    <row r="314" spans="1:161" x14ac:dyDescent="0.25">
      <c r="A314" s="7">
        <f t="shared" si="212"/>
        <v>52656</v>
      </c>
      <c r="B314">
        <f t="shared" si="193"/>
        <v>303</v>
      </c>
      <c r="C314">
        <f t="shared" si="194"/>
        <v>25.166666666666668</v>
      </c>
      <c r="D314">
        <f t="shared" si="195"/>
        <v>0</v>
      </c>
      <c r="E314">
        <f t="shared" si="196"/>
        <v>77</v>
      </c>
      <c r="F314">
        <f>IF(C314&gt;=$T$2,0,VLOOKUP($E314,EKM_F05!$A$3:$C$128,2,TRUE))</f>
        <v>4.232358974358974E-2</v>
      </c>
      <c r="G314">
        <f>F314*'Real assumptions'!$B$3</f>
        <v>1.7661633999999999E-2</v>
      </c>
      <c r="H314">
        <f t="shared" si="213"/>
        <v>1.483853145445635E-3</v>
      </c>
      <c r="I314">
        <f t="shared" si="214"/>
        <v>3.9174962519317657E-4</v>
      </c>
      <c r="J314">
        <f>IF(B314&gt;$AJ$2,0,HLOOKUP(C314,'Real assumptions'!$B$5:$L$8,4,TRUE))</f>
        <v>3.7900000000000003E-2</v>
      </c>
      <c r="K314">
        <f t="shared" si="183"/>
        <v>1</v>
      </c>
      <c r="L314">
        <f t="shared" si="215"/>
        <v>8.3333333333333329E-2</v>
      </c>
      <c r="M314">
        <f t="shared" si="216"/>
        <v>3.2145624959929453E-3</v>
      </c>
      <c r="N314">
        <f t="shared" si="217"/>
        <v>8.4940693456275035E-4</v>
      </c>
      <c r="O314" s="8">
        <f t="shared" si="197"/>
        <v>0.26319221535497184</v>
      </c>
      <c r="P314">
        <f t="shared" si="198"/>
        <v>6.3464009259534659</v>
      </c>
      <c r="Q314">
        <f t="shared" si="218"/>
        <v>1.9587481259658828</v>
      </c>
      <c r="R314" s="89">
        <f t="shared" si="184"/>
        <v>5000</v>
      </c>
      <c r="S314">
        <f t="shared" si="185"/>
        <v>0.75</v>
      </c>
      <c r="U314">
        <f>O313*AV313*'Real assumptions'!$B$33/12+AX314*'Real assumptions'!$B$34</f>
        <v>3.6816671596446624</v>
      </c>
      <c r="V314">
        <f>IF(P314=0,0,IF(E314&lt;=$C$7,$AN$5*O313,0))*'Real assumptions'!$D$28</f>
        <v>1.5866002314883665</v>
      </c>
      <c r="X314" s="94">
        <f t="shared" si="199"/>
        <v>0</v>
      </c>
      <c r="Y314">
        <f t="shared" si="186"/>
        <v>24</v>
      </c>
      <c r="Z314">
        <f t="shared" si="219"/>
        <v>73</v>
      </c>
      <c r="AA314">
        <f t="shared" si="187"/>
        <v>73.75</v>
      </c>
      <c r="AB314">
        <f t="shared" si="200"/>
        <v>50.505050505050505</v>
      </c>
      <c r="AC314">
        <f t="shared" si="220"/>
        <v>3724.7474747474748</v>
      </c>
      <c r="AD314">
        <f t="shared" si="201"/>
        <v>80.505050505050505</v>
      </c>
      <c r="AE314">
        <f t="shared" si="202"/>
        <v>296.86237373737373</v>
      </c>
      <c r="AF314" s="94">
        <f t="shared" si="203"/>
        <v>978.3901515151515</v>
      </c>
      <c r="AG314">
        <f t="shared" si="221"/>
        <v>0.83105137940486973</v>
      </c>
      <c r="AH314">
        <f t="shared" si="204"/>
        <v>257.50467145875928</v>
      </c>
      <c r="AI314">
        <f>HLOOKUP(AW314,'Real assumptions'!$A$21:$AK$24,2,TRUE)</f>
        <v>2.2875000000000001</v>
      </c>
      <c r="AJ314" s="123">
        <f t="shared" si="222"/>
        <v>1.8865514586889898E-3</v>
      </c>
      <c r="AK314" s="122">
        <f>(1+HLOOKUP(YEAR(A314),'Real assumptions'!$A$21:$AK$24,2,TRUE)/100)^(1/12)-1</f>
        <v>1.8865514586889898E-3</v>
      </c>
      <c r="AL314">
        <f t="shared" si="223"/>
        <v>3.6816671596446624</v>
      </c>
      <c r="AM314">
        <f>('Real assumptions'!$B$33/12)*O313*AV313</f>
        <v>3.6111177177107945</v>
      </c>
      <c r="AN314">
        <f t="shared" si="205"/>
        <v>259.08338901380387</v>
      </c>
      <c r="AO314">
        <f t="shared" si="227"/>
        <v>0.48877414546607867</v>
      </c>
      <c r="AP314" s="121">
        <f t="shared" si="206"/>
        <v>0.97665880295610719</v>
      </c>
      <c r="AQ314">
        <f t="shared" si="207"/>
        <v>0</v>
      </c>
      <c r="AR314">
        <v>0</v>
      </c>
      <c r="AS314">
        <f t="shared" si="188"/>
        <v>0</v>
      </c>
      <c r="AT314">
        <f t="shared" si="208"/>
        <v>0</v>
      </c>
      <c r="AU314">
        <f>IFERROR(HLOOKUP(B314,'Real assumptions'!$B$43:$AL$44,2,TRUE)*($W$3/$U$2),0)</f>
        <v>0</v>
      </c>
      <c r="AV314">
        <f>AV313*(1+'Real assumptions'!$B$35)^(1/12)</f>
        <v>1.3670203168082766</v>
      </c>
      <c r="AW314">
        <f t="shared" si="189"/>
        <v>2044</v>
      </c>
      <c r="AX314">
        <f t="shared" si="224"/>
        <v>257.53159031447626</v>
      </c>
      <c r="AY314">
        <f t="shared" si="225"/>
        <v>1.1129350669811775</v>
      </c>
      <c r="AZ314">
        <f t="shared" si="190"/>
        <v>620.67875621593623</v>
      </c>
      <c r="BA314">
        <f t="shared" si="209"/>
        <v>4.3763997368591188</v>
      </c>
      <c r="BB314">
        <f t="shared" si="210"/>
        <v>73.75</v>
      </c>
      <c r="BC314">
        <f t="shared" si="191"/>
        <v>44.25</v>
      </c>
      <c r="BD314">
        <f t="shared" si="211"/>
        <v>0</v>
      </c>
      <c r="BE314">
        <f t="shared" si="192"/>
        <v>24</v>
      </c>
      <c r="BF314">
        <f t="shared" si="226"/>
        <v>5000</v>
      </c>
      <c r="BU314"/>
      <c r="FD314"/>
      <c r="FE314"/>
    </row>
    <row r="315" spans="1:161" x14ac:dyDescent="0.25">
      <c r="A315" s="7">
        <f t="shared" si="212"/>
        <v>52687</v>
      </c>
      <c r="B315">
        <f t="shared" si="193"/>
        <v>304</v>
      </c>
      <c r="C315">
        <f t="shared" si="194"/>
        <v>25.25</v>
      </c>
      <c r="D315">
        <f t="shared" si="195"/>
        <v>0</v>
      </c>
      <c r="E315">
        <f t="shared" si="196"/>
        <v>77</v>
      </c>
      <c r="F315">
        <f>IF(C315&gt;=$T$2,0,VLOOKUP($E315,EKM_F05!$A$3:$C$128,2,TRUE))</f>
        <v>4.232358974358974E-2</v>
      </c>
      <c r="G315">
        <f>F315*'Real assumptions'!$B$3</f>
        <v>1.7661633999999999E-2</v>
      </c>
      <c r="H315">
        <f t="shared" si="213"/>
        <v>1.483853145445635E-3</v>
      </c>
      <c r="I315">
        <f t="shared" si="214"/>
        <v>3.8991089124832773E-4</v>
      </c>
      <c r="J315">
        <f>IF(B315&gt;$AJ$2,0,HLOOKUP(C315,'Real assumptions'!$B$5:$L$8,4,TRUE))</f>
        <v>3.7900000000000003E-2</v>
      </c>
      <c r="K315">
        <f t="shared" si="183"/>
        <v>1</v>
      </c>
      <c r="L315">
        <f t="shared" si="215"/>
        <v>8.3333333333333329E-2</v>
      </c>
      <c r="M315">
        <f t="shared" si="216"/>
        <v>3.2145624959929453E-3</v>
      </c>
      <c r="N315">
        <f t="shared" si="217"/>
        <v>8.4542011935443881E-4</v>
      </c>
      <c r="O315" s="8">
        <f t="shared" si="197"/>
        <v>0.26195688434436903</v>
      </c>
      <c r="P315">
        <f t="shared" si="198"/>
        <v>6.3166131685193241</v>
      </c>
      <c r="Q315">
        <f t="shared" si="218"/>
        <v>1.9495544562416387</v>
      </c>
      <c r="R315" s="89">
        <f t="shared" si="184"/>
        <v>5000</v>
      </c>
      <c r="S315">
        <f t="shared" si="185"/>
        <v>0.66666666666666785</v>
      </c>
      <c r="U315">
        <f>O314*AV314*'Real assumptions'!$B$33/12+AX315*'Real assumptions'!$B$34</f>
        <v>3.6685715253474434</v>
      </c>
      <c r="V315">
        <f>IF(P315=0,0,IF(E315&lt;=$C$7,$AN$5*O314,0))*'Real assumptions'!$D$28</f>
        <v>1.579153292129831</v>
      </c>
      <c r="X315" s="94">
        <f t="shared" si="199"/>
        <v>0</v>
      </c>
      <c r="Y315">
        <f t="shared" si="186"/>
        <v>24</v>
      </c>
      <c r="Z315">
        <f t="shared" si="219"/>
        <v>73</v>
      </c>
      <c r="AA315">
        <f t="shared" si="187"/>
        <v>73.666666666666671</v>
      </c>
      <c r="AB315">
        <f t="shared" si="200"/>
        <v>50.505050505050505</v>
      </c>
      <c r="AC315">
        <f t="shared" si="220"/>
        <v>3720.538720538721</v>
      </c>
      <c r="AD315">
        <f t="shared" si="201"/>
        <v>80.505050505050505</v>
      </c>
      <c r="AE315">
        <f t="shared" si="202"/>
        <v>296.52693602693603</v>
      </c>
      <c r="AF315" s="94">
        <f t="shared" si="203"/>
        <v>982.93434343434296</v>
      </c>
      <c r="AG315">
        <f t="shared" si="221"/>
        <v>0.83099246994383913</v>
      </c>
      <c r="AH315">
        <f t="shared" si="204"/>
        <v>257.48641812113851</v>
      </c>
      <c r="AI315">
        <f>HLOOKUP(AW315,'Real assumptions'!$A$21:$AK$24,2,TRUE)</f>
        <v>2.2875000000000001</v>
      </c>
      <c r="AJ315" s="123">
        <f t="shared" si="222"/>
        <v>1.8865514586889898E-3</v>
      </c>
      <c r="AK315" s="122">
        <f>(1+HLOOKUP(YEAR(A315),'Real assumptions'!$A$21:$AK$24,2,TRUE)/100)^(1/12)-1</f>
        <v>1.8865514586889898E-3</v>
      </c>
      <c r="AL315">
        <f t="shared" si="223"/>
        <v>3.6685715253474434</v>
      </c>
      <c r="AM315">
        <f>('Real assumptions'!$B$33/12)*O314*AV314</f>
        <v>3.5978910561602575</v>
      </c>
      <c r="AN315">
        <f t="shared" si="205"/>
        <v>259.55021861275742</v>
      </c>
      <c r="AO315">
        <f t="shared" si="227"/>
        <v>0.48965484352694372</v>
      </c>
      <c r="AP315" s="121">
        <f t="shared" si="206"/>
        <v>1.4663136464830508</v>
      </c>
      <c r="AQ315">
        <f t="shared" si="207"/>
        <v>0</v>
      </c>
      <c r="AR315">
        <v>0</v>
      </c>
      <c r="AS315">
        <f t="shared" si="188"/>
        <v>0</v>
      </c>
      <c r="AT315">
        <f t="shared" si="208"/>
        <v>0</v>
      </c>
      <c r="AU315">
        <f>IFERROR(HLOOKUP(B315,'Real assumptions'!$B$43:$AL$44,2,TRUE)*($W$3/$U$2),0)</f>
        <v>0</v>
      </c>
      <c r="AV315">
        <f>AV314*(1+'Real assumptions'!$B$35)^(1/12)</f>
        <v>1.3684362026534225</v>
      </c>
      <c r="AW315">
        <f t="shared" si="189"/>
        <v>2044</v>
      </c>
      <c r="AX315">
        <f t="shared" si="224"/>
        <v>258.00988831367209</v>
      </c>
      <c r="AY315">
        <f t="shared" si="225"/>
        <v>1.1077113440865818</v>
      </c>
      <c r="AZ315">
        <f t="shared" si="190"/>
        <v>620.13804005370923</v>
      </c>
      <c r="BA315">
        <f t="shared" si="209"/>
        <v>4.3597002183153091</v>
      </c>
      <c r="BB315">
        <f t="shared" si="210"/>
        <v>73.666666666666671</v>
      </c>
      <c r="BC315">
        <f t="shared" si="191"/>
        <v>44.2</v>
      </c>
      <c r="BD315">
        <f t="shared" si="211"/>
        <v>0</v>
      </c>
      <c r="BE315">
        <f t="shared" si="192"/>
        <v>24</v>
      </c>
      <c r="BF315">
        <f t="shared" si="226"/>
        <v>5000</v>
      </c>
      <c r="BU315"/>
      <c r="FD315"/>
      <c r="FE315"/>
    </row>
    <row r="316" spans="1:161" x14ac:dyDescent="0.25">
      <c r="A316" s="7">
        <f t="shared" si="212"/>
        <v>52717</v>
      </c>
      <c r="B316">
        <f t="shared" si="193"/>
        <v>305</v>
      </c>
      <c r="C316">
        <f t="shared" si="194"/>
        <v>25.333333333333332</v>
      </c>
      <c r="D316">
        <f t="shared" si="195"/>
        <v>0</v>
      </c>
      <c r="E316">
        <f t="shared" si="196"/>
        <v>77</v>
      </c>
      <c r="F316">
        <f>IF(C316&gt;=$T$2,0,VLOOKUP($E316,EKM_F05!$A$3:$C$128,2,TRUE))</f>
        <v>4.232358974358974E-2</v>
      </c>
      <c r="G316">
        <f>F316*'Real assumptions'!$B$3</f>
        <v>1.7661633999999999E-2</v>
      </c>
      <c r="H316">
        <f t="shared" si="213"/>
        <v>1.483853145445635E-3</v>
      </c>
      <c r="I316">
        <f t="shared" si="214"/>
        <v>3.8808078766915767E-4</v>
      </c>
      <c r="J316">
        <f>IF(B316&gt;$AJ$2,0,HLOOKUP(C316,'Real assumptions'!$B$5:$L$8,4,TRUE))</f>
        <v>3.7900000000000003E-2</v>
      </c>
      <c r="K316">
        <f t="shared" si="183"/>
        <v>1</v>
      </c>
      <c r="L316">
        <f t="shared" si="215"/>
        <v>8.3333333333333329E-2</v>
      </c>
      <c r="M316">
        <f t="shared" si="216"/>
        <v>3.2145624959929453E-3</v>
      </c>
      <c r="N316">
        <f t="shared" si="217"/>
        <v>8.414520168441975E-4</v>
      </c>
      <c r="O316" s="8">
        <f t="shared" si="197"/>
        <v>0.26072735153985566</v>
      </c>
      <c r="P316">
        <f t="shared" si="198"/>
        <v>6.2869652242648568</v>
      </c>
      <c r="Q316">
        <f t="shared" si="218"/>
        <v>1.9404039383457883</v>
      </c>
      <c r="R316" s="89">
        <f t="shared" si="184"/>
        <v>5000</v>
      </c>
      <c r="S316">
        <f t="shared" si="185"/>
        <v>0.58333333333333215</v>
      </c>
      <c r="U316">
        <f>O315*AV315*'Real assumptions'!$B$33/12+AX316*'Real assumptions'!$B$34</f>
        <v>3.6555230540732726</v>
      </c>
      <c r="V316">
        <f>IF(P316=0,0,IF(E316&lt;=$C$7,$AN$5*O315,0))*'Real assumptions'!$D$28</f>
        <v>1.5717413060662142</v>
      </c>
      <c r="X316" s="94">
        <f t="shared" si="199"/>
        <v>0</v>
      </c>
      <c r="Y316">
        <f t="shared" si="186"/>
        <v>24</v>
      </c>
      <c r="Z316">
        <f t="shared" si="219"/>
        <v>73</v>
      </c>
      <c r="AA316">
        <f t="shared" si="187"/>
        <v>73.583333333333329</v>
      </c>
      <c r="AB316">
        <f t="shared" si="200"/>
        <v>50.505050505050505</v>
      </c>
      <c r="AC316">
        <f t="shared" si="220"/>
        <v>3716.3299663299663</v>
      </c>
      <c r="AD316">
        <f t="shared" si="201"/>
        <v>80.505050505050505</v>
      </c>
      <c r="AE316">
        <f t="shared" si="202"/>
        <v>296.19149831649827</v>
      </c>
      <c r="AF316" s="94">
        <f t="shared" si="203"/>
        <v>987.47853535353545</v>
      </c>
      <c r="AG316">
        <f t="shared" si="221"/>
        <v>0.83091580516358654</v>
      </c>
      <c r="AH316">
        <f t="shared" si="204"/>
        <v>257.46266322518301</v>
      </c>
      <c r="AI316">
        <f>HLOOKUP(AW316,'Real assumptions'!$A$21:$AK$24,2,TRUE)</f>
        <v>2.2875000000000001</v>
      </c>
      <c r="AJ316" s="123">
        <f t="shared" si="222"/>
        <v>1.8865514586889898E-3</v>
      </c>
      <c r="AK316" s="122">
        <f>(1+HLOOKUP(YEAR(A316),'Real assumptions'!$A$21:$AK$24,2,TRUE)/100)^(1/12)-1</f>
        <v>1.8865514586889898E-3</v>
      </c>
      <c r="AL316">
        <f t="shared" si="223"/>
        <v>3.6555230540732726</v>
      </c>
      <c r="AM316">
        <f>('Real assumptions'!$B$33/12)*O315*AV315</f>
        <v>3.5847128407113011</v>
      </c>
      <c r="AN316">
        <f t="shared" si="205"/>
        <v>260.01243263174695</v>
      </c>
      <c r="AO316">
        <f t="shared" si="227"/>
        <v>0.4905268340586949</v>
      </c>
      <c r="AP316" s="121">
        <f t="shared" si="206"/>
        <v>1.9568404805417456</v>
      </c>
      <c r="AQ316">
        <f t="shared" si="207"/>
        <v>0</v>
      </c>
      <c r="AR316">
        <v>0</v>
      </c>
      <c r="AS316">
        <f t="shared" si="188"/>
        <v>0</v>
      </c>
      <c r="AT316">
        <f t="shared" si="208"/>
        <v>0</v>
      </c>
      <c r="AU316">
        <f>IFERROR(HLOOKUP(B316,'Real assumptions'!$B$43:$AL$44,2,TRUE)*($W$3/$U$2),0)</f>
        <v>0</v>
      </c>
      <c r="AV316">
        <f>AV315*(1+'Real assumptions'!$B$35)^(1/12)</f>
        <v>1.3698535549966897</v>
      </c>
      <c r="AW316">
        <f t="shared" si="189"/>
        <v>2044</v>
      </c>
      <c r="AX316">
        <f t="shared" si="224"/>
        <v>258.4835026010519</v>
      </c>
      <c r="AY316">
        <f t="shared" si="225"/>
        <v>1.1025121394965025</v>
      </c>
      <c r="AZ316">
        <f t="shared" si="190"/>
        <v>619.59634349837711</v>
      </c>
      <c r="BA316">
        <f t="shared" si="209"/>
        <v>4.3430610495755895</v>
      </c>
      <c r="BB316">
        <f t="shared" si="210"/>
        <v>73.583333333333329</v>
      </c>
      <c r="BC316">
        <f t="shared" si="191"/>
        <v>44.149999999999991</v>
      </c>
      <c r="BD316">
        <f t="shared" si="211"/>
        <v>0</v>
      </c>
      <c r="BE316">
        <f t="shared" si="192"/>
        <v>24</v>
      </c>
      <c r="BF316">
        <f t="shared" si="226"/>
        <v>5000</v>
      </c>
      <c r="BU316"/>
      <c r="FD316"/>
      <c r="FE316"/>
    </row>
    <row r="317" spans="1:161" x14ac:dyDescent="0.25">
      <c r="A317" s="7">
        <f t="shared" si="212"/>
        <v>52748</v>
      </c>
      <c r="B317">
        <f t="shared" si="193"/>
        <v>306</v>
      </c>
      <c r="C317">
        <f t="shared" si="194"/>
        <v>25.416666666666668</v>
      </c>
      <c r="D317">
        <f t="shared" si="195"/>
        <v>0</v>
      </c>
      <c r="E317">
        <f t="shared" si="196"/>
        <v>77</v>
      </c>
      <c r="F317">
        <f>IF(C317&gt;=$T$2,0,VLOOKUP($E317,EKM_F05!$A$3:$C$128,2,TRUE))</f>
        <v>4.232358974358974E-2</v>
      </c>
      <c r="G317">
        <f>F317*'Real assumptions'!$B$3</f>
        <v>1.7661633999999999E-2</v>
      </c>
      <c r="H317">
        <f t="shared" si="213"/>
        <v>1.483853145445635E-3</v>
      </c>
      <c r="I317">
        <f t="shared" si="214"/>
        <v>3.8625927394778759E-4</v>
      </c>
      <c r="J317">
        <f>IF(B317&gt;$AJ$2,0,HLOOKUP(C317,'Real assumptions'!$B$5:$L$8,4,TRUE))</f>
        <v>3.7900000000000003E-2</v>
      </c>
      <c r="K317">
        <f t="shared" si="183"/>
        <v>1</v>
      </c>
      <c r="L317">
        <f t="shared" si="215"/>
        <v>8.3333333333333329E-2</v>
      </c>
      <c r="M317">
        <f t="shared" si="216"/>
        <v>3.2145624959929453E-3</v>
      </c>
      <c r="N317">
        <f t="shared" si="217"/>
        <v>8.3750253920125142E-4</v>
      </c>
      <c r="O317" s="8">
        <f t="shared" si="197"/>
        <v>0.25950358972670662</v>
      </c>
      <c r="P317">
        <f t="shared" si="198"/>
        <v>6.2574564369565362</v>
      </c>
      <c r="Q317">
        <f t="shared" si="218"/>
        <v>1.931296369738938</v>
      </c>
      <c r="R317" s="89">
        <f t="shared" si="184"/>
        <v>5000</v>
      </c>
      <c r="S317">
        <f t="shared" si="185"/>
        <v>0.5</v>
      </c>
      <c r="U317">
        <f>O316*AV316*'Real assumptions'!$B$33/12+AX317*'Real assumptions'!$B$34</f>
        <v>3.6425215803629314</v>
      </c>
      <c r="V317">
        <f>IF(P317=0,0,IF(E317&lt;=$C$7,$AN$5*O316,0))*'Real assumptions'!$D$28</f>
        <v>1.564364109239134</v>
      </c>
      <c r="X317" s="94">
        <f t="shared" si="199"/>
        <v>0</v>
      </c>
      <c r="Y317">
        <f t="shared" si="186"/>
        <v>24</v>
      </c>
      <c r="Z317">
        <f t="shared" si="219"/>
        <v>73</v>
      </c>
      <c r="AA317">
        <f t="shared" si="187"/>
        <v>73.5</v>
      </c>
      <c r="AB317">
        <f t="shared" si="200"/>
        <v>50.505050505050505</v>
      </c>
      <c r="AC317">
        <f t="shared" si="220"/>
        <v>3712.121212121212</v>
      </c>
      <c r="AD317">
        <f t="shared" si="201"/>
        <v>80.505050505050505</v>
      </c>
      <c r="AE317">
        <f t="shared" si="202"/>
        <v>295.85606060606057</v>
      </c>
      <c r="AF317" s="94">
        <f t="shared" si="203"/>
        <v>992.02272727272748</v>
      </c>
      <c r="AG317">
        <f t="shared" si="221"/>
        <v>0.83082155303625982</v>
      </c>
      <c r="AH317">
        <f t="shared" si="204"/>
        <v>257.43345881775042</v>
      </c>
      <c r="AI317">
        <f>HLOOKUP(AW317,'Real assumptions'!$A$21:$AK$24,2,TRUE)</f>
        <v>2.2875000000000001</v>
      </c>
      <c r="AJ317" s="123">
        <f t="shared" si="222"/>
        <v>1.8865514586889898E-3</v>
      </c>
      <c r="AK317" s="122">
        <f>(1+HLOOKUP(YEAR(A317),'Real assumptions'!$A$21:$AK$24,2,TRUE)/100)^(1/12)-1</f>
        <v>1.8865514586889898E-3</v>
      </c>
      <c r="AL317">
        <f t="shared" si="223"/>
        <v>3.6425215803629314</v>
      </c>
      <c r="AM317">
        <f>('Real assumptions'!$B$33/12)*O316*AV316</f>
        <v>3.5715828939174288</v>
      </c>
      <c r="AN317">
        <f t="shared" si="205"/>
        <v>260.47007445307923</v>
      </c>
      <c r="AO317">
        <f t="shared" si="227"/>
        <v>0.49139019890428642</v>
      </c>
      <c r="AP317" s="121">
        <f t="shared" si="206"/>
        <v>2.448230679446032</v>
      </c>
      <c r="AQ317">
        <f t="shared" si="207"/>
        <v>0</v>
      </c>
      <c r="AR317">
        <v>0</v>
      </c>
      <c r="AS317">
        <f t="shared" si="188"/>
        <v>0</v>
      </c>
      <c r="AT317">
        <f t="shared" si="208"/>
        <v>0</v>
      </c>
      <c r="AU317">
        <f>IFERROR(HLOOKUP(B317,'Real assumptions'!$B$43:$AL$44,2,TRUE)*($W$3/$U$2),0)</f>
        <v>0</v>
      </c>
      <c r="AV317">
        <f>AV316*(1+'Real assumptions'!$B$35)^(1/12)</f>
        <v>1.371272375356998</v>
      </c>
      <c r="AW317">
        <f t="shared" si="189"/>
        <v>2044</v>
      </c>
      <c r="AX317">
        <f t="shared" si="224"/>
        <v>258.95247693461636</v>
      </c>
      <c r="AY317">
        <f t="shared" si="225"/>
        <v>1.0973373381307054</v>
      </c>
      <c r="AZ317">
        <f t="shared" si="190"/>
        <v>619.05369670858158</v>
      </c>
      <c r="BA317">
        <f t="shared" si="209"/>
        <v>4.326482032014332</v>
      </c>
      <c r="BB317">
        <f t="shared" si="210"/>
        <v>73.5</v>
      </c>
      <c r="BC317">
        <f t="shared" si="191"/>
        <v>44.099999999999994</v>
      </c>
      <c r="BD317">
        <f t="shared" si="211"/>
        <v>0</v>
      </c>
      <c r="BE317">
        <f t="shared" si="192"/>
        <v>24</v>
      </c>
      <c r="BF317">
        <f t="shared" si="226"/>
        <v>5000</v>
      </c>
      <c r="BU317"/>
      <c r="FD317"/>
      <c r="FE317"/>
    </row>
    <row r="318" spans="1:161" x14ac:dyDescent="0.25">
      <c r="A318" s="7">
        <f t="shared" si="212"/>
        <v>52778</v>
      </c>
      <c r="B318">
        <f t="shared" si="193"/>
        <v>307</v>
      </c>
      <c r="C318">
        <f t="shared" si="194"/>
        <v>25.5</v>
      </c>
      <c r="D318">
        <f t="shared" si="195"/>
        <v>0</v>
      </c>
      <c r="E318">
        <f t="shared" si="196"/>
        <v>77</v>
      </c>
      <c r="F318">
        <f>IF(C318&gt;=$T$2,0,VLOOKUP($E318,EKM_F05!$A$3:$C$128,2,TRUE))</f>
        <v>4.232358974358974E-2</v>
      </c>
      <c r="G318">
        <f>F318*'Real assumptions'!$B$3</f>
        <v>1.7661633999999999E-2</v>
      </c>
      <c r="H318">
        <f t="shared" si="213"/>
        <v>1.483853145445635E-3</v>
      </c>
      <c r="I318">
        <f t="shared" si="214"/>
        <v>3.8444630976646837E-4</v>
      </c>
      <c r="J318">
        <f>IF(B318&gt;$AJ$2,0,HLOOKUP(C318,'Real assumptions'!$B$5:$L$8,4,TRUE))</f>
        <v>3.7900000000000003E-2</v>
      </c>
      <c r="K318">
        <f t="shared" si="183"/>
        <v>1</v>
      </c>
      <c r="L318">
        <f t="shared" si="215"/>
        <v>8.3333333333333329E-2</v>
      </c>
      <c r="M318">
        <f t="shared" si="216"/>
        <v>3.2145624959929453E-3</v>
      </c>
      <c r="N318">
        <f t="shared" si="217"/>
        <v>8.3357159900707242E-4</v>
      </c>
      <c r="O318" s="8">
        <f t="shared" si="197"/>
        <v>0.25828557181793305</v>
      </c>
      <c r="P318">
        <f t="shared" si="198"/>
        <v>6.2280861534409588</v>
      </c>
      <c r="Q318">
        <f t="shared" si="218"/>
        <v>1.9222315488323418</v>
      </c>
      <c r="R318" s="89">
        <f t="shared" si="184"/>
        <v>5000</v>
      </c>
      <c r="S318">
        <f t="shared" si="185"/>
        <v>0.41666666666666785</v>
      </c>
      <c r="U318">
        <f>O317*AV317*'Real assumptions'!$B$33/12+AX318*'Real assumptions'!$B$34</f>
        <v>3.6295669393282251</v>
      </c>
      <c r="V318">
        <f>IF(P318=0,0,IF(E318&lt;=$C$7,$AN$5*O317,0))*'Real assumptions'!$D$28</f>
        <v>1.5570215383602397</v>
      </c>
      <c r="X318" s="94">
        <f t="shared" si="199"/>
        <v>0</v>
      </c>
      <c r="Y318">
        <f t="shared" si="186"/>
        <v>24</v>
      </c>
      <c r="Z318">
        <f t="shared" si="219"/>
        <v>73</v>
      </c>
      <c r="AA318">
        <f t="shared" si="187"/>
        <v>73.416666666666671</v>
      </c>
      <c r="AB318">
        <f t="shared" si="200"/>
        <v>50.505050505050505</v>
      </c>
      <c r="AC318">
        <f t="shared" si="220"/>
        <v>3707.9124579124582</v>
      </c>
      <c r="AD318">
        <f t="shared" si="201"/>
        <v>80.505050505050505</v>
      </c>
      <c r="AE318">
        <f t="shared" si="202"/>
        <v>295.52062289562292</v>
      </c>
      <c r="AF318" s="94">
        <f t="shared" si="203"/>
        <v>996.56691919191894</v>
      </c>
      <c r="AG318">
        <f t="shared" si="221"/>
        <v>0.8307098803483598</v>
      </c>
      <c r="AH318">
        <f t="shared" si="204"/>
        <v>257.39885657832065</v>
      </c>
      <c r="AI318">
        <f>HLOOKUP(AW318,'Real assumptions'!$A$21:$AK$24,2,TRUE)</f>
        <v>2.2875000000000001</v>
      </c>
      <c r="AJ318" s="123">
        <f t="shared" si="222"/>
        <v>1.8865514586889898E-3</v>
      </c>
      <c r="AK318" s="122">
        <f>(1+HLOOKUP(YEAR(A318),'Real assumptions'!$A$21:$AK$24,2,TRUE)/100)^(1/12)-1</f>
        <v>1.8865514586889898E-3</v>
      </c>
      <c r="AL318">
        <f t="shared" si="223"/>
        <v>3.6295669393282251</v>
      </c>
      <c r="AM318">
        <f>('Real assumptions'!$B$33/12)*O317*AV317</f>
        <v>3.5585010389820884</v>
      </c>
      <c r="AN318">
        <f t="shared" si="205"/>
        <v>260.92318717294893</v>
      </c>
      <c r="AO318">
        <f t="shared" si="227"/>
        <v>0.49224501936690712</v>
      </c>
      <c r="AP318" s="121">
        <f t="shared" si="206"/>
        <v>2.9404756988129392</v>
      </c>
      <c r="AQ318">
        <f t="shared" si="207"/>
        <v>0</v>
      </c>
      <c r="AR318">
        <v>0</v>
      </c>
      <c r="AS318">
        <f t="shared" si="188"/>
        <v>0</v>
      </c>
      <c r="AT318">
        <f t="shared" si="208"/>
        <v>0</v>
      </c>
      <c r="AU318">
        <f>IFERROR(HLOOKUP(B318,'Real assumptions'!$B$43:$AL$44,2,TRUE)*($W$3/$U$2),0)</f>
        <v>0</v>
      </c>
      <c r="AV318">
        <f>AV317*(1+'Real assumptions'!$B$35)^(1/12)</f>
        <v>1.3726926652548399</v>
      </c>
      <c r="AW318">
        <f t="shared" si="189"/>
        <v>2044</v>
      </c>
      <c r="AX318">
        <f t="shared" si="224"/>
        <v>259.41685478428536</v>
      </c>
      <c r="AY318">
        <f t="shared" si="225"/>
        <v>1.0921868254491018</v>
      </c>
      <c r="AZ318">
        <f t="shared" si="190"/>
        <v>618.51012960968569</v>
      </c>
      <c r="BA318">
        <f t="shared" si="209"/>
        <v>4.3099629675409412</v>
      </c>
      <c r="BB318">
        <f t="shared" si="210"/>
        <v>73.416666666666671</v>
      </c>
      <c r="BC318">
        <f t="shared" si="191"/>
        <v>44.05</v>
      </c>
      <c r="BD318">
        <f t="shared" si="211"/>
        <v>0</v>
      </c>
      <c r="BE318">
        <f t="shared" si="192"/>
        <v>24</v>
      </c>
      <c r="BF318">
        <f t="shared" si="226"/>
        <v>5000</v>
      </c>
      <c r="BU318"/>
      <c r="FD318"/>
      <c r="FE318"/>
    </row>
    <row r="319" spans="1:161" x14ac:dyDescent="0.25">
      <c r="A319" s="7">
        <f t="shared" si="212"/>
        <v>52809</v>
      </c>
      <c r="B319">
        <f t="shared" si="193"/>
        <v>308</v>
      </c>
      <c r="C319">
        <f t="shared" si="194"/>
        <v>25.583333333333332</v>
      </c>
      <c r="D319">
        <f t="shared" si="195"/>
        <v>0</v>
      </c>
      <c r="E319">
        <f t="shared" si="196"/>
        <v>77</v>
      </c>
      <c r="F319">
        <f>IF(C319&gt;=$T$2,0,VLOOKUP($E319,EKM_F05!$A$3:$C$128,2,TRUE))</f>
        <v>4.232358974358974E-2</v>
      </c>
      <c r="G319">
        <f>F319*'Real assumptions'!$B$3</f>
        <v>1.7661633999999999E-2</v>
      </c>
      <c r="H319">
        <f t="shared" si="213"/>
        <v>1.483853145445635E-3</v>
      </c>
      <c r="I319">
        <f t="shared" si="214"/>
        <v>3.8264185499668806E-4</v>
      </c>
      <c r="J319">
        <f>IF(B319&gt;$AJ$2,0,HLOOKUP(C319,'Real assumptions'!$B$5:$L$8,4,TRUE))</f>
        <v>3.7900000000000003E-2</v>
      </c>
      <c r="K319">
        <f t="shared" si="183"/>
        <v>1</v>
      </c>
      <c r="L319">
        <f t="shared" si="215"/>
        <v>8.3333333333333329E-2</v>
      </c>
      <c r="M319">
        <f t="shared" si="216"/>
        <v>3.2145624959929453E-3</v>
      </c>
      <c r="N319">
        <f t="shared" si="217"/>
        <v>8.2965910925344359E-4</v>
      </c>
      <c r="O319" s="8">
        <f t="shared" si="197"/>
        <v>0.25707327085368292</v>
      </c>
      <c r="P319">
        <f t="shared" si="198"/>
        <v>6.1988537236303927</v>
      </c>
      <c r="Q319">
        <f t="shared" si="218"/>
        <v>1.9132092749834402</v>
      </c>
      <c r="R319" s="89">
        <f t="shared" si="184"/>
        <v>5000</v>
      </c>
      <c r="S319">
        <f t="shared" si="185"/>
        <v>0.33333333333333215</v>
      </c>
      <c r="U319">
        <f>O318*AV318*'Real assumptions'!$B$33/12+AX319*'Real assumptions'!$B$34</f>
        <v>3.6166589666500917</v>
      </c>
      <c r="V319">
        <f>IF(P319=0,0,IF(E319&lt;=$C$7,$AN$5*O318,0))*'Real assumptions'!$D$28</f>
        <v>1.5497134309075982</v>
      </c>
      <c r="X319" s="94">
        <f t="shared" si="199"/>
        <v>0</v>
      </c>
      <c r="Y319">
        <f t="shared" si="186"/>
        <v>24</v>
      </c>
      <c r="Z319">
        <f t="shared" si="219"/>
        <v>73</v>
      </c>
      <c r="AA319">
        <f t="shared" si="187"/>
        <v>73.333333333333329</v>
      </c>
      <c r="AB319">
        <f t="shared" si="200"/>
        <v>50.505050505050505</v>
      </c>
      <c r="AC319">
        <f t="shared" si="220"/>
        <v>3703.7037037037035</v>
      </c>
      <c r="AD319">
        <f t="shared" si="201"/>
        <v>80.505050505050505</v>
      </c>
      <c r="AE319">
        <f t="shared" si="202"/>
        <v>295.18518518518516</v>
      </c>
      <c r="AF319" s="94">
        <f t="shared" si="203"/>
        <v>1001.1111111111113</v>
      </c>
      <c r="AG319">
        <f t="shared" si="221"/>
        <v>0.83058095270816978</v>
      </c>
      <c r="AH319">
        <f t="shared" si="204"/>
        <v>257.3589078212982</v>
      </c>
      <c r="AI319">
        <f>HLOOKUP(AW319,'Real assumptions'!$A$21:$AK$24,2,TRUE)</f>
        <v>2.2875000000000001</v>
      </c>
      <c r="AJ319" s="123">
        <f t="shared" si="222"/>
        <v>1.8865514586889898E-3</v>
      </c>
      <c r="AK319" s="122">
        <f>(1+HLOOKUP(YEAR(A319),'Real assumptions'!$A$21:$AK$24,2,TRUE)/100)^(1/12)-1</f>
        <v>1.8865514586889898E-3</v>
      </c>
      <c r="AL319">
        <f t="shared" si="223"/>
        <v>3.6166589666500917</v>
      </c>
      <c r="AM319">
        <f>('Real assumptions'!$B$33/12)*O318*AV318</f>
        <v>3.5454670997562889</v>
      </c>
      <c r="AN319">
        <f t="shared" si="205"/>
        <v>261.37181360320625</v>
      </c>
      <c r="AO319">
        <f t="shared" si="227"/>
        <v>0.4930913762133155</v>
      </c>
      <c r="AP319" s="121">
        <f t="shared" si="206"/>
        <v>3.4335670750262546</v>
      </c>
      <c r="AQ319">
        <f t="shared" si="207"/>
        <v>0</v>
      </c>
      <c r="AR319">
        <v>0</v>
      </c>
      <c r="AS319">
        <f t="shared" si="188"/>
        <v>0</v>
      </c>
      <c r="AT319">
        <f t="shared" si="208"/>
        <v>0</v>
      </c>
      <c r="AU319">
        <f>IFERROR(HLOOKUP(B319,'Real assumptions'!$B$43:$AL$44,2,TRUE)*($W$3/$U$2),0)</f>
        <v>0</v>
      </c>
      <c r="AV319">
        <f>AV318*(1+'Real assumptions'!$B$35)^(1/12)</f>
        <v>1.3741144262122833</v>
      </c>
      <c r="AW319">
        <f t="shared" si="189"/>
        <v>2044</v>
      </c>
      <c r="AX319">
        <f t="shared" si="224"/>
        <v>259.87667933367516</v>
      </c>
      <c r="AY319">
        <f t="shared" si="225"/>
        <v>1.0870604874492131</v>
      </c>
      <c r="AZ319">
        <f t="shared" si="190"/>
        <v>617.96567189529583</v>
      </c>
      <c r="BA319">
        <f t="shared" si="209"/>
        <v>4.2935036585992084</v>
      </c>
      <c r="BB319">
        <f t="shared" si="210"/>
        <v>73.333333333333329</v>
      </c>
      <c r="BC319">
        <f t="shared" si="191"/>
        <v>44</v>
      </c>
      <c r="BD319">
        <f t="shared" si="211"/>
        <v>0</v>
      </c>
      <c r="BE319">
        <f t="shared" si="192"/>
        <v>24</v>
      </c>
      <c r="BF319">
        <f t="shared" si="226"/>
        <v>5000</v>
      </c>
      <c r="BU319"/>
      <c r="FD319"/>
      <c r="FE319"/>
    </row>
    <row r="320" spans="1:161" x14ac:dyDescent="0.25">
      <c r="A320" s="7">
        <f t="shared" si="212"/>
        <v>52840</v>
      </c>
      <c r="B320">
        <f t="shared" si="193"/>
        <v>309</v>
      </c>
      <c r="C320">
        <f t="shared" si="194"/>
        <v>25.666666666666668</v>
      </c>
      <c r="D320">
        <f t="shared" si="195"/>
        <v>0</v>
      </c>
      <c r="E320">
        <f t="shared" si="196"/>
        <v>77</v>
      </c>
      <c r="F320">
        <f>IF(C320&gt;=$T$2,0,VLOOKUP($E320,EKM_F05!$A$3:$C$128,2,TRUE))</f>
        <v>4.232358974358974E-2</v>
      </c>
      <c r="G320">
        <f>F320*'Real assumptions'!$B$3</f>
        <v>1.7661633999999999E-2</v>
      </c>
      <c r="H320">
        <f t="shared" si="213"/>
        <v>1.483853145445635E-3</v>
      </c>
      <c r="I320">
        <f t="shared" si="214"/>
        <v>3.8084586969828381E-4</v>
      </c>
      <c r="J320">
        <f>IF(B320&gt;$AJ$2,0,HLOOKUP(C320,'Real assumptions'!$B$5:$L$8,4,TRUE))</f>
        <v>3.7900000000000003E-2</v>
      </c>
      <c r="K320">
        <f t="shared" si="183"/>
        <v>1</v>
      </c>
      <c r="L320">
        <f t="shared" si="215"/>
        <v>8.3333333333333329E-2</v>
      </c>
      <c r="M320">
        <f t="shared" si="216"/>
        <v>3.2145624959929453E-3</v>
      </c>
      <c r="N320">
        <f t="shared" si="217"/>
        <v>8.257649833405341E-4</v>
      </c>
      <c r="O320" s="8">
        <f t="shared" si="197"/>
        <v>0.25586666000064412</v>
      </c>
      <c r="P320">
        <f t="shared" si="198"/>
        <v>6.1697585004883901</v>
      </c>
      <c r="Q320">
        <f t="shared" si="218"/>
        <v>1.904229348491419</v>
      </c>
      <c r="R320" s="89">
        <f t="shared" si="184"/>
        <v>5000</v>
      </c>
      <c r="S320">
        <f t="shared" si="185"/>
        <v>0.25</v>
      </c>
      <c r="U320">
        <f>O319*AV319*'Real assumptions'!$B$33/12+AX320*'Real assumptions'!$B$34</f>
        <v>3.6037974985767152</v>
      </c>
      <c r="V320">
        <f>IF(P320=0,0,IF(E320&lt;=$C$7,$AN$5*O319,0))*'Real assumptions'!$D$28</f>
        <v>1.5424396251220975</v>
      </c>
      <c r="X320" s="94">
        <f t="shared" si="199"/>
        <v>0</v>
      </c>
      <c r="Y320">
        <f t="shared" si="186"/>
        <v>24</v>
      </c>
      <c r="Z320">
        <f t="shared" si="219"/>
        <v>73</v>
      </c>
      <c r="AA320">
        <f t="shared" si="187"/>
        <v>73.25</v>
      </c>
      <c r="AB320">
        <f t="shared" si="200"/>
        <v>50.505050505050505</v>
      </c>
      <c r="AC320">
        <f t="shared" si="220"/>
        <v>3699.4949494949497</v>
      </c>
      <c r="AD320">
        <f t="shared" si="201"/>
        <v>80.505050505050505</v>
      </c>
      <c r="AE320">
        <f t="shared" si="202"/>
        <v>294.84974747474746</v>
      </c>
      <c r="AF320" s="94">
        <f t="shared" si="203"/>
        <v>1005.6553030303029</v>
      </c>
      <c r="AG320">
        <f t="shared" si="221"/>
        <v>0.83043493455313788</v>
      </c>
      <c r="AH320">
        <f t="shared" si="204"/>
        <v>257.31366349829926</v>
      </c>
      <c r="AI320">
        <f>HLOOKUP(AW320,'Real assumptions'!$A$21:$AK$24,2,TRUE)</f>
        <v>2.2875000000000001</v>
      </c>
      <c r="AJ320" s="123">
        <f t="shared" si="222"/>
        <v>1.8865514586889898E-3</v>
      </c>
      <c r="AK320" s="122">
        <f>(1+HLOOKUP(YEAR(A320),'Real assumptions'!$A$21:$AK$24,2,TRUE)/100)^(1/12)-1</f>
        <v>1.8865514586889898E-3</v>
      </c>
      <c r="AL320">
        <f t="shared" si="223"/>
        <v>3.6037974985767152</v>
      </c>
      <c r="AM320">
        <f>('Real assumptions'!$B$33/12)*O319*AV319</f>
        <v>3.5324809007362341</v>
      </c>
      <c r="AN320">
        <f t="shared" si="205"/>
        <v>261.81599627311402</v>
      </c>
      <c r="AO320">
        <f t="shared" si="227"/>
        <v>0.49392934967715435</v>
      </c>
      <c r="AP320" s="121">
        <f t="shared" si="206"/>
        <v>3.927496424703409</v>
      </c>
      <c r="AQ320">
        <f t="shared" si="207"/>
        <v>0</v>
      </c>
      <c r="AR320">
        <v>0</v>
      </c>
      <c r="AS320">
        <f t="shared" si="188"/>
        <v>0</v>
      </c>
      <c r="AT320">
        <f t="shared" si="208"/>
        <v>0</v>
      </c>
      <c r="AU320">
        <f>IFERROR(HLOOKUP(B320,'Real assumptions'!$B$43:$AL$44,2,TRUE)*($W$3/$U$2),0)</f>
        <v>0</v>
      </c>
      <c r="AV320">
        <f>AV319*(1+'Real assumptions'!$B$35)^(1/12)</f>
        <v>1.3755376597529723</v>
      </c>
      <c r="AW320">
        <f t="shared" si="189"/>
        <v>2044</v>
      </c>
      <c r="AX320">
        <f t="shared" si="224"/>
        <v>260.33199348186599</v>
      </c>
      <c r="AY320">
        <f t="shared" si="225"/>
        <v>1.0819582106636485</v>
      </c>
      <c r="AZ320">
        <f t="shared" si="190"/>
        <v>617.42035302877468</v>
      </c>
      <c r="BA320">
        <f t="shared" si="209"/>
        <v>4.2771039081666542</v>
      </c>
      <c r="BB320">
        <f t="shared" si="210"/>
        <v>73.25</v>
      </c>
      <c r="BC320">
        <f t="shared" si="191"/>
        <v>43.95</v>
      </c>
      <c r="BD320">
        <f t="shared" si="211"/>
        <v>0</v>
      </c>
      <c r="BE320">
        <f t="shared" si="192"/>
        <v>24</v>
      </c>
      <c r="BF320">
        <f t="shared" si="226"/>
        <v>5000</v>
      </c>
      <c r="BU320"/>
      <c r="FD320"/>
      <c r="FE320"/>
    </row>
    <row r="321" spans="1:161" x14ac:dyDescent="0.25">
      <c r="A321" s="7">
        <f t="shared" si="212"/>
        <v>52870</v>
      </c>
      <c r="B321">
        <f t="shared" si="193"/>
        <v>310</v>
      </c>
      <c r="C321">
        <f t="shared" si="194"/>
        <v>25.75</v>
      </c>
      <c r="D321">
        <f t="shared" si="195"/>
        <v>0</v>
      </c>
      <c r="E321">
        <f t="shared" si="196"/>
        <v>77</v>
      </c>
      <c r="F321">
        <f>IF(C321&gt;=$T$2,0,VLOOKUP($E321,EKM_F05!$A$3:$C$128,2,TRUE))</f>
        <v>4.232358974358974E-2</v>
      </c>
      <c r="G321">
        <f>F321*'Real assumptions'!$B$3</f>
        <v>1.7661633999999999E-2</v>
      </c>
      <c r="H321">
        <f t="shared" si="213"/>
        <v>1.483853145445635E-3</v>
      </c>
      <c r="I321">
        <f t="shared" si="214"/>
        <v>3.790583141185577E-4</v>
      </c>
      <c r="J321">
        <f>IF(B321&gt;$AJ$2,0,HLOOKUP(C321,'Real assumptions'!$B$5:$L$8,4,TRUE))</f>
        <v>3.7900000000000003E-2</v>
      </c>
      <c r="K321">
        <f t="shared" si="183"/>
        <v>1</v>
      </c>
      <c r="L321">
        <f t="shared" si="215"/>
        <v>8.3333333333333329E-2</v>
      </c>
      <c r="M321">
        <f t="shared" si="216"/>
        <v>3.2145624959929453E-3</v>
      </c>
      <c r="N321">
        <f t="shared" si="217"/>
        <v>8.2188913507498193E-4</v>
      </c>
      <c r="O321" s="8">
        <f t="shared" si="197"/>
        <v>0.2546657125514506</v>
      </c>
      <c r="P321">
        <f t="shared" si="198"/>
        <v>6.1407998400154593</v>
      </c>
      <c r="Q321">
        <f t="shared" si="218"/>
        <v>1.8952915705927886</v>
      </c>
      <c r="R321" s="89">
        <f t="shared" si="184"/>
        <v>5000</v>
      </c>
      <c r="S321">
        <f t="shared" si="185"/>
        <v>0.16666666666666785</v>
      </c>
      <c r="U321">
        <f>O320*AV320*'Real assumptions'!$B$33/12+AX321*'Real assumptions'!$B$34</f>
        <v>3.5909823719216387</v>
      </c>
      <c r="V321">
        <f>IF(P321=0,0,IF(E321&lt;=$C$7,$AN$5*O320,0))*'Real assumptions'!$D$28</f>
        <v>1.5351999600038648</v>
      </c>
      <c r="X321" s="94">
        <f t="shared" si="199"/>
        <v>0</v>
      </c>
      <c r="Y321">
        <f t="shared" si="186"/>
        <v>24</v>
      </c>
      <c r="Z321">
        <f t="shared" si="219"/>
        <v>73</v>
      </c>
      <c r="AA321">
        <f t="shared" si="187"/>
        <v>73.166666666666671</v>
      </c>
      <c r="AB321">
        <f t="shared" si="200"/>
        <v>50.505050505050505</v>
      </c>
      <c r="AC321">
        <f t="shared" si="220"/>
        <v>3695.2861952861954</v>
      </c>
      <c r="AD321">
        <f t="shared" si="201"/>
        <v>80.505050505050505</v>
      </c>
      <c r="AE321">
        <f t="shared" si="202"/>
        <v>294.51430976430976</v>
      </c>
      <c r="AF321" s="94">
        <f t="shared" si="203"/>
        <v>1010.1994949494949</v>
      </c>
      <c r="AG321">
        <f t="shared" si="221"/>
        <v>0.830271989157224</v>
      </c>
      <c r="AH321">
        <f t="shared" si="204"/>
        <v>257.26317420042864</v>
      </c>
      <c r="AI321">
        <f>HLOOKUP(AW321,'Real assumptions'!$A$21:$AK$24,2,TRUE)</f>
        <v>2.2875000000000001</v>
      </c>
      <c r="AJ321" s="123">
        <f t="shared" si="222"/>
        <v>1.8865514586889898E-3</v>
      </c>
      <c r="AK321" s="122">
        <f>(1+HLOOKUP(YEAR(A321),'Real assumptions'!$A$21:$AK$24,2,TRUE)/100)^(1/12)-1</f>
        <v>1.8865514586889898E-3</v>
      </c>
      <c r="AL321">
        <f t="shared" si="223"/>
        <v>3.5909823719216387</v>
      </c>
      <c r="AM321">
        <f>('Real assumptions'!$B$33/12)*O320*AV320</f>
        <v>3.5195422670609542</v>
      </c>
      <c r="AN321">
        <f t="shared" si="205"/>
        <v>262.25577743109261</v>
      </c>
      <c r="AO321">
        <f t="shared" si="227"/>
        <v>0.49475901946224282</v>
      </c>
      <c r="AP321" s="121">
        <f t="shared" si="206"/>
        <v>4.4222554441656516</v>
      </c>
      <c r="AQ321">
        <f t="shared" si="207"/>
        <v>0</v>
      </c>
      <c r="AR321">
        <v>0</v>
      </c>
      <c r="AS321">
        <f t="shared" si="188"/>
        <v>0</v>
      </c>
      <c r="AT321">
        <f t="shared" si="208"/>
        <v>0</v>
      </c>
      <c r="AU321">
        <f>IFERROR(HLOOKUP(B321,'Real assumptions'!$B$43:$AL$44,2,TRUE)*($W$3/$U$2),0)</f>
        <v>0</v>
      </c>
      <c r="AV321">
        <f>AV320*(1+'Real assumptions'!$B$35)^(1/12)</f>
        <v>1.376962367402129</v>
      </c>
      <c r="AW321">
        <f t="shared" si="189"/>
        <v>2044</v>
      </c>
      <c r="AX321">
        <f t="shared" si="224"/>
        <v>260.78283984515639</v>
      </c>
      <c r="AY321">
        <f t="shared" si="225"/>
        <v>1.0768798821575931</v>
      </c>
      <c r="AZ321">
        <f t="shared" si="190"/>
        <v>616.87420224474533</v>
      </c>
      <c r="BA321">
        <f t="shared" si="209"/>
        <v>4.2607635197538771</v>
      </c>
      <c r="BB321">
        <f t="shared" si="210"/>
        <v>73.166666666666671</v>
      </c>
      <c r="BC321">
        <f t="shared" si="191"/>
        <v>43.900000000000006</v>
      </c>
      <c r="BD321">
        <f t="shared" si="211"/>
        <v>0</v>
      </c>
      <c r="BE321">
        <f t="shared" si="192"/>
        <v>24</v>
      </c>
      <c r="BF321">
        <f t="shared" si="226"/>
        <v>5000</v>
      </c>
      <c r="BU321"/>
      <c r="FD321"/>
      <c r="FE321"/>
    </row>
    <row r="322" spans="1:161" x14ac:dyDescent="0.25">
      <c r="A322" s="7">
        <f t="shared" si="212"/>
        <v>52901</v>
      </c>
      <c r="B322">
        <f t="shared" si="193"/>
        <v>311</v>
      </c>
      <c r="C322">
        <f t="shared" si="194"/>
        <v>25.833333333333332</v>
      </c>
      <c r="D322">
        <f t="shared" si="195"/>
        <v>0</v>
      </c>
      <c r="E322">
        <f t="shared" si="196"/>
        <v>77</v>
      </c>
      <c r="F322">
        <f>IF(C322&gt;=$T$2,0,VLOOKUP($E322,EKM_F05!$A$3:$C$128,2,TRUE))</f>
        <v>4.232358974358974E-2</v>
      </c>
      <c r="G322">
        <f>F322*'Real assumptions'!$B$3</f>
        <v>1.7661633999999999E-2</v>
      </c>
      <c r="H322">
        <f t="shared" si="213"/>
        <v>1.483853145445635E-3</v>
      </c>
      <c r="I322">
        <f t="shared" si="214"/>
        <v>3.7727914869139676E-4</v>
      </c>
      <c r="J322">
        <f>IF(B322&gt;$AJ$2,0,HLOOKUP(C322,'Real assumptions'!$B$5:$L$8,4,TRUE))</f>
        <v>3.7900000000000003E-2</v>
      </c>
      <c r="K322">
        <f t="shared" si="183"/>
        <v>1</v>
      </c>
      <c r="L322">
        <f t="shared" si="215"/>
        <v>8.3333333333333329E-2</v>
      </c>
      <c r="M322">
        <f t="shared" si="216"/>
        <v>3.2145624959929453E-3</v>
      </c>
      <c r="N322">
        <f t="shared" si="217"/>
        <v>8.1803147866798577E-4</v>
      </c>
      <c r="O322" s="8">
        <f t="shared" si="197"/>
        <v>0.2534704019240912</v>
      </c>
      <c r="P322">
        <f t="shared" si="198"/>
        <v>6.1119771012348139</v>
      </c>
      <c r="Q322">
        <f t="shared" si="218"/>
        <v>1.8863957434569838</v>
      </c>
      <c r="R322" s="89">
        <f t="shared" si="184"/>
        <v>5000</v>
      </c>
      <c r="S322">
        <f t="shared" si="185"/>
        <v>8.3333333333332149E-2</v>
      </c>
      <c r="U322">
        <f>O321*AV321*'Real assumptions'!$B$33/12+AX322*'Real assumptions'!$B$34</f>
        <v>3.5782134240618948</v>
      </c>
      <c r="V322">
        <f>IF(P322=0,0,IF(E322&lt;=$C$7,$AN$5*O321,0))*'Real assumptions'!$D$28</f>
        <v>1.5279942753087035</v>
      </c>
      <c r="X322" s="94">
        <f t="shared" si="199"/>
        <v>0</v>
      </c>
      <c r="Y322">
        <f t="shared" si="186"/>
        <v>24</v>
      </c>
      <c r="Z322">
        <f t="shared" si="219"/>
        <v>73</v>
      </c>
      <c r="AA322">
        <f t="shared" si="187"/>
        <v>73.083333333333329</v>
      </c>
      <c r="AB322">
        <f t="shared" si="200"/>
        <v>50.505050505050505</v>
      </c>
      <c r="AC322">
        <f t="shared" si="220"/>
        <v>3691.0774410774407</v>
      </c>
      <c r="AD322">
        <f t="shared" si="201"/>
        <v>80.505050505050505</v>
      </c>
      <c r="AE322">
        <f t="shared" si="202"/>
        <v>294.178872053872</v>
      </c>
      <c r="AF322" s="94">
        <f t="shared" si="203"/>
        <v>1014.7436868686873</v>
      </c>
      <c r="AG322">
        <f t="shared" si="221"/>
        <v>0.83009227863819579</v>
      </c>
      <c r="AH322">
        <f t="shared" si="204"/>
        <v>257.20749016054032</v>
      </c>
      <c r="AI322">
        <f>HLOOKUP(AW322,'Real assumptions'!$A$21:$AK$24,2,TRUE)</f>
        <v>2.2875000000000001</v>
      </c>
      <c r="AJ322" s="123">
        <f t="shared" si="222"/>
        <v>1.8865514586889898E-3</v>
      </c>
      <c r="AK322" s="122">
        <f>(1+HLOOKUP(YEAR(A322),'Real assumptions'!$A$21:$AK$24,2,TRUE)/100)^(1/12)-1</f>
        <v>1.8865514586889898E-3</v>
      </c>
      <c r="AL322">
        <f t="shared" si="223"/>
        <v>3.5782134240618948</v>
      </c>
      <c r="AM322">
        <f>('Real assumptions'!$B$33/12)*O321*AV321</f>
        <v>3.5066510245099551</v>
      </c>
      <c r="AN322">
        <f t="shared" si="205"/>
        <v>262.69119904645851</v>
      </c>
      <c r="AO322">
        <f t="shared" si="227"/>
        <v>0.49558046474585604</v>
      </c>
      <c r="AP322" s="121">
        <f t="shared" si="206"/>
        <v>4.917835908911508</v>
      </c>
      <c r="AQ322">
        <f t="shared" si="207"/>
        <v>0</v>
      </c>
      <c r="AR322">
        <v>0</v>
      </c>
      <c r="AS322">
        <f t="shared" si="188"/>
        <v>0</v>
      </c>
      <c r="AT322">
        <f t="shared" si="208"/>
        <v>0</v>
      </c>
      <c r="AU322">
        <f>IFERROR(HLOOKUP(B322,'Real assumptions'!$B$43:$AL$44,2,TRUE)*($W$3/$U$2),0)</f>
        <v>0</v>
      </c>
      <c r="AV322">
        <f>AV321*(1+'Real assumptions'!$B$35)^(1/12)</f>
        <v>1.3783885506865554</v>
      </c>
      <c r="AW322">
        <f t="shared" si="189"/>
        <v>2044</v>
      </c>
      <c r="AX322">
        <f t="shared" si="224"/>
        <v>261.2292607588119</v>
      </c>
      <c r="AY322">
        <f t="shared" si="225"/>
        <v>1.0718253895263072</v>
      </c>
      <c r="AZ322">
        <f t="shared" si="190"/>
        <v>616.32724855058677</v>
      </c>
      <c r="BA322">
        <f t="shared" si="209"/>
        <v>4.2444822974038825</v>
      </c>
      <c r="BB322">
        <f t="shared" si="210"/>
        <v>73.083333333333329</v>
      </c>
      <c r="BC322">
        <f t="shared" si="191"/>
        <v>43.849999999999994</v>
      </c>
      <c r="BD322">
        <f t="shared" si="211"/>
        <v>0</v>
      </c>
      <c r="BE322">
        <f t="shared" si="192"/>
        <v>24</v>
      </c>
      <c r="BF322">
        <f t="shared" si="226"/>
        <v>5000</v>
      </c>
      <c r="BU322"/>
      <c r="FD322"/>
      <c r="FE322"/>
    </row>
    <row r="323" spans="1:161" x14ac:dyDescent="0.25">
      <c r="A323" s="7">
        <f t="shared" si="212"/>
        <v>52931</v>
      </c>
      <c r="B323">
        <f t="shared" si="193"/>
        <v>312</v>
      </c>
      <c r="C323">
        <f t="shared" si="194"/>
        <v>25.916666666666668</v>
      </c>
      <c r="D323">
        <f t="shared" si="195"/>
        <v>0</v>
      </c>
      <c r="E323">
        <f t="shared" si="196"/>
        <v>77</v>
      </c>
      <c r="F323">
        <f>IF(C323&gt;=$T$2,0,VLOOKUP($E323,EKM_F05!$A$3:$C$128,2,TRUE))</f>
        <v>4.232358974358974E-2</v>
      </c>
      <c r="G323">
        <f>F323*'Real assumptions'!$B$3</f>
        <v>1.7661633999999999E-2</v>
      </c>
      <c r="H323">
        <f t="shared" si="213"/>
        <v>1.483853145445635E-3</v>
      </c>
      <c r="I323">
        <f t="shared" si="214"/>
        <v>3.7550833403639759E-4</v>
      </c>
      <c r="J323">
        <f>IF(B323&gt;$AJ$2,0,HLOOKUP(C323,'Real assumptions'!$B$5:$L$8,4,TRUE))</f>
        <v>3.7900000000000003E-2</v>
      </c>
      <c r="K323">
        <f t="shared" si="183"/>
        <v>1</v>
      </c>
      <c r="L323">
        <f t="shared" si="215"/>
        <v>8.3333333333333329E-2</v>
      </c>
      <c r="M323">
        <f t="shared" si="216"/>
        <v>3.2145624959929453E-3</v>
      </c>
      <c r="N323">
        <f t="shared" si="217"/>
        <v>8.1419192873340704E-4</v>
      </c>
      <c r="O323" s="8">
        <f t="shared" si="197"/>
        <v>0.25228070166132144</v>
      </c>
      <c r="P323">
        <f t="shared" si="198"/>
        <v>6.0832896461781889</v>
      </c>
      <c r="Q323">
        <f t="shared" si="218"/>
        <v>1.877541670181988</v>
      </c>
      <c r="R323" s="89">
        <f t="shared" si="184"/>
        <v>5000</v>
      </c>
      <c r="S323">
        <f t="shared" si="185"/>
        <v>1</v>
      </c>
      <c r="U323">
        <f>O322*AV322*'Real assumptions'!$B$33/12+AX323*'Real assumptions'!$B$34</f>
        <v>3.5654904929361284</v>
      </c>
      <c r="V323">
        <f>IF(P323=0,0,IF(E323&lt;=$C$7,$AN$5*O322,0))*'Real assumptions'!$D$28</f>
        <v>1.5208224115445472</v>
      </c>
      <c r="X323" s="94">
        <f t="shared" si="199"/>
        <v>0</v>
      </c>
      <c r="Y323">
        <f t="shared" si="186"/>
        <v>24</v>
      </c>
      <c r="Z323">
        <f t="shared" si="219"/>
        <v>73</v>
      </c>
      <c r="AA323">
        <f t="shared" si="187"/>
        <v>73</v>
      </c>
      <c r="AB323">
        <f t="shared" si="200"/>
        <v>50.505050505050505</v>
      </c>
      <c r="AC323">
        <f t="shared" si="220"/>
        <v>3686.8686868686868</v>
      </c>
      <c r="AD323">
        <f t="shared" si="201"/>
        <v>80.505050505050505</v>
      </c>
      <c r="AE323">
        <f t="shared" si="202"/>
        <v>293.84343434343435</v>
      </c>
      <c r="AF323" s="94">
        <f t="shared" si="203"/>
        <v>1019.2878787878788</v>
      </c>
      <c r="AG323">
        <f t="shared" si="221"/>
        <v>0.82989596396488619</v>
      </c>
      <c r="AH323">
        <f t="shared" si="204"/>
        <v>257.14666125548598</v>
      </c>
      <c r="AI323">
        <f>HLOOKUP(AW323,'Real assumptions'!$A$21:$AK$24,2,TRUE)</f>
        <v>2.2875000000000001</v>
      </c>
      <c r="AJ323" s="123">
        <f t="shared" si="222"/>
        <v>1.8865514586889898E-3</v>
      </c>
      <c r="AK323" s="122">
        <f>(1+HLOOKUP(YEAR(A323),'Real assumptions'!$A$21:$AK$24,2,TRUE)/100)^(1/12)-1</f>
        <v>1.8865514586889898E-3</v>
      </c>
      <c r="AL323">
        <f t="shared" si="223"/>
        <v>3.5654904929361284</v>
      </c>
      <c r="AM323">
        <f>('Real assumptions'!$B$33/12)*O322*AV322</f>
        <v>3.4938069995008676</v>
      </c>
      <c r="AN323">
        <f t="shared" si="205"/>
        <v>263.12230281114932</v>
      </c>
      <c r="AO323">
        <f t="shared" si="227"/>
        <v>0.49639376418197984</v>
      </c>
      <c r="AP323" s="121">
        <f t="shared" si="206"/>
        <v>5.4142296730934882</v>
      </c>
      <c r="AQ323">
        <f t="shared" si="207"/>
        <v>0</v>
      </c>
      <c r="AR323">
        <v>0</v>
      </c>
      <c r="AS323">
        <f t="shared" si="188"/>
        <v>0</v>
      </c>
      <c r="AT323">
        <f t="shared" si="208"/>
        <v>0</v>
      </c>
      <c r="AU323">
        <f>IFERROR(HLOOKUP(B323,'Real assumptions'!$B$43:$AL$44,2,TRUE)*($W$3/$U$2),0)</f>
        <v>0</v>
      </c>
      <c r="AV323">
        <f>AV322*(1+'Real assumptions'!$B$35)^(1/12)</f>
        <v>1.3798162111346348</v>
      </c>
      <c r="AW323">
        <f t="shared" si="189"/>
        <v>2044</v>
      </c>
      <c r="AX323">
        <f t="shared" si="224"/>
        <v>261.67129827879995</v>
      </c>
      <c r="AY323">
        <f t="shared" si="225"/>
        <v>1.0667946208926398</v>
      </c>
      <c r="AZ323">
        <f t="shared" si="190"/>
        <v>615.77952072792039</v>
      </c>
      <c r="BA323">
        <f t="shared" si="209"/>
        <v>4.228260045691421</v>
      </c>
      <c r="BB323">
        <f t="shared" si="210"/>
        <v>73</v>
      </c>
      <c r="BC323">
        <f t="shared" si="191"/>
        <v>43.8</v>
      </c>
      <c r="BD323">
        <f t="shared" si="211"/>
        <v>0</v>
      </c>
      <c r="BE323">
        <f t="shared" si="192"/>
        <v>24</v>
      </c>
      <c r="BF323">
        <f t="shared" si="226"/>
        <v>5000</v>
      </c>
      <c r="BU323"/>
      <c r="FD323"/>
      <c r="FE323"/>
    </row>
    <row r="324" spans="1:161" x14ac:dyDescent="0.25">
      <c r="A324" s="7">
        <f t="shared" si="212"/>
        <v>52962</v>
      </c>
      <c r="B324">
        <f t="shared" si="193"/>
        <v>313</v>
      </c>
      <c r="C324">
        <f t="shared" si="194"/>
        <v>26</v>
      </c>
      <c r="D324">
        <f t="shared" si="195"/>
        <v>1</v>
      </c>
      <c r="E324">
        <f t="shared" si="196"/>
        <v>78</v>
      </c>
      <c r="F324">
        <f>IF(C324&gt;=$T$2,0,VLOOKUP($E324,EKM_F05!$A$3:$C$128,2,TRUE))</f>
        <v>4.7321282051282054E-2</v>
      </c>
      <c r="G324">
        <f>F324*'Real assumptions'!$B$3</f>
        <v>1.9747171000000001E-2</v>
      </c>
      <c r="H324">
        <f t="shared" si="213"/>
        <v>1.6606821900644331E-3</v>
      </c>
      <c r="I324">
        <f t="shared" si="214"/>
        <v>4.1828468469928739E-4</v>
      </c>
      <c r="J324">
        <f>IF(B324&gt;$AJ$2,0,HLOOKUP(C324,'Real assumptions'!$B$5:$L$8,4,TRUE))</f>
        <v>3.7900000000000003E-2</v>
      </c>
      <c r="K324">
        <f t="shared" si="183"/>
        <v>1</v>
      </c>
      <c r="L324">
        <f t="shared" si="215"/>
        <v>8.3333333333333329E-2</v>
      </c>
      <c r="M324">
        <f t="shared" si="216"/>
        <v>3.2145624959929453E-3</v>
      </c>
      <c r="N324">
        <f t="shared" si="217"/>
        <v>8.1029869857664129E-4</v>
      </c>
      <c r="O324" s="8">
        <f t="shared" si="197"/>
        <v>0.25105211827804552</v>
      </c>
      <c r="P324">
        <f t="shared" si="198"/>
        <v>6.0547368398717145</v>
      </c>
      <c r="Q324">
        <f t="shared" si="218"/>
        <v>2.0914234234964368</v>
      </c>
      <c r="R324" s="89">
        <f t="shared" si="184"/>
        <v>5000</v>
      </c>
      <c r="S324">
        <f t="shared" si="185"/>
        <v>0.91666666666666785</v>
      </c>
      <c r="U324">
        <f>O323*AV323*'Real assumptions'!$B$33/12+AX324*'Real assumptions'!$B$34</f>
        <v>3.552813417042739</v>
      </c>
      <c r="V324">
        <f>IF(P324=0,0,IF(E324&lt;=$C$7,$AN$5*O323,0))*'Real assumptions'!$D$28</f>
        <v>1.5136842099679286</v>
      </c>
      <c r="X324" s="94">
        <f t="shared" si="199"/>
        <v>0</v>
      </c>
      <c r="Y324">
        <f t="shared" si="186"/>
        <v>24</v>
      </c>
      <c r="Z324">
        <f t="shared" si="219"/>
        <v>73</v>
      </c>
      <c r="AA324">
        <f t="shared" si="187"/>
        <v>72.916666666666671</v>
      </c>
      <c r="AB324">
        <f t="shared" si="200"/>
        <v>50.505050505050505</v>
      </c>
      <c r="AC324">
        <f t="shared" si="220"/>
        <v>3682.659932659933</v>
      </c>
      <c r="AD324">
        <f t="shared" si="201"/>
        <v>80.505050505050505</v>
      </c>
      <c r="AE324">
        <f t="shared" si="202"/>
        <v>293.50799663299665</v>
      </c>
      <c r="AF324" s="94">
        <f t="shared" si="203"/>
        <v>1023.8320707070703</v>
      </c>
      <c r="AG324">
        <f t="shared" si="221"/>
        <v>0.82960979445496685</v>
      </c>
      <c r="AH324">
        <f t="shared" si="204"/>
        <v>257.03521011200769</v>
      </c>
      <c r="AI324">
        <f>HLOOKUP(AW324,'Real assumptions'!$A$21:$AK$24,2,TRUE)</f>
        <v>2.2875000000000001</v>
      </c>
      <c r="AJ324" s="123">
        <f t="shared" si="222"/>
        <v>1.8865514586889898E-3</v>
      </c>
      <c r="AK324" s="122">
        <f>(1+HLOOKUP(YEAR(A324),'Real assumptions'!$A$21:$AK$24,2,TRUE)/100)^(1/12)-1</f>
        <v>1.8865514586889898E-3</v>
      </c>
      <c r="AL324">
        <f t="shared" si="223"/>
        <v>3.552813417042739</v>
      </c>
      <c r="AM324">
        <f>('Real assumptions'!$B$33/12)*O323*AV323</f>
        <v>3.4810100190871167</v>
      </c>
      <c r="AN324">
        <f t="shared" si="205"/>
        <v>263.54913014144051</v>
      </c>
      <c r="AO324">
        <f t="shared" si="227"/>
        <v>0.49719899590454902</v>
      </c>
      <c r="AP324" s="121">
        <f t="shared" si="206"/>
        <v>0</v>
      </c>
      <c r="AQ324">
        <f t="shared" si="207"/>
        <v>0</v>
      </c>
      <c r="AR324">
        <v>0</v>
      </c>
      <c r="AS324">
        <f t="shared" si="188"/>
        <v>0</v>
      </c>
      <c r="AT324">
        <f t="shared" si="208"/>
        <v>0</v>
      </c>
      <c r="AU324">
        <f>IFERROR(HLOOKUP(B324,'Real assumptions'!$B$43:$AL$44,2,TRUE)*($W$3/$U$2),0)</f>
        <v>0</v>
      </c>
      <c r="AV324">
        <f>AV323*(1+'Real assumptions'!$B$35)^(1/12)</f>
        <v>1.3812453502763338</v>
      </c>
      <c r="AW324">
        <f t="shared" si="189"/>
        <v>2044</v>
      </c>
      <c r="AX324">
        <f t="shared" si="224"/>
        <v>262.10899418351607</v>
      </c>
      <c r="AY324">
        <f t="shared" si="225"/>
        <v>1.0617874649045513</v>
      </c>
      <c r="AZ324">
        <f t="shared" si="190"/>
        <v>615.00842647589002</v>
      </c>
      <c r="BA324">
        <f t="shared" si="209"/>
        <v>4.4347174279193329</v>
      </c>
      <c r="BB324">
        <f t="shared" si="210"/>
        <v>72.916666666666671</v>
      </c>
      <c r="BC324">
        <f t="shared" si="191"/>
        <v>43.75</v>
      </c>
      <c r="BD324">
        <f t="shared" si="211"/>
        <v>0</v>
      </c>
      <c r="BE324">
        <f t="shared" si="192"/>
        <v>24</v>
      </c>
      <c r="BF324">
        <f t="shared" si="226"/>
        <v>5000</v>
      </c>
      <c r="BU324"/>
      <c r="FD324"/>
      <c r="FE324"/>
    </row>
    <row r="325" spans="1:161" x14ac:dyDescent="0.25">
      <c r="A325" s="7">
        <f t="shared" si="212"/>
        <v>52993</v>
      </c>
      <c r="B325">
        <f t="shared" si="193"/>
        <v>314</v>
      </c>
      <c r="C325">
        <f t="shared" si="194"/>
        <v>26.083333333333332</v>
      </c>
      <c r="D325">
        <f t="shared" si="195"/>
        <v>0</v>
      </c>
      <c r="E325">
        <f t="shared" si="196"/>
        <v>78</v>
      </c>
      <c r="F325">
        <f>IF(C325&gt;=$T$2,0,VLOOKUP($E325,EKM_F05!$A$3:$C$128,2,TRUE))</f>
        <v>4.7321282051282054E-2</v>
      </c>
      <c r="G325">
        <f>F325*'Real assumptions'!$B$3</f>
        <v>1.9747171000000001E-2</v>
      </c>
      <c r="H325">
        <f t="shared" si="213"/>
        <v>1.6606821900644331E-3</v>
      </c>
      <c r="I325">
        <f t="shared" si="214"/>
        <v>4.1624767746997407E-4</v>
      </c>
      <c r="J325">
        <f>IF(B325&gt;$AJ$2,0,HLOOKUP(C325,'Real assumptions'!$B$5:$L$8,4,TRUE))</f>
        <v>3.7900000000000003E-2</v>
      </c>
      <c r="K325">
        <f t="shared" si="183"/>
        <v>1</v>
      </c>
      <c r="L325">
        <f t="shared" si="215"/>
        <v>8.3333333333333329E-2</v>
      </c>
      <c r="M325">
        <f t="shared" si="216"/>
        <v>3.2145624959929453E-3</v>
      </c>
      <c r="N325">
        <f t="shared" si="217"/>
        <v>8.0635261982386452E-4</v>
      </c>
      <c r="O325" s="8">
        <f t="shared" si="197"/>
        <v>0.2498295179807517</v>
      </c>
      <c r="P325">
        <f t="shared" si="198"/>
        <v>6.0252508386730925</v>
      </c>
      <c r="Q325">
        <f t="shared" si="218"/>
        <v>2.0812383873498703</v>
      </c>
      <c r="R325" s="89">
        <f t="shared" si="184"/>
        <v>5000</v>
      </c>
      <c r="S325">
        <f t="shared" si="185"/>
        <v>0.83333333333333215</v>
      </c>
      <c r="U325">
        <f>O324*AV324*'Real assumptions'!$B$33/12+AX325*'Real assumptions'!$B$34</f>
        <v>3.5379359797426826</v>
      </c>
      <c r="V325">
        <f>IF(P325=0,0,IF(E325&lt;=$C$7,$AN$5*O324,0))*'Real assumptions'!$D$28</f>
        <v>1.5063127096682731</v>
      </c>
      <c r="X325" s="94">
        <f t="shared" si="199"/>
        <v>0</v>
      </c>
      <c r="Y325">
        <f t="shared" si="186"/>
        <v>24</v>
      </c>
      <c r="Z325">
        <f t="shared" si="219"/>
        <v>72</v>
      </c>
      <c r="AA325">
        <f t="shared" si="187"/>
        <v>72.833333333333329</v>
      </c>
      <c r="AB325">
        <f t="shared" si="200"/>
        <v>50.505050505050505</v>
      </c>
      <c r="AC325">
        <f t="shared" si="220"/>
        <v>3678.4511784511783</v>
      </c>
      <c r="AD325">
        <f t="shared" si="201"/>
        <v>80.505050505050505</v>
      </c>
      <c r="AE325">
        <f t="shared" si="202"/>
        <v>293.17255892255889</v>
      </c>
      <c r="AF325" s="94">
        <f t="shared" si="203"/>
        <v>1028.3762626262628</v>
      </c>
      <c r="AG325">
        <f t="shared" si="221"/>
        <v>0.82923389353336152</v>
      </c>
      <c r="AH325">
        <f t="shared" si="204"/>
        <v>256.91874599476614</v>
      </c>
      <c r="AI325">
        <f>HLOOKUP(AW325,'Real assumptions'!$A$21:$AK$24,2,TRUE)</f>
        <v>2.8624000000000001</v>
      </c>
      <c r="AJ325" s="123">
        <f t="shared" si="222"/>
        <v>2.3545999577123666E-3</v>
      </c>
      <c r="AK325" s="122">
        <f>(1+HLOOKUP(YEAR(A325),'Real assumptions'!$A$21:$AK$24,2,TRUE)/100)^(1/12)-1</f>
        <v>2.3545999577123666E-3</v>
      </c>
      <c r="AL325">
        <f t="shared" si="223"/>
        <v>3.5379359797426826</v>
      </c>
      <c r="AM325">
        <f>('Real assumptions'!$B$33/12)*O324*AV324</f>
        <v>3.4676457104857459</v>
      </c>
      <c r="AN325">
        <f t="shared" si="205"/>
        <v>258.01621226126986</v>
      </c>
      <c r="AO325">
        <f t="shared" si="227"/>
        <v>0.60752496247949106</v>
      </c>
      <c r="AP325" s="121">
        <f t="shared" si="206"/>
        <v>0.60752496247949106</v>
      </c>
      <c r="AQ325">
        <f t="shared" si="207"/>
        <v>0</v>
      </c>
      <c r="AR325">
        <v>0</v>
      </c>
      <c r="AS325">
        <f t="shared" si="188"/>
        <v>0</v>
      </c>
      <c r="AT325">
        <f t="shared" si="208"/>
        <v>0</v>
      </c>
      <c r="AU325">
        <f>IFERROR(HLOOKUP(B325,'Real assumptions'!$B$43:$AL$44,2,TRUE)*($W$3/$U$2),0)</f>
        <v>0</v>
      </c>
      <c r="AV325">
        <f>AV324*(1+'Real assumptions'!$B$35)^(1/12)</f>
        <v>1.3826759696432032</v>
      </c>
      <c r="AW325">
        <f t="shared" si="189"/>
        <v>2045</v>
      </c>
      <c r="AX325">
        <f t="shared" si="224"/>
        <v>256.58551406175883</v>
      </c>
      <c r="AY325">
        <f t="shared" si="225"/>
        <v>1.0566166594193835</v>
      </c>
      <c r="AZ325">
        <f t="shared" si="190"/>
        <v>614.52705515924185</v>
      </c>
      <c r="BA325">
        <f t="shared" si="209"/>
        <v>4.4167849905515055</v>
      </c>
      <c r="BB325">
        <f t="shared" si="210"/>
        <v>72.833333333333329</v>
      </c>
      <c r="BC325">
        <f t="shared" si="191"/>
        <v>43.699999999999996</v>
      </c>
      <c r="BD325">
        <f t="shared" si="211"/>
        <v>0</v>
      </c>
      <c r="BE325">
        <f t="shared" si="192"/>
        <v>24</v>
      </c>
      <c r="BF325">
        <f t="shared" si="226"/>
        <v>5000</v>
      </c>
      <c r="BU325"/>
      <c r="FD325"/>
      <c r="FE325"/>
    </row>
    <row r="326" spans="1:161" x14ac:dyDescent="0.25">
      <c r="A326" s="7">
        <f t="shared" si="212"/>
        <v>53021</v>
      </c>
      <c r="B326">
        <f t="shared" si="193"/>
        <v>315</v>
      </c>
      <c r="C326">
        <f t="shared" si="194"/>
        <v>26.166666666666668</v>
      </c>
      <c r="D326">
        <f t="shared" si="195"/>
        <v>0</v>
      </c>
      <c r="E326">
        <f t="shared" si="196"/>
        <v>78</v>
      </c>
      <c r="F326">
        <f>IF(C326&gt;=$T$2,0,VLOOKUP($E326,EKM_F05!$A$3:$C$128,2,TRUE))</f>
        <v>4.7321282051282054E-2</v>
      </c>
      <c r="G326">
        <f>F326*'Real assumptions'!$B$3</f>
        <v>1.9747171000000001E-2</v>
      </c>
      <c r="H326">
        <f t="shared" si="213"/>
        <v>1.6606821900644331E-3</v>
      </c>
      <c r="I326">
        <f t="shared" si="214"/>
        <v>4.1422059027503938E-4</v>
      </c>
      <c r="J326">
        <f>IF(B326&gt;$AJ$2,0,HLOOKUP(C326,'Real assumptions'!$B$5:$L$8,4,TRUE))</f>
        <v>3.7900000000000003E-2</v>
      </c>
      <c r="K326">
        <f t="shared" si="183"/>
        <v>1</v>
      </c>
      <c r="L326">
        <f t="shared" si="215"/>
        <v>8.3333333333333329E-2</v>
      </c>
      <c r="M326">
        <f t="shared" si="216"/>
        <v>3.2145624959929453E-3</v>
      </c>
      <c r="N326">
        <f t="shared" si="217"/>
        <v>8.0242575810494259E-4</v>
      </c>
      <c r="O326" s="8">
        <f t="shared" si="197"/>
        <v>0.24861287163237172</v>
      </c>
      <c r="P326">
        <f t="shared" si="198"/>
        <v>5.9959084315380409</v>
      </c>
      <c r="Q326">
        <f t="shared" si="218"/>
        <v>2.0711029513751971</v>
      </c>
      <c r="R326" s="89">
        <f t="shared" si="184"/>
        <v>5000</v>
      </c>
      <c r="S326">
        <f t="shared" si="185"/>
        <v>0.75</v>
      </c>
      <c r="U326">
        <f>O325*AV325*'Real assumptions'!$B$33/12+AX326*'Real assumptions'!$B$34</f>
        <v>3.5247581029539576</v>
      </c>
      <c r="V326">
        <f>IF(P326=0,0,IF(E326&lt;=$C$7,$AN$5*O325,0))*'Real assumptions'!$D$28</f>
        <v>1.4989771078845102</v>
      </c>
      <c r="X326" s="94">
        <f t="shared" si="199"/>
        <v>0</v>
      </c>
      <c r="Y326">
        <f t="shared" si="186"/>
        <v>24</v>
      </c>
      <c r="Z326">
        <f t="shared" si="219"/>
        <v>72</v>
      </c>
      <c r="AA326">
        <f t="shared" si="187"/>
        <v>72.75</v>
      </c>
      <c r="AB326">
        <f t="shared" si="200"/>
        <v>50.505050505050505</v>
      </c>
      <c r="AC326">
        <f t="shared" si="220"/>
        <v>3674.2424242424245</v>
      </c>
      <c r="AD326">
        <f t="shared" si="201"/>
        <v>80.505050505050505</v>
      </c>
      <c r="AE326">
        <f t="shared" si="202"/>
        <v>292.83712121212119</v>
      </c>
      <c r="AF326" s="94">
        <f t="shared" si="203"/>
        <v>1032.9204545454543</v>
      </c>
      <c r="AG326">
        <f t="shared" si="221"/>
        <v>0.82884197880073807</v>
      </c>
      <c r="AH326">
        <f t="shared" si="204"/>
        <v>256.79732037236005</v>
      </c>
      <c r="AI326">
        <f>HLOOKUP(AW326,'Real assumptions'!$A$21:$AK$24,2,TRUE)</f>
        <v>2.8624000000000001</v>
      </c>
      <c r="AJ326" s="123">
        <f t="shared" si="222"/>
        <v>2.3545999577123666E-3</v>
      </c>
      <c r="AK326" s="122">
        <f>(1+HLOOKUP(YEAR(A326),'Real assumptions'!$A$21:$AK$24,2,TRUE)/100)^(1/12)-1</f>
        <v>2.3545999577123666E-3</v>
      </c>
      <c r="AL326">
        <f t="shared" si="223"/>
        <v>3.5247581029539576</v>
      </c>
      <c r="AM326">
        <f>('Real assumptions'!$B$33/12)*O325*AV325</f>
        <v>3.4543327101952994</v>
      </c>
      <c r="AN326">
        <f t="shared" si="205"/>
        <v>258.4984441779452</v>
      </c>
      <c r="AO326">
        <f t="shared" si="227"/>
        <v>0.60866042573010237</v>
      </c>
      <c r="AP326" s="121">
        <f t="shared" si="206"/>
        <v>1.2161853882095934</v>
      </c>
      <c r="AQ326">
        <f t="shared" si="207"/>
        <v>0</v>
      </c>
      <c r="AR326">
        <v>0</v>
      </c>
      <c r="AS326">
        <f t="shared" si="188"/>
        <v>0</v>
      </c>
      <c r="AT326">
        <f t="shared" si="208"/>
        <v>0</v>
      </c>
      <c r="AU326">
        <f>IFERROR(HLOOKUP(B326,'Real assumptions'!$B$43:$AL$44,2,TRUE)*($W$3/$U$2),0)</f>
        <v>0</v>
      </c>
      <c r="AV326">
        <f>AV325*(1+'Real assumptions'!$B$35)^(1/12)</f>
        <v>1.3841080707683804</v>
      </c>
      <c r="AW326">
        <f t="shared" si="189"/>
        <v>2045</v>
      </c>
      <c r="AX326">
        <f t="shared" si="224"/>
        <v>257.07876488463364</v>
      </c>
      <c r="AY326">
        <f t="shared" si="225"/>
        <v>1.0514710352725238</v>
      </c>
      <c r="AZ326">
        <f t="shared" si="190"/>
        <v>614.04624882785663</v>
      </c>
      <c r="BA326">
        <f t="shared" si="209"/>
        <v>4.3989220380604452</v>
      </c>
      <c r="BB326">
        <f t="shared" si="210"/>
        <v>72.75</v>
      </c>
      <c r="BC326">
        <f t="shared" si="191"/>
        <v>43.65</v>
      </c>
      <c r="BD326">
        <f t="shared" si="211"/>
        <v>0</v>
      </c>
      <c r="BE326">
        <f t="shared" si="192"/>
        <v>24</v>
      </c>
      <c r="BF326">
        <f t="shared" si="226"/>
        <v>5000</v>
      </c>
      <c r="BU326"/>
      <c r="FD326"/>
      <c r="FE326"/>
    </row>
    <row r="327" spans="1:161" x14ac:dyDescent="0.25">
      <c r="A327" s="7">
        <f t="shared" si="212"/>
        <v>53052</v>
      </c>
      <c r="B327">
        <f t="shared" si="193"/>
        <v>316</v>
      </c>
      <c r="C327">
        <f t="shared" si="194"/>
        <v>26.25</v>
      </c>
      <c r="D327">
        <f t="shared" si="195"/>
        <v>0</v>
      </c>
      <c r="E327">
        <f t="shared" si="196"/>
        <v>78</v>
      </c>
      <c r="F327">
        <f>IF(C327&gt;=$T$2,0,VLOOKUP($E327,EKM_F05!$A$3:$C$128,2,TRUE))</f>
        <v>4.7321282051282054E-2</v>
      </c>
      <c r="G327">
        <f>F327*'Real assumptions'!$B$3</f>
        <v>1.9747171000000001E-2</v>
      </c>
      <c r="H327">
        <f t="shared" si="213"/>
        <v>1.6606821900644331E-3</v>
      </c>
      <c r="I327">
        <f t="shared" si="214"/>
        <v>4.1220337480484524E-4</v>
      </c>
      <c r="J327">
        <f>IF(B327&gt;$AJ$2,0,HLOOKUP(C327,'Real assumptions'!$B$5:$L$8,4,TRUE))</f>
        <v>3.7900000000000003E-2</v>
      </c>
      <c r="K327">
        <f t="shared" si="183"/>
        <v>1</v>
      </c>
      <c r="L327">
        <f t="shared" si="215"/>
        <v>8.3333333333333329E-2</v>
      </c>
      <c r="M327">
        <f t="shared" si="216"/>
        <v>3.2145624959929453E-3</v>
      </c>
      <c r="N327">
        <f t="shared" si="217"/>
        <v>7.985180198347209E-4</v>
      </c>
      <c r="O327" s="8">
        <f t="shared" si="197"/>
        <v>0.24740215023773215</v>
      </c>
      <c r="P327">
        <f t="shared" si="198"/>
        <v>5.9667089191769218</v>
      </c>
      <c r="Q327">
        <f t="shared" si="218"/>
        <v>2.0610168740242263</v>
      </c>
      <c r="R327" s="89">
        <f t="shared" si="184"/>
        <v>5000</v>
      </c>
      <c r="S327">
        <f t="shared" si="185"/>
        <v>0.66666666666666785</v>
      </c>
      <c r="U327">
        <f>O326*AV326*'Real assumptions'!$B$33/12+AX327*'Real assumptions'!$B$34</f>
        <v>3.5116302864471374</v>
      </c>
      <c r="V327">
        <f>IF(P327=0,0,IF(E327&lt;=$C$7,$AN$5*O326,0))*'Real assumptions'!$D$28</f>
        <v>1.4916772297942305</v>
      </c>
      <c r="X327" s="94">
        <f t="shared" si="199"/>
        <v>0</v>
      </c>
      <c r="Y327">
        <f t="shared" si="186"/>
        <v>24</v>
      </c>
      <c r="Z327">
        <f t="shared" si="219"/>
        <v>72</v>
      </c>
      <c r="AA327">
        <f t="shared" si="187"/>
        <v>72.666666666666671</v>
      </c>
      <c r="AB327">
        <f t="shared" si="200"/>
        <v>50.505050505050505</v>
      </c>
      <c r="AC327">
        <f t="shared" si="220"/>
        <v>3670.0336700336702</v>
      </c>
      <c r="AD327">
        <f t="shared" si="201"/>
        <v>80.505050505050505</v>
      </c>
      <c r="AE327">
        <f t="shared" si="202"/>
        <v>292.50168350168349</v>
      </c>
      <c r="AF327" s="94">
        <f t="shared" si="203"/>
        <v>1037.4646464646462</v>
      </c>
      <c r="AG327">
        <f t="shared" si="221"/>
        <v>0.82843421514347804</v>
      </c>
      <c r="AH327">
        <f t="shared" si="204"/>
        <v>256.67098433098209</v>
      </c>
      <c r="AI327">
        <f>HLOOKUP(AW327,'Real assumptions'!$A$21:$AK$24,2,TRUE)</f>
        <v>2.8624000000000001</v>
      </c>
      <c r="AJ327" s="123">
        <f t="shared" si="222"/>
        <v>2.3545999577123666E-3</v>
      </c>
      <c r="AK327" s="122">
        <f>(1+HLOOKUP(YEAR(A327),'Real assumptions'!$A$21:$AK$24,2,TRUE)/100)^(1/12)-1</f>
        <v>2.3545999577123666E-3</v>
      </c>
      <c r="AL327">
        <f t="shared" si="223"/>
        <v>3.5116302864471374</v>
      </c>
      <c r="AM327">
        <f>('Real assumptions'!$B$33/12)*O326*AV326</f>
        <v>3.4410708212326901</v>
      </c>
      <c r="AN327">
        <f t="shared" si="205"/>
        <v>258.97690716350519</v>
      </c>
      <c r="AO327">
        <f t="shared" si="227"/>
        <v>0.60978701465566887</v>
      </c>
      <c r="AP327" s="121">
        <f t="shared" si="206"/>
        <v>1.8259724028652622</v>
      </c>
      <c r="AQ327">
        <f t="shared" si="207"/>
        <v>0</v>
      </c>
      <c r="AR327">
        <v>0</v>
      </c>
      <c r="AS327">
        <f t="shared" si="188"/>
        <v>0</v>
      </c>
      <c r="AT327">
        <f t="shared" si="208"/>
        <v>0</v>
      </c>
      <c r="AU327">
        <f>IFERROR(HLOOKUP(B327,'Real assumptions'!$B$43:$AL$44,2,TRUE)*($W$3/$U$2),0)</f>
        <v>0</v>
      </c>
      <c r="AV327">
        <f>AV326*(1+'Real assumptions'!$B$35)^(1/12)</f>
        <v>1.3855416551865907</v>
      </c>
      <c r="AW327">
        <f t="shared" si="189"/>
        <v>2045</v>
      </c>
      <c r="AX327">
        <f t="shared" si="224"/>
        <v>257.56817900060861</v>
      </c>
      <c r="AY327">
        <f t="shared" si="225"/>
        <v>1.0463504698332142</v>
      </c>
      <c r="AZ327">
        <f t="shared" si="190"/>
        <v>613.56603241314792</v>
      </c>
      <c r="BA327">
        <f t="shared" si="209"/>
        <v>4.3811283189619346</v>
      </c>
      <c r="BB327">
        <f t="shared" si="210"/>
        <v>72.666666666666671</v>
      </c>
      <c r="BC327">
        <f t="shared" si="191"/>
        <v>43.6</v>
      </c>
      <c r="BD327">
        <f t="shared" si="211"/>
        <v>0</v>
      </c>
      <c r="BE327">
        <f t="shared" si="192"/>
        <v>24</v>
      </c>
      <c r="BF327">
        <f t="shared" si="226"/>
        <v>5000</v>
      </c>
      <c r="BU327"/>
      <c r="FD327"/>
      <c r="FE327"/>
    </row>
    <row r="328" spans="1:161" x14ac:dyDescent="0.25">
      <c r="A328" s="7">
        <f t="shared" si="212"/>
        <v>53082</v>
      </c>
      <c r="B328">
        <f t="shared" si="193"/>
        <v>317</v>
      </c>
      <c r="C328">
        <f t="shared" si="194"/>
        <v>26.333333333333332</v>
      </c>
      <c r="D328">
        <f t="shared" si="195"/>
        <v>0</v>
      </c>
      <c r="E328">
        <f t="shared" si="196"/>
        <v>78</v>
      </c>
      <c r="F328">
        <f>IF(C328&gt;=$T$2,0,VLOOKUP($E328,EKM_F05!$A$3:$C$128,2,TRUE))</f>
        <v>4.7321282051282054E-2</v>
      </c>
      <c r="G328">
        <f>F328*'Real assumptions'!$B$3</f>
        <v>1.9747171000000001E-2</v>
      </c>
      <c r="H328">
        <f t="shared" si="213"/>
        <v>1.6606821900644331E-3</v>
      </c>
      <c r="I328">
        <f t="shared" si="214"/>
        <v>4.1019598298501687E-4</v>
      </c>
      <c r="J328">
        <f>IF(B328&gt;$AJ$2,0,HLOOKUP(C328,'Real assumptions'!$B$5:$L$8,4,TRUE))</f>
        <v>3.7900000000000003E-2</v>
      </c>
      <c r="K328">
        <f t="shared" si="183"/>
        <v>1</v>
      </c>
      <c r="L328">
        <f t="shared" si="215"/>
        <v>8.3333333333333329E-2</v>
      </c>
      <c r="M328">
        <f t="shared" si="216"/>
        <v>3.2145624959929453E-3</v>
      </c>
      <c r="N328">
        <f t="shared" si="217"/>
        <v>7.9462931188379585E-4</v>
      </c>
      <c r="O328" s="8">
        <f t="shared" si="197"/>
        <v>0.24619732494286334</v>
      </c>
      <c r="P328">
        <f t="shared" si="198"/>
        <v>5.9376516057055717</v>
      </c>
      <c r="Q328">
        <f t="shared" si="218"/>
        <v>2.0509799149250845</v>
      </c>
      <c r="R328" s="89">
        <f t="shared" si="184"/>
        <v>5000</v>
      </c>
      <c r="S328">
        <f t="shared" si="185"/>
        <v>0.58333333333333215</v>
      </c>
      <c r="U328">
        <f>O327*AV327*'Real assumptions'!$B$33/12+AX328*'Real assumptions'!$B$34</f>
        <v>3.4985523455733425</v>
      </c>
      <c r="V328">
        <f>IF(P328=0,0,IF(E328&lt;=$C$7,$AN$5*O327,0))*'Real assumptions'!$D$28</f>
        <v>1.4844129014263929</v>
      </c>
      <c r="X328" s="94">
        <f t="shared" si="199"/>
        <v>0</v>
      </c>
      <c r="Y328">
        <f t="shared" si="186"/>
        <v>24</v>
      </c>
      <c r="Z328">
        <f t="shared" si="219"/>
        <v>72</v>
      </c>
      <c r="AA328">
        <f t="shared" si="187"/>
        <v>72.583333333333329</v>
      </c>
      <c r="AB328">
        <f t="shared" si="200"/>
        <v>50.505050505050505</v>
      </c>
      <c r="AC328">
        <f t="shared" si="220"/>
        <v>3665.8249158249155</v>
      </c>
      <c r="AD328">
        <f t="shared" si="201"/>
        <v>80.505050505050505</v>
      </c>
      <c r="AE328">
        <f t="shared" si="202"/>
        <v>292.16624579124579</v>
      </c>
      <c r="AF328" s="94">
        <f t="shared" si="203"/>
        <v>1042.0088383838388</v>
      </c>
      <c r="AG328">
        <f t="shared" si="221"/>
        <v>0.82801076622178327</v>
      </c>
      <c r="AH328">
        <f t="shared" si="204"/>
        <v>256.53978857692152</v>
      </c>
      <c r="AI328">
        <f>HLOOKUP(AW328,'Real assumptions'!$A$21:$AK$24,2,TRUE)</f>
        <v>2.8624000000000001</v>
      </c>
      <c r="AJ328" s="123">
        <f t="shared" si="222"/>
        <v>2.3545999577123666E-3</v>
      </c>
      <c r="AK328" s="122">
        <f>(1+HLOOKUP(YEAR(A328),'Real assumptions'!$A$21:$AK$24,2,TRUE)/100)^(1/12)-1</f>
        <v>2.3545999577123666E-3</v>
      </c>
      <c r="AL328">
        <f t="shared" si="223"/>
        <v>3.4985523455733425</v>
      </c>
      <c r="AM328">
        <f>('Real assumptions'!$B$33/12)*O327*AV327</f>
        <v>3.42785984737109</v>
      </c>
      <c r="AN328">
        <f t="shared" si="205"/>
        <v>259.45164309255324</v>
      </c>
      <c r="AO328">
        <f t="shared" si="227"/>
        <v>0.61090482785412992</v>
      </c>
      <c r="AP328" s="121">
        <f t="shared" si="206"/>
        <v>2.436877230719392</v>
      </c>
      <c r="AQ328">
        <f t="shared" si="207"/>
        <v>0</v>
      </c>
      <c r="AR328">
        <v>0</v>
      </c>
      <c r="AS328">
        <f t="shared" si="188"/>
        <v>0</v>
      </c>
      <c r="AT328">
        <f t="shared" si="208"/>
        <v>0</v>
      </c>
      <c r="AU328">
        <f>IFERROR(HLOOKUP(B328,'Real assumptions'!$B$43:$AL$44,2,TRUE)*($W$3/$U$2),0)</f>
        <v>0</v>
      </c>
      <c r="AV328">
        <f>AV327*(1+'Real assumptions'!$B$35)^(1/12)</f>
        <v>1.3869767244341487</v>
      </c>
      <c r="AW328">
        <f t="shared" si="189"/>
        <v>2045</v>
      </c>
      <c r="AX328">
        <f t="shared" si="224"/>
        <v>258.05379867348887</v>
      </c>
      <c r="AY328">
        <f t="shared" si="225"/>
        <v>1.0412548410678961</v>
      </c>
      <c r="AZ328">
        <f t="shared" si="190"/>
        <v>613.08643064468072</v>
      </c>
      <c r="BA328">
        <f t="shared" si="209"/>
        <v>4.3634035825732607</v>
      </c>
      <c r="BB328">
        <f t="shared" si="210"/>
        <v>72.583333333333329</v>
      </c>
      <c r="BC328">
        <f t="shared" si="191"/>
        <v>43.55</v>
      </c>
      <c r="BD328">
        <f t="shared" si="211"/>
        <v>0</v>
      </c>
      <c r="BE328">
        <f t="shared" si="192"/>
        <v>24</v>
      </c>
      <c r="BF328">
        <f t="shared" si="226"/>
        <v>5000</v>
      </c>
      <c r="BU328"/>
      <c r="FD328"/>
      <c r="FE328"/>
    </row>
    <row r="329" spans="1:161" x14ac:dyDescent="0.25">
      <c r="A329" s="7">
        <f t="shared" si="212"/>
        <v>53113</v>
      </c>
      <c r="B329">
        <f t="shared" si="193"/>
        <v>318</v>
      </c>
      <c r="C329">
        <f t="shared" si="194"/>
        <v>26.416666666666668</v>
      </c>
      <c r="D329">
        <f t="shared" si="195"/>
        <v>0</v>
      </c>
      <c r="E329">
        <f t="shared" si="196"/>
        <v>78</v>
      </c>
      <c r="F329">
        <f>IF(C329&gt;=$T$2,0,VLOOKUP($E329,EKM_F05!$A$3:$C$128,2,TRUE))</f>
        <v>4.7321282051282054E-2</v>
      </c>
      <c r="G329">
        <f>F329*'Real assumptions'!$B$3</f>
        <v>1.9747171000000001E-2</v>
      </c>
      <c r="H329">
        <f t="shared" si="213"/>
        <v>1.6606821900644331E-3</v>
      </c>
      <c r="I329">
        <f t="shared" si="214"/>
        <v>4.0819836697529734E-4</v>
      </c>
      <c r="J329">
        <f>IF(B329&gt;$AJ$2,0,HLOOKUP(C329,'Real assumptions'!$B$5:$L$8,4,TRUE))</f>
        <v>3.7900000000000003E-2</v>
      </c>
      <c r="K329">
        <f t="shared" si="183"/>
        <v>1</v>
      </c>
      <c r="L329">
        <f t="shared" si="215"/>
        <v>8.3333333333333329E-2</v>
      </c>
      <c r="M329">
        <f t="shared" si="216"/>
        <v>3.2145624959929453E-3</v>
      </c>
      <c r="N329">
        <f t="shared" si="217"/>
        <v>7.9075954157629513E-4</v>
      </c>
      <c r="O329" s="8">
        <f t="shared" si="197"/>
        <v>0.24499836703431174</v>
      </c>
      <c r="P329">
        <f t="shared" si="198"/>
        <v>5.9087357986287206</v>
      </c>
      <c r="Q329">
        <f t="shared" si="218"/>
        <v>2.0409918348764866</v>
      </c>
      <c r="R329" s="89">
        <f t="shared" si="184"/>
        <v>5000</v>
      </c>
      <c r="S329">
        <f t="shared" si="185"/>
        <v>0.5</v>
      </c>
      <c r="U329">
        <f>O328*AV328*'Real assumptions'!$B$33/12+AX329*'Real assumptions'!$B$34</f>
        <v>3.4855240963599168</v>
      </c>
      <c r="V329">
        <f>IF(P329=0,0,IF(E329&lt;=$C$7,$AN$5*O328,0))*'Real assumptions'!$D$28</f>
        <v>1.4771839496571801</v>
      </c>
      <c r="X329" s="94">
        <f t="shared" si="199"/>
        <v>0</v>
      </c>
      <c r="Y329">
        <f t="shared" si="186"/>
        <v>24</v>
      </c>
      <c r="Z329">
        <f t="shared" si="219"/>
        <v>72</v>
      </c>
      <c r="AA329">
        <f t="shared" si="187"/>
        <v>72.5</v>
      </c>
      <c r="AB329">
        <f t="shared" si="200"/>
        <v>50.505050505050505</v>
      </c>
      <c r="AC329">
        <f t="shared" si="220"/>
        <v>3661.6161616161617</v>
      </c>
      <c r="AD329">
        <f t="shared" si="201"/>
        <v>80.505050505050505</v>
      </c>
      <c r="AE329">
        <f t="shared" si="202"/>
        <v>291.83080808080808</v>
      </c>
      <c r="AF329" s="94">
        <f t="shared" si="203"/>
        <v>1046.5530303030303</v>
      </c>
      <c r="AG329">
        <f t="shared" si="221"/>
        <v>0.82757179447770668</v>
      </c>
      <c r="AH329">
        <f t="shared" si="204"/>
        <v>256.40378343905297</v>
      </c>
      <c r="AI329">
        <f>HLOOKUP(AW329,'Real assumptions'!$A$21:$AK$24,2,TRUE)</f>
        <v>2.8624000000000001</v>
      </c>
      <c r="AJ329" s="123">
        <f t="shared" si="222"/>
        <v>2.3545999577123666E-3</v>
      </c>
      <c r="AK329" s="122">
        <f>(1+HLOOKUP(YEAR(A329),'Real assumptions'!$A$21:$AK$24,2,TRUE)/100)^(1/12)-1</f>
        <v>2.3545999577123666E-3</v>
      </c>
      <c r="AL329">
        <f t="shared" si="223"/>
        <v>3.4855240963599168</v>
      </c>
      <c r="AM329">
        <f>('Real assumptions'!$B$33/12)*O328*AV328</f>
        <v>3.4146995931370232</v>
      </c>
      <c r="AN329">
        <f t="shared" si="205"/>
        <v>259.92269356025253</v>
      </c>
      <c r="AO329">
        <f t="shared" si="227"/>
        <v>0.61201396326545499</v>
      </c>
      <c r="AP329" s="121">
        <f t="shared" si="206"/>
        <v>3.0488911939848471</v>
      </c>
      <c r="AQ329">
        <f t="shared" si="207"/>
        <v>0</v>
      </c>
      <c r="AR329">
        <v>0</v>
      </c>
      <c r="AS329">
        <f t="shared" si="188"/>
        <v>0</v>
      </c>
      <c r="AT329">
        <f t="shared" si="208"/>
        <v>0</v>
      </c>
      <c r="AU329">
        <f>IFERROR(HLOOKUP(B329,'Real assumptions'!$B$43:$AL$44,2,TRUE)*($W$3/$U$2),0)</f>
        <v>0</v>
      </c>
      <c r="AV329">
        <f>AV328*(1+'Real assumptions'!$B$35)^(1/12)</f>
        <v>1.3884132800489608</v>
      </c>
      <c r="AW329">
        <f t="shared" si="189"/>
        <v>2045</v>
      </c>
      <c r="AX329">
        <f t="shared" si="224"/>
        <v>258.5356658855211</v>
      </c>
      <c r="AY329">
        <f t="shared" si="225"/>
        <v>1.0361840275373035</v>
      </c>
      <c r="AZ329">
        <f t="shared" si="190"/>
        <v>612.60746805160818</v>
      </c>
      <c r="BA329">
        <f t="shared" si="209"/>
        <v>4.3457475790113733</v>
      </c>
      <c r="BB329">
        <f t="shared" si="210"/>
        <v>72.5</v>
      </c>
      <c r="BC329">
        <f t="shared" si="191"/>
        <v>43.5</v>
      </c>
      <c r="BD329">
        <f t="shared" si="211"/>
        <v>0</v>
      </c>
      <c r="BE329">
        <f t="shared" si="192"/>
        <v>24</v>
      </c>
      <c r="BF329">
        <f t="shared" si="226"/>
        <v>5000</v>
      </c>
      <c r="BU329"/>
      <c r="FD329"/>
      <c r="FE329"/>
    </row>
    <row r="330" spans="1:161" x14ac:dyDescent="0.25">
      <c r="A330" s="7">
        <f t="shared" si="212"/>
        <v>53143</v>
      </c>
      <c r="B330">
        <f t="shared" si="193"/>
        <v>319</v>
      </c>
      <c r="C330">
        <f t="shared" si="194"/>
        <v>26.5</v>
      </c>
      <c r="D330">
        <f t="shared" si="195"/>
        <v>0</v>
      </c>
      <c r="E330">
        <f t="shared" si="196"/>
        <v>78</v>
      </c>
      <c r="F330">
        <f>IF(C330&gt;=$T$2,0,VLOOKUP($E330,EKM_F05!$A$3:$C$128,2,TRUE))</f>
        <v>4.7321282051282054E-2</v>
      </c>
      <c r="G330">
        <f>F330*'Real assumptions'!$B$3</f>
        <v>1.9747171000000001E-2</v>
      </c>
      <c r="H330">
        <f t="shared" si="213"/>
        <v>1.6606821900644331E-3</v>
      </c>
      <c r="I330">
        <f t="shared" si="214"/>
        <v>4.0621047916840727E-4</v>
      </c>
      <c r="J330">
        <f>IF(B330&gt;$AJ$2,0,HLOOKUP(C330,'Real assumptions'!$B$5:$L$8,4,TRUE))</f>
        <v>3.7900000000000003E-2</v>
      </c>
      <c r="K330">
        <f t="shared" si="183"/>
        <v>1</v>
      </c>
      <c r="L330">
        <f t="shared" si="215"/>
        <v>8.3333333333333329E-2</v>
      </c>
      <c r="M330">
        <f t="shared" si="216"/>
        <v>3.2145624959929453E-3</v>
      </c>
      <c r="N330">
        <f t="shared" si="217"/>
        <v>7.8690861668766947E-4</v>
      </c>
      <c r="O330" s="8">
        <f t="shared" si="197"/>
        <v>0.24380524793845565</v>
      </c>
      <c r="P330">
        <f t="shared" si="198"/>
        <v>5.8799608088234816</v>
      </c>
      <c r="Q330">
        <f t="shared" si="218"/>
        <v>2.0310523958420363</v>
      </c>
      <c r="R330" s="89">
        <f t="shared" si="184"/>
        <v>5000</v>
      </c>
      <c r="S330">
        <f t="shared" si="185"/>
        <v>0.41666666666666785</v>
      </c>
      <c r="U330">
        <f>O329*AV329*'Real assumptions'!$B$33/12+AX330*'Real assumptions'!$B$34</f>
        <v>3.472545355508037</v>
      </c>
      <c r="V330">
        <f>IF(P330=0,0,IF(E330&lt;=$C$7,$AN$5*O329,0))*'Real assumptions'!$D$28</f>
        <v>1.4699902022058704</v>
      </c>
      <c r="X330" s="94">
        <f t="shared" si="199"/>
        <v>0</v>
      </c>
      <c r="Y330">
        <f t="shared" si="186"/>
        <v>24</v>
      </c>
      <c r="Z330">
        <f t="shared" si="219"/>
        <v>72</v>
      </c>
      <c r="AA330">
        <f t="shared" si="187"/>
        <v>72.416666666666671</v>
      </c>
      <c r="AB330">
        <f t="shared" si="200"/>
        <v>50.505050505050505</v>
      </c>
      <c r="AC330">
        <f t="shared" si="220"/>
        <v>3657.4074074074078</v>
      </c>
      <c r="AD330">
        <f t="shared" si="201"/>
        <v>80.505050505050505</v>
      </c>
      <c r="AE330">
        <f t="shared" si="202"/>
        <v>291.49537037037038</v>
      </c>
      <c r="AF330" s="94">
        <f t="shared" si="203"/>
        <v>1051.0972222222217</v>
      </c>
      <c r="AG330">
        <f t="shared" si="221"/>
        <v>0.82711746114314044</v>
      </c>
      <c r="AH330">
        <f t="shared" si="204"/>
        <v>256.26301887131081</v>
      </c>
      <c r="AI330">
        <f>HLOOKUP(AW330,'Real assumptions'!$A$21:$AK$24,2,TRUE)</f>
        <v>2.8624000000000001</v>
      </c>
      <c r="AJ330" s="123">
        <f t="shared" si="222"/>
        <v>2.3545999577123666E-3</v>
      </c>
      <c r="AK330" s="122">
        <f>(1+HLOOKUP(YEAR(A330),'Real assumptions'!$A$21:$AK$24,2,TRUE)/100)^(1/12)-1</f>
        <v>2.3545999577123666E-3</v>
      </c>
      <c r="AL330">
        <f t="shared" si="223"/>
        <v>3.472545355508037</v>
      </c>
      <c r="AM330">
        <f>('Real assumptions'!$B$33/12)*O329*AV329</f>
        <v>3.4015898638074797</v>
      </c>
      <c r="AN330">
        <f t="shared" si="205"/>
        <v>260.39009988414745</v>
      </c>
      <c r="AO330">
        <f t="shared" si="227"/>
        <v>0.61311451817593254</v>
      </c>
      <c r="AP330" s="121">
        <f t="shared" si="206"/>
        <v>3.6620057121607799</v>
      </c>
      <c r="AQ330">
        <f t="shared" si="207"/>
        <v>0</v>
      </c>
      <c r="AR330">
        <v>0</v>
      </c>
      <c r="AS330">
        <f t="shared" si="188"/>
        <v>0</v>
      </c>
      <c r="AT330">
        <f t="shared" si="208"/>
        <v>0</v>
      </c>
      <c r="AU330">
        <f>IFERROR(HLOOKUP(B330,'Real assumptions'!$B$43:$AL$44,2,TRUE)*($W$3/$U$2),0)</f>
        <v>0</v>
      </c>
      <c r="AV330">
        <f>AV329*(1+'Real assumptions'!$B$35)^(1/12)</f>
        <v>1.3898513235705259</v>
      </c>
      <c r="AW330">
        <f t="shared" si="189"/>
        <v>2045</v>
      </c>
      <c r="AX330">
        <f t="shared" si="224"/>
        <v>259.01382233922556</v>
      </c>
      <c r="AY330">
        <f t="shared" si="225"/>
        <v>1.0311379083935679</v>
      </c>
      <c r="AZ330">
        <f t="shared" si="190"/>
        <v>612.12916896410115</v>
      </c>
      <c r="BA330">
        <f t="shared" si="209"/>
        <v>4.3281600591910472</v>
      </c>
      <c r="BB330">
        <f t="shared" si="210"/>
        <v>72.416666666666671</v>
      </c>
      <c r="BC330">
        <f t="shared" si="191"/>
        <v>43.45</v>
      </c>
      <c r="BD330">
        <f t="shared" si="211"/>
        <v>0</v>
      </c>
      <c r="BE330">
        <f t="shared" si="192"/>
        <v>24</v>
      </c>
      <c r="BF330">
        <f t="shared" si="226"/>
        <v>5000</v>
      </c>
      <c r="BU330"/>
      <c r="FD330"/>
      <c r="FE330"/>
    </row>
    <row r="331" spans="1:161" x14ac:dyDescent="0.25">
      <c r="A331" s="7">
        <f t="shared" si="212"/>
        <v>53174</v>
      </c>
      <c r="B331">
        <f t="shared" si="193"/>
        <v>320</v>
      </c>
      <c r="C331">
        <f t="shared" si="194"/>
        <v>26.583333333333332</v>
      </c>
      <c r="D331">
        <f t="shared" si="195"/>
        <v>0</v>
      </c>
      <c r="E331">
        <f t="shared" si="196"/>
        <v>78</v>
      </c>
      <c r="F331">
        <f>IF(C331&gt;=$T$2,0,VLOOKUP($E331,EKM_F05!$A$3:$C$128,2,TRUE))</f>
        <v>4.7321282051282054E-2</v>
      </c>
      <c r="G331">
        <f>F331*'Real assumptions'!$B$3</f>
        <v>1.9747171000000001E-2</v>
      </c>
      <c r="H331">
        <f t="shared" si="213"/>
        <v>1.6606821900644331E-3</v>
      </c>
      <c r="I331">
        <f t="shared" si="214"/>
        <v>4.0423227218891006E-4</v>
      </c>
      <c r="J331">
        <f>IF(B331&gt;$AJ$2,0,HLOOKUP(C331,'Real assumptions'!$B$5:$L$8,4,TRUE))</f>
        <v>3.7900000000000003E-2</v>
      </c>
      <c r="K331">
        <f t="shared" si="183"/>
        <v>1</v>
      </c>
      <c r="L331">
        <f t="shared" si="215"/>
        <v>8.3333333333333329E-2</v>
      </c>
      <c r="M331">
        <f t="shared" si="216"/>
        <v>3.2145624959929453E-3</v>
      </c>
      <c r="N331">
        <f t="shared" si="217"/>
        <v>7.8307644544249437E-4</v>
      </c>
      <c r="O331" s="8">
        <f t="shared" si="197"/>
        <v>0.24261793922082425</v>
      </c>
      <c r="P331">
        <f t="shared" si="198"/>
        <v>5.851325950522936</v>
      </c>
      <c r="Q331">
        <f t="shared" si="218"/>
        <v>2.0211613609445505</v>
      </c>
      <c r="R331" s="89">
        <f t="shared" si="184"/>
        <v>5000</v>
      </c>
      <c r="S331">
        <f t="shared" si="185"/>
        <v>0.33333333333333215</v>
      </c>
      <c r="U331">
        <f>O330*AV330*'Real assumptions'!$B$33/12+AX331*'Real assumptions'!$B$34</f>
        <v>3.4596159403903339</v>
      </c>
      <c r="V331">
        <f>IF(P331=0,0,IF(E331&lt;=$C$7,$AN$5*O330,0))*'Real assumptions'!$D$28</f>
        <v>1.462831487630734</v>
      </c>
      <c r="X331" s="94">
        <f t="shared" si="199"/>
        <v>0</v>
      </c>
      <c r="Y331">
        <f t="shared" si="186"/>
        <v>24</v>
      </c>
      <c r="Z331">
        <f t="shared" si="219"/>
        <v>72</v>
      </c>
      <c r="AA331">
        <f t="shared" si="187"/>
        <v>72.333333333333329</v>
      </c>
      <c r="AB331">
        <f t="shared" si="200"/>
        <v>50.505050505050505</v>
      </c>
      <c r="AC331">
        <f t="shared" si="220"/>
        <v>3653.1986531986531</v>
      </c>
      <c r="AD331">
        <f t="shared" si="201"/>
        <v>80.505050505050505</v>
      </c>
      <c r="AE331">
        <f t="shared" si="202"/>
        <v>291.15993265993262</v>
      </c>
      <c r="AF331" s="94">
        <f t="shared" si="203"/>
        <v>1055.6414141414143</v>
      </c>
      <c r="AG331">
        <f t="shared" si="221"/>
        <v>0.82664792624774686</v>
      </c>
      <c r="AH331">
        <f t="shared" si="204"/>
        <v>256.11754445514663</v>
      </c>
      <c r="AI331">
        <f>HLOOKUP(AW331,'Real assumptions'!$A$21:$AK$24,2,TRUE)</f>
        <v>2.8624000000000001</v>
      </c>
      <c r="AJ331" s="123">
        <f t="shared" si="222"/>
        <v>2.3545999577123666E-3</v>
      </c>
      <c r="AK331" s="122">
        <f>(1+HLOOKUP(YEAR(A331),'Real assumptions'!$A$21:$AK$24,2,TRUE)/100)^(1/12)-1</f>
        <v>2.3545999577123666E-3</v>
      </c>
      <c r="AL331">
        <f t="shared" si="223"/>
        <v>3.4596159403903339</v>
      </c>
      <c r="AM331">
        <f>('Real assumptions'!$B$33/12)*O330*AV330</f>
        <v>3.3885304654070278</v>
      </c>
      <c r="AN331">
        <f t="shared" si="205"/>
        <v>260.85390310597342</v>
      </c>
      <c r="AO331">
        <f t="shared" si="227"/>
        <v>0.61420658922243077</v>
      </c>
      <c r="AP331" s="121">
        <f t="shared" si="206"/>
        <v>4.276212301383211</v>
      </c>
      <c r="AQ331">
        <f t="shared" si="207"/>
        <v>0</v>
      </c>
      <c r="AR331">
        <v>0</v>
      </c>
      <c r="AS331">
        <f t="shared" si="188"/>
        <v>0</v>
      </c>
      <c r="AT331">
        <f t="shared" si="208"/>
        <v>0</v>
      </c>
      <c r="AU331">
        <f>IFERROR(HLOOKUP(B331,'Real assumptions'!$B$43:$AL$44,2,TRUE)*($W$3/$U$2),0)</f>
        <v>0</v>
      </c>
      <c r="AV331">
        <f>AV330*(1+'Real assumptions'!$B$35)^(1/12)</f>
        <v>1.3912908565399373</v>
      </c>
      <c r="AW331">
        <f t="shared" si="189"/>
        <v>2045</v>
      </c>
      <c r="AX331">
        <f t="shared" si="224"/>
        <v>259.48830945921821</v>
      </c>
      <c r="AY331">
        <f t="shared" si="225"/>
        <v>1.0261163633773385</v>
      </c>
      <c r="AZ331">
        <f t="shared" si="190"/>
        <v>611.65155751476811</v>
      </c>
      <c r="BA331">
        <f t="shared" si="209"/>
        <v>4.3106407748230318</v>
      </c>
      <c r="BB331">
        <f t="shared" si="210"/>
        <v>72.333333333333329</v>
      </c>
      <c r="BC331">
        <f t="shared" si="191"/>
        <v>43.399999999999991</v>
      </c>
      <c r="BD331">
        <f t="shared" si="211"/>
        <v>0</v>
      </c>
      <c r="BE331">
        <f t="shared" si="192"/>
        <v>24</v>
      </c>
      <c r="BF331">
        <f t="shared" si="226"/>
        <v>5000</v>
      </c>
      <c r="BU331"/>
      <c r="FD331"/>
      <c r="FE331"/>
    </row>
    <row r="332" spans="1:161" x14ac:dyDescent="0.25">
      <c r="A332" s="7">
        <f t="shared" si="212"/>
        <v>53205</v>
      </c>
      <c r="B332">
        <f t="shared" si="193"/>
        <v>321</v>
      </c>
      <c r="C332">
        <f t="shared" si="194"/>
        <v>26.666666666666668</v>
      </c>
      <c r="D332">
        <f t="shared" si="195"/>
        <v>0</v>
      </c>
      <c r="E332">
        <f t="shared" si="196"/>
        <v>78</v>
      </c>
      <c r="F332">
        <f>IF(C332&gt;=$T$2,0,VLOOKUP($E332,EKM_F05!$A$3:$C$128,2,TRUE))</f>
        <v>4.7321282051282054E-2</v>
      </c>
      <c r="G332">
        <f>F332*'Real assumptions'!$B$3</f>
        <v>1.9747171000000001E-2</v>
      </c>
      <c r="H332">
        <f t="shared" si="213"/>
        <v>1.6606821900644331E-3</v>
      </c>
      <c r="I332">
        <f t="shared" si="214"/>
        <v>4.022636988920834E-4</v>
      </c>
      <c r="J332">
        <f>IF(B332&gt;$AJ$2,0,HLOOKUP(C332,'Real assumptions'!$B$5:$L$8,4,TRUE))</f>
        <v>3.7900000000000003E-2</v>
      </c>
      <c r="K332">
        <f t="shared" ref="K332:K395" si="228">IF(B332&gt;$AJ$2,0,IF(($U$2*(B332+11))/12-INT(($U$2*(B332+11))/12)=0,1,0))</f>
        <v>1</v>
      </c>
      <c r="L332">
        <f t="shared" si="215"/>
        <v>8.3333333333333329E-2</v>
      </c>
      <c r="M332">
        <f t="shared" si="216"/>
        <v>3.2145624959929453E-3</v>
      </c>
      <c r="N332">
        <f t="shared" si="217"/>
        <v>7.7926293651228305E-4</v>
      </c>
      <c r="O332" s="8">
        <f t="shared" si="197"/>
        <v>0.24143641258541987</v>
      </c>
      <c r="P332">
        <f t="shared" si="198"/>
        <v>5.8228305412997816</v>
      </c>
      <c r="Q332">
        <f t="shared" si="218"/>
        <v>2.0113184944604172</v>
      </c>
      <c r="R332" s="89">
        <f t="shared" ref="R332:R395" si="229">$AI$2</f>
        <v>5000</v>
      </c>
      <c r="S332">
        <f t="shared" ref="S332:S395" si="230">INT(B332/12)+1-B332/12</f>
        <v>0.25</v>
      </c>
      <c r="U332">
        <f>O331*AV331*'Real assumptions'!$B$33/12+AX332*'Real assumptions'!$B$34</f>
        <v>3.4467356690485103</v>
      </c>
      <c r="V332">
        <f>IF(P332=0,0,IF(E332&lt;=$C$7,$AN$5*O331,0))*'Real assumptions'!$D$28</f>
        <v>1.4557076353249454</v>
      </c>
      <c r="X332" s="94">
        <f t="shared" si="199"/>
        <v>0</v>
      </c>
      <c r="Y332">
        <f t="shared" ref="Y332:Y395" si="231">IF(P332=0,0,$AN$5)</f>
        <v>24</v>
      </c>
      <c r="Z332">
        <f t="shared" si="219"/>
        <v>72</v>
      </c>
      <c r="AA332">
        <f t="shared" ref="AA332:AA395" si="232">99-(B332/12)</f>
        <v>72.25</v>
      </c>
      <c r="AB332">
        <f t="shared" si="200"/>
        <v>50.505050505050505</v>
      </c>
      <c r="AC332">
        <f t="shared" si="220"/>
        <v>3648.9898989898988</v>
      </c>
      <c r="AD332">
        <f t="shared" si="201"/>
        <v>80.505050505050505</v>
      </c>
      <c r="AE332">
        <f t="shared" si="202"/>
        <v>290.82449494949492</v>
      </c>
      <c r="AF332" s="94">
        <f t="shared" si="203"/>
        <v>1060.1856060606062</v>
      </c>
      <c r="AG332">
        <f t="shared" si="221"/>
        <v>0.82616334862684249</v>
      </c>
      <c r="AH332">
        <f t="shared" si="204"/>
        <v>255.96740940197193</v>
      </c>
      <c r="AI332">
        <f>HLOOKUP(AW332,'Real assumptions'!$A$21:$AK$24,2,TRUE)</f>
        <v>2.8624000000000001</v>
      </c>
      <c r="AJ332" s="123">
        <f t="shared" si="222"/>
        <v>2.3545999577123666E-3</v>
      </c>
      <c r="AK332" s="122">
        <f>(1+HLOOKUP(YEAR(A332),'Real assumptions'!$A$21:$AK$24,2,TRUE)/100)^(1/12)-1</f>
        <v>2.3545999577123666E-3</v>
      </c>
      <c r="AL332">
        <f t="shared" si="223"/>
        <v>3.4467356690485103</v>
      </c>
      <c r="AM332">
        <f>('Real assumptions'!$B$33/12)*O331*AV331</f>
        <v>3.3755212047049503</v>
      </c>
      <c r="AN332">
        <f t="shared" si="205"/>
        <v>261.31414399345618</v>
      </c>
      <c r="AO332">
        <f t="shared" si="227"/>
        <v>0.61529027239663525</v>
      </c>
      <c r="AP332" s="121">
        <f t="shared" si="206"/>
        <v>4.8915025737798459</v>
      </c>
      <c r="AQ332">
        <f t="shared" si="207"/>
        <v>0</v>
      </c>
      <c r="AR332">
        <v>0</v>
      </c>
      <c r="AS332">
        <f t="shared" ref="AS332:AS395" si="233">IF(B332&gt;$B$12,IF(B332&lt;=$AJ$2,AT332,0),0)</f>
        <v>0</v>
      </c>
      <c r="AT332">
        <f t="shared" si="208"/>
        <v>0</v>
      </c>
      <c r="AU332">
        <f>IFERROR(HLOOKUP(B332,'Real assumptions'!$B$43:$AL$44,2,TRUE)*($W$3/$U$2),0)</f>
        <v>0</v>
      </c>
      <c r="AV332">
        <f>AV331*(1+'Real assumptions'!$B$35)^(1/12)</f>
        <v>1.3927318804998849</v>
      </c>
      <c r="AW332">
        <f t="shared" ref="AW332:AW395" si="234">YEAR(A332)</f>
        <v>2045</v>
      </c>
      <c r="AX332">
        <f t="shared" si="224"/>
        <v>259.95916839401985</v>
      </c>
      <c r="AY332">
        <f t="shared" si="225"/>
        <v>1.0211192728149168</v>
      </c>
      <c r="AZ332">
        <f t="shared" ref="AZ332:AZ395" si="235">(AZ333+BA333-P333+U333+AQ333)/((1+AJ333))</f>
        <v>611.17465764006624</v>
      </c>
      <c r="BA332">
        <f t="shared" si="209"/>
        <v>4.2931894784122058</v>
      </c>
      <c r="BB332">
        <f t="shared" si="210"/>
        <v>72.25</v>
      </c>
      <c r="BC332">
        <f t="shared" ref="BC332:BC395" si="236">$AQ$5*BB332+IF($W$3=0,0,$AP$5*AA332)</f>
        <v>43.349999999999994</v>
      </c>
      <c r="BD332">
        <f t="shared" si="211"/>
        <v>0</v>
      </c>
      <c r="BE332">
        <f t="shared" ref="BE332:BE395" si="237">IF(B332=1,$AR$5,IF(P332=0,0,$W$3/$U$2))</f>
        <v>24</v>
      </c>
      <c r="BF332">
        <f t="shared" si="226"/>
        <v>5000</v>
      </c>
      <c r="BU332"/>
      <c r="FD332"/>
      <c r="FE332"/>
    </row>
    <row r="333" spans="1:161" x14ac:dyDescent="0.25">
      <c r="A333" s="7">
        <f t="shared" si="212"/>
        <v>53235</v>
      </c>
      <c r="B333">
        <f t="shared" ref="B333:B396" si="238">B332+1</f>
        <v>322</v>
      </c>
      <c r="C333">
        <f t="shared" ref="C333:C396" si="239">(B333+11)/12-1</f>
        <v>26.75</v>
      </c>
      <c r="D333">
        <f t="shared" ref="D333:D396" si="240">IF(C333-INT(C333)=0,1,0)</f>
        <v>0</v>
      </c>
      <c r="E333">
        <f t="shared" ref="E333:E396" si="241">$C$2+INT($C333)</f>
        <v>78</v>
      </c>
      <c r="F333">
        <f>IF(C333&gt;=$T$2,0,VLOOKUP($E333,EKM_F05!$A$3:$C$128,2,TRUE))</f>
        <v>4.7321282051282054E-2</v>
      </c>
      <c r="G333">
        <f>F333*'Real assumptions'!$B$3</f>
        <v>1.9747171000000001E-2</v>
      </c>
      <c r="H333">
        <f t="shared" si="213"/>
        <v>1.6606821900644331E-3</v>
      </c>
      <c r="I333">
        <f t="shared" si="214"/>
        <v>4.0030471236279514E-4</v>
      </c>
      <c r="J333">
        <f>IF(B333&gt;$AJ$2,0,HLOOKUP(C333,'Real assumptions'!$B$5:$L$8,4,TRUE))</f>
        <v>3.7900000000000003E-2</v>
      </c>
      <c r="K333">
        <f t="shared" si="228"/>
        <v>1</v>
      </c>
      <c r="L333">
        <f t="shared" si="215"/>
        <v>8.3333333333333329E-2</v>
      </c>
      <c r="M333">
        <f t="shared" si="216"/>
        <v>3.2145624959929453E-3</v>
      </c>
      <c r="N333">
        <f t="shared" si="217"/>
        <v>7.7546799901330986E-4</v>
      </c>
      <c r="O333" s="8">
        <f t="shared" ref="O333:O396" si="242">IF(E334&gt;$C$5,0,IF(B333&gt;$AJ$2,0,O332-I333-N333))</f>
        <v>0.24026063987404375</v>
      </c>
      <c r="P333">
        <f t="shared" ref="P333:P396" si="243">IF($U$2=0,0,$W$3/$U$2*K333*O332)</f>
        <v>5.7944739020500773</v>
      </c>
      <c r="Q333">
        <f t="shared" si="218"/>
        <v>2.0015235618139755</v>
      </c>
      <c r="R333" s="89">
        <f t="shared" si="229"/>
        <v>5000</v>
      </c>
      <c r="S333">
        <f t="shared" si="230"/>
        <v>0.16666666666666785</v>
      </c>
      <c r="U333">
        <f>O332*AV332*'Real assumptions'!$B$33/12+AX333*'Real assumptions'!$B$34</f>
        <v>3.4339043601909798</v>
      </c>
      <c r="V333">
        <f>IF(P333=0,0,IF(E333&lt;=$C$7,$AN$5*O332,0))*'Real assumptions'!$D$28</f>
        <v>1.4486184755125193</v>
      </c>
      <c r="X333" s="94">
        <f t="shared" ref="X333:X396" si="244">IF($U$2=12,0,IF($AM$2&lt;&gt;0,0,X332+Y333-($AN$5*($U$2/12))))</f>
        <v>0</v>
      </c>
      <c r="Y333">
        <f t="shared" si="231"/>
        <v>24</v>
      </c>
      <c r="Z333">
        <f t="shared" si="219"/>
        <v>72</v>
      </c>
      <c r="AA333">
        <f t="shared" si="232"/>
        <v>72.166666666666671</v>
      </c>
      <c r="AB333">
        <f t="shared" ref="AB333:AB396" si="245">IF($AM$2&lt;&gt;0,0,R333/99)</f>
        <v>50.505050505050505</v>
      </c>
      <c r="AC333">
        <f t="shared" si="220"/>
        <v>3644.781144781145</v>
      </c>
      <c r="AD333">
        <f t="shared" ref="AD333:AD396" si="246">IF($AM$2&lt;&gt;0,0,AB333+$Q$4*$AI$2+$Q$5*$AI$2)</f>
        <v>80.505050505050505</v>
      </c>
      <c r="AE333">
        <f t="shared" ref="AE333:AE396" si="247">MIN($C$6*AD333*AA333,$AI$2-AC333+BD333)</f>
        <v>290.48905723905722</v>
      </c>
      <c r="AF333" s="94">
        <f t="shared" ref="AF333:AF396" si="248">MAX(($AI$2+$Y$2-AC333-AE333+X333+BD333),0)</f>
        <v>1064.7297979797977</v>
      </c>
      <c r="AG333">
        <f t="shared" si="221"/>
        <v>0.82566388592923934</v>
      </c>
      <c r="AH333">
        <f t="shared" ref="AH333:AH396" si="249">AF333*O333</f>
        <v>255.81266255558754</v>
      </c>
      <c r="AI333">
        <f>HLOOKUP(AW333,'Real assumptions'!$A$21:$AK$24,2,TRUE)</f>
        <v>2.8624000000000001</v>
      </c>
      <c r="AJ333" s="123">
        <f t="shared" si="222"/>
        <v>2.3545999577123666E-3</v>
      </c>
      <c r="AK333" s="122">
        <f>(1+HLOOKUP(YEAR(A333),'Real assumptions'!$A$21:$AK$24,2,TRUE)/100)^(1/12)-1</f>
        <v>2.3545999577123666E-3</v>
      </c>
      <c r="AL333">
        <f t="shared" si="223"/>
        <v>3.4339043601909798</v>
      </c>
      <c r="AM333">
        <f>('Real assumptions'!$B$33/12)*O332*AV332</f>
        <v>3.3625618892123788</v>
      </c>
      <c r="AN333">
        <f t="shared" ref="AN333:AN396" si="250">AP332+P333+AH332-V333-AL333</f>
        <v>261.77086304209831</v>
      </c>
      <c r="AO333">
        <f t="shared" si="227"/>
        <v>0.61636566304925444</v>
      </c>
      <c r="AP333" s="121">
        <f t="shared" ref="AP333:AP396" si="251">IF(MONTH(A333)=12,0,AP332+AO333)</f>
        <v>5.5078682368291005</v>
      </c>
      <c r="AQ333">
        <f t="shared" ref="AQ333:AQ396" si="252">IF(P333=0,0,AR333+AS333)</f>
        <v>0</v>
      </c>
      <c r="AR333">
        <v>0</v>
      </c>
      <c r="AS333">
        <f t="shared" si="233"/>
        <v>0</v>
      </c>
      <c r="AT333">
        <f t="shared" ref="AT333:AT396" si="253">IF(OR(B333&lt;=$B$12,B333&gt;$AJ$2),0,AU333*O332)</f>
        <v>0</v>
      </c>
      <c r="AU333">
        <f>IFERROR(HLOOKUP(B333,'Real assumptions'!$B$43:$AL$44,2,TRUE)*($W$3/$U$2),0)</f>
        <v>0</v>
      </c>
      <c r="AV333">
        <f>AV332*(1+'Real assumptions'!$B$35)^(1/12)</f>
        <v>1.3941743969946561</v>
      </c>
      <c r="AW333">
        <f t="shared" si="234"/>
        <v>2045</v>
      </c>
      <c r="AX333">
        <f t="shared" si="224"/>
        <v>260.42644001785465</v>
      </c>
      <c r="AY333">
        <f t="shared" si="225"/>
        <v>1.0161465176154034</v>
      </c>
      <c r="AZ333">
        <f t="shared" si="235"/>
        <v>610.69849308170376</v>
      </c>
      <c r="BA333">
        <f t="shared" ref="BA333:BA396" si="254">AG333+V333+Q333</f>
        <v>4.2758059232557342</v>
      </c>
      <c r="BB333">
        <f t="shared" ref="BB333:BB396" si="255">Z334+IF(S333=1,0,S333)</f>
        <v>72.166666666666671</v>
      </c>
      <c r="BC333">
        <f t="shared" si="236"/>
        <v>43.3</v>
      </c>
      <c r="BD333">
        <f t="shared" ref="BD333:BD396" si="256">(BC333/100)*($AI$2+$Y$2)-AA333*(AD333-AB333)</f>
        <v>0</v>
      </c>
      <c r="BE333">
        <f t="shared" si="237"/>
        <v>24</v>
      </c>
      <c r="BF333">
        <f t="shared" si="226"/>
        <v>5000</v>
      </c>
      <c r="BU333"/>
      <c r="FD333"/>
      <c r="FE333"/>
    </row>
    <row r="334" spans="1:161" x14ac:dyDescent="0.25">
      <c r="A334" s="7">
        <f t="shared" ref="A334:A397" si="257">DATE(YEAR(A333),MONTH(A333)+2,1)-1</f>
        <v>53266</v>
      </c>
      <c r="B334">
        <f t="shared" si="238"/>
        <v>323</v>
      </c>
      <c r="C334">
        <f t="shared" si="239"/>
        <v>26.833333333333332</v>
      </c>
      <c r="D334">
        <f t="shared" si="240"/>
        <v>0</v>
      </c>
      <c r="E334">
        <f t="shared" si="241"/>
        <v>78</v>
      </c>
      <c r="F334">
        <f>IF(C334&gt;=$T$2,0,VLOOKUP($E334,EKM_F05!$A$3:$C$128,2,TRUE))</f>
        <v>4.7321282051282054E-2</v>
      </c>
      <c r="G334">
        <f>F334*'Real assumptions'!$B$3</f>
        <v>1.9747171000000001E-2</v>
      </c>
      <c r="H334">
        <f t="shared" ref="H334:H397" si="258">(1-(1-G334)^(1/12))</f>
        <v>1.6606821900644331E-3</v>
      </c>
      <c r="I334">
        <f t="shared" ref="I334:I397" si="259">H334*O333*(1-M334/2)</f>
        <v>3.9835526591438538E-4</v>
      </c>
      <c r="J334">
        <f>IF(B334&gt;$AJ$2,0,HLOOKUP(C334,'Real assumptions'!$B$5:$L$8,4,TRUE))</f>
        <v>3.7900000000000003E-2</v>
      </c>
      <c r="K334">
        <f t="shared" si="228"/>
        <v>1</v>
      </c>
      <c r="L334">
        <f t="shared" ref="L334:L397" si="260">IF(B334&gt;$AJ$2,0,1/12)</f>
        <v>8.3333333333333329E-2</v>
      </c>
      <c r="M334">
        <f t="shared" ref="M334:M397" si="261">(1-(1-J334)^L334)</f>
        <v>3.2145624959929453E-3</v>
      </c>
      <c r="N334">
        <f t="shared" ref="N334:N397" si="262">M334*O333*(1-H334/2)</f>
        <v>7.716915425044446E-4</v>
      </c>
      <c r="O334" s="8">
        <f t="shared" si="242"/>
        <v>0.23909059306562491</v>
      </c>
      <c r="P334">
        <f t="shared" si="243"/>
        <v>5.7662553569770498</v>
      </c>
      <c r="Q334">
        <f t="shared" ref="Q334:Q397" si="263">BF334*I334</f>
        <v>1.9917763295719269</v>
      </c>
      <c r="R334" s="89">
        <f t="shared" si="229"/>
        <v>5000</v>
      </c>
      <c r="S334">
        <f t="shared" si="230"/>
        <v>8.3333333333332149E-2</v>
      </c>
      <c r="U334">
        <f>O333*AV333*'Real assumptions'!$B$33/12+AX334*'Real assumptions'!$B$34</f>
        <v>3.4211218331905124</v>
      </c>
      <c r="V334">
        <f>IF(P334=0,0,IF(E334&lt;=$C$7,$AN$5*O333,0))*'Real assumptions'!$D$28</f>
        <v>1.4415638392442625</v>
      </c>
      <c r="X334" s="94">
        <f t="shared" si="244"/>
        <v>0</v>
      </c>
      <c r="Y334">
        <f t="shared" si="231"/>
        <v>24</v>
      </c>
      <c r="Z334">
        <f t="shared" ref="Z334:Z397" si="264">IF(S332=1,Z333-1,Z333)</f>
        <v>72</v>
      </c>
      <c r="AA334">
        <f t="shared" si="232"/>
        <v>72.083333333333329</v>
      </c>
      <c r="AB334">
        <f t="shared" si="245"/>
        <v>50.505050505050505</v>
      </c>
      <c r="AC334">
        <f t="shared" ref="AC334:AC397" si="265">AB334*AA334</f>
        <v>3640.5723905723903</v>
      </c>
      <c r="AD334">
        <f t="shared" si="246"/>
        <v>80.505050505050505</v>
      </c>
      <c r="AE334">
        <f t="shared" si="247"/>
        <v>290.15361952861952</v>
      </c>
      <c r="AF334" s="94">
        <f t="shared" si="248"/>
        <v>1069.2739898989903</v>
      </c>
      <c r="AG334">
        <f t="shared" ref="AG334:AG397" si="266">IF(B334&lt;=$C$8,0,AF334*N334)</f>
        <v>0.82514969462503374</v>
      </c>
      <c r="AH334">
        <f t="shared" si="249"/>
        <v>255.65335239459662</v>
      </c>
      <c r="AI334">
        <f>HLOOKUP(AW334,'Real assumptions'!$A$21:$AK$24,2,TRUE)</f>
        <v>2.8624000000000001</v>
      </c>
      <c r="AJ334" s="123">
        <f t="shared" ref="AJ334:AJ397" si="267">((1+AI334/100)^(1/12))-1</f>
        <v>2.3545999577123666E-3</v>
      </c>
      <c r="AK334" s="122">
        <f>(1+HLOOKUP(YEAR(A334),'Real assumptions'!$A$21:$AK$24,2,TRUE)/100)^(1/12)-1</f>
        <v>2.3545999577123666E-3</v>
      </c>
      <c r="AL334">
        <f t="shared" ref="AL334:AL397" si="268">AQ334+U334</f>
        <v>3.4211218331905124</v>
      </c>
      <c r="AM334">
        <f>('Real assumptions'!$B$33/12)*O333*AV333</f>
        <v>3.3496523271794518</v>
      </c>
      <c r="AN334">
        <f t="shared" si="250"/>
        <v>262.22410047695888</v>
      </c>
      <c r="AO334">
        <f t="shared" si="227"/>
        <v>0.61743285589421071</v>
      </c>
      <c r="AP334" s="121">
        <f t="shared" si="251"/>
        <v>6.1253010927233111</v>
      </c>
      <c r="AQ334">
        <f t="shared" si="252"/>
        <v>0</v>
      </c>
      <c r="AR334">
        <v>0</v>
      </c>
      <c r="AS334">
        <f t="shared" si="233"/>
        <v>0</v>
      </c>
      <c r="AT334">
        <f t="shared" si="253"/>
        <v>0</v>
      </c>
      <c r="AU334">
        <f>IFERROR(HLOOKUP(B334,'Real assumptions'!$B$43:$AL$44,2,TRUE)*($W$3/$U$2),0)</f>
        <v>0</v>
      </c>
      <c r="AV334">
        <f>AV333*(1+'Real assumptions'!$B$35)^(1/12)</f>
        <v>1.3956184075701377</v>
      </c>
      <c r="AW334">
        <f t="shared" si="234"/>
        <v>2045</v>
      </c>
      <c r="AX334">
        <f t="shared" ref="AX334:AX397" si="269">MAX(0,AH333+AP333-V334+AY334)</f>
        <v>260.89016493244026</v>
      </c>
      <c r="AY334">
        <f t="shared" ref="AY334:AY397" si="270">IF(P334=0,0,(AB334/$U$2)*O333)</f>
        <v>1.0111979792678609</v>
      </c>
      <c r="AZ334">
        <f t="shared" si="235"/>
        <v>610.22308738803417</v>
      </c>
      <c r="BA334">
        <f t="shared" si="254"/>
        <v>4.2584898634412234</v>
      </c>
      <c r="BB334">
        <f t="shared" si="255"/>
        <v>72.083333333333329</v>
      </c>
      <c r="BC334">
        <f t="shared" si="236"/>
        <v>43.25</v>
      </c>
      <c r="BD334">
        <f t="shared" si="256"/>
        <v>0</v>
      </c>
      <c r="BE334">
        <f t="shared" si="237"/>
        <v>24</v>
      </c>
      <c r="BF334">
        <f t="shared" ref="BF334:BF397" si="271">((IF(B334&lt;13,BF333+BE334,$AI$2+$Y$2)))</f>
        <v>5000</v>
      </c>
      <c r="BU334"/>
      <c r="FD334"/>
      <c r="FE334"/>
    </row>
    <row r="335" spans="1:161" x14ac:dyDescent="0.25">
      <c r="A335" s="7">
        <f t="shared" si="257"/>
        <v>53296</v>
      </c>
      <c r="B335">
        <f t="shared" si="238"/>
        <v>324</v>
      </c>
      <c r="C335">
        <f t="shared" si="239"/>
        <v>26.916666666666668</v>
      </c>
      <c r="D335">
        <f t="shared" si="240"/>
        <v>0</v>
      </c>
      <c r="E335">
        <f t="shared" si="241"/>
        <v>78</v>
      </c>
      <c r="F335">
        <f>IF(C335&gt;=$T$2,0,VLOOKUP($E335,EKM_F05!$A$3:$C$128,2,TRUE))</f>
        <v>4.7321282051282054E-2</v>
      </c>
      <c r="G335">
        <f>F335*'Real assumptions'!$B$3</f>
        <v>1.9747171000000001E-2</v>
      </c>
      <c r="H335">
        <f t="shared" si="258"/>
        <v>1.6606821900644331E-3</v>
      </c>
      <c r="I335">
        <f t="shared" si="259"/>
        <v>3.9641531308755399E-4</v>
      </c>
      <c r="J335">
        <f>IF(B335&gt;$AJ$2,0,HLOOKUP(C335,'Real assumptions'!$B$5:$L$8,4,TRUE))</f>
        <v>3.7900000000000003E-2</v>
      </c>
      <c r="K335">
        <f t="shared" si="228"/>
        <v>1</v>
      </c>
      <c r="L335">
        <f t="shared" si="260"/>
        <v>8.3333333333333329E-2</v>
      </c>
      <c r="M335">
        <f t="shared" si="261"/>
        <v>3.2145624959929453E-3</v>
      </c>
      <c r="N335">
        <f t="shared" si="262"/>
        <v>7.6793347698499669E-4</v>
      </c>
      <c r="O335" s="8">
        <f t="shared" si="242"/>
        <v>0.23792624427555234</v>
      </c>
      <c r="P335">
        <f t="shared" si="243"/>
        <v>5.7381742335749983</v>
      </c>
      <c r="Q335">
        <f t="shared" si="263"/>
        <v>1.9820765654377699</v>
      </c>
      <c r="R335" s="89">
        <f t="shared" si="229"/>
        <v>5000</v>
      </c>
      <c r="S335">
        <f t="shared" si="230"/>
        <v>1</v>
      </c>
      <c r="U335">
        <f>O334*AV334*'Real assumptions'!$B$33/12+AX335*'Real assumptions'!$B$34</f>
        <v>3.4083879080818735</v>
      </c>
      <c r="V335">
        <f>IF(P335=0,0,IF(E335&lt;=$C$7,$AN$5*O334,0))*'Real assumptions'!$D$28</f>
        <v>1.4345435583937496</v>
      </c>
      <c r="X335" s="94">
        <f t="shared" si="244"/>
        <v>0</v>
      </c>
      <c r="Y335">
        <f t="shared" si="231"/>
        <v>24</v>
      </c>
      <c r="Z335">
        <f t="shared" si="264"/>
        <v>72</v>
      </c>
      <c r="AA335">
        <f t="shared" si="232"/>
        <v>72</v>
      </c>
      <c r="AB335">
        <f t="shared" si="245"/>
        <v>50.505050505050505</v>
      </c>
      <c r="AC335">
        <f t="shared" si="265"/>
        <v>3636.3636363636365</v>
      </c>
      <c r="AD335">
        <f t="shared" si="246"/>
        <v>80.505050505050505</v>
      </c>
      <c r="AE335">
        <f t="shared" si="247"/>
        <v>289.81818181818181</v>
      </c>
      <c r="AF335" s="94">
        <f t="shared" si="248"/>
        <v>1073.8181818181818</v>
      </c>
      <c r="AG335">
        <f t="shared" si="266"/>
        <v>0.82462093001334369</v>
      </c>
      <c r="AH335">
        <f t="shared" si="249"/>
        <v>255.48952703480219</v>
      </c>
      <c r="AI335">
        <f>HLOOKUP(AW335,'Real assumptions'!$A$21:$AK$24,2,TRUE)</f>
        <v>2.8624000000000001</v>
      </c>
      <c r="AJ335" s="123">
        <f t="shared" si="267"/>
        <v>2.3545999577123666E-3</v>
      </c>
      <c r="AK335" s="122">
        <f>(1+HLOOKUP(YEAR(A335),'Real assumptions'!$A$21:$AK$24,2,TRUE)/100)^(1/12)-1</f>
        <v>2.3545999577123666E-3</v>
      </c>
      <c r="AL335">
        <f t="shared" si="268"/>
        <v>3.4083879080818735</v>
      </c>
      <c r="AM335">
        <f>('Real assumptions'!$B$33/12)*O334*AV334</f>
        <v>3.3367923275924722</v>
      </c>
      <c r="AN335">
        <f t="shared" si="250"/>
        <v>262.67389625441933</v>
      </c>
      <c r="AO335">
        <f t="shared" si="227"/>
        <v>0.61849194501279836</v>
      </c>
      <c r="AP335" s="121">
        <f t="shared" si="251"/>
        <v>6.7437930377361095</v>
      </c>
      <c r="AQ335">
        <f t="shared" si="252"/>
        <v>0</v>
      </c>
      <c r="AR335">
        <v>0</v>
      </c>
      <c r="AS335">
        <f t="shared" si="233"/>
        <v>0</v>
      </c>
      <c r="AT335">
        <f t="shared" si="253"/>
        <v>0</v>
      </c>
      <c r="AU335">
        <f>IFERROR(HLOOKUP(B335,'Real assumptions'!$B$43:$AL$44,2,TRUE)*($W$3/$U$2),0)</f>
        <v>0</v>
      </c>
      <c r="AV335">
        <f>AV334*(1+'Real assumptions'!$B$35)^(1/12)</f>
        <v>1.3970639137738181</v>
      </c>
      <c r="AW335">
        <f t="shared" si="234"/>
        <v>2045</v>
      </c>
      <c r="AX335">
        <f t="shared" si="269"/>
        <v>261.35038346876473</v>
      </c>
      <c r="AY335">
        <f t="shared" si="270"/>
        <v>1.0062735398384886</v>
      </c>
      <c r="AZ335">
        <f t="shared" si="235"/>
        <v>609.74846391544145</v>
      </c>
      <c r="BA335">
        <f t="shared" si="254"/>
        <v>4.2412410538448633</v>
      </c>
      <c r="BB335">
        <f t="shared" si="255"/>
        <v>72</v>
      </c>
      <c r="BC335">
        <f t="shared" si="236"/>
        <v>43.2</v>
      </c>
      <c r="BD335">
        <f t="shared" si="256"/>
        <v>0</v>
      </c>
      <c r="BE335">
        <f t="shared" si="237"/>
        <v>24</v>
      </c>
      <c r="BF335">
        <f t="shared" si="271"/>
        <v>5000</v>
      </c>
      <c r="BU335"/>
      <c r="FD335"/>
      <c r="FE335"/>
    </row>
    <row r="336" spans="1:161" x14ac:dyDescent="0.25">
      <c r="A336" s="7">
        <f t="shared" si="257"/>
        <v>53327</v>
      </c>
      <c r="B336">
        <f t="shared" si="238"/>
        <v>325</v>
      </c>
      <c r="C336">
        <f t="shared" si="239"/>
        <v>27</v>
      </c>
      <c r="D336">
        <f t="shared" si="240"/>
        <v>1</v>
      </c>
      <c r="E336">
        <f t="shared" si="241"/>
        <v>79</v>
      </c>
      <c r="F336">
        <f>IF(C336&gt;=$T$2,0,VLOOKUP($E336,EKM_F05!$A$3:$C$128,2,TRUE))</f>
        <v>5.2700769230769232E-2</v>
      </c>
      <c r="G336">
        <f>F336*'Real assumptions'!$B$3</f>
        <v>2.1992031000000002E-2</v>
      </c>
      <c r="H336">
        <f t="shared" si="258"/>
        <v>1.8514057566271225E-3</v>
      </c>
      <c r="I336">
        <f t="shared" si="259"/>
        <v>4.3979001409982825E-4</v>
      </c>
      <c r="J336">
        <f>IF(B336&gt;$AJ$2,0,HLOOKUP(C336,'Real assumptions'!$B$5:$L$8,4,TRUE))</f>
        <v>3.7900000000000003E-2</v>
      </c>
      <c r="K336">
        <f t="shared" si="228"/>
        <v>1</v>
      </c>
      <c r="L336">
        <f t="shared" si="260"/>
        <v>8.3333333333333329E-2</v>
      </c>
      <c r="M336">
        <f t="shared" si="261"/>
        <v>3.2145624959929453E-3</v>
      </c>
      <c r="N336">
        <f t="shared" si="262"/>
        <v>7.6412077745604634E-4</v>
      </c>
      <c r="O336" s="8">
        <f t="shared" si="242"/>
        <v>0.23672233348399646</v>
      </c>
      <c r="P336">
        <f t="shared" si="243"/>
        <v>5.7102298626132564</v>
      </c>
      <c r="Q336">
        <f t="shared" si="263"/>
        <v>2.1989500704991412</v>
      </c>
      <c r="R336" s="89">
        <f t="shared" si="229"/>
        <v>5000</v>
      </c>
      <c r="S336">
        <f t="shared" si="230"/>
        <v>0.91666666666666785</v>
      </c>
      <c r="U336">
        <f>O335*AV335*'Real assumptions'!$B$33/12+AX336*'Real assumptions'!$B$34</f>
        <v>3.3957024055594958</v>
      </c>
      <c r="V336">
        <f>IF(P336=0,0,IF(E336&lt;=$C$7,$AN$5*O335,0))*'Real assumptions'!$D$28</f>
        <v>1.4275574656533141</v>
      </c>
      <c r="X336" s="94">
        <f t="shared" si="244"/>
        <v>0</v>
      </c>
      <c r="Y336">
        <f t="shared" si="231"/>
        <v>24</v>
      </c>
      <c r="Z336">
        <f t="shared" si="264"/>
        <v>72</v>
      </c>
      <c r="AA336">
        <f t="shared" si="232"/>
        <v>71.916666666666671</v>
      </c>
      <c r="AB336">
        <f t="shared" si="245"/>
        <v>50.505050505050505</v>
      </c>
      <c r="AC336">
        <f t="shared" si="265"/>
        <v>3632.1548821548822</v>
      </c>
      <c r="AD336">
        <f t="shared" si="246"/>
        <v>80.505050505050505</v>
      </c>
      <c r="AE336">
        <f t="shared" si="247"/>
        <v>289.48274410774411</v>
      </c>
      <c r="AF336" s="94">
        <f t="shared" si="248"/>
        <v>1078.3623737373737</v>
      </c>
      <c r="AG336">
        <f t="shared" si="266"/>
        <v>0.82399909539954963</v>
      </c>
      <c r="AH336">
        <f t="shared" si="249"/>
        <v>255.27245745245258</v>
      </c>
      <c r="AI336">
        <f>HLOOKUP(AW336,'Real assumptions'!$A$21:$AK$24,2,TRUE)</f>
        <v>2.8624000000000001</v>
      </c>
      <c r="AJ336" s="123">
        <f t="shared" si="267"/>
        <v>2.3545999577123666E-3</v>
      </c>
      <c r="AK336" s="122">
        <f>(1+HLOOKUP(YEAR(A336),'Real assumptions'!$A$21:$AK$24,2,TRUE)/100)^(1/12)-1</f>
        <v>2.3545999577123666E-3</v>
      </c>
      <c r="AL336">
        <f t="shared" si="268"/>
        <v>3.3957024055594958</v>
      </c>
      <c r="AM336">
        <f>('Real assumptions'!$B$33/12)*O335*AV335</f>
        <v>3.3239817001710867</v>
      </c>
      <c r="AN336">
        <f t="shared" si="250"/>
        <v>263.12029006393874</v>
      </c>
      <c r="AO336">
        <f t="shared" si="227"/>
        <v>0.61954302385781579</v>
      </c>
      <c r="AP336" s="121">
        <f t="shared" si="251"/>
        <v>0</v>
      </c>
      <c r="AQ336">
        <f t="shared" si="252"/>
        <v>0</v>
      </c>
      <c r="AR336">
        <v>0</v>
      </c>
      <c r="AS336">
        <f t="shared" si="233"/>
        <v>0</v>
      </c>
      <c r="AT336">
        <f t="shared" si="253"/>
        <v>0</v>
      </c>
      <c r="AU336">
        <f>IFERROR(HLOOKUP(B336,'Real assumptions'!$B$43:$AL$44,2,TRUE)*($W$3/$U$2),0)</f>
        <v>0</v>
      </c>
      <c r="AV336">
        <f>AV335*(1+'Real assumptions'!$B$35)^(1/12)</f>
        <v>1.3985109171547883</v>
      </c>
      <c r="AW336">
        <f t="shared" si="234"/>
        <v>2045</v>
      </c>
      <c r="AX336">
        <f t="shared" si="269"/>
        <v>261.80713568885278</v>
      </c>
      <c r="AY336">
        <f t="shared" si="270"/>
        <v>1.0013730819678128</v>
      </c>
      <c r="AZ336">
        <f t="shared" si="235"/>
        <v>609.04819844829365</v>
      </c>
      <c r="BA336">
        <f t="shared" si="254"/>
        <v>4.4505066315520043</v>
      </c>
      <c r="BB336">
        <f t="shared" si="255"/>
        <v>71.916666666666671</v>
      </c>
      <c r="BC336">
        <f t="shared" si="236"/>
        <v>43.150000000000006</v>
      </c>
      <c r="BD336">
        <f t="shared" si="256"/>
        <v>0</v>
      </c>
      <c r="BE336">
        <f t="shared" si="237"/>
        <v>24</v>
      </c>
      <c r="BF336">
        <f t="shared" si="271"/>
        <v>5000</v>
      </c>
      <c r="BU336"/>
      <c r="FD336"/>
      <c r="FE336"/>
    </row>
    <row r="337" spans="1:161" x14ac:dyDescent="0.25">
      <c r="A337" s="7">
        <f t="shared" si="257"/>
        <v>53358</v>
      </c>
      <c r="B337">
        <f t="shared" si="238"/>
        <v>326</v>
      </c>
      <c r="C337">
        <f t="shared" si="239"/>
        <v>27.083333333333332</v>
      </c>
      <c r="D337">
        <f t="shared" si="240"/>
        <v>0</v>
      </c>
      <c r="E337">
        <f t="shared" si="241"/>
        <v>79</v>
      </c>
      <c r="F337">
        <f>IF(C337&gt;=$T$2,0,VLOOKUP($E337,EKM_F05!$A$3:$C$128,2,TRUE))</f>
        <v>5.2700769230769232E-2</v>
      </c>
      <c r="G337">
        <f>F337*'Real assumptions'!$B$3</f>
        <v>2.1992031000000002E-2</v>
      </c>
      <c r="H337">
        <f t="shared" si="258"/>
        <v>1.8514057566271225E-3</v>
      </c>
      <c r="I337">
        <f t="shared" si="259"/>
        <v>4.3756466924304107E-4</v>
      </c>
      <c r="J337">
        <f>IF(B337&gt;$AJ$2,0,HLOOKUP(C337,'Real assumptions'!$B$5:$L$8,4,TRUE))</f>
        <v>3.7900000000000003E-2</v>
      </c>
      <c r="K337">
        <f t="shared" si="228"/>
        <v>1</v>
      </c>
      <c r="L337">
        <f t="shared" si="260"/>
        <v>8.3333333333333329E-2</v>
      </c>
      <c r="M337">
        <f t="shared" si="261"/>
        <v>3.2145624959929453E-3</v>
      </c>
      <c r="N337">
        <f t="shared" si="262"/>
        <v>7.6025431349015455E-4</v>
      </c>
      <c r="O337" s="8">
        <f t="shared" si="242"/>
        <v>0.23552451450126324</v>
      </c>
      <c r="P337">
        <f t="shared" si="243"/>
        <v>5.6813360036159146</v>
      </c>
      <c r="Q337">
        <f t="shared" si="263"/>
        <v>2.1878233462152052</v>
      </c>
      <c r="R337" s="89">
        <f t="shared" si="229"/>
        <v>5000</v>
      </c>
      <c r="S337">
        <f t="shared" si="230"/>
        <v>0.83333333333333215</v>
      </c>
      <c r="U337">
        <f>O336*AV336*'Real assumptions'!$B$33/12+AX337*'Real assumptions'!$B$34</f>
        <v>3.3804020810971864</v>
      </c>
      <c r="V337">
        <f>IF(P337=0,0,IF(E337&lt;=$C$7,$AN$5*O336,0))*'Real assumptions'!$D$28</f>
        <v>1.4203340009039787</v>
      </c>
      <c r="X337" s="94">
        <f t="shared" si="244"/>
        <v>0</v>
      </c>
      <c r="Y337">
        <f t="shared" si="231"/>
        <v>24</v>
      </c>
      <c r="Z337">
        <f t="shared" si="264"/>
        <v>71</v>
      </c>
      <c r="AA337">
        <f t="shared" si="232"/>
        <v>71.833333333333329</v>
      </c>
      <c r="AB337">
        <f t="shared" si="245"/>
        <v>50.505050505050505</v>
      </c>
      <c r="AC337">
        <f t="shared" si="265"/>
        <v>3627.9461279461275</v>
      </c>
      <c r="AD337">
        <f t="shared" si="246"/>
        <v>80.505050505050505</v>
      </c>
      <c r="AE337">
        <f t="shared" si="247"/>
        <v>289.14730639730635</v>
      </c>
      <c r="AF337" s="94">
        <f t="shared" si="248"/>
        <v>1082.9065656565663</v>
      </c>
      <c r="AG337">
        <f t="shared" si="266"/>
        <v>0.82328438764721379</v>
      </c>
      <c r="AH337">
        <f t="shared" si="249"/>
        <v>255.05104312649311</v>
      </c>
      <c r="AI337">
        <f>HLOOKUP(AW337,'Real assumptions'!$A$21:$AK$24,2,TRUE)</f>
        <v>2.8624000000000001</v>
      </c>
      <c r="AJ337" s="123">
        <f t="shared" si="267"/>
        <v>2.3545999577123666E-3</v>
      </c>
      <c r="AK337" s="122">
        <f>(1+HLOOKUP(YEAR(A337),'Real assumptions'!$A$21:$AK$24,2,TRUE)/100)^(1/12)-1</f>
        <v>2.3545999577123666E-3</v>
      </c>
      <c r="AL337">
        <f t="shared" si="268"/>
        <v>3.3804020810971864</v>
      </c>
      <c r="AM337">
        <f>('Real assumptions'!$B$33/12)*O336*AV336</f>
        <v>3.3105876771172555</v>
      </c>
      <c r="AN337">
        <f t="shared" si="250"/>
        <v>256.15305737406732</v>
      </c>
      <c r="AO337">
        <f t="shared" si="227"/>
        <v>0.60313797806087233</v>
      </c>
      <c r="AP337" s="121">
        <f t="shared" si="251"/>
        <v>0.60313797806087233</v>
      </c>
      <c r="AQ337">
        <f t="shared" si="252"/>
        <v>0</v>
      </c>
      <c r="AR337">
        <v>0</v>
      </c>
      <c r="AS337">
        <f t="shared" si="233"/>
        <v>0</v>
      </c>
      <c r="AT337">
        <f t="shared" si="253"/>
        <v>0</v>
      </c>
      <c r="AU337">
        <f>IFERROR(HLOOKUP(B337,'Real assumptions'!$B$43:$AL$44,2,TRUE)*($W$3/$U$2),0)</f>
        <v>0</v>
      </c>
      <c r="AV337">
        <f>AV336*(1+'Real assumptions'!$B$35)^(1/12)</f>
        <v>1.3999594192637435</v>
      </c>
      <c r="AW337">
        <f t="shared" si="234"/>
        <v>2046</v>
      </c>
      <c r="AX337">
        <f t="shared" si="269"/>
        <v>254.84842956890549</v>
      </c>
      <c r="AY337">
        <f t="shared" si="270"/>
        <v>0.99630611735688734</v>
      </c>
      <c r="AZ337">
        <f t="shared" si="235"/>
        <v>608.35175549835719</v>
      </c>
      <c r="BA337">
        <f t="shared" si="254"/>
        <v>4.4314417347663984</v>
      </c>
      <c r="BB337">
        <f t="shared" si="255"/>
        <v>71.833333333333329</v>
      </c>
      <c r="BC337">
        <f t="shared" si="236"/>
        <v>43.099999999999994</v>
      </c>
      <c r="BD337">
        <f t="shared" si="256"/>
        <v>0</v>
      </c>
      <c r="BE337">
        <f t="shared" si="237"/>
        <v>24</v>
      </c>
      <c r="BF337">
        <f t="shared" si="271"/>
        <v>5000</v>
      </c>
      <c r="BU337"/>
      <c r="FD337"/>
      <c r="FE337"/>
    </row>
    <row r="338" spans="1:161" x14ac:dyDescent="0.25">
      <c r="A338" s="7">
        <f t="shared" si="257"/>
        <v>53386</v>
      </c>
      <c r="B338">
        <f t="shared" si="238"/>
        <v>327</v>
      </c>
      <c r="C338">
        <f t="shared" si="239"/>
        <v>27.166666666666668</v>
      </c>
      <c r="D338">
        <f t="shared" si="240"/>
        <v>0</v>
      </c>
      <c r="E338">
        <f t="shared" si="241"/>
        <v>79</v>
      </c>
      <c r="F338">
        <f>IF(C338&gt;=$T$2,0,VLOOKUP($E338,EKM_F05!$A$3:$C$128,2,TRUE))</f>
        <v>5.2700769230769232E-2</v>
      </c>
      <c r="G338">
        <f>F338*'Real assumptions'!$B$3</f>
        <v>2.1992031000000002E-2</v>
      </c>
      <c r="H338">
        <f t="shared" si="258"/>
        <v>1.8514057566271225E-3</v>
      </c>
      <c r="I338">
        <f t="shared" si="259"/>
        <v>4.353505846685996E-4</v>
      </c>
      <c r="J338">
        <f>IF(B338&gt;$AJ$2,0,HLOOKUP(C338,'Real assumptions'!$B$5:$L$8,4,TRUE))</f>
        <v>3.7900000000000003E-2</v>
      </c>
      <c r="K338">
        <f t="shared" si="228"/>
        <v>1</v>
      </c>
      <c r="L338">
        <f t="shared" si="260"/>
        <v>8.3333333333333329E-2</v>
      </c>
      <c r="M338">
        <f t="shared" si="261"/>
        <v>3.2145624959929453E-3</v>
      </c>
      <c r="N338">
        <f t="shared" si="262"/>
        <v>7.5640741389685999E-4</v>
      </c>
      <c r="O338" s="8">
        <f t="shared" si="242"/>
        <v>0.2343327565026978</v>
      </c>
      <c r="P338">
        <f t="shared" si="243"/>
        <v>5.6525883480303181</v>
      </c>
      <c r="Q338">
        <f t="shared" si="263"/>
        <v>2.1767529233429981</v>
      </c>
      <c r="R338" s="89">
        <f t="shared" si="229"/>
        <v>5000</v>
      </c>
      <c r="S338">
        <f t="shared" si="230"/>
        <v>0.75</v>
      </c>
      <c r="U338">
        <f>O337*AV337*'Real assumptions'!$B$33/12+AX338*'Real assumptions'!$B$34</f>
        <v>3.3671671884007095</v>
      </c>
      <c r="V338">
        <f>IF(P338=0,0,IF(E338&lt;=$C$7,$AN$5*O337,0))*'Real assumptions'!$D$28</f>
        <v>1.4131470870075795</v>
      </c>
      <c r="X338" s="94">
        <f t="shared" si="244"/>
        <v>0</v>
      </c>
      <c r="Y338">
        <f t="shared" si="231"/>
        <v>24</v>
      </c>
      <c r="Z338">
        <f t="shared" si="264"/>
        <v>71</v>
      </c>
      <c r="AA338">
        <f t="shared" si="232"/>
        <v>71.75</v>
      </c>
      <c r="AB338">
        <f t="shared" si="245"/>
        <v>50.505050505050505</v>
      </c>
      <c r="AC338">
        <f t="shared" si="265"/>
        <v>3623.7373737373737</v>
      </c>
      <c r="AD338">
        <f t="shared" si="246"/>
        <v>80.505050505050505</v>
      </c>
      <c r="AE338">
        <f t="shared" si="247"/>
        <v>288.81186868686865</v>
      </c>
      <c r="AF338" s="94">
        <f t="shared" si="248"/>
        <v>1087.4507575757577</v>
      </c>
      <c r="AG338">
        <f t="shared" si="266"/>
        <v>0.8225558152780601</v>
      </c>
      <c r="AH338">
        <f t="shared" si="249"/>
        <v>254.82533358367431</v>
      </c>
      <c r="AI338">
        <f>HLOOKUP(AW338,'Real assumptions'!$A$21:$AK$24,2,TRUE)</f>
        <v>2.8624000000000001</v>
      </c>
      <c r="AJ338" s="123">
        <f t="shared" si="267"/>
        <v>2.3545999577123666E-3</v>
      </c>
      <c r="AK338" s="122">
        <f>(1+HLOOKUP(YEAR(A338),'Real assumptions'!$A$21:$AK$24,2,TRUE)/100)^(1/12)-1</f>
        <v>2.3545999577123666E-3</v>
      </c>
      <c r="AL338">
        <f t="shared" si="268"/>
        <v>3.3671671884007095</v>
      </c>
      <c r="AM338">
        <f>('Real assumptions'!$B$33/12)*O337*AV337</f>
        <v>3.2972476254356362</v>
      </c>
      <c r="AN338">
        <f t="shared" si="250"/>
        <v>256.52645517717605</v>
      </c>
      <c r="AO338">
        <f t="shared" si="227"/>
        <v>0.60401718051228204</v>
      </c>
      <c r="AP338" s="121">
        <f t="shared" si="251"/>
        <v>1.2071551585731544</v>
      </c>
      <c r="AQ338">
        <f t="shared" si="252"/>
        <v>0</v>
      </c>
      <c r="AR338">
        <v>0</v>
      </c>
      <c r="AS338">
        <f t="shared" si="233"/>
        <v>0</v>
      </c>
      <c r="AT338">
        <f t="shared" si="253"/>
        <v>0</v>
      </c>
      <c r="AU338">
        <f>IFERROR(HLOOKUP(B338,'Real assumptions'!$B$43:$AL$44,2,TRUE)*($W$3/$U$2),0)</f>
        <v>0</v>
      </c>
      <c r="AV338">
        <f>AV337*(1+'Real assumptions'!$B$35)^(1/12)</f>
        <v>1.4014094216529853</v>
      </c>
      <c r="AW338">
        <f t="shared" si="234"/>
        <v>2046</v>
      </c>
      <c r="AX338">
        <f t="shared" si="269"/>
        <v>255.23229880921841</v>
      </c>
      <c r="AY338">
        <f t="shared" si="270"/>
        <v>0.99126479167198334</v>
      </c>
      <c r="AZ338">
        <f t="shared" si="235"/>
        <v>607.65714585012893</v>
      </c>
      <c r="BA338">
        <f t="shared" si="254"/>
        <v>4.4124558256286379</v>
      </c>
      <c r="BB338">
        <f t="shared" si="255"/>
        <v>71.75</v>
      </c>
      <c r="BC338">
        <f t="shared" si="236"/>
        <v>43.05</v>
      </c>
      <c r="BD338">
        <f t="shared" si="256"/>
        <v>0</v>
      </c>
      <c r="BE338">
        <f t="shared" si="237"/>
        <v>24</v>
      </c>
      <c r="BF338">
        <f t="shared" si="271"/>
        <v>5000</v>
      </c>
      <c r="BU338"/>
      <c r="FD338"/>
      <c r="FE338"/>
    </row>
    <row r="339" spans="1:161" x14ac:dyDescent="0.25">
      <c r="A339" s="7">
        <f t="shared" si="257"/>
        <v>53417</v>
      </c>
      <c r="B339">
        <f t="shared" si="238"/>
        <v>328</v>
      </c>
      <c r="C339">
        <f t="shared" si="239"/>
        <v>27.25</v>
      </c>
      <c r="D339">
        <f t="shared" si="240"/>
        <v>0</v>
      </c>
      <c r="E339">
        <f t="shared" si="241"/>
        <v>79</v>
      </c>
      <c r="F339">
        <f>IF(C339&gt;=$T$2,0,VLOOKUP($E339,EKM_F05!$A$3:$C$128,2,TRUE))</f>
        <v>5.2700769230769232E-2</v>
      </c>
      <c r="G339">
        <f>F339*'Real assumptions'!$B$3</f>
        <v>2.1992031000000002E-2</v>
      </c>
      <c r="H339">
        <f t="shared" si="258"/>
        <v>1.8514057566271225E-3</v>
      </c>
      <c r="I339">
        <f t="shared" si="259"/>
        <v>4.3314770339928629E-4</v>
      </c>
      <c r="J339">
        <f>IF(B339&gt;$AJ$2,0,HLOOKUP(C339,'Real assumptions'!$B$5:$L$8,4,TRUE))</f>
        <v>3.7900000000000003E-2</v>
      </c>
      <c r="K339">
        <f t="shared" si="228"/>
        <v>1</v>
      </c>
      <c r="L339">
        <f t="shared" si="260"/>
        <v>8.3333333333333329E-2</v>
      </c>
      <c r="M339">
        <f t="shared" si="261"/>
        <v>3.2145624959929453E-3</v>
      </c>
      <c r="N339">
        <f t="shared" si="262"/>
        <v>7.5257997968010903E-4</v>
      </c>
      <c r="O339" s="8">
        <f t="shared" si="242"/>
        <v>0.23314702881961841</v>
      </c>
      <c r="P339">
        <f t="shared" si="243"/>
        <v>5.6239861560647473</v>
      </c>
      <c r="Q339">
        <f t="shared" si="263"/>
        <v>2.1657385169964316</v>
      </c>
      <c r="R339" s="89">
        <f t="shared" si="229"/>
        <v>5000</v>
      </c>
      <c r="S339">
        <f t="shared" si="230"/>
        <v>0.66666666666666785</v>
      </c>
      <c r="U339">
        <f>O338*AV338*'Real assumptions'!$B$33/12+AX339*'Real assumptions'!$B$34</f>
        <v>3.353985110824623</v>
      </c>
      <c r="V339">
        <f>IF(P339=0,0,IF(E339&lt;=$C$7,$AN$5*O338,0))*'Real assumptions'!$D$28</f>
        <v>1.4059965390161868</v>
      </c>
      <c r="X339" s="94">
        <f t="shared" si="244"/>
        <v>0</v>
      </c>
      <c r="Y339">
        <f t="shared" si="231"/>
        <v>24</v>
      </c>
      <c r="Z339">
        <f t="shared" si="264"/>
        <v>71</v>
      </c>
      <c r="AA339">
        <f t="shared" si="232"/>
        <v>71.666666666666671</v>
      </c>
      <c r="AB339">
        <f t="shared" si="245"/>
        <v>50.505050505050505</v>
      </c>
      <c r="AC339">
        <f t="shared" si="265"/>
        <v>3619.5286195286199</v>
      </c>
      <c r="AD339">
        <f t="shared" si="246"/>
        <v>80.505050505050505</v>
      </c>
      <c r="AE339">
        <f t="shared" si="247"/>
        <v>288.476430976431</v>
      </c>
      <c r="AF339" s="94">
        <f t="shared" si="248"/>
        <v>1091.9949494949492</v>
      </c>
      <c r="AG339">
        <f t="shared" si="266"/>
        <v>0.82181353690169057</v>
      </c>
      <c r="AH339">
        <f t="shared" si="249"/>
        <v>254.59537796077666</v>
      </c>
      <c r="AI339">
        <f>HLOOKUP(AW339,'Real assumptions'!$A$21:$AK$24,2,TRUE)</f>
        <v>2.8624000000000001</v>
      </c>
      <c r="AJ339" s="123">
        <f t="shared" si="267"/>
        <v>2.3545999577123666E-3</v>
      </c>
      <c r="AK339" s="122">
        <f>(1+HLOOKUP(YEAR(A339),'Real assumptions'!$A$21:$AK$24,2,TRUE)/100)^(1/12)-1</f>
        <v>2.3545999577123666E-3</v>
      </c>
      <c r="AL339">
        <f t="shared" si="268"/>
        <v>3.353985110824623</v>
      </c>
      <c r="AM339">
        <f>('Real assumptions'!$B$33/12)*O338*AV338</f>
        <v>3.2839613276479556</v>
      </c>
      <c r="AN339">
        <f t="shared" si="250"/>
        <v>256.89649324847136</v>
      </c>
      <c r="AO339">
        <f t="shared" si="227"/>
        <v>0.60488847213930597</v>
      </c>
      <c r="AP339" s="121">
        <f t="shared" si="251"/>
        <v>1.8120436307124603</v>
      </c>
      <c r="AQ339">
        <f t="shared" si="252"/>
        <v>0</v>
      </c>
      <c r="AR339">
        <v>0</v>
      </c>
      <c r="AS339">
        <f t="shared" si="233"/>
        <v>0</v>
      </c>
      <c r="AT339">
        <f t="shared" si="253"/>
        <v>0</v>
      </c>
      <c r="AU339">
        <f>IFERROR(HLOOKUP(B339,'Real assumptions'!$B$43:$AL$44,2,TRUE)*($W$3/$U$2),0)</f>
        <v>0</v>
      </c>
      <c r="AV339">
        <f>AV338*(1+'Real assumptions'!$B$35)^(1/12)</f>
        <v>1.4028609258764231</v>
      </c>
      <c r="AW339">
        <f t="shared" si="234"/>
        <v>2046</v>
      </c>
      <c r="AX339">
        <f t="shared" si="269"/>
        <v>255.61274117841094</v>
      </c>
      <c r="AY339">
        <f t="shared" si="270"/>
        <v>0.98624897517970445</v>
      </c>
      <c r="AZ339">
        <f t="shared" si="235"/>
        <v>606.96438779237712</v>
      </c>
      <c r="BA339">
        <f t="shared" si="254"/>
        <v>4.3935485929143088</v>
      </c>
      <c r="BB339">
        <f t="shared" si="255"/>
        <v>71.666666666666671</v>
      </c>
      <c r="BC339">
        <f t="shared" si="236"/>
        <v>43</v>
      </c>
      <c r="BD339">
        <f t="shared" si="256"/>
        <v>0</v>
      </c>
      <c r="BE339">
        <f t="shared" si="237"/>
        <v>24</v>
      </c>
      <c r="BF339">
        <f t="shared" si="271"/>
        <v>5000</v>
      </c>
      <c r="BU339"/>
      <c r="FD339"/>
      <c r="FE339"/>
    </row>
    <row r="340" spans="1:161" x14ac:dyDescent="0.25">
      <c r="A340" s="7">
        <f t="shared" si="257"/>
        <v>53447</v>
      </c>
      <c r="B340">
        <f t="shared" si="238"/>
        <v>329</v>
      </c>
      <c r="C340">
        <f t="shared" si="239"/>
        <v>27.333333333333332</v>
      </c>
      <c r="D340">
        <f t="shared" si="240"/>
        <v>0</v>
      </c>
      <c r="E340">
        <f t="shared" si="241"/>
        <v>79</v>
      </c>
      <c r="F340">
        <f>IF(C340&gt;=$T$2,0,VLOOKUP($E340,EKM_F05!$A$3:$C$128,2,TRUE))</f>
        <v>5.2700769230769232E-2</v>
      </c>
      <c r="G340">
        <f>F340*'Real assumptions'!$B$3</f>
        <v>2.1992031000000002E-2</v>
      </c>
      <c r="H340">
        <f t="shared" si="258"/>
        <v>1.8514057566271225E-3</v>
      </c>
      <c r="I340">
        <f t="shared" si="259"/>
        <v>4.3095596874618891E-4</v>
      </c>
      <c r="J340">
        <f>IF(B340&gt;$AJ$2,0,HLOOKUP(C340,'Real assumptions'!$B$5:$L$8,4,TRUE))</f>
        <v>3.7900000000000003E-2</v>
      </c>
      <c r="K340">
        <f t="shared" si="228"/>
        <v>1</v>
      </c>
      <c r="L340">
        <f t="shared" si="260"/>
        <v>8.3333333333333329E-2</v>
      </c>
      <c r="M340">
        <f t="shared" si="261"/>
        <v>3.2145624959929453E-3</v>
      </c>
      <c r="N340">
        <f t="shared" si="262"/>
        <v>7.4877191234476947E-4</v>
      </c>
      <c r="O340" s="8">
        <f t="shared" si="242"/>
        <v>0.23196730093852747</v>
      </c>
      <c r="P340">
        <f t="shared" si="243"/>
        <v>5.5955286916708413</v>
      </c>
      <c r="Q340">
        <f t="shared" si="263"/>
        <v>2.1547798437309447</v>
      </c>
      <c r="R340" s="89">
        <f t="shared" si="229"/>
        <v>5000</v>
      </c>
      <c r="S340">
        <f t="shared" si="230"/>
        <v>0.58333333333333215</v>
      </c>
      <c r="U340">
        <f>O339*AV339*'Real assumptions'!$B$33/12+AX340*'Real assumptions'!$B$34</f>
        <v>3.3408556430756664</v>
      </c>
      <c r="V340">
        <f>IF(P340=0,0,IF(E340&lt;=$C$7,$AN$5*O339,0))*'Real assumptions'!$D$28</f>
        <v>1.3988821729177103</v>
      </c>
      <c r="X340" s="94">
        <f t="shared" si="244"/>
        <v>0</v>
      </c>
      <c r="Y340">
        <f t="shared" si="231"/>
        <v>24</v>
      </c>
      <c r="Z340">
        <f t="shared" si="264"/>
        <v>71</v>
      </c>
      <c r="AA340">
        <f t="shared" si="232"/>
        <v>71.583333333333329</v>
      </c>
      <c r="AB340">
        <f t="shared" si="245"/>
        <v>50.505050505050505</v>
      </c>
      <c r="AC340">
        <f t="shared" si="265"/>
        <v>3615.3198653198651</v>
      </c>
      <c r="AD340">
        <f t="shared" si="246"/>
        <v>80.505050505050505</v>
      </c>
      <c r="AE340">
        <f t="shared" si="247"/>
        <v>288.14099326599325</v>
      </c>
      <c r="AF340" s="94">
        <f t="shared" si="248"/>
        <v>1096.5391414141416</v>
      </c>
      <c r="AG340">
        <f t="shared" si="266"/>
        <v>0.82105770987755833</v>
      </c>
      <c r="AH340">
        <f t="shared" si="249"/>
        <v>254.36122500728871</v>
      </c>
      <c r="AI340">
        <f>HLOOKUP(AW340,'Real assumptions'!$A$21:$AK$24,2,TRUE)</f>
        <v>2.8624000000000001</v>
      </c>
      <c r="AJ340" s="123">
        <f t="shared" si="267"/>
        <v>2.3545999577123666E-3</v>
      </c>
      <c r="AK340" s="122">
        <f>(1+HLOOKUP(YEAR(A340),'Real assumptions'!$A$21:$AK$24,2,TRUE)/100)^(1/12)-1</f>
        <v>2.3545999577123666E-3</v>
      </c>
      <c r="AL340">
        <f t="shared" si="268"/>
        <v>3.3408556430756664</v>
      </c>
      <c r="AM340">
        <f>('Real assumptions'!$B$33/12)*O339*AV339</f>
        <v>3.2707285671522701</v>
      </c>
      <c r="AN340">
        <f t="shared" si="250"/>
        <v>257.26321246716662</v>
      </c>
      <c r="AO340">
        <f t="shared" si="227"/>
        <v>0.60575194919613817</v>
      </c>
      <c r="AP340" s="121">
        <f t="shared" si="251"/>
        <v>2.4177955799085984</v>
      </c>
      <c r="AQ340">
        <f t="shared" si="252"/>
        <v>0</v>
      </c>
      <c r="AR340">
        <v>0</v>
      </c>
      <c r="AS340">
        <f t="shared" si="233"/>
        <v>0</v>
      </c>
      <c r="AT340">
        <f t="shared" si="253"/>
        <v>0</v>
      </c>
      <c r="AU340">
        <f>IFERROR(HLOOKUP(B340,'Real assumptions'!$B$43:$AL$44,2,TRUE)*($W$3/$U$2),0)</f>
        <v>0</v>
      </c>
      <c r="AV340">
        <f>AV339*(1+'Real assumptions'!$B$35)^(1/12)</f>
        <v>1.4043139334895756</v>
      </c>
      <c r="AW340">
        <f t="shared" si="234"/>
        <v>2046</v>
      </c>
      <c r="AX340">
        <f t="shared" si="269"/>
        <v>255.98979795737452</v>
      </c>
      <c r="AY340">
        <f t="shared" si="270"/>
        <v>0.98125853880310776</v>
      </c>
      <c r="AZ340">
        <f t="shared" si="235"/>
        <v>606.27349943627496</v>
      </c>
      <c r="BA340">
        <f t="shared" si="254"/>
        <v>4.3747197265262132</v>
      </c>
      <c r="BB340">
        <f t="shared" si="255"/>
        <v>71.583333333333329</v>
      </c>
      <c r="BC340">
        <f t="shared" si="236"/>
        <v>42.949999999999996</v>
      </c>
      <c r="BD340">
        <f t="shared" si="256"/>
        <v>0</v>
      </c>
      <c r="BE340">
        <f t="shared" si="237"/>
        <v>24</v>
      </c>
      <c r="BF340">
        <f t="shared" si="271"/>
        <v>5000</v>
      </c>
      <c r="BU340"/>
      <c r="FD340"/>
      <c r="FE340"/>
    </row>
    <row r="341" spans="1:161" x14ac:dyDescent="0.25">
      <c r="A341" s="7">
        <f t="shared" si="257"/>
        <v>53478</v>
      </c>
      <c r="B341">
        <f t="shared" si="238"/>
        <v>330</v>
      </c>
      <c r="C341">
        <f t="shared" si="239"/>
        <v>27.416666666666668</v>
      </c>
      <c r="D341">
        <f t="shared" si="240"/>
        <v>0</v>
      </c>
      <c r="E341">
        <f t="shared" si="241"/>
        <v>79</v>
      </c>
      <c r="F341">
        <f>IF(C341&gt;=$T$2,0,VLOOKUP($E341,EKM_F05!$A$3:$C$128,2,TRUE))</f>
        <v>5.2700769230769232E-2</v>
      </c>
      <c r="G341">
        <f>F341*'Real assumptions'!$B$3</f>
        <v>2.1992031000000002E-2</v>
      </c>
      <c r="H341">
        <f t="shared" si="258"/>
        <v>1.8514057566271225E-3</v>
      </c>
      <c r="I341">
        <f t="shared" si="259"/>
        <v>4.2877532430724225E-4</v>
      </c>
      <c r="J341">
        <f>IF(B341&gt;$AJ$2,0,HLOOKUP(C341,'Real assumptions'!$B$5:$L$8,4,TRUE))</f>
        <v>3.7900000000000003E-2</v>
      </c>
      <c r="K341">
        <f t="shared" si="228"/>
        <v>1</v>
      </c>
      <c r="L341">
        <f t="shared" si="260"/>
        <v>8.3333333333333329E-2</v>
      </c>
      <c r="M341">
        <f t="shared" si="261"/>
        <v>3.2145624959929453E-3</v>
      </c>
      <c r="N341">
        <f t="shared" si="262"/>
        <v>7.4498311389409593E-4</v>
      </c>
      <c r="O341" s="8">
        <f t="shared" si="242"/>
        <v>0.23079354250032613</v>
      </c>
      <c r="P341">
        <f t="shared" si="243"/>
        <v>5.5672152225246592</v>
      </c>
      <c r="Q341">
        <f t="shared" si="263"/>
        <v>2.1438766215362111</v>
      </c>
      <c r="R341" s="89">
        <f t="shared" si="229"/>
        <v>5000</v>
      </c>
      <c r="S341">
        <f t="shared" si="230"/>
        <v>0.5</v>
      </c>
      <c r="U341">
        <f>O340*AV340*'Real assumptions'!$B$33/12+AX341*'Real assumptions'!$B$34</f>
        <v>3.3277785806535807</v>
      </c>
      <c r="V341">
        <f>IF(P341=0,0,IF(E341&lt;=$C$7,$AN$5*O340,0))*'Real assumptions'!$D$28</f>
        <v>1.3918038056311648</v>
      </c>
      <c r="X341" s="94">
        <f t="shared" si="244"/>
        <v>0</v>
      </c>
      <c r="Y341">
        <f t="shared" si="231"/>
        <v>24</v>
      </c>
      <c r="Z341">
        <f t="shared" si="264"/>
        <v>71</v>
      </c>
      <c r="AA341">
        <f t="shared" si="232"/>
        <v>71.5</v>
      </c>
      <c r="AB341">
        <f t="shared" si="245"/>
        <v>50.505050505050505</v>
      </c>
      <c r="AC341">
        <f t="shared" si="265"/>
        <v>3611.1111111111113</v>
      </c>
      <c r="AD341">
        <f t="shared" si="246"/>
        <v>80.505050505050505</v>
      </c>
      <c r="AE341">
        <f t="shared" si="247"/>
        <v>287.80555555555554</v>
      </c>
      <c r="AF341" s="94">
        <f t="shared" si="248"/>
        <v>1101.083333333333</v>
      </c>
      <c r="AG341">
        <f t="shared" si="266"/>
        <v>0.82028849032355722</v>
      </c>
      <c r="AH341">
        <f t="shared" si="249"/>
        <v>254.12292308806735</v>
      </c>
      <c r="AI341">
        <f>HLOOKUP(AW341,'Real assumptions'!$A$21:$AK$24,2,TRUE)</f>
        <v>2.8624000000000001</v>
      </c>
      <c r="AJ341" s="123">
        <f t="shared" si="267"/>
        <v>2.3545999577123666E-3</v>
      </c>
      <c r="AK341" s="122">
        <f>(1+HLOOKUP(YEAR(A341),'Real assumptions'!$A$21:$AK$24,2,TRUE)/100)^(1/12)-1</f>
        <v>2.3545999577123666E-3</v>
      </c>
      <c r="AL341">
        <f t="shared" si="268"/>
        <v>3.3277785806535807</v>
      </c>
      <c r="AM341">
        <f>('Real assumptions'!$B$33/12)*O340*AV340</f>
        <v>3.257549128219436</v>
      </c>
      <c r="AN341">
        <f t="shared" si="250"/>
        <v>257.62665342343723</v>
      </c>
      <c r="AO341">
        <f t="shared" si="227"/>
        <v>0.60660770725640389</v>
      </c>
      <c r="AP341" s="121">
        <f t="shared" si="251"/>
        <v>3.0244032871650024</v>
      </c>
      <c r="AQ341">
        <f t="shared" si="252"/>
        <v>0</v>
      </c>
      <c r="AR341">
        <v>0</v>
      </c>
      <c r="AS341">
        <f t="shared" si="233"/>
        <v>0</v>
      </c>
      <c r="AT341">
        <f t="shared" si="253"/>
        <v>0</v>
      </c>
      <c r="AU341">
        <f>IFERROR(HLOOKUP(B341,'Real assumptions'!$B$43:$AL$44,2,TRUE)*($W$3/$U$2),0)</f>
        <v>0</v>
      </c>
      <c r="AV341">
        <f>AV340*(1+'Real assumptions'!$B$35)^(1/12)</f>
        <v>1.4057684460495727</v>
      </c>
      <c r="AW341">
        <f t="shared" si="234"/>
        <v>2046</v>
      </c>
      <c r="AX341">
        <f t="shared" si="269"/>
        <v>256.36351013568452</v>
      </c>
      <c r="AY341">
        <f t="shared" si="270"/>
        <v>0.97629335411838147</v>
      </c>
      <c r="AZ341">
        <f t="shared" si="235"/>
        <v>605.58449871678988</v>
      </c>
      <c r="BA341">
        <f t="shared" si="254"/>
        <v>4.3559689174909337</v>
      </c>
      <c r="BB341">
        <f t="shared" si="255"/>
        <v>71.5</v>
      </c>
      <c r="BC341">
        <f t="shared" si="236"/>
        <v>42.9</v>
      </c>
      <c r="BD341">
        <f t="shared" si="256"/>
        <v>0</v>
      </c>
      <c r="BE341">
        <f t="shared" si="237"/>
        <v>24</v>
      </c>
      <c r="BF341">
        <f t="shared" si="271"/>
        <v>5000</v>
      </c>
      <c r="BU341"/>
      <c r="FD341"/>
      <c r="FE341"/>
    </row>
    <row r="342" spans="1:161" x14ac:dyDescent="0.25">
      <c r="A342" s="7">
        <f t="shared" si="257"/>
        <v>53508</v>
      </c>
      <c r="B342">
        <f t="shared" si="238"/>
        <v>331</v>
      </c>
      <c r="C342">
        <f t="shared" si="239"/>
        <v>27.5</v>
      </c>
      <c r="D342">
        <f t="shared" si="240"/>
        <v>0</v>
      </c>
      <c r="E342">
        <f t="shared" si="241"/>
        <v>79</v>
      </c>
      <c r="F342">
        <f>IF(C342&gt;=$T$2,0,VLOOKUP($E342,EKM_F05!$A$3:$C$128,2,TRUE))</f>
        <v>5.2700769230769232E-2</v>
      </c>
      <c r="G342">
        <f>F342*'Real assumptions'!$B$3</f>
        <v>2.1992031000000002E-2</v>
      </c>
      <c r="H342">
        <f t="shared" si="258"/>
        <v>1.8514057566271225E-3</v>
      </c>
      <c r="I342">
        <f t="shared" si="259"/>
        <v>4.2660571396577641E-4</v>
      </c>
      <c r="J342">
        <f>IF(B342&gt;$AJ$2,0,HLOOKUP(C342,'Real assumptions'!$B$5:$L$8,4,TRUE))</f>
        <v>3.7900000000000003E-2</v>
      </c>
      <c r="K342">
        <f t="shared" si="228"/>
        <v>1</v>
      </c>
      <c r="L342">
        <f t="shared" si="260"/>
        <v>8.3333333333333329E-2</v>
      </c>
      <c r="M342">
        <f t="shared" si="261"/>
        <v>3.2145624959929453E-3</v>
      </c>
      <c r="N342">
        <f t="shared" si="262"/>
        <v>7.4121348682720843E-4</v>
      </c>
      <c r="O342" s="8">
        <f t="shared" si="242"/>
        <v>0.22962572329953315</v>
      </c>
      <c r="P342">
        <f t="shared" si="243"/>
        <v>5.5390450200078272</v>
      </c>
      <c r="Q342">
        <f t="shared" si="263"/>
        <v>2.1330285698288822</v>
      </c>
      <c r="R342" s="89">
        <f t="shared" si="229"/>
        <v>5000</v>
      </c>
      <c r="S342">
        <f t="shared" si="230"/>
        <v>0.41666666666666785</v>
      </c>
      <c r="U342">
        <f>O341*AV341*'Real assumptions'!$B$33/12+AX342*'Real assumptions'!$B$34</f>
        <v>3.3147537198481243</v>
      </c>
      <c r="V342">
        <f>IF(P342=0,0,IF(E342&lt;=$C$7,$AN$5*O341,0))*'Real assumptions'!$D$28</f>
        <v>1.3847612550019568</v>
      </c>
      <c r="X342" s="94">
        <f t="shared" si="244"/>
        <v>0</v>
      </c>
      <c r="Y342">
        <f t="shared" si="231"/>
        <v>24</v>
      </c>
      <c r="Z342">
        <f t="shared" si="264"/>
        <v>71</v>
      </c>
      <c r="AA342">
        <f t="shared" si="232"/>
        <v>71.416666666666671</v>
      </c>
      <c r="AB342">
        <f t="shared" si="245"/>
        <v>50.505050505050505</v>
      </c>
      <c r="AC342">
        <f t="shared" si="265"/>
        <v>3606.902356902357</v>
      </c>
      <c r="AD342">
        <f t="shared" si="246"/>
        <v>80.505050505050505</v>
      </c>
      <c r="AE342">
        <f t="shared" si="247"/>
        <v>287.47011784511784</v>
      </c>
      <c r="AF342" s="94">
        <f t="shared" si="248"/>
        <v>1105.6275252525252</v>
      </c>
      <c r="AG342">
        <f t="shared" si="266"/>
        <v>0.81950603312456161</v>
      </c>
      <c r="AH342">
        <f t="shared" si="249"/>
        <v>253.88052018598395</v>
      </c>
      <c r="AI342">
        <f>HLOOKUP(AW342,'Real assumptions'!$A$21:$AK$24,2,TRUE)</f>
        <v>2.8624000000000001</v>
      </c>
      <c r="AJ342" s="123">
        <f t="shared" si="267"/>
        <v>2.3545999577123666E-3</v>
      </c>
      <c r="AK342" s="122">
        <f>(1+HLOOKUP(YEAR(A342),'Real assumptions'!$A$21:$AK$24,2,TRUE)/100)^(1/12)-1</f>
        <v>2.3545999577123666E-3</v>
      </c>
      <c r="AL342">
        <f t="shared" si="268"/>
        <v>3.3147537198481243</v>
      </c>
      <c r="AM342">
        <f>('Real assumptions'!$B$33/12)*O341*AV341</f>
        <v>3.2444227959895953</v>
      </c>
      <c r="AN342">
        <f t="shared" si="250"/>
        <v>257.98685642039015</v>
      </c>
      <c r="AO342">
        <f t="shared" si="227"/>
        <v>0.60745584121779705</v>
      </c>
      <c r="AP342" s="121">
        <f t="shared" si="251"/>
        <v>3.6318591283827995</v>
      </c>
      <c r="AQ342">
        <f t="shared" si="252"/>
        <v>0</v>
      </c>
      <c r="AR342">
        <v>0</v>
      </c>
      <c r="AS342">
        <f t="shared" si="233"/>
        <v>0</v>
      </c>
      <c r="AT342">
        <f t="shared" si="253"/>
        <v>0</v>
      </c>
      <c r="AU342">
        <f>IFERROR(HLOOKUP(B342,'Real assumptions'!$B$43:$AL$44,2,TRUE)*($W$3/$U$2),0)</f>
        <v>0</v>
      </c>
      <c r="AV342">
        <f>AV341*(1+'Real assumptions'!$B$35)^(1/12)</f>
        <v>1.4072244651151573</v>
      </c>
      <c r="AW342">
        <f t="shared" si="234"/>
        <v>2046</v>
      </c>
      <c r="AX342">
        <f t="shared" si="269"/>
        <v>256.73391841358193</v>
      </c>
      <c r="AY342">
        <f t="shared" si="270"/>
        <v>0.97135329335154086</v>
      </c>
      <c r="AZ342">
        <f t="shared" si="235"/>
        <v>604.8974033940641</v>
      </c>
      <c r="BA342">
        <f t="shared" si="254"/>
        <v>4.3372958579554002</v>
      </c>
      <c r="BB342">
        <f t="shared" si="255"/>
        <v>71.416666666666671</v>
      </c>
      <c r="BC342">
        <f t="shared" si="236"/>
        <v>42.85</v>
      </c>
      <c r="BD342">
        <f t="shared" si="256"/>
        <v>0</v>
      </c>
      <c r="BE342">
        <f t="shared" si="237"/>
        <v>24</v>
      </c>
      <c r="BF342">
        <f t="shared" si="271"/>
        <v>5000</v>
      </c>
      <c r="BU342"/>
      <c r="FD342"/>
      <c r="FE342"/>
    </row>
    <row r="343" spans="1:161" x14ac:dyDescent="0.25">
      <c r="A343" s="7">
        <f t="shared" si="257"/>
        <v>53539</v>
      </c>
      <c r="B343">
        <f t="shared" si="238"/>
        <v>332</v>
      </c>
      <c r="C343">
        <f t="shared" si="239"/>
        <v>27.583333333333332</v>
      </c>
      <c r="D343">
        <f t="shared" si="240"/>
        <v>0</v>
      </c>
      <c r="E343">
        <f t="shared" si="241"/>
        <v>79</v>
      </c>
      <c r="F343">
        <f>IF(C343&gt;=$T$2,0,VLOOKUP($E343,EKM_F05!$A$3:$C$128,2,TRUE))</f>
        <v>5.2700769230769232E-2</v>
      </c>
      <c r="G343">
        <f>F343*'Real assumptions'!$B$3</f>
        <v>2.1992031000000002E-2</v>
      </c>
      <c r="H343">
        <f t="shared" si="258"/>
        <v>1.8514057566271225E-3</v>
      </c>
      <c r="I343">
        <f t="shared" si="259"/>
        <v>4.2444708188907294E-4</v>
      </c>
      <c r="J343">
        <f>IF(B343&gt;$AJ$2,0,HLOOKUP(C343,'Real assumptions'!$B$5:$L$8,4,TRUE))</f>
        <v>3.7900000000000003E-2</v>
      </c>
      <c r="K343">
        <f t="shared" si="228"/>
        <v>1</v>
      </c>
      <c r="L343">
        <f t="shared" si="260"/>
        <v>8.3333333333333329E-2</v>
      </c>
      <c r="M343">
        <f t="shared" si="261"/>
        <v>3.2145624959929453E-3</v>
      </c>
      <c r="N343">
        <f t="shared" si="262"/>
        <v>7.3746293413658312E-4</v>
      </c>
      <c r="O343" s="8">
        <f t="shared" si="242"/>
        <v>0.22846381328350748</v>
      </c>
      <c r="P343">
        <f t="shared" si="243"/>
        <v>5.5110173591887959</v>
      </c>
      <c r="Q343">
        <f t="shared" si="263"/>
        <v>2.1222354094453646</v>
      </c>
      <c r="R343" s="89">
        <f t="shared" si="229"/>
        <v>5000</v>
      </c>
      <c r="S343">
        <f t="shared" si="230"/>
        <v>0.33333333333333215</v>
      </c>
      <c r="U343">
        <f>O342*AV342*'Real assumptions'!$B$33/12+AX343*'Real assumptions'!$B$34</f>
        <v>3.3017808577361163</v>
      </c>
      <c r="V343">
        <f>IF(P343=0,0,IF(E343&lt;=$C$7,$AN$5*O342,0))*'Real assumptions'!$D$28</f>
        <v>1.377754339797199</v>
      </c>
      <c r="X343" s="94">
        <f t="shared" si="244"/>
        <v>0</v>
      </c>
      <c r="Y343">
        <f t="shared" si="231"/>
        <v>24</v>
      </c>
      <c r="Z343">
        <f t="shared" si="264"/>
        <v>71</v>
      </c>
      <c r="AA343">
        <f t="shared" si="232"/>
        <v>71.333333333333329</v>
      </c>
      <c r="AB343">
        <f t="shared" si="245"/>
        <v>50.505050505050505</v>
      </c>
      <c r="AC343">
        <f t="shared" si="265"/>
        <v>3602.6936026936023</v>
      </c>
      <c r="AD343">
        <f t="shared" si="246"/>
        <v>80.505050505050505</v>
      </c>
      <c r="AE343">
        <f t="shared" si="247"/>
        <v>287.13468013468008</v>
      </c>
      <c r="AF343" s="94">
        <f t="shared" si="248"/>
        <v>1110.1717171717175</v>
      </c>
      <c r="AG343">
        <f t="shared" si="266"/>
        <v>0.81871049194090373</v>
      </c>
      <c r="AH343">
        <f t="shared" si="249"/>
        <v>253.63406390455015</v>
      </c>
      <c r="AI343">
        <f>HLOOKUP(AW343,'Real assumptions'!$A$21:$AK$24,2,TRUE)</f>
        <v>2.8624000000000001</v>
      </c>
      <c r="AJ343" s="123">
        <f t="shared" si="267"/>
        <v>2.3545999577123666E-3</v>
      </c>
      <c r="AK343" s="122">
        <f>(1+HLOOKUP(YEAR(A343),'Real assumptions'!$A$21:$AK$24,2,TRUE)/100)^(1/12)-1</f>
        <v>2.3545999577123666E-3</v>
      </c>
      <c r="AL343">
        <f t="shared" si="268"/>
        <v>3.3017808577361163</v>
      </c>
      <c r="AM343">
        <f>('Real assumptions'!$B$33/12)*O342*AV342</f>
        <v>3.2313493564686668</v>
      </c>
      <c r="AN343">
        <f t="shared" si="250"/>
        <v>258.34386147602225</v>
      </c>
      <c r="AO343">
        <f t="shared" si="227"/>
        <v>0.60829644530669147</v>
      </c>
      <c r="AP343" s="121">
        <f t="shared" si="251"/>
        <v>4.2401555736894911</v>
      </c>
      <c r="AQ343">
        <f t="shared" si="252"/>
        <v>0</v>
      </c>
      <c r="AR343">
        <v>0</v>
      </c>
      <c r="AS343">
        <f t="shared" si="233"/>
        <v>0</v>
      </c>
      <c r="AT343">
        <f t="shared" si="253"/>
        <v>0</v>
      </c>
      <c r="AU343">
        <f>IFERROR(HLOOKUP(B343,'Real assumptions'!$B$43:$AL$44,2,TRUE)*($W$3/$U$2),0)</f>
        <v>0</v>
      </c>
      <c r="AV343">
        <f>AV342*(1+'Real assumptions'!$B$35)^(1/12)</f>
        <v>1.4086819922466864</v>
      </c>
      <c r="AW343">
        <f t="shared" si="234"/>
        <v>2046</v>
      </c>
      <c r="AX343">
        <f t="shared" si="269"/>
        <v>257.10106320394465</v>
      </c>
      <c r="AY343">
        <f t="shared" si="270"/>
        <v>0.96643822937513946</v>
      </c>
      <c r="AZ343">
        <f t="shared" si="235"/>
        <v>604.21223105478532</v>
      </c>
      <c r="BA343">
        <f t="shared" si="254"/>
        <v>4.3187002411834676</v>
      </c>
      <c r="BB343">
        <f t="shared" si="255"/>
        <v>71.333333333333329</v>
      </c>
      <c r="BC343">
        <f t="shared" si="236"/>
        <v>42.8</v>
      </c>
      <c r="BD343">
        <f t="shared" si="256"/>
        <v>0</v>
      </c>
      <c r="BE343">
        <f t="shared" si="237"/>
        <v>24</v>
      </c>
      <c r="BF343">
        <f t="shared" si="271"/>
        <v>5000</v>
      </c>
      <c r="BU343"/>
      <c r="FD343"/>
      <c r="FE343"/>
    </row>
    <row r="344" spans="1:161" x14ac:dyDescent="0.25">
      <c r="A344" s="7">
        <f t="shared" si="257"/>
        <v>53570</v>
      </c>
      <c r="B344">
        <f t="shared" si="238"/>
        <v>333</v>
      </c>
      <c r="C344">
        <f t="shared" si="239"/>
        <v>27.666666666666668</v>
      </c>
      <c r="D344">
        <f t="shared" si="240"/>
        <v>0</v>
      </c>
      <c r="E344">
        <f t="shared" si="241"/>
        <v>79</v>
      </c>
      <c r="F344">
        <f>IF(C344&gt;=$T$2,0,VLOOKUP($E344,EKM_F05!$A$3:$C$128,2,TRUE))</f>
        <v>5.2700769230769232E-2</v>
      </c>
      <c r="G344">
        <f>F344*'Real assumptions'!$B$3</f>
        <v>2.1992031000000002E-2</v>
      </c>
      <c r="H344">
        <f t="shared" si="258"/>
        <v>1.8514057566271225E-3</v>
      </c>
      <c r="I344">
        <f t="shared" si="259"/>
        <v>4.2229937252692771E-4</v>
      </c>
      <c r="J344">
        <f>IF(B344&gt;$AJ$2,0,HLOOKUP(C344,'Real assumptions'!$B$5:$L$8,4,TRUE))</f>
        <v>3.7900000000000003E-2</v>
      </c>
      <c r="K344">
        <f t="shared" si="228"/>
        <v>1</v>
      </c>
      <c r="L344">
        <f t="shared" si="260"/>
        <v>8.3333333333333329E-2</v>
      </c>
      <c r="M344">
        <f t="shared" si="261"/>
        <v>3.2145624959929453E-3</v>
      </c>
      <c r="N344">
        <f t="shared" si="262"/>
        <v>7.3373135930555596E-4</v>
      </c>
      <c r="O344" s="8">
        <f t="shared" si="242"/>
        <v>0.227307782551675</v>
      </c>
      <c r="P344">
        <f t="shared" si="243"/>
        <v>5.4831315188041794</v>
      </c>
      <c r="Q344">
        <f t="shared" si="263"/>
        <v>2.1114968626346386</v>
      </c>
      <c r="R344" s="89">
        <f t="shared" si="229"/>
        <v>5000</v>
      </c>
      <c r="S344">
        <f t="shared" si="230"/>
        <v>0.25</v>
      </c>
      <c r="U344">
        <f>O343*AV343*'Real assumptions'!$B$33/12+AX344*'Real assumptions'!$B$34</f>
        <v>3.2888597921784815</v>
      </c>
      <c r="V344">
        <f>IF(P344=0,0,IF(E344&lt;=$C$7,$AN$5*O343,0))*'Real assumptions'!$D$28</f>
        <v>1.3707828797010448</v>
      </c>
      <c r="X344" s="94">
        <f t="shared" si="244"/>
        <v>0</v>
      </c>
      <c r="Y344">
        <f t="shared" si="231"/>
        <v>24</v>
      </c>
      <c r="Z344">
        <f t="shared" si="264"/>
        <v>71</v>
      </c>
      <c r="AA344">
        <f t="shared" si="232"/>
        <v>71.25</v>
      </c>
      <c r="AB344">
        <f t="shared" si="245"/>
        <v>50.505050505050505</v>
      </c>
      <c r="AC344">
        <f t="shared" si="265"/>
        <v>3598.4848484848485</v>
      </c>
      <c r="AD344">
        <f t="shared" si="246"/>
        <v>80.505050505050505</v>
      </c>
      <c r="AE344">
        <f t="shared" si="247"/>
        <v>286.79924242424244</v>
      </c>
      <c r="AF344" s="94">
        <f t="shared" si="248"/>
        <v>1114.715909090909</v>
      </c>
      <c r="AG344">
        <f t="shared" si="266"/>
        <v>0.81790201921680117</v>
      </c>
      <c r="AH344">
        <f t="shared" si="249"/>
        <v>253.38360147052907</v>
      </c>
      <c r="AI344">
        <f>HLOOKUP(AW344,'Real assumptions'!$A$21:$AK$24,2,TRUE)</f>
        <v>2.8624000000000001</v>
      </c>
      <c r="AJ344" s="123">
        <f t="shared" si="267"/>
        <v>2.3545999577123666E-3</v>
      </c>
      <c r="AK344" s="122">
        <f>(1+HLOOKUP(YEAR(A344),'Real assumptions'!$A$21:$AK$24,2,TRUE)/100)^(1/12)-1</f>
        <v>2.3545999577123666E-3</v>
      </c>
      <c r="AL344">
        <f t="shared" si="268"/>
        <v>3.2888597921784815</v>
      </c>
      <c r="AM344">
        <f>('Real assumptions'!$B$33/12)*O343*AV343</f>
        <v>3.2183285965248629</v>
      </c>
      <c r="AN344">
        <f t="shared" si="250"/>
        <v>258.69770832516429</v>
      </c>
      <c r="AO344">
        <f t="shared" si="227"/>
        <v>0.60912961308271796</v>
      </c>
      <c r="AP344" s="121">
        <f t="shared" si="251"/>
        <v>4.8492851867722093</v>
      </c>
      <c r="AQ344">
        <f t="shared" si="252"/>
        <v>0</v>
      </c>
      <c r="AR344">
        <v>0</v>
      </c>
      <c r="AS344">
        <f t="shared" si="233"/>
        <v>0</v>
      </c>
      <c r="AT344">
        <f t="shared" si="253"/>
        <v>0</v>
      </c>
      <c r="AU344">
        <f>IFERROR(HLOOKUP(B344,'Real assumptions'!$B$43:$AL$44,2,TRUE)*($W$3/$U$2),0)</f>
        <v>0</v>
      </c>
      <c r="AV344">
        <f>AV343*(1+'Real assumptions'!$B$35)^(1/12)</f>
        <v>1.4101410290061334</v>
      </c>
      <c r="AW344">
        <f t="shared" si="234"/>
        <v>2046</v>
      </c>
      <c r="AX344">
        <f t="shared" si="269"/>
        <v>257.46498463424359</v>
      </c>
      <c r="AY344">
        <f t="shared" si="270"/>
        <v>0.96154803570499781</v>
      </c>
      <c r="AZ344">
        <f t="shared" si="235"/>
        <v>603.52899911354939</v>
      </c>
      <c r="BA344">
        <f t="shared" si="254"/>
        <v>4.3001817615524853</v>
      </c>
      <c r="BB344">
        <f t="shared" si="255"/>
        <v>71.25</v>
      </c>
      <c r="BC344">
        <f t="shared" si="236"/>
        <v>42.75</v>
      </c>
      <c r="BD344">
        <f t="shared" si="256"/>
        <v>0</v>
      </c>
      <c r="BE344">
        <f t="shared" si="237"/>
        <v>24</v>
      </c>
      <c r="BF344">
        <f t="shared" si="271"/>
        <v>5000</v>
      </c>
      <c r="BU344"/>
      <c r="FD344"/>
      <c r="FE344"/>
    </row>
    <row r="345" spans="1:161" x14ac:dyDescent="0.25">
      <c r="A345" s="7">
        <f t="shared" si="257"/>
        <v>53600</v>
      </c>
      <c r="B345">
        <f t="shared" si="238"/>
        <v>334</v>
      </c>
      <c r="C345">
        <f t="shared" si="239"/>
        <v>27.75</v>
      </c>
      <c r="D345">
        <f t="shared" si="240"/>
        <v>0</v>
      </c>
      <c r="E345">
        <f t="shared" si="241"/>
        <v>79</v>
      </c>
      <c r="F345">
        <f>IF(C345&gt;=$T$2,0,VLOOKUP($E345,EKM_F05!$A$3:$C$128,2,TRUE))</f>
        <v>5.2700769230769232E-2</v>
      </c>
      <c r="G345">
        <f>F345*'Real assumptions'!$B$3</f>
        <v>2.1992031000000002E-2</v>
      </c>
      <c r="H345">
        <f t="shared" si="258"/>
        <v>1.8514057566271225E-3</v>
      </c>
      <c r="I345">
        <f t="shared" si="259"/>
        <v>4.2016253061022169E-4</v>
      </c>
      <c r="J345">
        <f>IF(B345&gt;$AJ$2,0,HLOOKUP(C345,'Real assumptions'!$B$5:$L$8,4,TRUE))</f>
        <v>3.7900000000000003E-2</v>
      </c>
      <c r="K345">
        <f t="shared" si="228"/>
        <v>1</v>
      </c>
      <c r="L345">
        <f t="shared" si="260"/>
        <v>8.3333333333333329E-2</v>
      </c>
      <c r="M345">
        <f t="shared" si="261"/>
        <v>3.2145624959929453E-3</v>
      </c>
      <c r="N345">
        <f t="shared" si="262"/>
        <v>7.3001866630583833E-4</v>
      </c>
      <c r="O345" s="8">
        <f t="shared" si="242"/>
        <v>0.22615760135475893</v>
      </c>
      <c r="P345">
        <f t="shared" si="243"/>
        <v>5.4553867812402004</v>
      </c>
      <c r="Q345">
        <f t="shared" si="263"/>
        <v>2.1008126530511086</v>
      </c>
      <c r="R345" s="89">
        <f t="shared" si="229"/>
        <v>5000</v>
      </c>
      <c r="S345">
        <f t="shared" si="230"/>
        <v>0.16666666666666785</v>
      </c>
      <c r="U345">
        <f>O344*AV344*'Real assumptions'!$B$33/12+AX345*'Real assumptions'!$B$34</f>
        <v>3.2759903218173081</v>
      </c>
      <c r="V345">
        <f>IF(P345=0,0,IF(E345&lt;=$C$7,$AN$5*O344,0))*'Real assumptions'!$D$28</f>
        <v>1.3638466953100501</v>
      </c>
      <c r="X345" s="94">
        <f t="shared" si="244"/>
        <v>0</v>
      </c>
      <c r="Y345">
        <f t="shared" si="231"/>
        <v>24</v>
      </c>
      <c r="Z345">
        <f t="shared" si="264"/>
        <v>71</v>
      </c>
      <c r="AA345">
        <f t="shared" si="232"/>
        <v>71.166666666666671</v>
      </c>
      <c r="AB345">
        <f t="shared" si="245"/>
        <v>50.505050505050505</v>
      </c>
      <c r="AC345">
        <f t="shared" si="265"/>
        <v>3594.2760942760947</v>
      </c>
      <c r="AD345">
        <f t="shared" si="246"/>
        <v>80.505050505050505</v>
      </c>
      <c r="AE345">
        <f t="shared" si="247"/>
        <v>286.46380471380473</v>
      </c>
      <c r="AF345" s="94">
        <f t="shared" si="248"/>
        <v>1119.2601010101007</v>
      </c>
      <c r="AG345">
        <f t="shared" si="266"/>
        <v>0.8170807661887316</v>
      </c>
      <c r="AH345">
        <f t="shared" si="249"/>
        <v>253.12917973652958</v>
      </c>
      <c r="AI345">
        <f>HLOOKUP(AW345,'Real assumptions'!$A$21:$AK$24,2,TRUE)</f>
        <v>2.8624000000000001</v>
      </c>
      <c r="AJ345" s="123">
        <f t="shared" si="267"/>
        <v>2.3545999577123666E-3</v>
      </c>
      <c r="AK345" s="122">
        <f>(1+HLOOKUP(YEAR(A345),'Real assumptions'!$A$21:$AK$24,2,TRUE)/100)^(1/12)-1</f>
        <v>2.3545999577123666E-3</v>
      </c>
      <c r="AL345">
        <f t="shared" si="268"/>
        <v>3.2759903218173081</v>
      </c>
      <c r="AM345">
        <f>('Real assumptions'!$B$33/12)*O344*AV344</f>
        <v>3.2053603038852136</v>
      </c>
      <c r="AN345">
        <f t="shared" si="250"/>
        <v>259.04843642141418</v>
      </c>
      <c r="AO345">
        <f t="shared" si="227"/>
        <v>0.60995543744331648</v>
      </c>
      <c r="AP345" s="121">
        <f t="shared" si="251"/>
        <v>5.4592406242155258</v>
      </c>
      <c r="AQ345">
        <f t="shared" si="252"/>
        <v>0</v>
      </c>
      <c r="AR345">
        <v>0</v>
      </c>
      <c r="AS345">
        <f t="shared" si="233"/>
        <v>0</v>
      </c>
      <c r="AT345">
        <f t="shared" si="253"/>
        <v>0</v>
      </c>
      <c r="AU345">
        <f>IFERROR(HLOOKUP(B345,'Real assumptions'!$B$43:$AL$44,2,TRUE)*($W$3/$U$2),0)</f>
        <v>0</v>
      </c>
      <c r="AV345">
        <f>AV344*(1+'Real assumptions'!$B$35)^(1/12)</f>
        <v>1.4116015769570891</v>
      </c>
      <c r="AW345">
        <f t="shared" si="234"/>
        <v>2046</v>
      </c>
      <c r="AX345">
        <f t="shared" si="269"/>
        <v>257.82572254848816</v>
      </c>
      <c r="AY345">
        <f t="shared" si="270"/>
        <v>0.95668258649694859</v>
      </c>
      <c r="AZ345">
        <f t="shared" si="235"/>
        <v>602.84772481421339</v>
      </c>
      <c r="BA345">
        <f t="shared" si="254"/>
        <v>4.2817401145498906</v>
      </c>
      <c r="BB345">
        <f t="shared" si="255"/>
        <v>71.166666666666671</v>
      </c>
      <c r="BC345">
        <f t="shared" si="236"/>
        <v>42.7</v>
      </c>
      <c r="BD345">
        <f t="shared" si="256"/>
        <v>0</v>
      </c>
      <c r="BE345">
        <f t="shared" si="237"/>
        <v>24</v>
      </c>
      <c r="BF345">
        <f t="shared" si="271"/>
        <v>5000</v>
      </c>
      <c r="BU345"/>
      <c r="FD345"/>
      <c r="FE345"/>
    </row>
    <row r="346" spans="1:161" x14ac:dyDescent="0.25">
      <c r="A346" s="7">
        <f t="shared" si="257"/>
        <v>53631</v>
      </c>
      <c r="B346">
        <f t="shared" si="238"/>
        <v>335</v>
      </c>
      <c r="C346">
        <f t="shared" si="239"/>
        <v>27.833333333333332</v>
      </c>
      <c r="D346">
        <f t="shared" si="240"/>
        <v>0</v>
      </c>
      <c r="E346">
        <f t="shared" si="241"/>
        <v>79</v>
      </c>
      <c r="F346">
        <f>IF(C346&gt;=$T$2,0,VLOOKUP($E346,EKM_F05!$A$3:$C$128,2,TRUE))</f>
        <v>5.2700769230769232E-2</v>
      </c>
      <c r="G346">
        <f>F346*'Real assumptions'!$B$3</f>
        <v>2.1992031000000002E-2</v>
      </c>
      <c r="H346">
        <f t="shared" si="258"/>
        <v>1.8514057566271225E-3</v>
      </c>
      <c r="I346">
        <f t="shared" si="259"/>
        <v>4.1803650114949836E-4</v>
      </c>
      <c r="J346">
        <f>IF(B346&gt;$AJ$2,0,HLOOKUP(C346,'Real assumptions'!$B$5:$L$8,4,TRUE))</f>
        <v>3.7900000000000003E-2</v>
      </c>
      <c r="K346">
        <f t="shared" si="228"/>
        <v>1</v>
      </c>
      <c r="L346">
        <f t="shared" si="260"/>
        <v>8.3333333333333329E-2</v>
      </c>
      <c r="M346">
        <f t="shared" si="261"/>
        <v>3.2145624959929453E-3</v>
      </c>
      <c r="N346">
        <f t="shared" si="262"/>
        <v>7.2632475959504711E-4</v>
      </c>
      <c r="O346" s="8">
        <f t="shared" si="242"/>
        <v>0.22501324009401438</v>
      </c>
      <c r="P346">
        <f t="shared" si="243"/>
        <v>5.4277824325142143</v>
      </c>
      <c r="Q346">
        <f t="shared" si="263"/>
        <v>2.0901825057474919</v>
      </c>
      <c r="R346" s="89">
        <f t="shared" si="229"/>
        <v>5000</v>
      </c>
      <c r="S346">
        <f t="shared" si="230"/>
        <v>8.3333333333332149E-2</v>
      </c>
      <c r="U346">
        <f>O345*AV345*'Real assumptions'!$B$33/12+AX346*'Real assumptions'!$B$34</f>
        <v>3.263172246072918</v>
      </c>
      <c r="V346">
        <f>IF(P346=0,0,IF(E346&lt;=$C$7,$AN$5*O345,0))*'Real assumptions'!$D$28</f>
        <v>1.3569456081285536</v>
      </c>
      <c r="X346" s="94">
        <f t="shared" si="244"/>
        <v>0</v>
      </c>
      <c r="Y346">
        <f t="shared" si="231"/>
        <v>24</v>
      </c>
      <c r="Z346">
        <f t="shared" si="264"/>
        <v>71</v>
      </c>
      <c r="AA346">
        <f t="shared" si="232"/>
        <v>71.083333333333329</v>
      </c>
      <c r="AB346">
        <f t="shared" si="245"/>
        <v>50.505050505050505</v>
      </c>
      <c r="AC346">
        <f t="shared" si="265"/>
        <v>3590.06734006734</v>
      </c>
      <c r="AD346">
        <f t="shared" si="246"/>
        <v>80.505050505050505</v>
      </c>
      <c r="AE346">
        <f t="shared" si="247"/>
        <v>286.12836700336698</v>
      </c>
      <c r="AF346" s="94">
        <f t="shared" si="248"/>
        <v>1123.8042929292931</v>
      </c>
      <c r="AG346">
        <f t="shared" si="266"/>
        <v>0.81624688289375069</v>
      </c>
      <c r="AH346">
        <f t="shared" si="249"/>
        <v>252.8708451835831</v>
      </c>
      <c r="AI346">
        <f>HLOOKUP(AW346,'Real assumptions'!$A$21:$AK$24,2,TRUE)</f>
        <v>2.8624000000000001</v>
      </c>
      <c r="AJ346" s="123">
        <f t="shared" si="267"/>
        <v>2.3545999577123666E-3</v>
      </c>
      <c r="AK346" s="122">
        <f>(1+HLOOKUP(YEAR(A346),'Real assumptions'!$A$21:$AK$24,2,TRUE)/100)^(1/12)-1</f>
        <v>2.3545999577123666E-3</v>
      </c>
      <c r="AL346">
        <f t="shared" si="268"/>
        <v>3.263172246072918</v>
      </c>
      <c r="AM346">
        <f>('Real assumptions'!$B$33/12)*O345*AV345</f>
        <v>3.1924442671321045</v>
      </c>
      <c r="AN346">
        <f t="shared" si="250"/>
        <v>259.3960849390578</v>
      </c>
      <c r="AO346">
        <f t="shared" si="227"/>
        <v>0.61077401062825898</v>
      </c>
      <c r="AP346" s="121">
        <f t="shared" si="251"/>
        <v>6.0700146348437851</v>
      </c>
      <c r="AQ346">
        <f t="shared" si="252"/>
        <v>0</v>
      </c>
      <c r="AR346">
        <v>0</v>
      </c>
      <c r="AS346">
        <f t="shared" si="233"/>
        <v>0</v>
      </c>
      <c r="AT346">
        <f t="shared" si="253"/>
        <v>0</v>
      </c>
      <c r="AU346">
        <f>IFERROR(HLOOKUP(B346,'Real assumptions'!$B$43:$AL$44,2,TRUE)*($W$3/$U$2),0)</f>
        <v>0</v>
      </c>
      <c r="AV346">
        <f>AV345*(1+'Real assumptions'!$B$35)^(1/12)</f>
        <v>1.4130636376647643</v>
      </c>
      <c r="AW346">
        <f t="shared" si="234"/>
        <v>2046</v>
      </c>
      <c r="AX346">
        <f t="shared" si="269"/>
        <v>258.18331650916014</v>
      </c>
      <c r="AY346">
        <f t="shared" si="270"/>
        <v>0.95184175654359815</v>
      </c>
      <c r="AZ346">
        <f t="shared" si="235"/>
        <v>602.16842523123933</v>
      </c>
      <c r="BA346">
        <f t="shared" si="254"/>
        <v>4.2633749967697963</v>
      </c>
      <c r="BB346">
        <f t="shared" si="255"/>
        <v>71.083333333333329</v>
      </c>
      <c r="BC346">
        <f t="shared" si="236"/>
        <v>42.649999999999991</v>
      </c>
      <c r="BD346">
        <f t="shared" si="256"/>
        <v>0</v>
      </c>
      <c r="BE346">
        <f t="shared" si="237"/>
        <v>24</v>
      </c>
      <c r="BF346">
        <f t="shared" si="271"/>
        <v>5000</v>
      </c>
      <c r="BU346"/>
      <c r="FD346"/>
      <c r="FE346"/>
    </row>
    <row r="347" spans="1:161" x14ac:dyDescent="0.25">
      <c r="A347" s="7">
        <f t="shared" si="257"/>
        <v>53661</v>
      </c>
      <c r="B347">
        <f t="shared" si="238"/>
        <v>336</v>
      </c>
      <c r="C347">
        <f t="shared" si="239"/>
        <v>27.916666666666668</v>
      </c>
      <c r="D347">
        <f t="shared" si="240"/>
        <v>0</v>
      </c>
      <c r="E347">
        <f t="shared" si="241"/>
        <v>79</v>
      </c>
      <c r="F347">
        <f>IF(C347&gt;=$T$2,0,VLOOKUP($E347,EKM_F05!$A$3:$C$128,2,TRUE))</f>
        <v>5.2700769230769232E-2</v>
      </c>
      <c r="G347">
        <f>F347*'Real assumptions'!$B$3</f>
        <v>2.1992031000000002E-2</v>
      </c>
      <c r="H347">
        <f t="shared" si="258"/>
        <v>1.8514057566271225E-3</v>
      </c>
      <c r="I347">
        <f t="shared" si="259"/>
        <v>4.1592122943354896E-4</v>
      </c>
      <c r="J347">
        <f>IF(B347&gt;$AJ$2,0,HLOOKUP(C347,'Real assumptions'!$B$5:$L$8,4,TRUE))</f>
        <v>3.7900000000000003E-2</v>
      </c>
      <c r="K347">
        <f t="shared" si="228"/>
        <v>1</v>
      </c>
      <c r="L347">
        <f t="shared" si="260"/>
        <v>8.3333333333333329E-2</v>
      </c>
      <c r="M347">
        <f t="shared" si="261"/>
        <v>3.2145624959929453E-3</v>
      </c>
      <c r="N347">
        <f t="shared" si="262"/>
        <v>7.2264954411424456E-4</v>
      </c>
      <c r="O347" s="8">
        <f t="shared" si="242"/>
        <v>0.2238746693204666</v>
      </c>
      <c r="P347">
        <f t="shared" si="243"/>
        <v>5.4003177622563454</v>
      </c>
      <c r="Q347">
        <f t="shared" si="263"/>
        <v>2.0796061471677447</v>
      </c>
      <c r="R347" s="89">
        <f t="shared" si="229"/>
        <v>5000</v>
      </c>
      <c r="S347">
        <f t="shared" si="230"/>
        <v>1</v>
      </c>
      <c r="U347">
        <f>O346*AV346*'Real assumptions'!$B$33/12+AX347*'Real assumptions'!$B$34</f>
        <v>3.2504053651409452</v>
      </c>
      <c r="V347">
        <f>IF(P347=0,0,IF(E347&lt;=$C$7,$AN$5*O346,0))*'Real assumptions'!$D$28</f>
        <v>1.3500794405640864</v>
      </c>
      <c r="X347" s="94">
        <f t="shared" si="244"/>
        <v>0</v>
      </c>
      <c r="Y347">
        <f t="shared" si="231"/>
        <v>24</v>
      </c>
      <c r="Z347">
        <f t="shared" si="264"/>
        <v>71</v>
      </c>
      <c r="AA347">
        <f t="shared" si="232"/>
        <v>71</v>
      </c>
      <c r="AB347">
        <f t="shared" si="245"/>
        <v>50.505050505050505</v>
      </c>
      <c r="AC347">
        <f t="shared" si="265"/>
        <v>3585.8585858585857</v>
      </c>
      <c r="AD347">
        <f t="shared" si="246"/>
        <v>80.505050505050505</v>
      </c>
      <c r="AE347">
        <f t="shared" si="247"/>
        <v>285.79292929292927</v>
      </c>
      <c r="AF347" s="94">
        <f t="shared" si="248"/>
        <v>1128.348484848485</v>
      </c>
      <c r="AG347">
        <f t="shared" si="266"/>
        <v>0.81540051817775627</v>
      </c>
      <c r="AH347">
        <f t="shared" si="249"/>
        <v>252.60864392370408</v>
      </c>
      <c r="AI347">
        <f>HLOOKUP(AW347,'Real assumptions'!$A$21:$AK$24,2,TRUE)</f>
        <v>2.8624000000000001</v>
      </c>
      <c r="AJ347" s="123">
        <f t="shared" si="267"/>
        <v>2.3545999577123666E-3</v>
      </c>
      <c r="AK347" s="122">
        <f>(1+HLOOKUP(YEAR(A347),'Real assumptions'!$A$21:$AK$24,2,TRUE)/100)^(1/12)-1</f>
        <v>2.3545999577123666E-3</v>
      </c>
      <c r="AL347">
        <f t="shared" si="268"/>
        <v>3.2504053651409452</v>
      </c>
      <c r="AM347">
        <f>('Real assumptions'!$B$33/12)*O346*AV346</f>
        <v>3.1795802756998297</v>
      </c>
      <c r="AN347">
        <f t="shared" si="250"/>
        <v>259.74069277497824</v>
      </c>
      <c r="AO347">
        <f t="shared" si="227"/>
        <v>0.61158542422414464</v>
      </c>
      <c r="AP347" s="121">
        <f t="shared" si="251"/>
        <v>6.6816000590679296</v>
      </c>
      <c r="AQ347">
        <f t="shared" si="252"/>
        <v>0</v>
      </c>
      <c r="AR347">
        <v>0</v>
      </c>
      <c r="AS347">
        <f t="shared" si="233"/>
        <v>0</v>
      </c>
      <c r="AT347">
        <f t="shared" si="253"/>
        <v>0</v>
      </c>
      <c r="AU347">
        <f>IFERROR(HLOOKUP(B347,'Real assumptions'!$B$43:$AL$44,2,TRUE)*($W$3/$U$2),0)</f>
        <v>0</v>
      </c>
      <c r="AV347">
        <f>AV346*(1+'Real assumptions'!$B$35)^(1/12)</f>
        <v>1.4145272126959907</v>
      </c>
      <c r="AW347">
        <f t="shared" si="234"/>
        <v>2046</v>
      </c>
      <c r="AX347">
        <f t="shared" si="269"/>
        <v>258.53780579913393</v>
      </c>
      <c r="AY347">
        <f t="shared" si="270"/>
        <v>0.94702542127110423</v>
      </c>
      <c r="AZ347">
        <f t="shared" si="235"/>
        <v>601.49111727103036</v>
      </c>
      <c r="BA347">
        <f t="shared" si="254"/>
        <v>4.2450861059095875</v>
      </c>
      <c r="BB347">
        <f t="shared" si="255"/>
        <v>71</v>
      </c>
      <c r="BC347">
        <f t="shared" si="236"/>
        <v>42.599999999999994</v>
      </c>
      <c r="BD347">
        <f t="shared" si="256"/>
        <v>0</v>
      </c>
      <c r="BE347">
        <f t="shared" si="237"/>
        <v>24</v>
      </c>
      <c r="BF347">
        <f t="shared" si="271"/>
        <v>5000</v>
      </c>
      <c r="BU347"/>
      <c r="FD347"/>
      <c r="FE347"/>
    </row>
    <row r="348" spans="1:161" x14ac:dyDescent="0.25">
      <c r="A348" s="7">
        <f t="shared" si="257"/>
        <v>53692</v>
      </c>
      <c r="B348">
        <f t="shared" si="238"/>
        <v>337</v>
      </c>
      <c r="C348">
        <f t="shared" si="239"/>
        <v>28</v>
      </c>
      <c r="D348">
        <f t="shared" si="240"/>
        <v>1</v>
      </c>
      <c r="E348">
        <f t="shared" si="241"/>
        <v>80</v>
      </c>
      <c r="F348">
        <f>IF(C348&gt;=$T$2,0,VLOOKUP($E348,EKM_F05!$A$3:$C$128,2,TRUE))</f>
        <v>5.8474871794871784E-2</v>
      </c>
      <c r="G348">
        <f>F348*'Real assumptions'!$B$3</f>
        <v>2.4401563999999997E-2</v>
      </c>
      <c r="H348">
        <f t="shared" si="258"/>
        <v>2.0565670086692966E-3</v>
      </c>
      <c r="I348">
        <f t="shared" si="259"/>
        <v>4.5967324540369835E-4</v>
      </c>
      <c r="J348">
        <f>IF(B348&gt;$AJ$2,0,HLOOKUP(C348,'Real assumptions'!$B$5:$L$8,4,TRUE))</f>
        <v>3.7900000000000003E-2</v>
      </c>
      <c r="K348">
        <f t="shared" si="228"/>
        <v>1</v>
      </c>
      <c r="L348">
        <f t="shared" si="260"/>
        <v>8.3333333333333329E-2</v>
      </c>
      <c r="M348">
        <f t="shared" si="261"/>
        <v>3.2145624959929453E-3</v>
      </c>
      <c r="N348">
        <f t="shared" si="262"/>
        <v>7.1891910220287273E-4</v>
      </c>
      <c r="O348" s="8">
        <f t="shared" si="242"/>
        <v>0.22269607697286004</v>
      </c>
      <c r="P348">
        <f t="shared" si="243"/>
        <v>5.3729920636911981</v>
      </c>
      <c r="Q348">
        <f t="shared" si="263"/>
        <v>2.2983662270184917</v>
      </c>
      <c r="R348" s="89">
        <f t="shared" si="229"/>
        <v>5000</v>
      </c>
      <c r="S348">
        <f t="shared" si="230"/>
        <v>0.91666666666666785</v>
      </c>
      <c r="U348">
        <f>O347*AV347*'Real assumptions'!$B$33/12+AX348*'Real assumptions'!$B$34</f>
        <v>3.23768947998943</v>
      </c>
      <c r="V348">
        <f>IF(P348=0,0,IF(E348&lt;=$C$7,$AN$5*O347,0))*'Real assumptions'!$D$28</f>
        <v>1.3432480159227995</v>
      </c>
      <c r="X348" s="94">
        <f t="shared" si="244"/>
        <v>0</v>
      </c>
      <c r="Y348">
        <f t="shared" si="231"/>
        <v>24</v>
      </c>
      <c r="Z348">
        <f t="shared" si="264"/>
        <v>71</v>
      </c>
      <c r="AA348">
        <f t="shared" si="232"/>
        <v>70.916666666666671</v>
      </c>
      <c r="AB348">
        <f t="shared" si="245"/>
        <v>50.505050505050505</v>
      </c>
      <c r="AC348">
        <f t="shared" si="265"/>
        <v>3581.6498316498319</v>
      </c>
      <c r="AD348">
        <f t="shared" si="246"/>
        <v>80.505050505050505</v>
      </c>
      <c r="AE348">
        <f t="shared" si="247"/>
        <v>285.45749158249157</v>
      </c>
      <c r="AF348" s="94">
        <f t="shared" si="248"/>
        <v>1132.8926767676767</v>
      </c>
      <c r="AG348">
        <f t="shared" si="266"/>
        <v>0.81445818607402742</v>
      </c>
      <c r="AH348">
        <f t="shared" si="249"/>
        <v>252.29075474744397</v>
      </c>
      <c r="AI348">
        <f>HLOOKUP(AW348,'Real assumptions'!$A$21:$AK$24,2,TRUE)</f>
        <v>2.8624000000000001</v>
      </c>
      <c r="AJ348" s="123">
        <f t="shared" si="267"/>
        <v>2.3545999577123666E-3</v>
      </c>
      <c r="AK348" s="122">
        <f>(1+HLOOKUP(YEAR(A348),'Real assumptions'!$A$21:$AK$24,2,TRUE)/100)^(1/12)-1</f>
        <v>2.3545999577123666E-3</v>
      </c>
      <c r="AL348">
        <f t="shared" si="268"/>
        <v>3.23768947998943</v>
      </c>
      <c r="AM348">
        <f>('Real assumptions'!$B$33/12)*O347*AV347</f>
        <v>3.1667681198711626</v>
      </c>
      <c r="AN348">
        <f t="shared" si="250"/>
        <v>260.08229855055095</v>
      </c>
      <c r="AO348">
        <f t="shared" si="227"/>
        <v>0.61238976916886234</v>
      </c>
      <c r="AP348" s="121">
        <f t="shared" si="251"/>
        <v>0</v>
      </c>
      <c r="AQ348">
        <f t="shared" si="252"/>
        <v>0</v>
      </c>
      <c r="AR348">
        <v>0</v>
      </c>
      <c r="AS348">
        <f t="shared" si="233"/>
        <v>0</v>
      </c>
      <c r="AT348">
        <f t="shared" si="253"/>
        <v>0</v>
      </c>
      <c r="AU348">
        <f>IFERROR(HLOOKUP(B348,'Real assumptions'!$B$43:$AL$44,2,TRUE)*($W$3/$U$2),0)</f>
        <v>0</v>
      </c>
      <c r="AV348">
        <f>AV347*(1+'Real assumptions'!$B$35)^(1/12)</f>
        <v>1.415992303619223</v>
      </c>
      <c r="AW348">
        <f t="shared" si="234"/>
        <v>2046</v>
      </c>
      <c r="AX348">
        <f t="shared" si="269"/>
        <v>258.88922942358511</v>
      </c>
      <c r="AY348">
        <f t="shared" si="270"/>
        <v>0.94223345673597048</v>
      </c>
      <c r="AZ348">
        <f t="shared" si="235"/>
        <v>600.58661838500757</v>
      </c>
      <c r="BA348">
        <f t="shared" si="254"/>
        <v>4.4560724290153182</v>
      </c>
      <c r="BB348">
        <f t="shared" si="255"/>
        <v>70.916666666666671</v>
      </c>
      <c r="BC348">
        <f t="shared" si="236"/>
        <v>42.55</v>
      </c>
      <c r="BD348">
        <f t="shared" si="256"/>
        <v>0</v>
      </c>
      <c r="BE348">
        <f t="shared" si="237"/>
        <v>24</v>
      </c>
      <c r="BF348">
        <f t="shared" si="271"/>
        <v>5000</v>
      </c>
      <c r="BU348"/>
      <c r="FD348"/>
      <c r="FE348"/>
    </row>
    <row r="349" spans="1:161" x14ac:dyDescent="0.25">
      <c r="A349" s="7">
        <f t="shared" si="257"/>
        <v>53723</v>
      </c>
      <c r="B349">
        <f t="shared" si="238"/>
        <v>338</v>
      </c>
      <c r="C349">
        <f t="shared" si="239"/>
        <v>28.083333333333332</v>
      </c>
      <c r="D349">
        <f t="shared" si="240"/>
        <v>0</v>
      </c>
      <c r="E349">
        <f t="shared" si="241"/>
        <v>80</v>
      </c>
      <c r="F349">
        <f>IF(C349&gt;=$T$2,0,VLOOKUP($E349,EKM_F05!$A$3:$C$128,2,TRUE))</f>
        <v>5.8474871794871784E-2</v>
      </c>
      <c r="G349">
        <f>F349*'Real assumptions'!$B$3</f>
        <v>2.4401563999999997E-2</v>
      </c>
      <c r="H349">
        <f t="shared" si="258"/>
        <v>2.0565670086692966E-3</v>
      </c>
      <c r="I349">
        <f t="shared" si="259"/>
        <v>4.5725328708024572E-4</v>
      </c>
      <c r="J349">
        <f>IF(B349&gt;$AJ$2,0,HLOOKUP(C349,'Real assumptions'!$B$5:$L$8,4,TRUE))</f>
        <v>3.7900000000000003E-2</v>
      </c>
      <c r="K349">
        <f t="shared" si="228"/>
        <v>1</v>
      </c>
      <c r="L349">
        <f t="shared" si="260"/>
        <v>8.3333333333333329E-2</v>
      </c>
      <c r="M349">
        <f t="shared" si="261"/>
        <v>3.2145624959929453E-3</v>
      </c>
      <c r="N349">
        <f t="shared" si="262"/>
        <v>7.1513433925949742E-4</v>
      </c>
      <c r="O349" s="8">
        <f t="shared" si="242"/>
        <v>0.22152368934652031</v>
      </c>
      <c r="P349">
        <f t="shared" si="243"/>
        <v>5.3447058473486404</v>
      </c>
      <c r="Q349">
        <f t="shared" si="263"/>
        <v>2.2862664354012288</v>
      </c>
      <c r="R349" s="89">
        <f t="shared" si="229"/>
        <v>5000</v>
      </c>
      <c r="S349">
        <f t="shared" si="230"/>
        <v>0.83333333333333215</v>
      </c>
      <c r="U349">
        <f>O348*AV348*'Real assumptions'!$B$33/12+AX349*'Real assumptions'!$B$34</f>
        <v>3.2223637751229277</v>
      </c>
      <c r="V349">
        <f>IF(P349=0,0,IF(E349&lt;=$C$7,$AN$5*O348,0))*'Real assumptions'!$D$28</f>
        <v>1.3361764618371601</v>
      </c>
      <c r="X349" s="94">
        <f t="shared" si="244"/>
        <v>0</v>
      </c>
      <c r="Y349">
        <f t="shared" si="231"/>
        <v>24</v>
      </c>
      <c r="Z349">
        <f t="shared" si="264"/>
        <v>70</v>
      </c>
      <c r="AA349">
        <f t="shared" si="232"/>
        <v>70.833333333333329</v>
      </c>
      <c r="AB349">
        <f t="shared" si="245"/>
        <v>50.505050505050505</v>
      </c>
      <c r="AC349">
        <f t="shared" si="265"/>
        <v>3577.4410774410771</v>
      </c>
      <c r="AD349">
        <f t="shared" si="246"/>
        <v>80.505050505050505</v>
      </c>
      <c r="AE349">
        <f t="shared" si="247"/>
        <v>285.12205387205387</v>
      </c>
      <c r="AF349" s="94">
        <f t="shared" si="248"/>
        <v>1137.436868686869</v>
      </c>
      <c r="AG349">
        <f t="shared" si="266"/>
        <v>0.8134201635377758</v>
      </c>
      <c r="AH349">
        <f t="shared" si="249"/>
        <v>251.9692115502688</v>
      </c>
      <c r="AI349">
        <f>HLOOKUP(AW349,'Real assumptions'!$A$21:$AK$24,2,TRUE)</f>
        <v>2.8616000000000001</v>
      </c>
      <c r="AJ349" s="123">
        <f t="shared" si="267"/>
        <v>2.353950314322617E-3</v>
      </c>
      <c r="AK349" s="122">
        <f>(1+HLOOKUP(YEAR(A349),'Real assumptions'!$A$21:$AK$24,2,TRUE)/100)^(1/12)-1</f>
        <v>2.353950314322617E-3</v>
      </c>
      <c r="AL349">
        <f t="shared" si="268"/>
        <v>3.2223637751229277</v>
      </c>
      <c r="AM349">
        <f>('Real assumptions'!$B$33/12)*O348*AV348</f>
        <v>3.1533593103976392</v>
      </c>
      <c r="AN349">
        <f t="shared" si="250"/>
        <v>253.07692035783253</v>
      </c>
      <c r="AO349">
        <f t="shared" si="227"/>
        <v>0.59573049622411978</v>
      </c>
      <c r="AP349" s="121">
        <f t="shared" si="251"/>
        <v>0.59573049622411978</v>
      </c>
      <c r="AQ349">
        <f t="shared" si="252"/>
        <v>0</v>
      </c>
      <c r="AR349">
        <v>0</v>
      </c>
      <c r="AS349">
        <f t="shared" si="233"/>
        <v>0</v>
      </c>
      <c r="AT349">
        <f t="shared" si="253"/>
        <v>0</v>
      </c>
      <c r="AU349">
        <f>IFERROR(HLOOKUP(B349,'Real assumptions'!$B$43:$AL$44,2,TRUE)*($W$3/$U$2),0)</f>
        <v>0</v>
      </c>
      <c r="AV349">
        <f>AV348*(1+'Real assumptions'!$B$35)^(1/12)</f>
        <v>1.4174589120045402</v>
      </c>
      <c r="AW349">
        <f t="shared" si="234"/>
        <v>2047</v>
      </c>
      <c r="AX349">
        <f t="shared" si="269"/>
        <v>251.89185133683938</v>
      </c>
      <c r="AY349">
        <f t="shared" si="270"/>
        <v>0.93727305123257587</v>
      </c>
      <c r="AZ349">
        <f t="shared" si="235"/>
        <v>599.68684845558255</v>
      </c>
      <c r="BA349">
        <f t="shared" si="254"/>
        <v>4.435863060776164</v>
      </c>
      <c r="BB349">
        <f t="shared" si="255"/>
        <v>70.833333333333329</v>
      </c>
      <c r="BC349">
        <f t="shared" si="236"/>
        <v>42.5</v>
      </c>
      <c r="BD349">
        <f t="shared" si="256"/>
        <v>0</v>
      </c>
      <c r="BE349">
        <f t="shared" si="237"/>
        <v>24</v>
      </c>
      <c r="BF349">
        <f t="shared" si="271"/>
        <v>5000</v>
      </c>
      <c r="BU349"/>
      <c r="FD349"/>
      <c r="FE349"/>
    </row>
    <row r="350" spans="1:161" x14ac:dyDescent="0.25">
      <c r="A350" s="7">
        <f t="shared" si="257"/>
        <v>53751</v>
      </c>
      <c r="B350">
        <f t="shared" si="238"/>
        <v>339</v>
      </c>
      <c r="C350">
        <f t="shared" si="239"/>
        <v>28.166666666666668</v>
      </c>
      <c r="D350">
        <f t="shared" si="240"/>
        <v>0</v>
      </c>
      <c r="E350">
        <f t="shared" si="241"/>
        <v>80</v>
      </c>
      <c r="F350">
        <f>IF(C350&gt;=$T$2,0,VLOOKUP($E350,EKM_F05!$A$3:$C$128,2,TRUE))</f>
        <v>5.8474871794871784E-2</v>
      </c>
      <c r="G350">
        <f>F350*'Real assumptions'!$B$3</f>
        <v>2.4401563999999997E-2</v>
      </c>
      <c r="H350">
        <f t="shared" si="258"/>
        <v>2.0565670086692966E-3</v>
      </c>
      <c r="I350">
        <f t="shared" si="259"/>
        <v>4.5484606867225648E-4</v>
      </c>
      <c r="J350">
        <f>IF(B350&gt;$AJ$2,0,HLOOKUP(C350,'Real assumptions'!$B$5:$L$8,4,TRUE))</f>
        <v>3.7900000000000003E-2</v>
      </c>
      <c r="K350">
        <f t="shared" si="228"/>
        <v>1</v>
      </c>
      <c r="L350">
        <f t="shared" si="260"/>
        <v>8.3333333333333329E-2</v>
      </c>
      <c r="M350">
        <f t="shared" si="261"/>
        <v>3.2145624959929453E-3</v>
      </c>
      <c r="N350">
        <f t="shared" si="262"/>
        <v>7.1136950127081283E-4</v>
      </c>
      <c r="O350" s="8">
        <f t="shared" si="242"/>
        <v>0.22035747377657725</v>
      </c>
      <c r="P350">
        <f t="shared" si="243"/>
        <v>5.3165685443164872</v>
      </c>
      <c r="Q350">
        <f t="shared" si="263"/>
        <v>2.2742303433612823</v>
      </c>
      <c r="R350" s="89">
        <f t="shared" si="229"/>
        <v>5000</v>
      </c>
      <c r="S350">
        <f t="shared" si="230"/>
        <v>0.75</v>
      </c>
      <c r="U350">
        <f>O349*AV349*'Real assumptions'!$B$33/12+AX350*'Real assumptions'!$B$34</f>
        <v>3.2090874290491707</v>
      </c>
      <c r="V350">
        <f>IF(P350=0,0,IF(E350&lt;=$C$7,$AN$5*O349,0))*'Real assumptions'!$D$28</f>
        <v>1.3291421360791218</v>
      </c>
      <c r="X350" s="94">
        <f t="shared" si="244"/>
        <v>0</v>
      </c>
      <c r="Y350">
        <f t="shared" si="231"/>
        <v>24</v>
      </c>
      <c r="Z350">
        <f t="shared" si="264"/>
        <v>70</v>
      </c>
      <c r="AA350">
        <f t="shared" si="232"/>
        <v>70.75</v>
      </c>
      <c r="AB350">
        <f t="shared" si="245"/>
        <v>50.505050505050505</v>
      </c>
      <c r="AC350">
        <f t="shared" si="265"/>
        <v>3573.2323232323233</v>
      </c>
      <c r="AD350">
        <f t="shared" si="246"/>
        <v>80.505050505050505</v>
      </c>
      <c r="AE350">
        <f t="shared" si="247"/>
        <v>284.78661616161617</v>
      </c>
      <c r="AF350" s="94">
        <f t="shared" si="248"/>
        <v>1141.9810606060605</v>
      </c>
      <c r="AG350">
        <f t="shared" si="266"/>
        <v>0.81237049754404711</v>
      </c>
      <c r="AH350">
        <f t="shared" si="249"/>
        <v>251.64406161584785</v>
      </c>
      <c r="AI350">
        <f>HLOOKUP(AW350,'Real assumptions'!$A$21:$AK$24,2,TRUE)</f>
        <v>2.8616000000000001</v>
      </c>
      <c r="AJ350" s="123">
        <f t="shared" si="267"/>
        <v>2.353950314322617E-3</v>
      </c>
      <c r="AK350" s="122">
        <f>(1+HLOOKUP(YEAR(A350),'Real assumptions'!$A$21:$AK$24,2,TRUE)/100)^(1/12)-1</f>
        <v>2.353950314322617E-3</v>
      </c>
      <c r="AL350">
        <f t="shared" si="268"/>
        <v>3.2090874290491707</v>
      </c>
      <c r="AM350">
        <f>('Real assumptions'!$B$33/12)*O349*AV349</f>
        <v>3.1400072768435043</v>
      </c>
      <c r="AN350">
        <f t="shared" si="250"/>
        <v>253.34328102568114</v>
      </c>
      <c r="AO350">
        <f t="shared" ref="AO350:AO413" si="272">AN350*AJ350</f>
        <v>0.59635749600192522</v>
      </c>
      <c r="AP350" s="121">
        <f t="shared" si="251"/>
        <v>1.192087992226045</v>
      </c>
      <c r="AQ350">
        <f t="shared" si="252"/>
        <v>0</v>
      </c>
      <c r="AR350">
        <v>0</v>
      </c>
      <c r="AS350">
        <f t="shared" si="233"/>
        <v>0</v>
      </c>
      <c r="AT350">
        <f t="shared" si="253"/>
        <v>0</v>
      </c>
      <c r="AU350">
        <f>IFERROR(HLOOKUP(B350,'Real assumptions'!$B$43:$AL$44,2,TRUE)*($W$3/$U$2),0)</f>
        <v>0</v>
      </c>
      <c r="AV350">
        <f>AV349*(1+'Real assumptions'!$B$35)^(1/12)</f>
        <v>1.4189270394236475</v>
      </c>
      <c r="AW350">
        <f t="shared" si="234"/>
        <v>2047</v>
      </c>
      <c r="AX350">
        <f t="shared" si="269"/>
        <v>252.16813867028972</v>
      </c>
      <c r="AY350">
        <f t="shared" si="270"/>
        <v>0.93233875987592718</v>
      </c>
      <c r="AZ350">
        <f t="shared" si="235"/>
        <v>598.79021963928255</v>
      </c>
      <c r="BA350">
        <f t="shared" si="254"/>
        <v>4.4157429769844505</v>
      </c>
      <c r="BB350">
        <f t="shared" si="255"/>
        <v>70.75</v>
      </c>
      <c r="BC350">
        <f t="shared" si="236"/>
        <v>42.45</v>
      </c>
      <c r="BD350">
        <f t="shared" si="256"/>
        <v>0</v>
      </c>
      <c r="BE350">
        <f t="shared" si="237"/>
        <v>24</v>
      </c>
      <c r="BF350">
        <f t="shared" si="271"/>
        <v>5000</v>
      </c>
      <c r="BU350"/>
      <c r="FD350"/>
      <c r="FE350"/>
    </row>
    <row r="351" spans="1:161" x14ac:dyDescent="0.25">
      <c r="A351" s="7">
        <f t="shared" si="257"/>
        <v>53782</v>
      </c>
      <c r="B351">
        <f t="shared" si="238"/>
        <v>340</v>
      </c>
      <c r="C351">
        <f t="shared" si="239"/>
        <v>28.25</v>
      </c>
      <c r="D351">
        <f t="shared" si="240"/>
        <v>0</v>
      </c>
      <c r="E351">
        <f t="shared" si="241"/>
        <v>80</v>
      </c>
      <c r="F351">
        <f>IF(C351&gt;=$T$2,0,VLOOKUP($E351,EKM_F05!$A$3:$C$128,2,TRUE))</f>
        <v>5.8474871794871784E-2</v>
      </c>
      <c r="G351">
        <f>F351*'Real assumptions'!$B$3</f>
        <v>2.4401563999999997E-2</v>
      </c>
      <c r="H351">
        <f t="shared" si="258"/>
        <v>2.0565670086692966E-3</v>
      </c>
      <c r="I351">
        <f t="shared" si="259"/>
        <v>4.5245152311020959E-4</v>
      </c>
      <c r="J351">
        <f>IF(B351&gt;$AJ$2,0,HLOOKUP(C351,'Real assumptions'!$B$5:$L$8,4,TRUE))</f>
        <v>3.7900000000000003E-2</v>
      </c>
      <c r="K351">
        <f t="shared" si="228"/>
        <v>1</v>
      </c>
      <c r="L351">
        <f t="shared" si="260"/>
        <v>8.3333333333333329E-2</v>
      </c>
      <c r="M351">
        <f t="shared" si="261"/>
        <v>3.2145624959929453E-3</v>
      </c>
      <c r="N351">
        <f t="shared" si="262"/>
        <v>7.0762448334152524E-4</v>
      </c>
      <c r="O351" s="8">
        <f t="shared" si="242"/>
        <v>0.21919739777012551</v>
      </c>
      <c r="P351">
        <f t="shared" si="243"/>
        <v>5.2885793706378541</v>
      </c>
      <c r="Q351">
        <f t="shared" si="263"/>
        <v>2.2622576155510479</v>
      </c>
      <c r="R351" s="89">
        <f t="shared" si="229"/>
        <v>5000</v>
      </c>
      <c r="S351">
        <f t="shared" si="230"/>
        <v>0.66666666666666785</v>
      </c>
      <c r="U351">
        <f>O350*AV350*'Real assumptions'!$B$33/12+AX351*'Real assumptions'!$B$34</f>
        <v>3.1958667991805201</v>
      </c>
      <c r="V351">
        <f>IF(P351=0,0,IF(E351&lt;=$C$7,$AN$5*O350,0))*'Real assumptions'!$D$28</f>
        <v>1.3221448426594635</v>
      </c>
      <c r="X351" s="94">
        <f t="shared" si="244"/>
        <v>0</v>
      </c>
      <c r="Y351">
        <f t="shared" si="231"/>
        <v>24</v>
      </c>
      <c r="Z351">
        <f t="shared" si="264"/>
        <v>70</v>
      </c>
      <c r="AA351">
        <f t="shared" si="232"/>
        <v>70.666666666666671</v>
      </c>
      <c r="AB351">
        <f t="shared" si="245"/>
        <v>50.505050505050505</v>
      </c>
      <c r="AC351">
        <f t="shared" si="265"/>
        <v>3569.0235690235691</v>
      </c>
      <c r="AD351">
        <f t="shared" si="246"/>
        <v>80.505050505050505</v>
      </c>
      <c r="AE351">
        <f t="shared" si="247"/>
        <v>284.45117845117846</v>
      </c>
      <c r="AF351" s="94">
        <f t="shared" si="248"/>
        <v>1146.5252525252524</v>
      </c>
      <c r="AG351">
        <f t="shared" si="266"/>
        <v>0.81130933945619355</v>
      </c>
      <c r="AH351">
        <f t="shared" si="249"/>
        <v>251.31535183127136</v>
      </c>
      <c r="AI351">
        <f>HLOOKUP(AW351,'Real assumptions'!$A$21:$AK$24,2,TRUE)</f>
        <v>2.8616000000000001</v>
      </c>
      <c r="AJ351" s="123">
        <f t="shared" si="267"/>
        <v>2.353950314322617E-3</v>
      </c>
      <c r="AK351" s="122">
        <f>(1+HLOOKUP(YEAR(A351),'Real assumptions'!$A$21:$AK$24,2,TRUE)/100)^(1/12)-1</f>
        <v>2.353950314322617E-3</v>
      </c>
      <c r="AL351">
        <f t="shared" si="268"/>
        <v>3.1958667991805201</v>
      </c>
      <c r="AM351">
        <f>('Real assumptions'!$B$33/12)*O350*AV350</f>
        <v>3.1267117788067282</v>
      </c>
      <c r="AN351">
        <f t="shared" si="250"/>
        <v>253.60671733687178</v>
      </c>
      <c r="AO351">
        <f t="shared" si="272"/>
        <v>0.59697761198945642</v>
      </c>
      <c r="AP351" s="121">
        <f t="shared" si="251"/>
        <v>1.7890656042155015</v>
      </c>
      <c r="AQ351">
        <f t="shared" si="252"/>
        <v>0</v>
      </c>
      <c r="AR351">
        <v>0</v>
      </c>
      <c r="AS351">
        <f t="shared" si="233"/>
        <v>0</v>
      </c>
      <c r="AT351">
        <f t="shared" si="253"/>
        <v>0</v>
      </c>
      <c r="AU351">
        <f>IFERROR(HLOOKUP(B351,'Real assumptions'!$B$43:$AL$44,2,TRUE)*($W$3/$U$2),0)</f>
        <v>0</v>
      </c>
      <c r="AV351">
        <f>AV350*(1+'Real assumptions'!$B$35)^(1/12)</f>
        <v>1.4203966874498783</v>
      </c>
      <c r="AW351">
        <f t="shared" si="234"/>
        <v>2047</v>
      </c>
      <c r="AX351">
        <f t="shared" si="269"/>
        <v>252.44143521060204</v>
      </c>
      <c r="AY351">
        <f t="shared" si="270"/>
        <v>0.92743044518761464</v>
      </c>
      <c r="AZ351">
        <f t="shared" si="235"/>
        <v>597.8967428388064</v>
      </c>
      <c r="BA351">
        <f t="shared" si="254"/>
        <v>4.3957117976667046</v>
      </c>
      <c r="BB351">
        <f t="shared" si="255"/>
        <v>70.666666666666671</v>
      </c>
      <c r="BC351">
        <f t="shared" si="236"/>
        <v>42.400000000000006</v>
      </c>
      <c r="BD351">
        <f t="shared" si="256"/>
        <v>0</v>
      </c>
      <c r="BE351">
        <f t="shared" si="237"/>
        <v>24</v>
      </c>
      <c r="BF351">
        <f t="shared" si="271"/>
        <v>5000</v>
      </c>
      <c r="BU351"/>
      <c r="FD351"/>
      <c r="FE351"/>
    </row>
    <row r="352" spans="1:161" x14ac:dyDescent="0.25">
      <c r="A352" s="7">
        <f t="shared" si="257"/>
        <v>53812</v>
      </c>
      <c r="B352">
        <f t="shared" si="238"/>
        <v>341</v>
      </c>
      <c r="C352">
        <f t="shared" si="239"/>
        <v>28.333333333333332</v>
      </c>
      <c r="D352">
        <f t="shared" si="240"/>
        <v>0</v>
      </c>
      <c r="E352">
        <f t="shared" si="241"/>
        <v>80</v>
      </c>
      <c r="F352">
        <f>IF(C352&gt;=$T$2,0,VLOOKUP($E352,EKM_F05!$A$3:$C$128,2,TRUE))</f>
        <v>5.8474871794871784E-2</v>
      </c>
      <c r="G352">
        <f>F352*'Real assumptions'!$B$3</f>
        <v>2.4401563999999997E-2</v>
      </c>
      <c r="H352">
        <f t="shared" si="258"/>
        <v>2.0565670086692966E-3</v>
      </c>
      <c r="I352">
        <f>H352*O351*(1-M352/2)</f>
        <v>4.5006958367767243E-4</v>
      </c>
      <c r="J352">
        <f>IF(B352&gt;$AJ$2,0,HLOOKUP(C352,'Real assumptions'!$B$5:$L$8,4,TRUE))</f>
        <v>3.7900000000000003E-2</v>
      </c>
      <c r="K352">
        <f t="shared" si="228"/>
        <v>1</v>
      </c>
      <c r="L352">
        <f t="shared" si="260"/>
        <v>8.3333333333333329E-2</v>
      </c>
      <c r="M352">
        <f t="shared" si="261"/>
        <v>3.2145624959929453E-3</v>
      </c>
      <c r="N352">
        <f t="shared" si="262"/>
        <v>7.0389918112856442E-4</v>
      </c>
      <c r="O352" s="8">
        <f t="shared" si="242"/>
        <v>0.21804342900531928</v>
      </c>
      <c r="P352">
        <f t="shared" si="243"/>
        <v>5.2607375464830124</v>
      </c>
      <c r="Q352">
        <f t="shared" si="263"/>
        <v>2.2503479183883623</v>
      </c>
      <c r="R352" s="89">
        <f t="shared" si="229"/>
        <v>5000</v>
      </c>
      <c r="S352">
        <f t="shared" si="230"/>
        <v>0.58333333333333215</v>
      </c>
      <c r="U352">
        <f>O351*AV351*'Real assumptions'!$B$33/12+AX352*'Real assumptions'!$B$34</f>
        <v>3.1827016571075051</v>
      </c>
      <c r="V352">
        <f>IF(P352=0,0,IF(E352&lt;=$C$7,$AN$5*O351,0))*'Real assumptions'!$D$28</f>
        <v>1.3151843866207531</v>
      </c>
      <c r="X352" s="94">
        <f t="shared" si="244"/>
        <v>0</v>
      </c>
      <c r="Y352">
        <f t="shared" si="231"/>
        <v>24</v>
      </c>
      <c r="Z352">
        <f t="shared" si="264"/>
        <v>70</v>
      </c>
      <c r="AA352">
        <f t="shared" si="232"/>
        <v>70.583333333333329</v>
      </c>
      <c r="AB352">
        <f t="shared" si="245"/>
        <v>50.505050505050505</v>
      </c>
      <c r="AC352">
        <f t="shared" si="265"/>
        <v>3564.8148148148148</v>
      </c>
      <c r="AD352">
        <f t="shared" si="246"/>
        <v>80.505050505050505</v>
      </c>
      <c r="AE352">
        <f t="shared" si="247"/>
        <v>284.1157407407407</v>
      </c>
      <c r="AF352" s="94">
        <f t="shared" si="248"/>
        <v>1151.0694444444446</v>
      </c>
      <c r="AG352">
        <f t="shared" si="266"/>
        <v>0.81023683936655611</v>
      </c>
      <c r="AH352">
        <f t="shared" si="249"/>
        <v>250.98312868991457</v>
      </c>
      <c r="AI352">
        <f>HLOOKUP(AW352,'Real assumptions'!$A$21:$AK$24,2,TRUE)</f>
        <v>2.8616000000000001</v>
      </c>
      <c r="AJ352" s="123">
        <f t="shared" si="267"/>
        <v>2.353950314322617E-3</v>
      </c>
      <c r="AK352" s="122">
        <f>(1+HLOOKUP(YEAR(A352),'Real assumptions'!$A$21:$AK$24,2,TRUE)/100)^(1/12)-1</f>
        <v>2.353950314322617E-3</v>
      </c>
      <c r="AL352">
        <f t="shared" si="268"/>
        <v>3.1827016571075051</v>
      </c>
      <c r="AM352">
        <f>('Real assumptions'!$B$33/12)*O351*AV351</f>
        <v>3.1134725769031961</v>
      </c>
      <c r="AN352">
        <f t="shared" si="250"/>
        <v>253.86726893824161</v>
      </c>
      <c r="AO352">
        <f t="shared" si="272"/>
        <v>0.5975909375133982</v>
      </c>
      <c r="AP352" s="121">
        <f t="shared" si="251"/>
        <v>2.3866565417288998</v>
      </c>
      <c r="AQ352">
        <f t="shared" si="252"/>
        <v>0</v>
      </c>
      <c r="AR352">
        <v>0</v>
      </c>
      <c r="AS352">
        <f t="shared" si="233"/>
        <v>0</v>
      </c>
      <c r="AT352">
        <f t="shared" si="253"/>
        <v>0</v>
      </c>
      <c r="AU352">
        <f>IFERROR(HLOOKUP(B352,'Real assumptions'!$B$43:$AL$44,2,TRUE)*($W$3/$U$2),0)</f>
        <v>0</v>
      </c>
      <c r="AV352">
        <f>AV351*(1+'Real assumptions'!$B$35)^(1/12)</f>
        <v>1.4218678576581953</v>
      </c>
      <c r="AW352">
        <f t="shared" si="234"/>
        <v>2047</v>
      </c>
      <c r="AX352">
        <f t="shared" si="269"/>
        <v>252.71178101927907</v>
      </c>
      <c r="AY352">
        <f t="shared" si="270"/>
        <v>0.92254797041298608</v>
      </c>
      <c r="AZ352">
        <f t="shared" si="235"/>
        <v>597.0064288095441</v>
      </c>
      <c r="BA352">
        <f t="shared" si="254"/>
        <v>4.3757691443756714</v>
      </c>
      <c r="BB352">
        <f t="shared" si="255"/>
        <v>70.583333333333329</v>
      </c>
      <c r="BC352">
        <f t="shared" si="236"/>
        <v>42.349999999999994</v>
      </c>
      <c r="BD352">
        <f t="shared" si="256"/>
        <v>0</v>
      </c>
      <c r="BE352">
        <f t="shared" si="237"/>
        <v>24</v>
      </c>
      <c r="BF352">
        <f t="shared" si="271"/>
        <v>5000</v>
      </c>
      <c r="BU352"/>
      <c r="FD352"/>
      <c r="FE352"/>
    </row>
    <row r="353" spans="1:161" x14ac:dyDescent="0.25">
      <c r="A353" s="7">
        <f t="shared" si="257"/>
        <v>53843</v>
      </c>
      <c r="B353">
        <f t="shared" si="238"/>
        <v>342</v>
      </c>
      <c r="C353">
        <f t="shared" si="239"/>
        <v>28.416666666666668</v>
      </c>
      <c r="D353">
        <f t="shared" si="240"/>
        <v>0</v>
      </c>
      <c r="E353">
        <f t="shared" si="241"/>
        <v>80</v>
      </c>
      <c r="F353">
        <f>IF(C353&gt;=$T$2,0,VLOOKUP($E353,EKM_F05!$A$3:$C$128,2,TRUE))</f>
        <v>5.8474871794871784E-2</v>
      </c>
      <c r="G353">
        <f>F353*'Real assumptions'!$B$3</f>
        <v>2.4401563999999997E-2</v>
      </c>
      <c r="H353">
        <f t="shared" si="258"/>
        <v>2.0565670086692966E-3</v>
      </c>
      <c r="I353">
        <f t="shared" si="259"/>
        <v>4.477001840094426E-4</v>
      </c>
      <c r="J353">
        <f>IF(B353&gt;$AJ$2,0,HLOOKUP(C353,'Real assumptions'!$B$5:$L$8,4,TRUE))</f>
        <v>3.7900000000000003E-2</v>
      </c>
      <c r="K353">
        <f t="shared" si="228"/>
        <v>1</v>
      </c>
      <c r="L353">
        <f t="shared" si="260"/>
        <v>8.3333333333333329E-2</v>
      </c>
      <c r="M353">
        <f t="shared" si="261"/>
        <v>3.2145624959929453E-3</v>
      </c>
      <c r="N353">
        <f t="shared" si="262"/>
        <v>7.0019349083817674E-4</v>
      </c>
      <c r="O353" s="8">
        <f t="shared" si="242"/>
        <v>0.21689553533047168</v>
      </c>
      <c r="P353">
        <f t="shared" si="243"/>
        <v>5.233042296127663</v>
      </c>
      <c r="Q353">
        <f t="shared" si="263"/>
        <v>2.2385009200472128</v>
      </c>
      <c r="R353" s="89">
        <f t="shared" si="229"/>
        <v>5000</v>
      </c>
      <c r="S353">
        <f t="shared" si="230"/>
        <v>0.5</v>
      </c>
      <c r="U353">
        <f>O352*AV352*'Real assumptions'!$B$33/12+AX353*'Real assumptions'!$B$34</f>
        <v>3.1695917753518836</v>
      </c>
      <c r="V353">
        <f>IF(P353=0,0,IF(E353&lt;=$C$7,$AN$5*O352,0))*'Real assumptions'!$D$28</f>
        <v>1.3082605740319158</v>
      </c>
      <c r="X353" s="94">
        <f t="shared" si="244"/>
        <v>0</v>
      </c>
      <c r="Y353">
        <f t="shared" si="231"/>
        <v>24</v>
      </c>
      <c r="Z353">
        <f t="shared" si="264"/>
        <v>70</v>
      </c>
      <c r="AA353">
        <f t="shared" si="232"/>
        <v>70.5</v>
      </c>
      <c r="AB353">
        <f t="shared" si="245"/>
        <v>50.505050505050505</v>
      </c>
      <c r="AC353">
        <f t="shared" si="265"/>
        <v>3560.6060606060605</v>
      </c>
      <c r="AD353">
        <f t="shared" si="246"/>
        <v>80.505050505050505</v>
      </c>
      <c r="AE353">
        <f t="shared" si="247"/>
        <v>283.780303030303</v>
      </c>
      <c r="AF353" s="94">
        <f t="shared" si="248"/>
        <v>1155.6136363636365</v>
      </c>
      <c r="AG353">
        <f t="shared" si="266"/>
        <v>0.80915314610565403</v>
      </c>
      <c r="AH353">
        <f t="shared" si="249"/>
        <v>250.64743829428397</v>
      </c>
      <c r="AI353">
        <f>HLOOKUP(AW353,'Real assumptions'!$A$21:$AK$24,2,TRUE)</f>
        <v>2.8616000000000001</v>
      </c>
      <c r="AJ353" s="123">
        <f t="shared" si="267"/>
        <v>2.353950314322617E-3</v>
      </c>
      <c r="AK353" s="122">
        <f>(1+HLOOKUP(YEAR(A353),'Real assumptions'!$A$21:$AK$24,2,TRUE)/100)^(1/12)-1</f>
        <v>2.353950314322617E-3</v>
      </c>
      <c r="AL353">
        <f t="shared" si="268"/>
        <v>3.1695917753518836</v>
      </c>
      <c r="AM353">
        <f>('Real assumptions'!$B$33/12)*O352*AV352</f>
        <v>3.1002894327624015</v>
      </c>
      <c r="AN353">
        <f t="shared" si="250"/>
        <v>254.12497517838733</v>
      </c>
      <c r="AO353">
        <f t="shared" si="272"/>
        <v>0.59819756519839207</v>
      </c>
      <c r="AP353" s="121">
        <f t="shared" si="251"/>
        <v>2.9848541069272918</v>
      </c>
      <c r="AQ353">
        <f t="shared" si="252"/>
        <v>0</v>
      </c>
      <c r="AR353">
        <v>0</v>
      </c>
      <c r="AS353">
        <f t="shared" si="233"/>
        <v>0</v>
      </c>
      <c r="AT353">
        <f t="shared" si="253"/>
        <v>0</v>
      </c>
      <c r="AU353">
        <f>IFERROR(HLOOKUP(B353,'Real assumptions'!$B$43:$AL$44,2,TRUE)*($W$3/$U$2),0)</f>
        <v>0</v>
      </c>
      <c r="AV353">
        <f>AV352*(1+'Real assumptions'!$B$35)^(1/12)</f>
        <v>1.4233405516251925</v>
      </c>
      <c r="AW353">
        <f t="shared" si="234"/>
        <v>2047</v>
      </c>
      <c r="AX353">
        <f t="shared" si="269"/>
        <v>252.97921585712891</v>
      </c>
      <c r="AY353">
        <f t="shared" si="270"/>
        <v>0.91769119951733702</v>
      </c>
      <c r="AZ353">
        <f t="shared" si="235"/>
        <v>596.11928816088391</v>
      </c>
      <c r="BA353">
        <f t="shared" si="254"/>
        <v>4.3559146401847828</v>
      </c>
      <c r="BB353">
        <f t="shared" si="255"/>
        <v>70.5</v>
      </c>
      <c r="BC353">
        <f t="shared" si="236"/>
        <v>42.3</v>
      </c>
      <c r="BD353">
        <f t="shared" si="256"/>
        <v>0</v>
      </c>
      <c r="BE353">
        <f t="shared" si="237"/>
        <v>24</v>
      </c>
      <c r="BF353">
        <f t="shared" si="271"/>
        <v>5000</v>
      </c>
      <c r="BU353"/>
      <c r="FD353"/>
      <c r="FE353"/>
    </row>
    <row r="354" spans="1:161" x14ac:dyDescent="0.25">
      <c r="A354" s="7">
        <f t="shared" si="257"/>
        <v>53873</v>
      </c>
      <c r="B354">
        <f t="shared" si="238"/>
        <v>343</v>
      </c>
      <c r="C354">
        <f t="shared" si="239"/>
        <v>28.5</v>
      </c>
      <c r="D354">
        <f t="shared" si="240"/>
        <v>0</v>
      </c>
      <c r="E354">
        <f t="shared" si="241"/>
        <v>80</v>
      </c>
      <c r="F354">
        <f>IF(C354&gt;=$T$2,0,VLOOKUP($E354,EKM_F05!$A$3:$C$128,2,TRUE))</f>
        <v>5.8474871794871784E-2</v>
      </c>
      <c r="G354">
        <f>F354*'Real assumptions'!$B$3</f>
        <v>2.4401563999999997E-2</v>
      </c>
      <c r="H354">
        <f t="shared" si="258"/>
        <v>2.0565670086692966E-3</v>
      </c>
      <c r="I354">
        <f t="shared" si="259"/>
        <v>4.4534325808969838E-4</v>
      </c>
      <c r="J354">
        <f>IF(B354&gt;$AJ$2,0,HLOOKUP(C354,'Real assumptions'!$B$5:$L$8,4,TRUE))</f>
        <v>3.7900000000000003E-2</v>
      </c>
      <c r="K354">
        <f t="shared" si="228"/>
        <v>1</v>
      </c>
      <c r="L354">
        <f t="shared" si="260"/>
        <v>8.3333333333333329E-2</v>
      </c>
      <c r="M354">
        <f t="shared" si="261"/>
        <v>3.2145624959929453E-3</v>
      </c>
      <c r="N354">
        <f t="shared" si="262"/>
        <v>6.9650730922303158E-4</v>
      </c>
      <c r="O354" s="8">
        <f t="shared" si="242"/>
        <v>0.21575368476315895</v>
      </c>
      <c r="P354">
        <f t="shared" si="243"/>
        <v>5.2054928479313203</v>
      </c>
      <c r="Q354">
        <f t="shared" si="263"/>
        <v>2.2267162904484921</v>
      </c>
      <c r="R354" s="89">
        <f t="shared" si="229"/>
        <v>5000</v>
      </c>
      <c r="S354">
        <f t="shared" si="230"/>
        <v>0.41666666666666785</v>
      </c>
      <c r="U354">
        <f>O353*AV353*'Real assumptions'!$B$33/12+AX354*'Real assumptions'!$B$34</f>
        <v>3.1565369273629438</v>
      </c>
      <c r="V354">
        <f>IF(P354=0,0,IF(E354&lt;=$C$7,$AN$5*O353,0))*'Real assumptions'!$D$28</f>
        <v>1.3013732119828301</v>
      </c>
      <c r="X354" s="94">
        <f t="shared" si="244"/>
        <v>0</v>
      </c>
      <c r="Y354">
        <f t="shared" si="231"/>
        <v>24</v>
      </c>
      <c r="Z354">
        <f t="shared" si="264"/>
        <v>70</v>
      </c>
      <c r="AA354">
        <f t="shared" si="232"/>
        <v>70.416666666666671</v>
      </c>
      <c r="AB354">
        <f t="shared" si="245"/>
        <v>50.505050505050505</v>
      </c>
      <c r="AC354">
        <f t="shared" si="265"/>
        <v>3556.3973063973067</v>
      </c>
      <c r="AD354">
        <f t="shared" si="246"/>
        <v>80.505050505050505</v>
      </c>
      <c r="AE354">
        <f t="shared" si="247"/>
        <v>283.4448653198653</v>
      </c>
      <c r="AF354" s="94">
        <f t="shared" si="248"/>
        <v>1160.1578282828279</v>
      </c>
      <c r="AG354">
        <f t="shared" si="266"/>
        <v>0.8080584072513084</v>
      </c>
      <c r="AH354">
        <f t="shared" si="249"/>
        <v>250.30832635884437</v>
      </c>
      <c r="AI354">
        <f>HLOOKUP(AW354,'Real assumptions'!$A$21:$AK$24,2,TRUE)</f>
        <v>2.8616000000000001</v>
      </c>
      <c r="AJ354" s="123">
        <f t="shared" si="267"/>
        <v>2.353950314322617E-3</v>
      </c>
      <c r="AK354" s="122">
        <f>(1+HLOOKUP(YEAR(A354),'Real assumptions'!$A$21:$AK$24,2,TRUE)/100)^(1/12)-1</f>
        <v>2.353950314322617E-3</v>
      </c>
      <c r="AL354">
        <f t="shared" si="268"/>
        <v>3.1565369273629438</v>
      </c>
      <c r="AM354">
        <f>('Real assumptions'!$B$33/12)*O353*AV353</f>
        <v>3.0871621090231494</v>
      </c>
      <c r="AN354">
        <f t="shared" si="250"/>
        <v>254.37987510979684</v>
      </c>
      <c r="AO354">
        <f t="shared" si="272"/>
        <v>0.59879758697205432</v>
      </c>
      <c r="AP354" s="121">
        <f t="shared" si="251"/>
        <v>3.5836516938993461</v>
      </c>
      <c r="AQ354">
        <f t="shared" si="252"/>
        <v>0</v>
      </c>
      <c r="AR354">
        <v>0</v>
      </c>
      <c r="AS354">
        <f t="shared" si="233"/>
        <v>0</v>
      </c>
      <c r="AT354">
        <f t="shared" si="253"/>
        <v>0</v>
      </c>
      <c r="AU354">
        <f>IFERROR(HLOOKUP(B354,'Real assumptions'!$B$43:$AL$44,2,TRUE)*($W$3/$U$2),0)</f>
        <v>0</v>
      </c>
      <c r="AV354">
        <f>AV353*(1+'Real assumptions'!$B$35)^(1/12)</f>
        <v>1.4248147709290968</v>
      </c>
      <c r="AW354">
        <f t="shared" si="234"/>
        <v>2047</v>
      </c>
      <c r="AX354">
        <f t="shared" si="269"/>
        <v>253.24377918641056</v>
      </c>
      <c r="AY354">
        <f t="shared" si="270"/>
        <v>0.91285999718211974</v>
      </c>
      <c r="AZ354">
        <f t="shared" si="235"/>
        <v>595.23533135750972</v>
      </c>
      <c r="BA354">
        <f t="shared" si="254"/>
        <v>4.3361479096826301</v>
      </c>
      <c r="BB354">
        <f t="shared" si="255"/>
        <v>70.416666666666671</v>
      </c>
      <c r="BC354">
        <f t="shared" si="236"/>
        <v>42.25</v>
      </c>
      <c r="BD354">
        <f t="shared" si="256"/>
        <v>0</v>
      </c>
      <c r="BE354">
        <f t="shared" si="237"/>
        <v>24</v>
      </c>
      <c r="BF354">
        <f t="shared" si="271"/>
        <v>5000</v>
      </c>
      <c r="BU354"/>
      <c r="FD354"/>
      <c r="FE354"/>
    </row>
    <row r="355" spans="1:161" x14ac:dyDescent="0.25">
      <c r="A355" s="7">
        <f t="shared" si="257"/>
        <v>53904</v>
      </c>
      <c r="B355">
        <f t="shared" si="238"/>
        <v>344</v>
      </c>
      <c r="C355">
        <f t="shared" si="239"/>
        <v>28.583333333333332</v>
      </c>
      <c r="D355">
        <f t="shared" si="240"/>
        <v>0</v>
      </c>
      <c r="E355">
        <f t="shared" si="241"/>
        <v>80</v>
      </c>
      <c r="F355">
        <f>IF(C355&gt;=$T$2,0,VLOOKUP($E355,EKM_F05!$A$3:$C$128,2,TRUE))</f>
        <v>5.8474871794871784E-2</v>
      </c>
      <c r="G355">
        <f>F355*'Real assumptions'!$B$3</f>
        <v>2.4401563999999997E-2</v>
      </c>
      <c r="H355">
        <f t="shared" si="258"/>
        <v>2.0565670086692966E-3</v>
      </c>
      <c r="I355">
        <f t="shared" si="259"/>
        <v>4.4299874025015951E-4</v>
      </c>
      <c r="J355">
        <f>IF(B355&gt;$AJ$2,0,HLOOKUP(C355,'Real assumptions'!$B$5:$L$8,4,TRUE))</f>
        <v>3.7900000000000003E-2</v>
      </c>
      <c r="K355">
        <f t="shared" si="228"/>
        <v>1</v>
      </c>
      <c r="L355">
        <f t="shared" si="260"/>
        <v>8.3333333333333329E-2</v>
      </c>
      <c r="M355">
        <f t="shared" si="261"/>
        <v>3.2145624959929453E-3</v>
      </c>
      <c r="N355">
        <f t="shared" si="262"/>
        <v>6.9284053357934663E-4</v>
      </c>
      <c r="O355" s="8">
        <f t="shared" si="242"/>
        <v>0.21461784548932944</v>
      </c>
      <c r="P355">
        <f t="shared" si="243"/>
        <v>5.1780884343158151</v>
      </c>
      <c r="Q355">
        <f t="shared" si="263"/>
        <v>2.2149937012507976</v>
      </c>
      <c r="R355" s="89">
        <f t="shared" si="229"/>
        <v>5000</v>
      </c>
      <c r="S355">
        <f t="shared" si="230"/>
        <v>0.33333333333333215</v>
      </c>
      <c r="U355">
        <f>O354*AV354*'Real assumptions'!$B$33/12+AX355*'Real assumptions'!$B$34</f>
        <v>3.1435368875138114</v>
      </c>
      <c r="V355">
        <f>IF(P355=0,0,IF(E355&lt;=$C$7,$AN$5*O354,0))*'Real assumptions'!$D$28</f>
        <v>1.2945221085789538</v>
      </c>
      <c r="X355" s="94">
        <f t="shared" si="244"/>
        <v>0</v>
      </c>
      <c r="Y355">
        <f t="shared" si="231"/>
        <v>24</v>
      </c>
      <c r="Z355">
        <f t="shared" si="264"/>
        <v>70</v>
      </c>
      <c r="AA355">
        <f t="shared" si="232"/>
        <v>70.333333333333329</v>
      </c>
      <c r="AB355">
        <f t="shared" si="245"/>
        <v>50.505050505050505</v>
      </c>
      <c r="AC355">
        <f t="shared" si="265"/>
        <v>3552.188552188552</v>
      </c>
      <c r="AD355">
        <f t="shared" si="246"/>
        <v>80.505050505050505</v>
      </c>
      <c r="AE355">
        <f t="shared" si="247"/>
        <v>283.1094276094276</v>
      </c>
      <c r="AF355" s="94">
        <f t="shared" si="248"/>
        <v>1164.7020202020203</v>
      </c>
      <c r="AG355">
        <f t="shared" si="266"/>
        <v>0.80695276913771075</v>
      </c>
      <c r="AH355">
        <f t="shared" si="249"/>
        <v>249.96583821282707</v>
      </c>
      <c r="AI355">
        <f>HLOOKUP(AW355,'Real assumptions'!$A$21:$AK$24,2,TRUE)</f>
        <v>2.8616000000000001</v>
      </c>
      <c r="AJ355" s="123">
        <f t="shared" si="267"/>
        <v>2.353950314322617E-3</v>
      </c>
      <c r="AK355" s="122">
        <f>(1+HLOOKUP(YEAR(A355),'Real assumptions'!$A$21:$AK$24,2,TRUE)/100)^(1/12)-1</f>
        <v>2.353950314322617E-3</v>
      </c>
      <c r="AL355">
        <f t="shared" si="268"/>
        <v>3.1435368875138114</v>
      </c>
      <c r="AM355">
        <f>('Real assumptions'!$B$33/12)*O354*AV354</f>
        <v>3.0740903693292889</v>
      </c>
      <c r="AN355">
        <f t="shared" si="250"/>
        <v>254.63200749096674</v>
      </c>
      <c r="AO355">
        <f t="shared" si="272"/>
        <v>0.59939109406996016</v>
      </c>
      <c r="AP355" s="121">
        <f t="shared" si="251"/>
        <v>4.1830427879693062</v>
      </c>
      <c r="AQ355">
        <f t="shared" si="252"/>
        <v>0</v>
      </c>
      <c r="AR355">
        <v>0</v>
      </c>
      <c r="AS355">
        <f t="shared" si="233"/>
        <v>0</v>
      </c>
      <c r="AT355">
        <f t="shared" si="253"/>
        <v>0</v>
      </c>
      <c r="AU355">
        <f>IFERROR(HLOOKUP(B355,'Real assumptions'!$B$43:$AL$44,2,TRUE)*($W$3/$U$2),0)</f>
        <v>0</v>
      </c>
      <c r="AV355">
        <f>AV354*(1+'Real assumptions'!$B$35)^(1/12)</f>
        <v>1.42629051714977</v>
      </c>
      <c r="AW355">
        <f t="shared" si="234"/>
        <v>2047</v>
      </c>
      <c r="AX355">
        <f t="shared" si="269"/>
        <v>253.50551017296596</v>
      </c>
      <c r="AY355">
        <f t="shared" si="270"/>
        <v>0.90805422880117403</v>
      </c>
      <c r="AZ355">
        <f t="shared" si="235"/>
        <v>594.35456872068914</v>
      </c>
      <c r="BA355">
        <f t="shared" si="254"/>
        <v>4.3164685789674619</v>
      </c>
      <c r="BB355">
        <f t="shared" si="255"/>
        <v>70.333333333333329</v>
      </c>
      <c r="BC355">
        <f t="shared" si="236"/>
        <v>42.199999999999996</v>
      </c>
      <c r="BD355">
        <f t="shared" si="256"/>
        <v>0</v>
      </c>
      <c r="BE355">
        <f t="shared" si="237"/>
        <v>24</v>
      </c>
      <c r="BF355">
        <f t="shared" si="271"/>
        <v>5000</v>
      </c>
      <c r="BU355"/>
      <c r="FD355"/>
      <c r="FE355"/>
    </row>
    <row r="356" spans="1:161" x14ac:dyDescent="0.25">
      <c r="A356" s="7">
        <f t="shared" si="257"/>
        <v>53935</v>
      </c>
      <c r="B356">
        <f t="shared" si="238"/>
        <v>345</v>
      </c>
      <c r="C356">
        <f t="shared" si="239"/>
        <v>28.666666666666668</v>
      </c>
      <c r="D356">
        <f t="shared" si="240"/>
        <v>0</v>
      </c>
      <c r="E356">
        <f t="shared" si="241"/>
        <v>80</v>
      </c>
      <c r="F356">
        <f>IF(C356&gt;=$T$2,0,VLOOKUP($E356,EKM_F05!$A$3:$C$128,2,TRUE))</f>
        <v>5.8474871794871784E-2</v>
      </c>
      <c r="G356">
        <f>F356*'Real assumptions'!$B$3</f>
        <v>2.4401563999999997E-2</v>
      </c>
      <c r="H356">
        <f t="shared" si="258"/>
        <v>2.0565670086692966E-3</v>
      </c>
      <c r="I356">
        <f t="shared" si="259"/>
        <v>4.4066656516825777E-4</v>
      </c>
      <c r="J356">
        <f>IF(B356&gt;$AJ$2,0,HLOOKUP(C356,'Real assumptions'!$B$5:$L$8,4,TRUE))</f>
        <v>3.7900000000000003E-2</v>
      </c>
      <c r="K356">
        <f t="shared" si="228"/>
        <v>1</v>
      </c>
      <c r="L356">
        <f t="shared" si="260"/>
        <v>8.3333333333333329E-2</v>
      </c>
      <c r="M356">
        <f t="shared" si="261"/>
        <v>3.2145624959929453E-3</v>
      </c>
      <c r="N356">
        <f t="shared" si="262"/>
        <v>6.891930617440252E-4</v>
      </c>
      <c r="O356" s="8">
        <f t="shared" si="242"/>
        <v>0.21348798586241716</v>
      </c>
      <c r="P356">
        <f t="shared" si="243"/>
        <v>5.1508282917439061</v>
      </c>
      <c r="Q356">
        <f t="shared" si="263"/>
        <v>2.2033328258412888</v>
      </c>
      <c r="R356" s="89">
        <f t="shared" si="229"/>
        <v>5000</v>
      </c>
      <c r="S356">
        <f t="shared" si="230"/>
        <v>0.25</v>
      </c>
      <c r="U356">
        <f>O355*AV355*'Real assumptions'!$B$33/12+AX356*'Real assumptions'!$B$34</f>
        <v>3.130591431097776</v>
      </c>
      <c r="V356">
        <f>IF(P356=0,0,IF(E356&lt;=$C$7,$AN$5*O355,0))*'Real assumptions'!$D$28</f>
        <v>1.2877070729359765</v>
      </c>
      <c r="X356" s="94">
        <f t="shared" si="244"/>
        <v>0</v>
      </c>
      <c r="Y356">
        <f t="shared" si="231"/>
        <v>24</v>
      </c>
      <c r="Z356">
        <f t="shared" si="264"/>
        <v>70</v>
      </c>
      <c r="AA356">
        <f t="shared" si="232"/>
        <v>70.25</v>
      </c>
      <c r="AB356">
        <f t="shared" si="245"/>
        <v>50.505050505050505</v>
      </c>
      <c r="AC356">
        <f t="shared" si="265"/>
        <v>3547.9797979797981</v>
      </c>
      <c r="AD356">
        <f t="shared" si="246"/>
        <v>80.505050505050505</v>
      </c>
      <c r="AE356">
        <f t="shared" si="247"/>
        <v>282.7739898989899</v>
      </c>
      <c r="AF356" s="94">
        <f t="shared" si="248"/>
        <v>1169.246212121212</v>
      </c>
      <c r="AG356">
        <f t="shared" si="266"/>
        <v>0.80583637686442211</v>
      </c>
      <c r="AH356">
        <f t="shared" si="249"/>
        <v>249.62001880301813</v>
      </c>
      <c r="AI356">
        <f>HLOOKUP(AW356,'Real assumptions'!$A$21:$AK$24,2,TRUE)</f>
        <v>2.8616000000000001</v>
      </c>
      <c r="AJ356" s="123">
        <f t="shared" si="267"/>
        <v>2.353950314322617E-3</v>
      </c>
      <c r="AK356" s="122">
        <f>(1+HLOOKUP(YEAR(A356),'Real assumptions'!$A$21:$AK$24,2,TRUE)/100)^(1/12)-1</f>
        <v>2.353950314322617E-3</v>
      </c>
      <c r="AL356">
        <f t="shared" si="268"/>
        <v>3.130591431097776</v>
      </c>
      <c r="AM356">
        <f>('Real assumptions'!$B$33/12)*O355*AV355</f>
        <v>3.0610739783254513</v>
      </c>
      <c r="AN356">
        <f t="shared" si="250"/>
        <v>254.88141078850654</v>
      </c>
      <c r="AO356">
        <f t="shared" si="272"/>
        <v>0.59997817704059708</v>
      </c>
      <c r="AP356" s="121">
        <f t="shared" si="251"/>
        <v>4.7830209650099036</v>
      </c>
      <c r="AQ356">
        <f t="shared" si="252"/>
        <v>0</v>
      </c>
      <c r="AR356">
        <v>0</v>
      </c>
      <c r="AS356">
        <f t="shared" si="233"/>
        <v>0</v>
      </c>
      <c r="AT356">
        <f t="shared" si="253"/>
        <v>0</v>
      </c>
      <c r="AU356">
        <f>IFERROR(HLOOKUP(B356,'Real assumptions'!$B$43:$AL$44,2,TRUE)*($W$3/$U$2),0)</f>
        <v>0</v>
      </c>
      <c r="AV356">
        <f>AV355*(1+'Real assumptions'!$B$35)^(1/12)</f>
        <v>1.4277677918687099</v>
      </c>
      <c r="AW356">
        <f t="shared" si="234"/>
        <v>2047</v>
      </c>
      <c r="AX356">
        <f t="shared" si="269"/>
        <v>253.76444768833736</v>
      </c>
      <c r="AY356">
        <f t="shared" si="270"/>
        <v>0.90327376047697572</v>
      </c>
      <c r="AZ356">
        <f t="shared" si="235"/>
        <v>593.47701042955271</v>
      </c>
      <c r="BA356">
        <f t="shared" si="254"/>
        <v>4.2968762756416874</v>
      </c>
      <c r="BB356">
        <f t="shared" si="255"/>
        <v>70.25</v>
      </c>
      <c r="BC356">
        <f t="shared" si="236"/>
        <v>42.15</v>
      </c>
      <c r="BD356">
        <f t="shared" si="256"/>
        <v>0</v>
      </c>
      <c r="BE356">
        <f t="shared" si="237"/>
        <v>24</v>
      </c>
      <c r="BF356">
        <f t="shared" si="271"/>
        <v>5000</v>
      </c>
      <c r="BU356"/>
      <c r="FD356"/>
      <c r="FE356"/>
    </row>
    <row r="357" spans="1:161" x14ac:dyDescent="0.25">
      <c r="A357" s="7">
        <f t="shared" si="257"/>
        <v>53965</v>
      </c>
      <c r="B357">
        <f t="shared" si="238"/>
        <v>346</v>
      </c>
      <c r="C357">
        <f t="shared" si="239"/>
        <v>28.75</v>
      </c>
      <c r="D357">
        <f t="shared" si="240"/>
        <v>0</v>
      </c>
      <c r="E357">
        <f t="shared" si="241"/>
        <v>80</v>
      </c>
      <c r="F357">
        <f>IF(C357&gt;=$T$2,0,VLOOKUP($E357,EKM_F05!$A$3:$C$128,2,TRUE))</f>
        <v>5.8474871794871784E-2</v>
      </c>
      <c r="G357">
        <f>F357*'Real assumptions'!$B$3</f>
        <v>2.4401563999999997E-2</v>
      </c>
      <c r="H357">
        <f t="shared" si="258"/>
        <v>2.0565670086692966E-3</v>
      </c>
      <c r="I357">
        <f t="shared" si="259"/>
        <v>4.3834666786531659E-4</v>
      </c>
      <c r="J357">
        <f>IF(B357&gt;$AJ$2,0,HLOOKUP(C357,'Real assumptions'!$B$5:$L$8,4,TRUE))</f>
        <v>3.7900000000000003E-2</v>
      </c>
      <c r="K357">
        <f t="shared" si="228"/>
        <v>1</v>
      </c>
      <c r="L357">
        <f t="shared" si="260"/>
        <v>8.3333333333333329E-2</v>
      </c>
      <c r="M357">
        <f t="shared" si="261"/>
        <v>3.2145624959929453E-3</v>
      </c>
      <c r="N357">
        <f t="shared" si="262"/>
        <v>6.855647920918106E-4</v>
      </c>
      <c r="O357" s="8">
        <f t="shared" si="242"/>
        <v>0.21236407440246002</v>
      </c>
      <c r="P357">
        <f t="shared" si="243"/>
        <v>5.123711660698012</v>
      </c>
      <c r="Q357">
        <f t="shared" si="263"/>
        <v>2.191733339326583</v>
      </c>
      <c r="R357" s="89">
        <f t="shared" si="229"/>
        <v>5000</v>
      </c>
      <c r="S357">
        <f t="shared" si="230"/>
        <v>0.16666666666666785</v>
      </c>
      <c r="U357">
        <f>O356*AV356*'Real assumptions'!$B$33/12+AX357*'Real assumptions'!$B$34</f>
        <v>3.1177003343246308</v>
      </c>
      <c r="V357">
        <f>IF(P357=0,0,IF(E357&lt;=$C$7,$AN$5*O356,0))*'Real assumptions'!$D$28</f>
        <v>1.280927915174503</v>
      </c>
      <c r="X357" s="94">
        <f t="shared" si="244"/>
        <v>0</v>
      </c>
      <c r="Y357">
        <f t="shared" si="231"/>
        <v>24</v>
      </c>
      <c r="Z357">
        <f t="shared" si="264"/>
        <v>70</v>
      </c>
      <c r="AA357">
        <f t="shared" si="232"/>
        <v>70.166666666666671</v>
      </c>
      <c r="AB357">
        <f t="shared" si="245"/>
        <v>50.505050505050505</v>
      </c>
      <c r="AC357">
        <f t="shared" si="265"/>
        <v>3543.7710437710439</v>
      </c>
      <c r="AD357">
        <f t="shared" si="246"/>
        <v>80.505050505050505</v>
      </c>
      <c r="AE357">
        <f t="shared" si="247"/>
        <v>282.43855218855219</v>
      </c>
      <c r="AF357" s="94">
        <f t="shared" si="248"/>
        <v>1173.7904040404039</v>
      </c>
      <c r="AG357">
        <f t="shared" si="266"/>
        <v>0.80470937430532186</v>
      </c>
      <c r="AH357">
        <f t="shared" si="249"/>
        <v>249.27091269652996</v>
      </c>
      <c r="AI357">
        <f>HLOOKUP(AW357,'Real assumptions'!$A$21:$AK$24,2,TRUE)</f>
        <v>2.8616000000000001</v>
      </c>
      <c r="AJ357" s="123">
        <f t="shared" si="267"/>
        <v>2.353950314322617E-3</v>
      </c>
      <c r="AK357" s="122">
        <f>(1+HLOOKUP(YEAR(A357),'Real assumptions'!$A$21:$AK$24,2,TRUE)/100)^(1/12)-1</f>
        <v>2.353950314322617E-3</v>
      </c>
      <c r="AL357">
        <f t="shared" si="268"/>
        <v>3.1177003343246308</v>
      </c>
      <c r="AM357">
        <f>('Real assumptions'!$B$33/12)*O356*AV356</f>
        <v>3.0481127016528169</v>
      </c>
      <c r="AN357">
        <f t="shared" si="250"/>
        <v>255.12812317922686</v>
      </c>
      <c r="AO357">
        <f t="shared" si="272"/>
        <v>0.60055892575028047</v>
      </c>
      <c r="AP357" s="121">
        <f t="shared" si="251"/>
        <v>5.383579890760184</v>
      </c>
      <c r="AQ357">
        <f t="shared" si="252"/>
        <v>0</v>
      </c>
      <c r="AR357">
        <v>0</v>
      </c>
      <c r="AS357">
        <f t="shared" si="233"/>
        <v>0</v>
      </c>
      <c r="AT357">
        <f t="shared" si="253"/>
        <v>0</v>
      </c>
      <c r="AU357">
        <f>IFERROR(HLOOKUP(B357,'Real assumptions'!$B$43:$AL$44,2,TRUE)*($W$3/$U$2),0)</f>
        <v>0</v>
      </c>
      <c r="AV357">
        <f>AV356*(1+'Real assumptions'!$B$35)^(1/12)</f>
        <v>1.4292465966690526</v>
      </c>
      <c r="AW357">
        <f t="shared" si="234"/>
        <v>2047</v>
      </c>
      <c r="AX357">
        <f t="shared" si="269"/>
        <v>254.02063031187043</v>
      </c>
      <c r="AY357">
        <f t="shared" si="270"/>
        <v>0.89851845901690719</v>
      </c>
      <c r="AZ357">
        <f t="shared" si="235"/>
        <v>592.60266652236373</v>
      </c>
      <c r="BA357">
        <f t="shared" si="254"/>
        <v>4.2773706288064073</v>
      </c>
      <c r="BB357">
        <f t="shared" si="255"/>
        <v>70.166666666666671</v>
      </c>
      <c r="BC357">
        <f t="shared" si="236"/>
        <v>42.1</v>
      </c>
      <c r="BD357">
        <f t="shared" si="256"/>
        <v>0</v>
      </c>
      <c r="BE357">
        <f t="shared" si="237"/>
        <v>24</v>
      </c>
      <c r="BF357">
        <f t="shared" si="271"/>
        <v>5000</v>
      </c>
      <c r="BU357"/>
      <c r="FD357"/>
      <c r="FE357"/>
    </row>
    <row r="358" spans="1:161" x14ac:dyDescent="0.25">
      <c r="A358" s="7">
        <f t="shared" si="257"/>
        <v>53996</v>
      </c>
      <c r="B358">
        <f t="shared" si="238"/>
        <v>347</v>
      </c>
      <c r="C358">
        <f t="shared" si="239"/>
        <v>28.833333333333332</v>
      </c>
      <c r="D358">
        <f t="shared" si="240"/>
        <v>0</v>
      </c>
      <c r="E358">
        <f t="shared" si="241"/>
        <v>80</v>
      </c>
      <c r="F358">
        <f>IF(C358&gt;=$T$2,0,VLOOKUP($E358,EKM_F05!$A$3:$C$128,2,TRUE))</f>
        <v>5.8474871794871784E-2</v>
      </c>
      <c r="G358">
        <f>F358*'Real assumptions'!$B$3</f>
        <v>2.4401563999999997E-2</v>
      </c>
      <c r="H358">
        <f t="shared" si="258"/>
        <v>2.0565670086692966E-3</v>
      </c>
      <c r="I358">
        <f t="shared" si="259"/>
        <v>4.3603898370474117E-4</v>
      </c>
      <c r="J358">
        <f>IF(B358&gt;$AJ$2,0,HLOOKUP(C358,'Real assumptions'!$B$5:$L$8,4,TRUE))</f>
        <v>3.7900000000000003E-2</v>
      </c>
      <c r="K358">
        <f t="shared" si="228"/>
        <v>1</v>
      </c>
      <c r="L358">
        <f t="shared" si="260"/>
        <v>8.3333333333333329E-2</v>
      </c>
      <c r="M358">
        <f t="shared" si="261"/>
        <v>3.2145624959929453E-3</v>
      </c>
      <c r="N358">
        <f t="shared" si="262"/>
        <v>6.8195562353245336E-4</v>
      </c>
      <c r="O358" s="8">
        <f t="shared" si="242"/>
        <v>0.21124607979522284</v>
      </c>
      <c r="P358">
        <f t="shared" si="243"/>
        <v>5.096737785659041</v>
      </c>
      <c r="Q358">
        <f t="shared" si="263"/>
        <v>2.1801949185237057</v>
      </c>
      <c r="R358" s="89">
        <f t="shared" si="229"/>
        <v>5000</v>
      </c>
      <c r="S358">
        <f t="shared" si="230"/>
        <v>8.3333333333332149E-2</v>
      </c>
      <c r="U358">
        <f>O357*AV357*'Real assumptions'!$B$33/12+AX358*'Real assumptions'!$B$34</f>
        <v>3.1048633743170218</v>
      </c>
      <c r="V358">
        <f>IF(P358=0,0,IF(E358&lt;=$C$7,$AN$5*O357,0))*'Real assumptions'!$D$28</f>
        <v>1.2741844464147603</v>
      </c>
      <c r="X358" s="94">
        <f t="shared" si="244"/>
        <v>0</v>
      </c>
      <c r="Y358">
        <f t="shared" si="231"/>
        <v>24</v>
      </c>
      <c r="Z358">
        <f t="shared" si="264"/>
        <v>70</v>
      </c>
      <c r="AA358">
        <f t="shared" si="232"/>
        <v>70.083333333333329</v>
      </c>
      <c r="AB358">
        <f t="shared" si="245"/>
        <v>50.505050505050505</v>
      </c>
      <c r="AC358">
        <f t="shared" si="265"/>
        <v>3539.5622895622892</v>
      </c>
      <c r="AD358">
        <f t="shared" si="246"/>
        <v>80.505050505050505</v>
      </c>
      <c r="AE358">
        <f t="shared" si="247"/>
        <v>282.10311447811443</v>
      </c>
      <c r="AF358" s="94">
        <f t="shared" si="248"/>
        <v>1178.3345959595963</v>
      </c>
      <c r="AG358">
        <f t="shared" si="266"/>
        <v>0.80357190411748802</v>
      </c>
      <c r="AH358">
        <f t="shared" si="249"/>
        <v>248.91856408355252</v>
      </c>
      <c r="AI358">
        <f>HLOOKUP(AW358,'Real assumptions'!$A$21:$AK$24,2,TRUE)</f>
        <v>2.8616000000000001</v>
      </c>
      <c r="AJ358" s="123">
        <f t="shared" si="267"/>
        <v>2.353950314322617E-3</v>
      </c>
      <c r="AK358" s="122">
        <f>(1+HLOOKUP(YEAR(A358),'Real assumptions'!$A$21:$AK$24,2,TRUE)/100)^(1/12)-1</f>
        <v>2.353950314322617E-3</v>
      </c>
      <c r="AL358">
        <f t="shared" si="268"/>
        <v>3.1048633743170218</v>
      </c>
      <c r="AM358">
        <f>('Real assumptions'!$B$33/12)*O357*AV357</f>
        <v>3.0352063059448944</v>
      </c>
      <c r="AN358">
        <f t="shared" si="250"/>
        <v>255.37218255221737</v>
      </c>
      <c r="AO358">
        <f t="shared" si="272"/>
        <v>0.60113342938804482</v>
      </c>
      <c r="AP358" s="121">
        <f t="shared" si="251"/>
        <v>5.984713320148229</v>
      </c>
      <c r="AQ358">
        <f t="shared" si="252"/>
        <v>0</v>
      </c>
      <c r="AR358">
        <v>0</v>
      </c>
      <c r="AS358">
        <f t="shared" si="233"/>
        <v>0</v>
      </c>
      <c r="AT358">
        <f t="shared" si="253"/>
        <v>0</v>
      </c>
      <c r="AU358">
        <f>IFERROR(HLOOKUP(B358,'Real assumptions'!$B$43:$AL$44,2,TRUE)*($W$3/$U$2),0)</f>
        <v>0</v>
      </c>
      <c r="AV358">
        <f>AV357*(1+'Real assumptions'!$B$35)^(1/12)</f>
        <v>1.4307269331355739</v>
      </c>
      <c r="AW358">
        <f t="shared" si="234"/>
        <v>2047</v>
      </c>
      <c r="AX358">
        <f t="shared" si="269"/>
        <v>254.27409633280496</v>
      </c>
      <c r="AY358">
        <f t="shared" si="270"/>
        <v>0.89378819192954551</v>
      </c>
      <c r="AZ358">
        <f t="shared" si="235"/>
        <v>591.73154689777846</v>
      </c>
      <c r="BA358">
        <f t="shared" si="254"/>
        <v>4.2579512690559547</v>
      </c>
      <c r="BB358">
        <f t="shared" si="255"/>
        <v>70.083333333333329</v>
      </c>
      <c r="BC358">
        <f t="shared" si="236"/>
        <v>42.05</v>
      </c>
      <c r="BD358">
        <f t="shared" si="256"/>
        <v>0</v>
      </c>
      <c r="BE358">
        <f t="shared" si="237"/>
        <v>24</v>
      </c>
      <c r="BF358">
        <f t="shared" si="271"/>
        <v>5000</v>
      </c>
      <c r="BU358"/>
      <c r="FD358"/>
      <c r="FE358"/>
    </row>
    <row r="359" spans="1:161" x14ac:dyDescent="0.25">
      <c r="A359" s="7">
        <f t="shared" si="257"/>
        <v>54026</v>
      </c>
      <c r="B359">
        <f t="shared" si="238"/>
        <v>348</v>
      </c>
      <c r="C359">
        <f t="shared" si="239"/>
        <v>28.916666666666668</v>
      </c>
      <c r="D359">
        <f t="shared" si="240"/>
        <v>0</v>
      </c>
      <c r="E359">
        <f t="shared" si="241"/>
        <v>80</v>
      </c>
      <c r="F359">
        <f>IF(C359&gt;=$T$2,0,VLOOKUP($E359,EKM_F05!$A$3:$C$128,2,TRUE))</f>
        <v>5.8474871794871784E-2</v>
      </c>
      <c r="G359">
        <f>F359*'Real assumptions'!$B$3</f>
        <v>2.4401563999999997E-2</v>
      </c>
      <c r="H359">
        <f t="shared" si="258"/>
        <v>2.0565670086692966E-3</v>
      </c>
      <c r="I359">
        <f t="shared" si="259"/>
        <v>4.3374344839021704E-4</v>
      </c>
      <c r="J359">
        <f>IF(B359&gt;$AJ$2,0,HLOOKUP(C359,'Real assumptions'!$B$5:$L$8,4,TRUE))</f>
        <v>3.7900000000000003E-2</v>
      </c>
      <c r="K359">
        <f t="shared" si="228"/>
        <v>1</v>
      </c>
      <c r="L359">
        <f t="shared" si="260"/>
        <v>8.3333333333333329E-2</v>
      </c>
      <c r="M359">
        <f t="shared" si="261"/>
        <v>3.2145624959929453E-3</v>
      </c>
      <c r="N359">
        <f t="shared" si="262"/>
        <v>6.7836545550789638E-4</v>
      </c>
      <c r="O359" s="8">
        <f t="shared" si="242"/>
        <v>0.21013397089132471</v>
      </c>
      <c r="P359">
        <f t="shared" si="243"/>
        <v>5.0699059150853483</v>
      </c>
      <c r="Q359">
        <f t="shared" si="263"/>
        <v>2.1687172419510854</v>
      </c>
      <c r="R359" s="89">
        <f t="shared" si="229"/>
        <v>5000</v>
      </c>
      <c r="S359">
        <f t="shared" si="230"/>
        <v>1</v>
      </c>
      <c r="U359">
        <f>O358*AV358*'Real assumptions'!$B$33/12+AX359*'Real assumptions'!$B$34</f>
        <v>3.0920803291068162</v>
      </c>
      <c r="V359">
        <f>IF(P359=0,0,IF(E359&lt;=$C$7,$AN$5*O358,0))*'Real assumptions'!$D$28</f>
        <v>1.2674764787713371</v>
      </c>
      <c r="X359" s="94">
        <f t="shared" si="244"/>
        <v>0</v>
      </c>
      <c r="Y359">
        <f t="shared" si="231"/>
        <v>24</v>
      </c>
      <c r="Z359">
        <f t="shared" si="264"/>
        <v>70</v>
      </c>
      <c r="AA359">
        <f t="shared" si="232"/>
        <v>70</v>
      </c>
      <c r="AB359">
        <f t="shared" si="245"/>
        <v>50.505050505050505</v>
      </c>
      <c r="AC359">
        <f t="shared" si="265"/>
        <v>3535.3535353535353</v>
      </c>
      <c r="AD359">
        <f t="shared" si="246"/>
        <v>80.505050505050505</v>
      </c>
      <c r="AE359">
        <f t="shared" si="247"/>
        <v>281.76767676767673</v>
      </c>
      <c r="AF359" s="94">
        <f t="shared" si="248"/>
        <v>1182.878787878788</v>
      </c>
      <c r="AG359">
        <f t="shared" si="266"/>
        <v>0.80242410775002238</v>
      </c>
      <c r="AH359">
        <f t="shared" si="249"/>
        <v>248.56301678008668</v>
      </c>
      <c r="AI359">
        <f>HLOOKUP(AW359,'Real assumptions'!$A$21:$AK$24,2,TRUE)</f>
        <v>2.8616000000000001</v>
      </c>
      <c r="AJ359" s="123">
        <f t="shared" si="267"/>
        <v>2.353950314322617E-3</v>
      </c>
      <c r="AK359" s="122">
        <f>(1+HLOOKUP(YEAR(A359),'Real assumptions'!$A$21:$AK$24,2,TRUE)/100)^(1/12)-1</f>
        <v>2.353950314322617E-3</v>
      </c>
      <c r="AL359">
        <f t="shared" si="268"/>
        <v>3.0920803291068162</v>
      </c>
      <c r="AM359">
        <f>('Real assumptions'!$B$33/12)*O358*AV358</f>
        <v>3.0223545588233187</v>
      </c>
      <c r="AN359">
        <f t="shared" si="250"/>
        <v>255.61362651090792</v>
      </c>
      <c r="AO359">
        <f t="shared" si="272"/>
        <v>0.60170177647049572</v>
      </c>
      <c r="AP359" s="121">
        <f t="shared" si="251"/>
        <v>6.5864150966187243</v>
      </c>
      <c r="AQ359">
        <f t="shared" si="252"/>
        <v>0</v>
      </c>
      <c r="AR359">
        <v>0</v>
      </c>
      <c r="AS359">
        <f t="shared" si="233"/>
        <v>0</v>
      </c>
      <c r="AT359">
        <f t="shared" si="253"/>
        <v>0</v>
      </c>
      <c r="AU359">
        <f>IFERROR(HLOOKUP(B359,'Real assumptions'!$B$43:$AL$44,2,TRUE)*($W$3/$U$2),0)</f>
        <v>0</v>
      </c>
      <c r="AV359">
        <f>AV358*(1+'Real assumptions'!$B$35)^(1/12)</f>
        <v>1.4322088028546907</v>
      </c>
      <c r="AW359">
        <f t="shared" si="234"/>
        <v>2047</v>
      </c>
      <c r="AX359">
        <f t="shared" si="269"/>
        <v>254.52488375235038</v>
      </c>
      <c r="AY359">
        <f t="shared" si="270"/>
        <v>0.88908282742097144</v>
      </c>
      <c r="AZ359">
        <f t="shared" si="235"/>
        <v>590.86366131609918</v>
      </c>
      <c r="BA359">
        <f t="shared" si="254"/>
        <v>4.2386178284724449</v>
      </c>
      <c r="BB359">
        <f t="shared" si="255"/>
        <v>70</v>
      </c>
      <c r="BC359">
        <f t="shared" si="236"/>
        <v>42</v>
      </c>
      <c r="BD359">
        <f t="shared" si="256"/>
        <v>0</v>
      </c>
      <c r="BE359">
        <f t="shared" si="237"/>
        <v>24</v>
      </c>
      <c r="BF359">
        <f t="shared" si="271"/>
        <v>5000</v>
      </c>
      <c r="BU359"/>
      <c r="FD359"/>
      <c r="FE359"/>
    </row>
    <row r="360" spans="1:161" x14ac:dyDescent="0.25">
      <c r="A360" s="7">
        <f t="shared" si="257"/>
        <v>54057</v>
      </c>
      <c r="B360">
        <f t="shared" si="238"/>
        <v>349</v>
      </c>
      <c r="C360">
        <f t="shared" si="239"/>
        <v>29</v>
      </c>
      <c r="D360">
        <f t="shared" si="240"/>
        <v>1</v>
      </c>
      <c r="E360">
        <f t="shared" si="241"/>
        <v>81</v>
      </c>
      <c r="F360">
        <f>IF(C360&gt;=$T$2,0,VLOOKUP($E360,EKM_F05!$A$3:$C$128,2,TRUE))</f>
        <v>6.4666666666666664E-2</v>
      </c>
      <c r="G360">
        <f>F360*'Real assumptions'!$B$3</f>
        <v>2.69854E-2</v>
      </c>
      <c r="H360">
        <f t="shared" si="258"/>
        <v>2.2770861444525448E-3</v>
      </c>
      <c r="I360">
        <f t="shared" si="259"/>
        <v>4.7772408052236125E-4</v>
      </c>
      <c r="J360">
        <f>IF(B360&gt;$AJ$2,0,HLOOKUP(C360,'Real assumptions'!$B$5:$L$8,4,TRUE))</f>
        <v>3.7900000000000003E-2</v>
      </c>
      <c r="K360">
        <f t="shared" si="228"/>
        <v>1</v>
      </c>
      <c r="L360">
        <f t="shared" si="260"/>
        <v>8.3333333333333329E-2</v>
      </c>
      <c r="M360">
        <f t="shared" si="261"/>
        <v>3.2145624959929453E-3</v>
      </c>
      <c r="N360">
        <f t="shared" si="262"/>
        <v>6.7471970888825707E-4</v>
      </c>
      <c r="O360" s="8">
        <f t="shared" si="242"/>
        <v>0.20898152710191412</v>
      </c>
      <c r="P360">
        <f t="shared" si="243"/>
        <v>5.0432153013917933</v>
      </c>
      <c r="Q360">
        <f t="shared" si="263"/>
        <v>2.3886204026118061</v>
      </c>
      <c r="R360" s="89">
        <f t="shared" si="229"/>
        <v>5000</v>
      </c>
      <c r="S360">
        <f t="shared" si="230"/>
        <v>0.91666666666666785</v>
      </c>
      <c r="U360">
        <f>O359*AV359*'Real assumptions'!$B$33/12+AX360*'Real assumptions'!$B$34</f>
        <v>3.0793509776314867</v>
      </c>
      <c r="V360">
        <f>IF(P360=0,0,IF(E360&lt;=$C$7,$AN$5*O359,0))*'Real assumptions'!$D$28</f>
        <v>1.2608038253479483</v>
      </c>
      <c r="X360" s="94">
        <f t="shared" si="244"/>
        <v>0</v>
      </c>
      <c r="Y360">
        <f t="shared" si="231"/>
        <v>24</v>
      </c>
      <c r="Z360">
        <f t="shared" si="264"/>
        <v>70</v>
      </c>
      <c r="AA360">
        <f t="shared" si="232"/>
        <v>69.916666666666671</v>
      </c>
      <c r="AB360">
        <f t="shared" si="245"/>
        <v>50.505050505050505</v>
      </c>
      <c r="AC360">
        <f t="shared" si="265"/>
        <v>3531.1447811447815</v>
      </c>
      <c r="AD360">
        <f t="shared" si="246"/>
        <v>80.505050505050505</v>
      </c>
      <c r="AE360">
        <f t="shared" si="247"/>
        <v>281.43223905723909</v>
      </c>
      <c r="AF360" s="94">
        <f t="shared" si="248"/>
        <v>1187.4229797979795</v>
      </c>
      <c r="AG360">
        <f t="shared" si="266"/>
        <v>0.8011776872565195</v>
      </c>
      <c r="AH360">
        <f t="shared" si="249"/>
        <v>248.14946763408707</v>
      </c>
      <c r="AI360">
        <f>HLOOKUP(AW360,'Real assumptions'!$A$21:$AK$24,2,TRUE)</f>
        <v>2.8616000000000001</v>
      </c>
      <c r="AJ360" s="123">
        <f t="shared" si="267"/>
        <v>2.353950314322617E-3</v>
      </c>
      <c r="AK360" s="122">
        <f>(1+HLOOKUP(YEAR(A360),'Real assumptions'!$A$21:$AK$24,2,TRUE)/100)^(1/12)-1</f>
        <v>2.353950314322617E-3</v>
      </c>
      <c r="AL360">
        <f t="shared" si="268"/>
        <v>3.0793509776314867</v>
      </c>
      <c r="AM360">
        <f>('Real assumptions'!$B$33/12)*O359*AV359</f>
        <v>3.0095572288936658</v>
      </c>
      <c r="AN360">
        <f t="shared" si="250"/>
        <v>255.85249237511781</v>
      </c>
      <c r="AO360">
        <f t="shared" si="272"/>
        <v>0.60226405484663359</v>
      </c>
      <c r="AP360" s="121">
        <f t="shared" si="251"/>
        <v>0</v>
      </c>
      <c r="AQ360">
        <f t="shared" si="252"/>
        <v>0</v>
      </c>
      <c r="AR360">
        <v>0</v>
      </c>
      <c r="AS360">
        <f t="shared" si="233"/>
        <v>0</v>
      </c>
      <c r="AT360">
        <f t="shared" si="253"/>
        <v>0</v>
      </c>
      <c r="AU360">
        <f>IFERROR(HLOOKUP(B360,'Real assumptions'!$B$43:$AL$44,2,TRUE)*($W$3/$U$2),0)</f>
        <v>0</v>
      </c>
      <c r="AV360">
        <f>AV359*(1+'Real assumptions'!$B$35)^(1/12)</f>
        <v>1.4336922074144633</v>
      </c>
      <c r="AW360">
        <f t="shared" si="234"/>
        <v>2047</v>
      </c>
      <c r="AX360">
        <f t="shared" si="269"/>
        <v>254.77303028574858</v>
      </c>
      <c r="AY360">
        <f t="shared" si="270"/>
        <v>0.88440223439109722</v>
      </c>
      <c r="AZ360">
        <f t="shared" si="235"/>
        <v>589.76778742592012</v>
      </c>
      <c r="BA360">
        <f t="shared" si="254"/>
        <v>4.4506019152162732</v>
      </c>
      <c r="BB360">
        <f t="shared" si="255"/>
        <v>69.916666666666671</v>
      </c>
      <c r="BC360">
        <f t="shared" si="236"/>
        <v>41.95</v>
      </c>
      <c r="BD360">
        <f t="shared" si="256"/>
        <v>0</v>
      </c>
      <c r="BE360">
        <f t="shared" si="237"/>
        <v>24</v>
      </c>
      <c r="BF360">
        <f t="shared" si="271"/>
        <v>5000</v>
      </c>
      <c r="BU360"/>
      <c r="FD360"/>
      <c r="FE360"/>
    </row>
    <row r="361" spans="1:161" x14ac:dyDescent="0.25">
      <c r="A361" s="7">
        <f t="shared" si="257"/>
        <v>54088</v>
      </c>
      <c r="B361">
        <f t="shared" si="238"/>
        <v>350</v>
      </c>
      <c r="C361">
        <f t="shared" si="239"/>
        <v>29.083333333333332</v>
      </c>
      <c r="D361">
        <f t="shared" si="240"/>
        <v>0</v>
      </c>
      <c r="E361">
        <f t="shared" si="241"/>
        <v>81</v>
      </c>
      <c r="F361">
        <f>IF(C361&gt;=$T$2,0,VLOOKUP($E361,EKM_F05!$A$3:$C$128,2,TRUE))</f>
        <v>6.4666666666666664E-2</v>
      </c>
      <c r="G361">
        <f>F361*'Real assumptions'!$B$3</f>
        <v>2.69854E-2</v>
      </c>
      <c r="H361">
        <f t="shared" si="258"/>
        <v>2.2770861444525448E-3</v>
      </c>
      <c r="I361">
        <f t="shared" si="259"/>
        <v>4.7510408458684156E-4</v>
      </c>
      <c r="J361">
        <f>IF(B361&gt;$AJ$2,0,HLOOKUP(C361,'Real assumptions'!$B$5:$L$8,4,TRUE))</f>
        <v>3.7900000000000003E-2</v>
      </c>
      <c r="K361">
        <f t="shared" si="228"/>
        <v>1</v>
      </c>
      <c r="L361">
        <f t="shared" si="260"/>
        <v>8.3333333333333329E-2</v>
      </c>
      <c r="M361">
        <f t="shared" si="261"/>
        <v>3.2145624959929453E-3</v>
      </c>
      <c r="N361">
        <f t="shared" si="262"/>
        <v>6.7101932415368536E-4</v>
      </c>
      <c r="O361" s="8">
        <f t="shared" si="242"/>
        <v>0.20783540369317358</v>
      </c>
      <c r="P361">
        <f t="shared" si="243"/>
        <v>5.015556650445939</v>
      </c>
      <c r="Q361">
        <f t="shared" si="263"/>
        <v>2.375520422934208</v>
      </c>
      <c r="R361" s="89">
        <f t="shared" si="229"/>
        <v>5000</v>
      </c>
      <c r="S361">
        <f t="shared" si="230"/>
        <v>0.83333333333333215</v>
      </c>
      <c r="U361">
        <f>O360*AV360*'Real assumptions'!$B$33/12+AX361*'Real assumptions'!$B$34</f>
        <v>3.0640285793837876</v>
      </c>
      <c r="V361">
        <f>IF(P361=0,0,IF(E361&lt;=$C$7,$AN$5*O360,0))*'Real assumptions'!$D$28</f>
        <v>1.2538891626114848</v>
      </c>
      <c r="X361" s="94">
        <f t="shared" si="244"/>
        <v>0</v>
      </c>
      <c r="Y361">
        <f t="shared" si="231"/>
        <v>24</v>
      </c>
      <c r="Z361">
        <f t="shared" si="264"/>
        <v>69</v>
      </c>
      <c r="AA361">
        <f t="shared" si="232"/>
        <v>69.833333333333329</v>
      </c>
      <c r="AB361">
        <f t="shared" si="245"/>
        <v>50.505050505050505</v>
      </c>
      <c r="AC361">
        <f t="shared" si="265"/>
        <v>3526.9360269360268</v>
      </c>
      <c r="AD361">
        <f t="shared" si="246"/>
        <v>80.505050505050505</v>
      </c>
      <c r="AE361">
        <f t="shared" si="247"/>
        <v>281.09680134680133</v>
      </c>
      <c r="AF361" s="94">
        <f t="shared" si="248"/>
        <v>1191.9671717171718</v>
      </c>
      <c r="AG361">
        <f t="shared" si="266"/>
        <v>0.7998330059790365</v>
      </c>
      <c r="AH361">
        <f t="shared" si="249"/>
        <v>247.73297832284877</v>
      </c>
      <c r="AI361">
        <f>HLOOKUP(AW361,'Real assumptions'!$A$21:$AK$24,2,TRUE)</f>
        <v>2.8616999999999999</v>
      </c>
      <c r="AJ361" s="123">
        <f t="shared" si="267"/>
        <v>2.3540315199996886E-3</v>
      </c>
      <c r="AK361" s="122">
        <f>(1+HLOOKUP(YEAR(A361),'Real assumptions'!$A$21:$AK$24,2,TRUE)/100)^(1/12)-1</f>
        <v>2.3540315199996886E-3</v>
      </c>
      <c r="AL361">
        <f t="shared" si="268"/>
        <v>3.0640285793837876</v>
      </c>
      <c r="AM361">
        <f>('Real assumptions'!$B$33/12)*O360*AV360</f>
        <v>2.9961518689958875</v>
      </c>
      <c r="AN361">
        <f t="shared" si="250"/>
        <v>248.84710654253774</v>
      </c>
      <c r="AO361">
        <f t="shared" si="272"/>
        <v>0.58579393246185463</v>
      </c>
      <c r="AP361" s="121">
        <f t="shared" si="251"/>
        <v>0.58579393246185463</v>
      </c>
      <c r="AQ361">
        <f t="shared" si="252"/>
        <v>0</v>
      </c>
      <c r="AR361">
        <v>0</v>
      </c>
      <c r="AS361">
        <f t="shared" si="233"/>
        <v>0</v>
      </c>
      <c r="AT361">
        <f t="shared" si="253"/>
        <v>0</v>
      </c>
      <c r="AU361">
        <f>IFERROR(HLOOKUP(B361,'Real assumptions'!$B$43:$AL$44,2,TRUE)*($W$3/$U$2),0)</f>
        <v>0</v>
      </c>
      <c r="AV361">
        <f>AV360*(1+'Real assumptions'!$B$35)^(1/12)</f>
        <v>1.435177148404597</v>
      </c>
      <c r="AW361">
        <f t="shared" si="234"/>
        <v>2048</v>
      </c>
      <c r="AX361">
        <f t="shared" si="269"/>
        <v>247.77513035321766</v>
      </c>
      <c r="AY361">
        <f t="shared" si="270"/>
        <v>0.87955188174206267</v>
      </c>
      <c r="AZ361">
        <f t="shared" si="235"/>
        <v>588.67840486653859</v>
      </c>
      <c r="BA361">
        <f t="shared" si="254"/>
        <v>4.4292425915247291</v>
      </c>
      <c r="BB361">
        <f t="shared" si="255"/>
        <v>69.833333333333329</v>
      </c>
      <c r="BC361">
        <f t="shared" si="236"/>
        <v>41.899999999999991</v>
      </c>
      <c r="BD361">
        <f t="shared" si="256"/>
        <v>0</v>
      </c>
      <c r="BE361">
        <f t="shared" si="237"/>
        <v>24</v>
      </c>
      <c r="BF361">
        <f t="shared" si="271"/>
        <v>5000</v>
      </c>
      <c r="BU361"/>
      <c r="FD361"/>
      <c r="FE361"/>
    </row>
    <row r="362" spans="1:161" x14ac:dyDescent="0.25">
      <c r="A362" s="7">
        <f t="shared" si="257"/>
        <v>54117</v>
      </c>
      <c r="B362">
        <f t="shared" si="238"/>
        <v>351</v>
      </c>
      <c r="C362">
        <f t="shared" si="239"/>
        <v>29.166666666666668</v>
      </c>
      <c r="D362">
        <f t="shared" si="240"/>
        <v>0</v>
      </c>
      <c r="E362">
        <f t="shared" si="241"/>
        <v>81</v>
      </c>
      <c r="F362">
        <f>IF(C362&gt;=$T$2,0,VLOOKUP($E362,EKM_F05!$A$3:$C$128,2,TRUE))</f>
        <v>6.4666666666666664E-2</v>
      </c>
      <c r="G362">
        <f>F362*'Real assumptions'!$B$3</f>
        <v>2.69854E-2</v>
      </c>
      <c r="H362">
        <f t="shared" si="258"/>
        <v>2.2770861444525448E-3</v>
      </c>
      <c r="I362">
        <f t="shared" si="259"/>
        <v>4.7249845757049919E-4</v>
      </c>
      <c r="J362">
        <f>IF(B362&gt;$AJ$2,0,HLOOKUP(C362,'Real assumptions'!$B$5:$L$8,4,TRUE))</f>
        <v>3.7900000000000003E-2</v>
      </c>
      <c r="K362">
        <f t="shared" si="228"/>
        <v>1</v>
      </c>
      <c r="L362">
        <f t="shared" si="260"/>
        <v>8.3333333333333329E-2</v>
      </c>
      <c r="M362">
        <f t="shared" si="261"/>
        <v>3.2145624959929453E-3</v>
      </c>
      <c r="N362">
        <f t="shared" si="262"/>
        <v>6.6733923354570185E-4</v>
      </c>
      <c r="O362" s="8">
        <f t="shared" si="242"/>
        <v>0.20669556600205738</v>
      </c>
      <c r="P362">
        <f t="shared" si="243"/>
        <v>4.988049688636166</v>
      </c>
      <c r="Q362">
        <f t="shared" si="263"/>
        <v>2.3624922878524961</v>
      </c>
      <c r="R362" s="89">
        <f t="shared" si="229"/>
        <v>5000</v>
      </c>
      <c r="S362">
        <f t="shared" si="230"/>
        <v>0.75</v>
      </c>
      <c r="U362">
        <f>O361*AV361*'Real assumptions'!$B$33/12+AX362*'Real assumptions'!$B$34</f>
        <v>3.0507298730142431</v>
      </c>
      <c r="V362">
        <f>IF(P362=0,0,IF(E362&lt;=$C$7,$AN$5*O361,0))*'Real assumptions'!$D$28</f>
        <v>1.2470124221590415</v>
      </c>
      <c r="X362" s="94">
        <f t="shared" si="244"/>
        <v>0</v>
      </c>
      <c r="Y362">
        <f t="shared" si="231"/>
        <v>24</v>
      </c>
      <c r="Z362">
        <f t="shared" si="264"/>
        <v>69</v>
      </c>
      <c r="AA362">
        <f t="shared" si="232"/>
        <v>69.75</v>
      </c>
      <c r="AB362">
        <f t="shared" si="245"/>
        <v>50.505050505050505</v>
      </c>
      <c r="AC362">
        <f t="shared" si="265"/>
        <v>3522.7272727272725</v>
      </c>
      <c r="AD362">
        <f t="shared" si="246"/>
        <v>80.505050505050505</v>
      </c>
      <c r="AE362">
        <f t="shared" si="247"/>
        <v>280.76136363636363</v>
      </c>
      <c r="AF362" s="94">
        <f t="shared" si="248"/>
        <v>1196.511363636364</v>
      </c>
      <c r="AG362">
        <f t="shared" si="266"/>
        <v>0.79847897633781373</v>
      </c>
      <c r="AH362">
        <f t="shared" si="249"/>
        <v>247.31359353471174</v>
      </c>
      <c r="AI362">
        <f>HLOOKUP(AW362,'Real assumptions'!$A$21:$AK$24,2,TRUE)</f>
        <v>2.8616999999999999</v>
      </c>
      <c r="AJ362" s="123">
        <f t="shared" si="267"/>
        <v>2.3540315199996886E-3</v>
      </c>
      <c r="AK362" s="122">
        <f>(1+HLOOKUP(YEAR(A362),'Real assumptions'!$A$21:$AK$24,2,TRUE)/100)^(1/12)-1</f>
        <v>2.3540315199996886E-3</v>
      </c>
      <c r="AL362">
        <f t="shared" si="268"/>
        <v>3.0507298730142431</v>
      </c>
      <c r="AM362">
        <f>('Real assumptions'!$B$33/12)*O361*AV361</f>
        <v>2.9828062200988712</v>
      </c>
      <c r="AN362">
        <f t="shared" si="250"/>
        <v>249.00907964877351</v>
      </c>
      <c r="AO362">
        <f t="shared" si="272"/>
        <v>0.58617522225932583</v>
      </c>
      <c r="AP362" s="121">
        <f t="shared" si="251"/>
        <v>1.1719691547211806</v>
      </c>
      <c r="AQ362">
        <f t="shared" si="252"/>
        <v>0</v>
      </c>
      <c r="AR362">
        <v>0</v>
      </c>
      <c r="AS362">
        <f t="shared" si="233"/>
        <v>0</v>
      </c>
      <c r="AT362">
        <f t="shared" si="253"/>
        <v>0</v>
      </c>
      <c r="AU362">
        <f>IFERROR(HLOOKUP(B362,'Real assumptions'!$B$43:$AL$44,2,TRUE)*($W$3/$U$2),0)</f>
        <v>0</v>
      </c>
      <c r="AV362">
        <f>AV361*(1+'Real assumptions'!$B$35)^(1/12)</f>
        <v>1.4366636274164433</v>
      </c>
      <c r="AW362">
        <f t="shared" si="234"/>
        <v>2048</v>
      </c>
      <c r="AX362">
        <f t="shared" si="269"/>
        <v>247.94648796317335</v>
      </c>
      <c r="AY362">
        <f t="shared" si="270"/>
        <v>0.8747281300217743</v>
      </c>
      <c r="AZ362">
        <f t="shared" si="235"/>
        <v>587.59350851601016</v>
      </c>
      <c r="BA362">
        <f t="shared" si="254"/>
        <v>4.4079836863493513</v>
      </c>
      <c r="BB362">
        <f t="shared" si="255"/>
        <v>69.75</v>
      </c>
      <c r="BC362">
        <f t="shared" si="236"/>
        <v>41.849999999999994</v>
      </c>
      <c r="BD362">
        <f t="shared" si="256"/>
        <v>0</v>
      </c>
      <c r="BE362">
        <f t="shared" si="237"/>
        <v>24</v>
      </c>
      <c r="BF362">
        <f t="shared" si="271"/>
        <v>5000</v>
      </c>
      <c r="BU362"/>
      <c r="FD362"/>
      <c r="FE362"/>
    </row>
    <row r="363" spans="1:161" x14ac:dyDescent="0.25">
      <c r="A363" s="7">
        <f t="shared" si="257"/>
        <v>54148</v>
      </c>
      <c r="B363">
        <f t="shared" si="238"/>
        <v>352</v>
      </c>
      <c r="C363">
        <f t="shared" si="239"/>
        <v>29.25</v>
      </c>
      <c r="D363">
        <f t="shared" si="240"/>
        <v>0</v>
      </c>
      <c r="E363">
        <f t="shared" si="241"/>
        <v>81</v>
      </c>
      <c r="F363">
        <f>IF(C363&gt;=$T$2,0,VLOOKUP($E363,EKM_F05!$A$3:$C$128,2,TRUE))</f>
        <v>6.4666666666666664E-2</v>
      </c>
      <c r="G363">
        <f>F363*'Real assumptions'!$B$3</f>
        <v>2.69854E-2</v>
      </c>
      <c r="H363">
        <f t="shared" si="258"/>
        <v>2.2770861444525448E-3</v>
      </c>
      <c r="I363">
        <f t="shared" si="259"/>
        <v>4.69907120669457E-4</v>
      </c>
      <c r="J363">
        <f>IF(B363&gt;$AJ$2,0,HLOOKUP(C363,'Real assumptions'!$B$5:$L$8,4,TRUE))</f>
        <v>3.7900000000000003E-2</v>
      </c>
      <c r="K363">
        <f t="shared" si="228"/>
        <v>1</v>
      </c>
      <c r="L363">
        <f t="shared" si="260"/>
        <v>8.3333333333333329E-2</v>
      </c>
      <c r="M363">
        <f t="shared" si="261"/>
        <v>3.2145624959929453E-3</v>
      </c>
      <c r="N363">
        <f t="shared" si="262"/>
        <v>6.636793257646438E-4</v>
      </c>
      <c r="O363" s="8">
        <f t="shared" si="242"/>
        <v>0.20556197955562328</v>
      </c>
      <c r="P363">
        <f t="shared" si="243"/>
        <v>4.9606935840493769</v>
      </c>
      <c r="Q363">
        <f t="shared" si="263"/>
        <v>2.349535603347285</v>
      </c>
      <c r="R363" s="89">
        <f t="shared" si="229"/>
        <v>5000</v>
      </c>
      <c r="S363">
        <f t="shared" si="230"/>
        <v>0.66666666666666785</v>
      </c>
      <c r="U363">
        <f>O362*AV362*'Real assumptions'!$B$33/12+AX363*'Real assumptions'!$B$34</f>
        <v>3.0374899198440333</v>
      </c>
      <c r="V363">
        <f>IF(P363=0,0,IF(E363&lt;=$C$7,$AN$5*O362,0))*'Real assumptions'!$D$28</f>
        <v>1.2401733960123442</v>
      </c>
      <c r="X363" s="94">
        <f t="shared" si="244"/>
        <v>0</v>
      </c>
      <c r="Y363">
        <f t="shared" si="231"/>
        <v>24</v>
      </c>
      <c r="Z363">
        <f t="shared" si="264"/>
        <v>69</v>
      </c>
      <c r="AA363">
        <f t="shared" si="232"/>
        <v>69.666666666666671</v>
      </c>
      <c r="AB363">
        <f t="shared" si="245"/>
        <v>50.505050505050505</v>
      </c>
      <c r="AC363">
        <f t="shared" si="265"/>
        <v>3518.5185185185187</v>
      </c>
      <c r="AD363">
        <f t="shared" si="246"/>
        <v>80.505050505050505</v>
      </c>
      <c r="AE363">
        <f t="shared" si="247"/>
        <v>280.42592592592592</v>
      </c>
      <c r="AF363" s="94">
        <f t="shared" si="248"/>
        <v>1201.0555555555554</v>
      </c>
      <c r="AG363">
        <f t="shared" si="266"/>
        <v>0.7971157413169907</v>
      </c>
      <c r="AH363">
        <f t="shared" si="249"/>
        <v>246.89135755627885</v>
      </c>
      <c r="AI363">
        <f>HLOOKUP(AW363,'Real assumptions'!$A$21:$AK$24,2,TRUE)</f>
        <v>2.8616999999999999</v>
      </c>
      <c r="AJ363" s="123">
        <f t="shared" si="267"/>
        <v>2.3540315199996886E-3</v>
      </c>
      <c r="AK363" s="122">
        <f>(1+HLOOKUP(YEAR(A363),'Real assumptions'!$A$21:$AK$24,2,TRUE)/100)^(1/12)-1</f>
        <v>2.3540315199996886E-3</v>
      </c>
      <c r="AL363">
        <f t="shared" si="268"/>
        <v>3.0374899198440333</v>
      </c>
      <c r="AM363">
        <f>('Real assumptions'!$B$33/12)*O362*AV362</f>
        <v>2.9695200162341062</v>
      </c>
      <c r="AN363">
        <f t="shared" si="250"/>
        <v>249.16859295762592</v>
      </c>
      <c r="AO363">
        <f t="shared" si="272"/>
        <v>0.5865507216162239</v>
      </c>
      <c r="AP363" s="121">
        <f t="shared" si="251"/>
        <v>1.7585198763374046</v>
      </c>
      <c r="AQ363">
        <f t="shared" si="252"/>
        <v>0</v>
      </c>
      <c r="AR363">
        <v>0</v>
      </c>
      <c r="AS363">
        <f t="shared" si="233"/>
        <v>0</v>
      </c>
      <c r="AT363">
        <f t="shared" si="253"/>
        <v>0</v>
      </c>
      <c r="AU363">
        <f>IFERROR(HLOOKUP(B363,'Real assumptions'!$B$43:$AL$44,2,TRUE)*($W$3/$U$2),0)</f>
        <v>0</v>
      </c>
      <c r="AV363">
        <f>AV362*(1+'Real assumptions'!$B$35)^(1/12)</f>
        <v>1.4381516460430019</v>
      </c>
      <c r="AW363">
        <f t="shared" si="234"/>
        <v>2048</v>
      </c>
      <c r="AX363">
        <f t="shared" si="269"/>
        <v>248.11532012676255</v>
      </c>
      <c r="AY363">
        <f t="shared" si="270"/>
        <v>0.86993083334199228</v>
      </c>
      <c r="AZ363">
        <f t="shared" si="235"/>
        <v>586.51310107953282</v>
      </c>
      <c r="BA363">
        <f t="shared" si="254"/>
        <v>4.3868247406766194</v>
      </c>
      <c r="BB363">
        <f t="shared" si="255"/>
        <v>69.666666666666671</v>
      </c>
      <c r="BC363">
        <f t="shared" si="236"/>
        <v>41.8</v>
      </c>
      <c r="BD363">
        <f t="shared" si="256"/>
        <v>0</v>
      </c>
      <c r="BE363">
        <f t="shared" si="237"/>
        <v>24</v>
      </c>
      <c r="BF363">
        <f t="shared" si="271"/>
        <v>5000</v>
      </c>
      <c r="BU363"/>
      <c r="FD363"/>
      <c r="FE363"/>
    </row>
    <row r="364" spans="1:161" x14ac:dyDescent="0.25">
      <c r="A364" s="7">
        <f t="shared" si="257"/>
        <v>54178</v>
      </c>
      <c r="B364">
        <f t="shared" si="238"/>
        <v>353</v>
      </c>
      <c r="C364">
        <f t="shared" si="239"/>
        <v>29.333333333333332</v>
      </c>
      <c r="D364">
        <f t="shared" si="240"/>
        <v>0</v>
      </c>
      <c r="E364">
        <f t="shared" si="241"/>
        <v>81</v>
      </c>
      <c r="F364">
        <f>IF(C364&gt;=$T$2,0,VLOOKUP($E364,EKM_F05!$A$3:$C$128,2,TRUE))</f>
        <v>6.4666666666666664E-2</v>
      </c>
      <c r="G364">
        <f>F364*'Real assumptions'!$B$3</f>
        <v>2.69854E-2</v>
      </c>
      <c r="H364">
        <f t="shared" si="258"/>
        <v>2.2770861444525448E-3</v>
      </c>
      <c r="I364">
        <f t="shared" si="259"/>
        <v>4.6732999551202394E-4</v>
      </c>
      <c r="J364">
        <f>IF(B364&gt;$AJ$2,0,HLOOKUP(C364,'Real assumptions'!$B$5:$L$8,4,TRUE))</f>
        <v>3.7900000000000003E-2</v>
      </c>
      <c r="K364">
        <f t="shared" si="228"/>
        <v>1</v>
      </c>
      <c r="L364">
        <f t="shared" si="260"/>
        <v>8.3333333333333329E-2</v>
      </c>
      <c r="M364">
        <f t="shared" si="261"/>
        <v>3.2145624959929453E-3</v>
      </c>
      <c r="N364">
        <f t="shared" si="262"/>
        <v>6.6003949012125214E-4</v>
      </c>
      <c r="O364" s="8">
        <f t="shared" si="242"/>
        <v>0.20443461006999</v>
      </c>
      <c r="P364">
        <f t="shared" si="243"/>
        <v>4.9334875093349586</v>
      </c>
      <c r="Q364">
        <f t="shared" si="263"/>
        <v>2.3366499775601195</v>
      </c>
      <c r="R364" s="89">
        <f t="shared" si="229"/>
        <v>5000</v>
      </c>
      <c r="S364">
        <f t="shared" si="230"/>
        <v>0.58333333333333215</v>
      </c>
      <c r="U364">
        <f>O363*AV363*'Real assumptions'!$B$33/12+AX364*'Real assumptions'!$B$34</f>
        <v>3.0243084656520764</v>
      </c>
      <c r="V364">
        <f>IF(P364=0,0,IF(E364&lt;=$C$7,$AN$5*O363,0))*'Real assumptions'!$D$28</f>
        <v>1.2333718773337397</v>
      </c>
      <c r="X364" s="94">
        <f t="shared" si="244"/>
        <v>0</v>
      </c>
      <c r="Y364">
        <f t="shared" si="231"/>
        <v>24</v>
      </c>
      <c r="Z364">
        <f t="shared" si="264"/>
        <v>69</v>
      </c>
      <c r="AA364">
        <f t="shared" si="232"/>
        <v>69.583333333333329</v>
      </c>
      <c r="AB364">
        <f t="shared" si="245"/>
        <v>50.505050505050505</v>
      </c>
      <c r="AC364">
        <f t="shared" si="265"/>
        <v>3514.309764309764</v>
      </c>
      <c r="AD364">
        <f t="shared" si="246"/>
        <v>80.505050505050505</v>
      </c>
      <c r="AE364">
        <f t="shared" si="247"/>
        <v>280.09048821548816</v>
      </c>
      <c r="AF364" s="94">
        <f t="shared" si="248"/>
        <v>1205.5997474747478</v>
      </c>
      <c r="AG364">
        <f t="shared" si="266"/>
        <v>0.79574344261354291</v>
      </c>
      <c r="AH364">
        <f t="shared" si="249"/>
        <v>246.46631427547848</v>
      </c>
      <c r="AI364">
        <f>HLOOKUP(AW364,'Real assumptions'!$A$21:$AK$24,2,TRUE)</f>
        <v>2.8616999999999999</v>
      </c>
      <c r="AJ364" s="123">
        <f t="shared" si="267"/>
        <v>2.3540315199996886E-3</v>
      </c>
      <c r="AK364" s="122">
        <f>(1+HLOOKUP(YEAR(A364),'Real assumptions'!$A$21:$AK$24,2,TRUE)/100)^(1/12)-1</f>
        <v>2.3540315199996886E-3</v>
      </c>
      <c r="AL364">
        <f t="shared" si="268"/>
        <v>3.0243084656520764</v>
      </c>
      <c r="AM364">
        <f>('Real assumptions'!$B$33/12)*O363*AV363</f>
        <v>2.956292992617775</v>
      </c>
      <c r="AN364">
        <f t="shared" si="250"/>
        <v>249.32568459896538</v>
      </c>
      <c r="AO364">
        <f t="shared" si="272"/>
        <v>0.58692052029146546</v>
      </c>
      <c r="AP364" s="121">
        <f t="shared" si="251"/>
        <v>2.3454403966288702</v>
      </c>
      <c r="AQ364">
        <f t="shared" si="252"/>
        <v>0</v>
      </c>
      <c r="AR364">
        <v>0</v>
      </c>
      <c r="AS364">
        <f t="shared" si="233"/>
        <v>0</v>
      </c>
      <c r="AT364">
        <f t="shared" si="253"/>
        <v>0</v>
      </c>
      <c r="AU364">
        <f>IFERROR(HLOOKUP(B364,'Real assumptions'!$B$43:$AL$44,2,TRUE)*($W$3/$U$2),0)</f>
        <v>0</v>
      </c>
      <c r="AV364">
        <f>AV363*(1+'Real assumptions'!$B$35)^(1/12)</f>
        <v>1.439641205878923</v>
      </c>
      <c r="AW364">
        <f t="shared" si="234"/>
        <v>2048</v>
      </c>
      <c r="AX364">
        <f t="shared" si="269"/>
        <v>248.28166540189707</v>
      </c>
      <c r="AY364">
        <f t="shared" si="270"/>
        <v>0.86515984661457601</v>
      </c>
      <c r="AZ364">
        <f t="shared" si="235"/>
        <v>585.43718515254227</v>
      </c>
      <c r="BA364">
        <f t="shared" si="254"/>
        <v>4.3657652975074015</v>
      </c>
      <c r="BB364">
        <f t="shared" si="255"/>
        <v>69.583333333333329</v>
      </c>
      <c r="BC364">
        <f t="shared" si="236"/>
        <v>41.75</v>
      </c>
      <c r="BD364">
        <f t="shared" si="256"/>
        <v>0</v>
      </c>
      <c r="BE364">
        <f t="shared" si="237"/>
        <v>24</v>
      </c>
      <c r="BF364">
        <f t="shared" si="271"/>
        <v>5000</v>
      </c>
      <c r="BU364"/>
      <c r="FD364"/>
      <c r="FE364"/>
    </row>
    <row r="365" spans="1:161" x14ac:dyDescent="0.25">
      <c r="A365" s="7">
        <f t="shared" si="257"/>
        <v>54209</v>
      </c>
      <c r="B365">
        <f t="shared" si="238"/>
        <v>354</v>
      </c>
      <c r="C365">
        <f t="shared" si="239"/>
        <v>29.416666666666668</v>
      </c>
      <c r="D365">
        <f t="shared" si="240"/>
        <v>0</v>
      </c>
      <c r="E365">
        <f t="shared" si="241"/>
        <v>81</v>
      </c>
      <c r="F365">
        <f>IF(C365&gt;=$T$2,0,VLOOKUP($E365,EKM_F05!$A$3:$C$128,2,TRUE))</f>
        <v>6.4666666666666664E-2</v>
      </c>
      <c r="G365">
        <f>F365*'Real assumptions'!$B$3</f>
        <v>2.69854E-2</v>
      </c>
      <c r="H365">
        <f t="shared" si="258"/>
        <v>2.2770861444525448E-3</v>
      </c>
      <c r="I365">
        <f t="shared" si="259"/>
        <v>4.6476700415632518E-4</v>
      </c>
      <c r="J365">
        <f>IF(B365&gt;$AJ$2,0,HLOOKUP(C365,'Real assumptions'!$B$5:$L$8,4,TRUE))</f>
        <v>3.7900000000000003E-2</v>
      </c>
      <c r="K365">
        <f t="shared" si="228"/>
        <v>1</v>
      </c>
      <c r="L365">
        <f t="shared" si="260"/>
        <v>8.3333333333333329E-2</v>
      </c>
      <c r="M365">
        <f t="shared" si="261"/>
        <v>3.2145624959929453E-3</v>
      </c>
      <c r="N365">
        <f t="shared" si="262"/>
        <v>6.5641961653332384E-4</v>
      </c>
      <c r="O365" s="8">
        <f t="shared" si="242"/>
        <v>0.20331342344930037</v>
      </c>
      <c r="P365">
        <f t="shared" si="243"/>
        <v>4.9064306416797603</v>
      </c>
      <c r="Q365">
        <f t="shared" si="263"/>
        <v>2.3238350207816261</v>
      </c>
      <c r="R365" s="89">
        <f t="shared" si="229"/>
        <v>5000</v>
      </c>
      <c r="S365">
        <f t="shared" si="230"/>
        <v>0.5</v>
      </c>
      <c r="U365">
        <f>O364*AV364*'Real assumptions'!$B$33/12+AX365*'Real assumptions'!$B$34</f>
        <v>3.0111852573119977</v>
      </c>
      <c r="V365">
        <f>IF(P365=0,0,IF(E365&lt;=$C$7,$AN$5*O364,0))*'Real assumptions'!$D$28</f>
        <v>1.2266076604199401</v>
      </c>
      <c r="X365" s="94">
        <f t="shared" si="244"/>
        <v>0</v>
      </c>
      <c r="Y365">
        <f t="shared" si="231"/>
        <v>24</v>
      </c>
      <c r="Z365">
        <f t="shared" si="264"/>
        <v>69</v>
      </c>
      <c r="AA365">
        <f t="shared" si="232"/>
        <v>69.5</v>
      </c>
      <c r="AB365">
        <f t="shared" si="245"/>
        <v>50.505050505050505</v>
      </c>
      <c r="AC365">
        <f t="shared" si="265"/>
        <v>3510.1010101010102</v>
      </c>
      <c r="AD365">
        <f t="shared" si="246"/>
        <v>80.505050505050505</v>
      </c>
      <c r="AE365">
        <f t="shared" si="247"/>
        <v>279.75505050505052</v>
      </c>
      <c r="AF365" s="94">
        <f t="shared" si="248"/>
        <v>1210.1439393939393</v>
      </c>
      <c r="AG365">
        <f t="shared" si="266"/>
        <v>0.7943622206470955</v>
      </c>
      <c r="AH365">
        <f t="shared" si="249"/>
        <v>246.03850718460444</v>
      </c>
      <c r="AI365">
        <f>HLOOKUP(AW365,'Real assumptions'!$A$21:$AK$24,2,TRUE)</f>
        <v>2.8616999999999999</v>
      </c>
      <c r="AJ365" s="123">
        <f t="shared" si="267"/>
        <v>2.3540315199996886E-3</v>
      </c>
      <c r="AK365" s="122">
        <f>(1+HLOOKUP(YEAR(A365),'Real assumptions'!$A$21:$AK$24,2,TRUE)/100)^(1/12)-1</f>
        <v>2.3540315199996886E-3</v>
      </c>
      <c r="AL365">
        <f t="shared" si="268"/>
        <v>3.0111852573119977</v>
      </c>
      <c r="AM365">
        <f>('Real assumptions'!$B$33/12)*O364*AV364</f>
        <v>2.9431248856454779</v>
      </c>
      <c r="AN365">
        <f t="shared" si="250"/>
        <v>249.48039239605515</v>
      </c>
      <c r="AO365">
        <f t="shared" si="272"/>
        <v>0.5872847073222045</v>
      </c>
      <c r="AP365" s="121">
        <f t="shared" si="251"/>
        <v>2.9327251039510749</v>
      </c>
      <c r="AQ365">
        <f t="shared" si="252"/>
        <v>0</v>
      </c>
      <c r="AR365">
        <v>0</v>
      </c>
      <c r="AS365">
        <f t="shared" si="233"/>
        <v>0</v>
      </c>
      <c r="AT365">
        <f t="shared" si="253"/>
        <v>0</v>
      </c>
      <c r="AU365">
        <f>IFERROR(HLOOKUP(B365,'Real assumptions'!$B$43:$AL$44,2,TRUE)*($W$3/$U$2),0)</f>
        <v>0</v>
      </c>
      <c r="AV365">
        <f>AV364*(1+'Real assumptions'!$B$35)^(1/12)</f>
        <v>1.4411323085205077</v>
      </c>
      <c r="AW365">
        <f t="shared" si="234"/>
        <v>2048</v>
      </c>
      <c r="AX365">
        <f t="shared" si="269"/>
        <v>248.44556203723451</v>
      </c>
      <c r="AY365">
        <f t="shared" si="270"/>
        <v>0.86041502554709592</v>
      </c>
      <c r="AZ365">
        <f t="shared" si="235"/>
        <v>584.36576322189035</v>
      </c>
      <c r="BA365">
        <f t="shared" si="254"/>
        <v>4.3448049018486614</v>
      </c>
      <c r="BB365">
        <f t="shared" si="255"/>
        <v>69.5</v>
      </c>
      <c r="BC365">
        <f t="shared" si="236"/>
        <v>41.7</v>
      </c>
      <c r="BD365">
        <f t="shared" si="256"/>
        <v>0</v>
      </c>
      <c r="BE365">
        <f t="shared" si="237"/>
        <v>24</v>
      </c>
      <c r="BF365">
        <f t="shared" si="271"/>
        <v>5000</v>
      </c>
      <c r="BU365"/>
      <c r="FD365"/>
      <c r="FE365"/>
    </row>
    <row r="366" spans="1:161" x14ac:dyDescent="0.25">
      <c r="A366" s="7">
        <f t="shared" si="257"/>
        <v>54239</v>
      </c>
      <c r="B366">
        <f t="shared" si="238"/>
        <v>355</v>
      </c>
      <c r="C366">
        <f t="shared" si="239"/>
        <v>29.5</v>
      </c>
      <c r="D366">
        <f t="shared" si="240"/>
        <v>0</v>
      </c>
      <c r="E366">
        <f t="shared" si="241"/>
        <v>81</v>
      </c>
      <c r="F366">
        <f>IF(C366&gt;=$T$2,0,VLOOKUP($E366,EKM_F05!$A$3:$C$128,2,TRUE))</f>
        <v>6.4666666666666664E-2</v>
      </c>
      <c r="G366">
        <f>F366*'Real assumptions'!$B$3</f>
        <v>2.69854E-2</v>
      </c>
      <c r="H366">
        <f t="shared" si="258"/>
        <v>2.2770861444525448E-3</v>
      </c>
      <c r="I366">
        <f t="shared" si="259"/>
        <v>4.6221806908794475E-4</v>
      </c>
      <c r="J366">
        <f>IF(B366&gt;$AJ$2,0,HLOOKUP(C366,'Real assumptions'!$B$5:$L$8,4,TRUE))</f>
        <v>3.7900000000000003E-2</v>
      </c>
      <c r="K366">
        <f t="shared" si="228"/>
        <v>1</v>
      </c>
      <c r="L366">
        <f t="shared" si="260"/>
        <v>8.3333333333333329E-2</v>
      </c>
      <c r="M366">
        <f t="shared" si="261"/>
        <v>3.2145624959929453E-3</v>
      </c>
      <c r="N366">
        <f t="shared" si="262"/>
        <v>6.5281959552238337E-4</v>
      </c>
      <c r="O366" s="8">
        <f t="shared" si="242"/>
        <v>0.20219838578469004</v>
      </c>
      <c r="P366">
        <f t="shared" si="243"/>
        <v>4.8795221627832088</v>
      </c>
      <c r="Q366">
        <f t="shared" si="263"/>
        <v>2.3110903454397236</v>
      </c>
      <c r="R366" s="89">
        <f t="shared" si="229"/>
        <v>5000</v>
      </c>
      <c r="S366">
        <f t="shared" si="230"/>
        <v>0.41666666666666785</v>
      </c>
      <c r="U366">
        <f>O365*AV365*'Real assumptions'!$B$33/12+AX366*'Real assumptions'!$B$34</f>
        <v>2.9981200427874946</v>
      </c>
      <c r="V366">
        <f>IF(P366=0,0,IF(E366&lt;=$C$7,$AN$5*O365,0))*'Real assumptions'!$D$28</f>
        <v>1.2198805406958022</v>
      </c>
      <c r="X366" s="94">
        <f t="shared" si="244"/>
        <v>0</v>
      </c>
      <c r="Y366">
        <f t="shared" si="231"/>
        <v>24</v>
      </c>
      <c r="Z366">
        <f t="shared" si="264"/>
        <v>69</v>
      </c>
      <c r="AA366">
        <f t="shared" si="232"/>
        <v>69.416666666666671</v>
      </c>
      <c r="AB366">
        <f t="shared" si="245"/>
        <v>50.505050505050505</v>
      </c>
      <c r="AC366">
        <f t="shared" si="265"/>
        <v>3505.8922558922563</v>
      </c>
      <c r="AD366">
        <f t="shared" si="246"/>
        <v>80.505050505050505</v>
      </c>
      <c r="AE366">
        <f t="shared" si="247"/>
        <v>279.41961279461282</v>
      </c>
      <c r="AF366" s="94">
        <f t="shared" si="248"/>
        <v>1214.6881313131307</v>
      </c>
      <c r="AG366">
        <f t="shared" si="266"/>
        <v>0.7929722145696777</v>
      </c>
      <c r="AH366">
        <f t="shared" si="249"/>
        <v>245.60797938333664</v>
      </c>
      <c r="AI366">
        <f>HLOOKUP(AW366,'Real assumptions'!$A$21:$AK$24,2,TRUE)</f>
        <v>2.8616999999999999</v>
      </c>
      <c r="AJ366" s="123">
        <f t="shared" si="267"/>
        <v>2.3540315199996886E-3</v>
      </c>
      <c r="AK366" s="122">
        <f>(1+HLOOKUP(YEAR(A366),'Real assumptions'!$A$21:$AK$24,2,TRUE)/100)^(1/12)-1</f>
        <v>2.3540315199996886E-3</v>
      </c>
      <c r="AL366">
        <f t="shared" si="268"/>
        <v>2.9981200427874946</v>
      </c>
      <c r="AM366">
        <f>('Real assumptions'!$B$33/12)*O365*AV365</f>
        <v>2.9300154328869774</v>
      </c>
      <c r="AN366">
        <f t="shared" si="250"/>
        <v>249.63275386785543</v>
      </c>
      <c r="AO366">
        <f t="shared" si="272"/>
        <v>0.5876433710292559</v>
      </c>
      <c r="AP366" s="121">
        <f t="shared" si="251"/>
        <v>3.520368474980331</v>
      </c>
      <c r="AQ366">
        <f t="shared" si="252"/>
        <v>0</v>
      </c>
      <c r="AR366">
        <v>0</v>
      </c>
      <c r="AS366">
        <f t="shared" si="233"/>
        <v>0</v>
      </c>
      <c r="AT366">
        <f t="shared" si="253"/>
        <v>0</v>
      </c>
      <c r="AU366">
        <f>IFERROR(HLOOKUP(B366,'Real assumptions'!$B$43:$AL$44,2,TRUE)*($W$3/$U$2),0)</f>
        <v>0</v>
      </c>
      <c r="AV366">
        <f>AV365*(1+'Real assumptions'!$B$35)^(1/12)</f>
        <v>1.4426249555657109</v>
      </c>
      <c r="AW366">
        <f t="shared" si="234"/>
        <v>2048</v>
      </c>
      <c r="AX366">
        <f t="shared" si="269"/>
        <v>248.60704797449816</v>
      </c>
      <c r="AY366">
        <f t="shared" si="270"/>
        <v>0.85569622663846956</v>
      </c>
      <c r="AZ366">
        <f t="shared" si="235"/>
        <v>583.29883766701391</v>
      </c>
      <c r="BA366">
        <f t="shared" si="254"/>
        <v>4.323943100705204</v>
      </c>
      <c r="BB366">
        <f t="shared" si="255"/>
        <v>69.416666666666671</v>
      </c>
      <c r="BC366">
        <f t="shared" si="236"/>
        <v>41.650000000000006</v>
      </c>
      <c r="BD366">
        <f t="shared" si="256"/>
        <v>0</v>
      </c>
      <c r="BE366">
        <f t="shared" si="237"/>
        <v>24</v>
      </c>
      <c r="BF366">
        <f t="shared" si="271"/>
        <v>5000</v>
      </c>
      <c r="BU366"/>
      <c r="FD366"/>
      <c r="FE366"/>
    </row>
    <row r="367" spans="1:161" x14ac:dyDescent="0.25">
      <c r="A367" s="7">
        <f t="shared" si="257"/>
        <v>54270</v>
      </c>
      <c r="B367">
        <f t="shared" si="238"/>
        <v>356</v>
      </c>
      <c r="C367">
        <f t="shared" si="239"/>
        <v>29.583333333333332</v>
      </c>
      <c r="D367">
        <f t="shared" si="240"/>
        <v>0</v>
      </c>
      <c r="E367">
        <f t="shared" si="241"/>
        <v>81</v>
      </c>
      <c r="F367">
        <f>IF(C367&gt;=$T$2,0,VLOOKUP($E367,EKM_F05!$A$3:$C$128,2,TRUE))</f>
        <v>6.4666666666666664E-2</v>
      </c>
      <c r="G367">
        <f>F367*'Real assumptions'!$B$3</f>
        <v>2.69854E-2</v>
      </c>
      <c r="H367">
        <f t="shared" si="258"/>
        <v>2.2770861444525448E-3</v>
      </c>
      <c r="I367">
        <f t="shared" si="259"/>
        <v>4.5968311321758115E-4</v>
      </c>
      <c r="J367">
        <f>IF(B367&gt;$AJ$2,0,HLOOKUP(C367,'Real assumptions'!$B$5:$L$8,4,TRUE))</f>
        <v>3.7900000000000003E-2</v>
      </c>
      <c r="K367">
        <f t="shared" si="228"/>
        <v>1</v>
      </c>
      <c r="L367">
        <f t="shared" si="260"/>
        <v>8.3333333333333329E-2</v>
      </c>
      <c r="M367">
        <f t="shared" si="261"/>
        <v>3.2145624959929453E-3</v>
      </c>
      <c r="N367">
        <f t="shared" si="262"/>
        <v>6.4923931821037084E-4</v>
      </c>
      <c r="O367" s="8">
        <f t="shared" si="242"/>
        <v>0.20108946335326208</v>
      </c>
      <c r="P367">
        <f t="shared" si="243"/>
        <v>4.8527612588325608</v>
      </c>
      <c r="Q367">
        <f t="shared" si="263"/>
        <v>2.2984155660879058</v>
      </c>
      <c r="R367" s="89">
        <f t="shared" si="229"/>
        <v>5000</v>
      </c>
      <c r="S367">
        <f t="shared" si="230"/>
        <v>0.33333333333333215</v>
      </c>
      <c r="U367">
        <f>O366*AV366*'Real assumptions'!$B$33/12+AX367*'Real assumptions'!$B$34</f>
        <v>2.9851125711277513</v>
      </c>
      <c r="V367">
        <f>IF(P367=0,0,IF(E367&lt;=$C$7,$AN$5*O366,0))*'Real assumptions'!$D$28</f>
        <v>1.2131903147081402</v>
      </c>
      <c r="X367" s="94">
        <f t="shared" si="244"/>
        <v>0</v>
      </c>
      <c r="Y367">
        <f t="shared" si="231"/>
        <v>24</v>
      </c>
      <c r="Z367">
        <f t="shared" si="264"/>
        <v>69</v>
      </c>
      <c r="AA367">
        <f t="shared" si="232"/>
        <v>69.333333333333329</v>
      </c>
      <c r="AB367">
        <f t="shared" si="245"/>
        <v>50.505050505050505</v>
      </c>
      <c r="AC367">
        <f t="shared" si="265"/>
        <v>3501.6835016835016</v>
      </c>
      <c r="AD367">
        <f t="shared" si="246"/>
        <v>80.505050505050505</v>
      </c>
      <c r="AE367">
        <f t="shared" si="247"/>
        <v>279.08417508417506</v>
      </c>
      <c r="AF367" s="94">
        <f t="shared" si="248"/>
        <v>1219.2323232323233</v>
      </c>
      <c r="AG367">
        <f t="shared" si="266"/>
        <v>0.7915735622754001</v>
      </c>
      <c r="AH367">
        <f t="shared" si="249"/>
        <v>245.17477358173886</v>
      </c>
      <c r="AI367">
        <f>HLOOKUP(AW367,'Real assumptions'!$A$21:$AK$24,2,TRUE)</f>
        <v>2.8616999999999999</v>
      </c>
      <c r="AJ367" s="123">
        <f t="shared" si="267"/>
        <v>2.3540315199996886E-3</v>
      </c>
      <c r="AK367" s="122">
        <f>(1+HLOOKUP(YEAR(A367),'Real assumptions'!$A$21:$AK$24,2,TRUE)/100)^(1/12)-1</f>
        <v>2.3540315199996886E-3</v>
      </c>
      <c r="AL367">
        <f t="shared" si="268"/>
        <v>2.9851125711277513</v>
      </c>
      <c r="AM367">
        <f>('Real assumptions'!$B$33/12)*O366*AV366</f>
        <v>2.9169643730809693</v>
      </c>
      <c r="AN367">
        <f t="shared" si="250"/>
        <v>249.78280623131366</v>
      </c>
      <c r="AO367">
        <f t="shared" si="272"/>
        <v>0.58799659902248702</v>
      </c>
      <c r="AP367" s="121">
        <f t="shared" si="251"/>
        <v>4.1083650740028181</v>
      </c>
      <c r="AQ367">
        <f t="shared" si="252"/>
        <v>0</v>
      </c>
      <c r="AR367">
        <v>0</v>
      </c>
      <c r="AS367">
        <f t="shared" si="233"/>
        <v>0</v>
      </c>
      <c r="AT367">
        <f t="shared" si="253"/>
        <v>0</v>
      </c>
      <c r="AU367">
        <f>IFERROR(HLOOKUP(B367,'Real assumptions'!$B$43:$AL$44,2,TRUE)*($W$3/$U$2),0)</f>
        <v>0</v>
      </c>
      <c r="AV367">
        <f>AV366*(1+'Real assumptions'!$B$35)^(1/12)</f>
        <v>1.4441191486141425</v>
      </c>
      <c r="AW367">
        <f t="shared" si="234"/>
        <v>2048</v>
      </c>
      <c r="AX367">
        <f t="shared" si="269"/>
        <v>248.76616085078345</v>
      </c>
      <c r="AY367">
        <f t="shared" si="270"/>
        <v>0.85100330717462136</v>
      </c>
      <c r="AZ367">
        <f t="shared" si="235"/>
        <v>582.23641076109459</v>
      </c>
      <c r="BA367">
        <f t="shared" si="254"/>
        <v>4.3031794430714463</v>
      </c>
      <c r="BB367">
        <f t="shared" si="255"/>
        <v>69.333333333333329</v>
      </c>
      <c r="BC367">
        <f t="shared" si="236"/>
        <v>41.599999999999994</v>
      </c>
      <c r="BD367">
        <f t="shared" si="256"/>
        <v>0</v>
      </c>
      <c r="BE367">
        <f t="shared" si="237"/>
        <v>24</v>
      </c>
      <c r="BF367">
        <f t="shared" si="271"/>
        <v>5000</v>
      </c>
      <c r="BU367"/>
      <c r="FD367"/>
      <c r="FE367"/>
    </row>
    <row r="368" spans="1:161" x14ac:dyDescent="0.25">
      <c r="A368" s="7">
        <f t="shared" si="257"/>
        <v>54301</v>
      </c>
      <c r="B368">
        <f t="shared" si="238"/>
        <v>357</v>
      </c>
      <c r="C368">
        <f t="shared" si="239"/>
        <v>29.666666666666668</v>
      </c>
      <c r="D368">
        <f t="shared" si="240"/>
        <v>0</v>
      </c>
      <c r="E368">
        <f t="shared" si="241"/>
        <v>81</v>
      </c>
      <c r="F368">
        <f>IF(C368&gt;=$T$2,0,VLOOKUP($E368,EKM_F05!$A$3:$C$128,2,TRUE))</f>
        <v>6.4666666666666664E-2</v>
      </c>
      <c r="G368">
        <f>F368*'Real assumptions'!$B$3</f>
        <v>2.69854E-2</v>
      </c>
      <c r="H368">
        <f t="shared" si="258"/>
        <v>2.2770861444525448E-3</v>
      </c>
      <c r="I368">
        <f t="shared" si="259"/>
        <v>4.5716205987871613E-4</v>
      </c>
      <c r="J368">
        <f>IF(B368&gt;$AJ$2,0,HLOOKUP(C368,'Real assumptions'!$B$5:$L$8,4,TRUE))</f>
        <v>3.7900000000000003E-2</v>
      </c>
      <c r="K368">
        <f t="shared" si="228"/>
        <v>1</v>
      </c>
      <c r="L368">
        <f t="shared" si="260"/>
        <v>8.3333333333333329E-2</v>
      </c>
      <c r="M368">
        <f t="shared" si="261"/>
        <v>3.2145624959929453E-3</v>
      </c>
      <c r="N368">
        <f t="shared" si="262"/>
        <v>6.4567867631634939E-4</v>
      </c>
      <c r="O368" s="8">
        <f t="shared" si="242"/>
        <v>0.19998662261706701</v>
      </c>
      <c r="P368">
        <f t="shared" si="243"/>
        <v>4.8261471204782902</v>
      </c>
      <c r="Q368">
        <f t="shared" si="263"/>
        <v>2.2858102993935807</v>
      </c>
      <c r="R368" s="89">
        <f t="shared" si="229"/>
        <v>5000</v>
      </c>
      <c r="S368">
        <f t="shared" si="230"/>
        <v>0.25</v>
      </c>
      <c r="U368">
        <f>O367*AV367*'Real assumptions'!$B$33/12+AX368*'Real assumptions'!$B$34</f>
        <v>2.9721625924628525</v>
      </c>
      <c r="V368">
        <f>IF(P368=0,0,IF(E368&lt;=$C$7,$AN$5*O367,0))*'Real assumptions'!$D$28</f>
        <v>1.2065367801195725</v>
      </c>
      <c r="X368" s="94">
        <f t="shared" si="244"/>
        <v>0</v>
      </c>
      <c r="Y368">
        <f t="shared" si="231"/>
        <v>24</v>
      </c>
      <c r="Z368">
        <f t="shared" si="264"/>
        <v>69</v>
      </c>
      <c r="AA368">
        <f t="shared" si="232"/>
        <v>69.25</v>
      </c>
      <c r="AB368">
        <f t="shared" si="245"/>
        <v>50.505050505050505</v>
      </c>
      <c r="AC368">
        <f t="shared" si="265"/>
        <v>3497.4747474747473</v>
      </c>
      <c r="AD368">
        <f t="shared" si="246"/>
        <v>80.505050505050505</v>
      </c>
      <c r="AE368">
        <f t="shared" si="247"/>
        <v>278.74873737373736</v>
      </c>
      <c r="AF368" s="94">
        <f t="shared" si="248"/>
        <v>1223.7765151515152</v>
      </c>
      <c r="AG368">
        <f t="shared" si="266"/>
        <v>0.79016640041006525</v>
      </c>
      <c r="AH368">
        <f t="shared" si="249"/>
        <v>244.73893210323547</v>
      </c>
      <c r="AI368">
        <f>HLOOKUP(AW368,'Real assumptions'!$A$21:$AK$24,2,TRUE)</f>
        <v>2.8616999999999999</v>
      </c>
      <c r="AJ368" s="123">
        <f t="shared" si="267"/>
        <v>2.3540315199996886E-3</v>
      </c>
      <c r="AK368" s="122">
        <f>(1+HLOOKUP(YEAR(A368),'Real assumptions'!$A$21:$AK$24,2,TRUE)/100)^(1/12)-1</f>
        <v>2.3540315199996886E-3</v>
      </c>
      <c r="AL368">
        <f t="shared" si="268"/>
        <v>2.9721625924628525</v>
      </c>
      <c r="AM368">
        <f>('Real assumptions'!$B$33/12)*O367*AV367</f>
        <v>2.9039714461298765</v>
      </c>
      <c r="AN368">
        <f t="shared" si="250"/>
        <v>249.93058640363753</v>
      </c>
      <c r="AO368">
        <f t="shared" si="272"/>
        <v>0.58834447820616842</v>
      </c>
      <c r="AP368" s="121">
        <f t="shared" si="251"/>
        <v>4.6967095522089863</v>
      </c>
      <c r="AQ368">
        <f t="shared" si="252"/>
        <v>0</v>
      </c>
      <c r="AR368">
        <v>0</v>
      </c>
      <c r="AS368">
        <f t="shared" si="233"/>
        <v>0</v>
      </c>
      <c r="AT368">
        <f t="shared" si="253"/>
        <v>0</v>
      </c>
      <c r="AU368">
        <f>IFERROR(HLOOKUP(B368,'Real assumptions'!$B$43:$AL$44,2,TRUE)*($W$3/$U$2),0)</f>
        <v>0</v>
      </c>
      <c r="AV368">
        <f>AV367*(1+'Real assumptions'!$B$35)^(1/12)</f>
        <v>1.4456148892670693</v>
      </c>
      <c r="AW368">
        <f t="shared" si="234"/>
        <v>2048</v>
      </c>
      <c r="AX368">
        <f t="shared" si="269"/>
        <v>248.92293800084627</v>
      </c>
      <c r="AY368">
        <f t="shared" si="270"/>
        <v>0.8463361252241669</v>
      </c>
      <c r="AZ368">
        <f t="shared" si="235"/>
        <v>581.17848467220995</v>
      </c>
      <c r="BA368">
        <f t="shared" si="254"/>
        <v>4.2825134799232183</v>
      </c>
      <c r="BB368">
        <f t="shared" si="255"/>
        <v>69.25</v>
      </c>
      <c r="BC368">
        <f t="shared" si="236"/>
        <v>41.55</v>
      </c>
      <c r="BD368">
        <f t="shared" si="256"/>
        <v>0</v>
      </c>
      <c r="BE368">
        <f t="shared" si="237"/>
        <v>24</v>
      </c>
      <c r="BF368">
        <f t="shared" si="271"/>
        <v>5000</v>
      </c>
      <c r="BU368"/>
      <c r="FD368"/>
      <c r="FE368"/>
    </row>
    <row r="369" spans="1:161" x14ac:dyDescent="0.25">
      <c r="A369" s="7">
        <f t="shared" si="257"/>
        <v>54331</v>
      </c>
      <c r="B369">
        <f t="shared" si="238"/>
        <v>358</v>
      </c>
      <c r="C369">
        <f t="shared" si="239"/>
        <v>29.75</v>
      </c>
      <c r="D369">
        <f t="shared" si="240"/>
        <v>0</v>
      </c>
      <c r="E369">
        <f t="shared" si="241"/>
        <v>81</v>
      </c>
      <c r="F369">
        <f>IF(C369&gt;=$T$2,0,VLOOKUP($E369,EKM_F05!$A$3:$C$128,2,TRUE))</f>
        <v>6.4666666666666664E-2</v>
      </c>
      <c r="G369">
        <f>F369*'Real assumptions'!$B$3</f>
        <v>2.69854E-2</v>
      </c>
      <c r="H369">
        <f t="shared" si="258"/>
        <v>2.2770861444525448E-3</v>
      </c>
      <c r="I369">
        <f t="shared" si="259"/>
        <v>4.5465483282529568E-4</v>
      </c>
      <c r="J369">
        <f>IF(B369&gt;$AJ$2,0,HLOOKUP(C369,'Real assumptions'!$B$5:$L$8,4,TRUE))</f>
        <v>3.7900000000000003E-2</v>
      </c>
      <c r="K369">
        <f t="shared" si="228"/>
        <v>1</v>
      </c>
      <c r="L369">
        <f t="shared" si="260"/>
        <v>8.3333333333333329E-2</v>
      </c>
      <c r="M369">
        <f t="shared" si="261"/>
        <v>3.2145624959929453E-3</v>
      </c>
      <c r="N369">
        <f t="shared" si="262"/>
        <v>6.4213756215323063E-4</v>
      </c>
      <c r="O369" s="8">
        <f t="shared" si="242"/>
        <v>0.19888983022208848</v>
      </c>
      <c r="P369">
        <f t="shared" si="243"/>
        <v>4.7996789428096083</v>
      </c>
      <c r="Q369">
        <f t="shared" si="263"/>
        <v>2.2732741641264784</v>
      </c>
      <c r="R369" s="89">
        <f t="shared" si="229"/>
        <v>5000</v>
      </c>
      <c r="S369">
        <f t="shared" si="230"/>
        <v>0.16666666666666785</v>
      </c>
      <c r="U369">
        <f>O368*AV368*'Real assumptions'!$B$33/12+AX369*'Real assumptions'!$B$34</f>
        <v>2.9592698579992258</v>
      </c>
      <c r="V369">
        <f>IF(P369=0,0,IF(E369&lt;=$C$7,$AN$5*O368,0))*'Real assumptions'!$D$28</f>
        <v>1.1999197357024021</v>
      </c>
      <c r="X369" s="94">
        <f t="shared" si="244"/>
        <v>0</v>
      </c>
      <c r="Y369">
        <f t="shared" si="231"/>
        <v>24</v>
      </c>
      <c r="Z369">
        <f t="shared" si="264"/>
        <v>69</v>
      </c>
      <c r="AA369">
        <f t="shared" si="232"/>
        <v>69.166666666666671</v>
      </c>
      <c r="AB369">
        <f t="shared" si="245"/>
        <v>50.505050505050505</v>
      </c>
      <c r="AC369">
        <f t="shared" si="265"/>
        <v>3493.2659932659935</v>
      </c>
      <c r="AD369">
        <f t="shared" si="246"/>
        <v>80.505050505050505</v>
      </c>
      <c r="AE369">
        <f t="shared" si="247"/>
        <v>278.41329966329965</v>
      </c>
      <c r="AF369" s="94">
        <f t="shared" si="248"/>
        <v>1228.3207070707067</v>
      </c>
      <c r="AG369">
        <f t="shared" si="266"/>
        <v>0.78875086438071607</v>
      </c>
      <c r="AH369">
        <f t="shared" si="249"/>
        <v>244.30049688756853</v>
      </c>
      <c r="AI369">
        <f>HLOOKUP(AW369,'Real assumptions'!$A$21:$AK$24,2,TRUE)</f>
        <v>2.8616999999999999</v>
      </c>
      <c r="AJ369" s="123">
        <f t="shared" si="267"/>
        <v>2.3540315199996886E-3</v>
      </c>
      <c r="AK369" s="122">
        <f>(1+HLOOKUP(YEAR(A369),'Real assumptions'!$A$21:$AK$24,2,TRUE)/100)^(1/12)-1</f>
        <v>2.3540315199996886E-3</v>
      </c>
      <c r="AL369">
        <f t="shared" si="268"/>
        <v>2.9592698579992258</v>
      </c>
      <c r="AM369">
        <f>('Real assumptions'!$B$33/12)*O368*AV368</f>
        <v>2.891036393094665</v>
      </c>
      <c r="AN369">
        <f t="shared" si="250"/>
        <v>250.07613100455245</v>
      </c>
      <c r="AO369">
        <f t="shared" si="272"/>
        <v>0.58868709478428782</v>
      </c>
      <c r="AP369" s="121">
        <f t="shared" si="251"/>
        <v>5.2853966469932745</v>
      </c>
      <c r="AQ369">
        <f t="shared" si="252"/>
        <v>0</v>
      </c>
      <c r="AR369">
        <v>0</v>
      </c>
      <c r="AS369">
        <f t="shared" si="233"/>
        <v>0</v>
      </c>
      <c r="AT369">
        <f t="shared" si="253"/>
        <v>0</v>
      </c>
      <c r="AU369">
        <f>IFERROR(HLOOKUP(B369,'Real assumptions'!$B$43:$AL$44,2,TRUE)*($W$3/$U$2),0)</f>
        <v>0</v>
      </c>
      <c r="AV369">
        <f>AV368*(1+'Real assumptions'!$B$35)^(1/12)</f>
        <v>1.4471121791274162</v>
      </c>
      <c r="AW369">
        <f t="shared" si="234"/>
        <v>2048</v>
      </c>
      <c r="AX369">
        <f t="shared" si="269"/>
        <v>249.07741645937617</v>
      </c>
      <c r="AY369">
        <f t="shared" si="270"/>
        <v>0.84169453963412033</v>
      </c>
      <c r="AZ369">
        <f t="shared" si="235"/>
        <v>580.12506146447481</v>
      </c>
      <c r="BA369">
        <f t="shared" si="254"/>
        <v>4.2619447642095967</v>
      </c>
      <c r="BB369">
        <f t="shared" si="255"/>
        <v>69.166666666666671</v>
      </c>
      <c r="BC369">
        <f t="shared" si="236"/>
        <v>41.5</v>
      </c>
      <c r="BD369">
        <f t="shared" si="256"/>
        <v>0</v>
      </c>
      <c r="BE369">
        <f t="shared" si="237"/>
        <v>24</v>
      </c>
      <c r="BF369">
        <f t="shared" si="271"/>
        <v>5000</v>
      </c>
      <c r="BU369"/>
      <c r="FD369"/>
      <c r="FE369"/>
    </row>
    <row r="370" spans="1:161" x14ac:dyDescent="0.25">
      <c r="A370" s="7">
        <f t="shared" si="257"/>
        <v>54362</v>
      </c>
      <c r="B370">
        <f t="shared" si="238"/>
        <v>359</v>
      </c>
      <c r="C370">
        <f t="shared" si="239"/>
        <v>29.833333333333332</v>
      </c>
      <c r="D370">
        <f t="shared" si="240"/>
        <v>0</v>
      </c>
      <c r="E370">
        <f t="shared" si="241"/>
        <v>81</v>
      </c>
      <c r="F370">
        <f>IF(C370&gt;=$T$2,0,VLOOKUP($E370,EKM_F05!$A$3:$C$128,2,TRUE))</f>
        <v>6.4666666666666664E-2</v>
      </c>
      <c r="G370">
        <f>F370*'Real assumptions'!$B$3</f>
        <v>2.69854E-2</v>
      </c>
      <c r="H370">
        <f t="shared" si="258"/>
        <v>2.2770861444525448E-3</v>
      </c>
      <c r="I370">
        <f t="shared" si="259"/>
        <v>4.5216135622942429E-4</v>
      </c>
      <c r="J370">
        <f>IF(B370&gt;$AJ$2,0,HLOOKUP(C370,'Real assumptions'!$B$5:$L$8,4,TRUE))</f>
        <v>3.7900000000000003E-2</v>
      </c>
      <c r="K370">
        <f t="shared" si="228"/>
        <v>1</v>
      </c>
      <c r="L370">
        <f t="shared" si="260"/>
        <v>8.3333333333333329E-2</v>
      </c>
      <c r="M370">
        <f t="shared" si="261"/>
        <v>3.2145624959929453E-3</v>
      </c>
      <c r="N370">
        <f t="shared" si="262"/>
        <v>6.3861586862451751E-4</v>
      </c>
      <c r="O370" s="8">
        <f t="shared" si="242"/>
        <v>0.19779905299723455</v>
      </c>
      <c r="P370">
        <f t="shared" si="243"/>
        <v>4.7733559253301232</v>
      </c>
      <c r="Q370">
        <f t="shared" si="263"/>
        <v>2.2608067811471213</v>
      </c>
      <c r="R370" s="89">
        <f t="shared" si="229"/>
        <v>5000</v>
      </c>
      <c r="S370">
        <f t="shared" si="230"/>
        <v>8.3333333333332149E-2</v>
      </c>
      <c r="U370">
        <f>O369*AV369*'Real assumptions'!$B$33/12+AX370*'Real assumptions'!$B$34</f>
        <v>2.9464341200150974</v>
      </c>
      <c r="V370">
        <f>IF(P370=0,0,IF(E370&lt;=$C$7,$AN$5*O369,0))*'Real assumptions'!$D$28</f>
        <v>1.1933389813325308</v>
      </c>
      <c r="X370" s="94">
        <f t="shared" si="244"/>
        <v>0</v>
      </c>
      <c r="Y370">
        <f t="shared" si="231"/>
        <v>24</v>
      </c>
      <c r="Z370">
        <f t="shared" si="264"/>
        <v>69</v>
      </c>
      <c r="AA370">
        <f t="shared" si="232"/>
        <v>69.083333333333329</v>
      </c>
      <c r="AB370">
        <f t="shared" si="245"/>
        <v>50.505050505050505</v>
      </c>
      <c r="AC370">
        <f t="shared" si="265"/>
        <v>3489.0572390572388</v>
      </c>
      <c r="AD370">
        <f t="shared" si="246"/>
        <v>80.505050505050505</v>
      </c>
      <c r="AE370">
        <f t="shared" si="247"/>
        <v>278.07786195286189</v>
      </c>
      <c r="AF370" s="94">
        <f t="shared" si="248"/>
        <v>1232.8648989898993</v>
      </c>
      <c r="AG370">
        <f t="shared" si="266"/>
        <v>0.78732708836511256</v>
      </c>
      <c r="AH370">
        <f t="shared" si="249"/>
        <v>243.8595094937333</v>
      </c>
      <c r="AI370">
        <f>HLOOKUP(AW370,'Real assumptions'!$A$21:$AK$24,2,TRUE)</f>
        <v>2.8616999999999999</v>
      </c>
      <c r="AJ370" s="123">
        <f t="shared" si="267"/>
        <v>2.3540315199996886E-3</v>
      </c>
      <c r="AK370" s="122">
        <f>(1+HLOOKUP(YEAR(A370),'Real assumptions'!$A$21:$AK$24,2,TRUE)/100)^(1/12)-1</f>
        <v>2.3540315199996886E-3</v>
      </c>
      <c r="AL370">
        <f t="shared" si="268"/>
        <v>2.9464341200150974</v>
      </c>
      <c r="AM370">
        <f>('Real assumptions'!$B$33/12)*O369*AV369</f>
        <v>2.878158956189683</v>
      </c>
      <c r="AN370">
        <f t="shared" si="250"/>
        <v>250.21947635854428</v>
      </c>
      <c r="AO370">
        <f t="shared" si="272"/>
        <v>0.58902453426583012</v>
      </c>
      <c r="AP370" s="121">
        <f t="shared" si="251"/>
        <v>5.8744211812591045</v>
      </c>
      <c r="AQ370">
        <f t="shared" si="252"/>
        <v>0</v>
      </c>
      <c r="AR370">
        <v>0</v>
      </c>
      <c r="AS370">
        <f t="shared" si="233"/>
        <v>0</v>
      </c>
      <c r="AT370">
        <f t="shared" si="253"/>
        <v>0</v>
      </c>
      <c r="AU370">
        <f>IFERROR(HLOOKUP(B370,'Real assumptions'!$B$43:$AL$44,2,TRUE)*($W$3/$U$2),0)</f>
        <v>0</v>
      </c>
      <c r="AV370">
        <f>AV369*(1+'Real assumptions'!$B$35)^(1/12)</f>
        <v>1.4486110197997688</v>
      </c>
      <c r="AW370">
        <f t="shared" si="234"/>
        <v>2048</v>
      </c>
      <c r="AX370">
        <f t="shared" si="269"/>
        <v>249.22963296325486</v>
      </c>
      <c r="AY370">
        <f t="shared" si="270"/>
        <v>0.83707841002562489</v>
      </c>
      <c r="AZ370">
        <f t="shared" si="235"/>
        <v>579.07614309917437</v>
      </c>
      <c r="BA370">
        <f t="shared" si="254"/>
        <v>4.2414728508447652</v>
      </c>
      <c r="BB370">
        <f t="shared" si="255"/>
        <v>69.083333333333329</v>
      </c>
      <c r="BC370">
        <f t="shared" si="236"/>
        <v>41.449999999999996</v>
      </c>
      <c r="BD370">
        <f t="shared" si="256"/>
        <v>0</v>
      </c>
      <c r="BE370">
        <f t="shared" si="237"/>
        <v>24</v>
      </c>
      <c r="BF370">
        <f t="shared" si="271"/>
        <v>5000</v>
      </c>
      <c r="BU370"/>
      <c r="FD370"/>
      <c r="FE370"/>
    </row>
    <row r="371" spans="1:161" x14ac:dyDescent="0.25">
      <c r="A371" s="7">
        <f t="shared" si="257"/>
        <v>54392</v>
      </c>
      <c r="B371">
        <f t="shared" si="238"/>
        <v>360</v>
      </c>
      <c r="C371">
        <f t="shared" si="239"/>
        <v>29.916666666666668</v>
      </c>
      <c r="D371">
        <f t="shared" si="240"/>
        <v>0</v>
      </c>
      <c r="E371">
        <f t="shared" si="241"/>
        <v>81</v>
      </c>
      <c r="F371">
        <f>IF(C371&gt;=$T$2,0,VLOOKUP($E371,EKM_F05!$A$3:$C$128,2,TRUE))</f>
        <v>6.4666666666666664E-2</v>
      </c>
      <c r="G371">
        <f>F371*'Real assumptions'!$B$3</f>
        <v>2.69854E-2</v>
      </c>
      <c r="H371">
        <f t="shared" si="258"/>
        <v>2.2770861444525448E-3</v>
      </c>
      <c r="I371">
        <f t="shared" si="259"/>
        <v>4.4968155467907161E-4</v>
      </c>
      <c r="J371">
        <f>IF(B371&gt;$AJ$2,0,HLOOKUP(C371,'Real assumptions'!$B$5:$L$8,4,TRUE))</f>
        <v>3.7900000000000003E-2</v>
      </c>
      <c r="K371">
        <f t="shared" si="228"/>
        <v>1</v>
      </c>
      <c r="L371">
        <f t="shared" si="260"/>
        <v>8.3333333333333329E-2</v>
      </c>
      <c r="M371">
        <f t="shared" si="261"/>
        <v>3.2145624959929453E-3</v>
      </c>
      <c r="N371">
        <f t="shared" si="262"/>
        <v>6.3511348922106533E-4</v>
      </c>
      <c r="O371" s="8">
        <f t="shared" si="242"/>
        <v>0.19671425795333441</v>
      </c>
      <c r="P371">
        <f t="shared" si="243"/>
        <v>4.7471772719336292</v>
      </c>
      <c r="Q371">
        <f t="shared" si="263"/>
        <v>2.2484077733953582</v>
      </c>
      <c r="R371" s="89">
        <f t="shared" si="229"/>
        <v>5000</v>
      </c>
      <c r="S371">
        <f t="shared" si="230"/>
        <v>1</v>
      </c>
      <c r="U371">
        <f>O370*AV370*'Real assumptions'!$B$33/12+AX371*'Real assumptions'!$B$34</f>
        <v>2.9336551318559705</v>
      </c>
      <c r="V371">
        <f>IF(P371=0,0,IF(E371&lt;=$C$7,$AN$5*O370,0))*'Real assumptions'!$D$28</f>
        <v>1.1867943179834073</v>
      </c>
      <c r="X371" s="94">
        <f t="shared" si="244"/>
        <v>0</v>
      </c>
      <c r="Y371">
        <f t="shared" si="231"/>
        <v>24</v>
      </c>
      <c r="Z371">
        <f t="shared" si="264"/>
        <v>69</v>
      </c>
      <c r="AA371">
        <f t="shared" si="232"/>
        <v>69</v>
      </c>
      <c r="AB371">
        <f t="shared" si="245"/>
        <v>50.505050505050505</v>
      </c>
      <c r="AC371">
        <f t="shared" si="265"/>
        <v>3484.848484848485</v>
      </c>
      <c r="AD371">
        <f t="shared" si="246"/>
        <v>80.505050505050505</v>
      </c>
      <c r="AE371">
        <f t="shared" si="247"/>
        <v>277.74242424242425</v>
      </c>
      <c r="AF371" s="94">
        <f t="shared" si="248"/>
        <v>1237.4090909090908</v>
      </c>
      <c r="AG371">
        <f t="shared" si="266"/>
        <v>0.7858952053211391</v>
      </c>
      <c r="AH371">
        <f t="shared" si="249"/>
        <v>243.41601110289193</v>
      </c>
      <c r="AI371">
        <f>HLOOKUP(AW371,'Real assumptions'!$A$21:$AK$24,2,TRUE)</f>
        <v>2.8616999999999999</v>
      </c>
      <c r="AJ371" s="123">
        <f t="shared" si="267"/>
        <v>2.3540315199996886E-3</v>
      </c>
      <c r="AK371" s="122">
        <f>(1+HLOOKUP(YEAR(A371),'Real assumptions'!$A$21:$AK$24,2,TRUE)/100)^(1/12)-1</f>
        <v>2.3540315199996886E-3</v>
      </c>
      <c r="AL371">
        <f t="shared" si="268"/>
        <v>2.9336551318559705</v>
      </c>
      <c r="AM371">
        <f>('Real assumptions'!$B$33/12)*O370*AV370</f>
        <v>2.8653388787775245</v>
      </c>
      <c r="AN371">
        <f t="shared" si="250"/>
        <v>250.36065849708666</v>
      </c>
      <c r="AO371">
        <f t="shared" si="272"/>
        <v>0.58935688147001986</v>
      </c>
      <c r="AP371" s="121">
        <f t="shared" si="251"/>
        <v>6.4637780627291246</v>
      </c>
      <c r="AQ371">
        <f t="shared" si="252"/>
        <v>0</v>
      </c>
      <c r="AR371">
        <v>0</v>
      </c>
      <c r="AS371">
        <f t="shared" si="233"/>
        <v>0</v>
      </c>
      <c r="AT371">
        <f t="shared" si="253"/>
        <v>0</v>
      </c>
      <c r="AU371">
        <f>IFERROR(HLOOKUP(B371,'Real assumptions'!$B$43:$AL$44,2,TRUE)*($W$3/$U$2),0)</f>
        <v>0</v>
      </c>
      <c r="AV371">
        <f>AV370*(1+'Real assumptions'!$B$35)^(1/12)</f>
        <v>1.4501114128903745</v>
      </c>
      <c r="AW371">
        <f t="shared" si="234"/>
        <v>2048</v>
      </c>
      <c r="AX371">
        <f t="shared" si="269"/>
        <v>249.3796239537987</v>
      </c>
      <c r="AY371">
        <f t="shared" si="270"/>
        <v>0.83248759678970763</v>
      </c>
      <c r="AZ371">
        <f t="shared" si="235"/>
        <v>578.03173143588742</v>
      </c>
      <c r="BA371">
        <f t="shared" si="254"/>
        <v>4.2210972966999041</v>
      </c>
      <c r="BB371">
        <f t="shared" si="255"/>
        <v>69</v>
      </c>
      <c r="BC371">
        <f t="shared" si="236"/>
        <v>41.4</v>
      </c>
      <c r="BD371">
        <f t="shared" si="256"/>
        <v>0</v>
      </c>
      <c r="BE371">
        <f t="shared" si="237"/>
        <v>24</v>
      </c>
      <c r="BF371">
        <f t="shared" si="271"/>
        <v>5000</v>
      </c>
      <c r="BU371"/>
      <c r="FD371"/>
      <c r="FE371"/>
    </row>
    <row r="372" spans="1:161" x14ac:dyDescent="0.25">
      <c r="A372" s="7">
        <f t="shared" si="257"/>
        <v>54423</v>
      </c>
      <c r="B372">
        <f t="shared" si="238"/>
        <v>361</v>
      </c>
      <c r="C372">
        <f t="shared" si="239"/>
        <v>30</v>
      </c>
      <c r="D372">
        <f t="shared" si="240"/>
        <v>1</v>
      </c>
      <c r="E372">
        <f t="shared" si="241"/>
        <v>82</v>
      </c>
      <c r="F372">
        <f>IF(C372&gt;=$T$2,0,VLOOKUP($E372,EKM_F05!$A$3:$C$128,2,TRUE))</f>
        <v>7.1312564102564105E-2</v>
      </c>
      <c r="G372">
        <f>F372*'Real assumptions'!$B$3</f>
        <v>2.9758733000000002E-2</v>
      </c>
      <c r="H372">
        <f t="shared" si="258"/>
        <v>2.5143761098936901E-3</v>
      </c>
      <c r="I372">
        <f t="shared" si="259"/>
        <v>4.9381864745974416E-4</v>
      </c>
      <c r="J372">
        <f>IF(B372&gt;$AJ$2,0,HLOOKUP(C372,'Real assumptions'!$B$5:$L$8,4,TRUE))</f>
        <v>3.7900000000000003E-2</v>
      </c>
      <c r="K372">
        <f t="shared" si="228"/>
        <v>1</v>
      </c>
      <c r="L372">
        <f t="shared" si="260"/>
        <v>8.3333333333333329E-2</v>
      </c>
      <c r="M372">
        <f t="shared" si="261"/>
        <v>3.2145624959929453E-3</v>
      </c>
      <c r="N372">
        <f t="shared" si="262"/>
        <v>6.3155529283028607E-4</v>
      </c>
      <c r="O372" s="8">
        <f t="shared" si="242"/>
        <v>0.19558888401304439</v>
      </c>
      <c r="P372">
        <f t="shared" si="243"/>
        <v>4.721142190880026</v>
      </c>
      <c r="Q372">
        <f t="shared" si="263"/>
        <v>2.4690932372987207</v>
      </c>
      <c r="R372" s="89">
        <f t="shared" si="229"/>
        <v>5000</v>
      </c>
      <c r="S372">
        <f t="shared" si="230"/>
        <v>0.91666666666666785</v>
      </c>
      <c r="U372">
        <f>O371*AV371*'Real assumptions'!$B$33/12+AX372*'Real assumptions'!$B$34</f>
        <v>2.9209326479301194</v>
      </c>
      <c r="V372">
        <f>IF(P372=0,0,IF(E372&lt;=$C$7,$AN$5*O371,0))*'Real assumptions'!$D$28</f>
        <v>1.1802855477200065</v>
      </c>
      <c r="X372" s="94">
        <f t="shared" si="244"/>
        <v>0</v>
      </c>
      <c r="Y372">
        <f t="shared" si="231"/>
        <v>24</v>
      </c>
      <c r="Z372">
        <f t="shared" si="264"/>
        <v>69</v>
      </c>
      <c r="AA372">
        <f t="shared" si="232"/>
        <v>68.916666666666671</v>
      </c>
      <c r="AB372">
        <f t="shared" si="245"/>
        <v>50.505050505050505</v>
      </c>
      <c r="AC372">
        <f t="shared" si="265"/>
        <v>3480.6397306397307</v>
      </c>
      <c r="AD372">
        <f t="shared" si="246"/>
        <v>80.505050505050505</v>
      </c>
      <c r="AE372">
        <f t="shared" si="247"/>
        <v>277.40698653198655</v>
      </c>
      <c r="AF372" s="94">
        <f t="shared" si="248"/>
        <v>1241.9532828282827</v>
      </c>
      <c r="AG372">
        <f t="shared" si="266"/>
        <v>0.78436216921815116</v>
      </c>
      <c r="AH372">
        <f t="shared" si="249"/>
        <v>242.91225658472069</v>
      </c>
      <c r="AI372">
        <f>HLOOKUP(AW372,'Real assumptions'!$A$21:$AK$24,2,TRUE)</f>
        <v>2.8616999999999999</v>
      </c>
      <c r="AJ372" s="123">
        <f t="shared" si="267"/>
        <v>2.3540315199996886E-3</v>
      </c>
      <c r="AK372" s="122">
        <f>(1+HLOOKUP(YEAR(A372),'Real assumptions'!$A$21:$AK$24,2,TRUE)/100)^(1/12)-1</f>
        <v>2.3540315199996886E-3</v>
      </c>
      <c r="AL372">
        <f t="shared" si="268"/>
        <v>2.9209326479301194</v>
      </c>
      <c r="AM372">
        <f>('Real assumptions'!$B$33/12)*O371*AV371</f>
        <v>2.8525759053639135</v>
      </c>
      <c r="AN372">
        <f t="shared" si="250"/>
        <v>250.49971316085092</v>
      </c>
      <c r="AO372">
        <f t="shared" si="272"/>
        <v>0.58968422053152392</v>
      </c>
      <c r="AP372" s="121">
        <f t="shared" si="251"/>
        <v>0</v>
      </c>
      <c r="AQ372">
        <f t="shared" si="252"/>
        <v>0</v>
      </c>
      <c r="AR372">
        <v>0</v>
      </c>
      <c r="AS372">
        <f t="shared" si="233"/>
        <v>0</v>
      </c>
      <c r="AT372">
        <f t="shared" si="253"/>
        <v>0</v>
      </c>
      <c r="AU372">
        <f>IFERROR(HLOOKUP(B372,'Real assumptions'!$B$43:$AL$44,2,TRUE)*($W$3/$U$2),0)</f>
        <v>0</v>
      </c>
      <c r="AV372">
        <f>AV371*(1+'Real assumptions'!$B$35)^(1/12)</f>
        <v>1.4516133600071444</v>
      </c>
      <c r="AW372">
        <f t="shared" si="234"/>
        <v>2048</v>
      </c>
      <c r="AX372">
        <f t="shared" si="269"/>
        <v>249.52742557898409</v>
      </c>
      <c r="AY372">
        <f t="shared" si="270"/>
        <v>0.82792196108305727</v>
      </c>
      <c r="AZ372">
        <f t="shared" si="235"/>
        <v>576.75890493996053</v>
      </c>
      <c r="BA372">
        <f t="shared" si="254"/>
        <v>4.4337409542368782</v>
      </c>
      <c r="BB372">
        <f t="shared" si="255"/>
        <v>68.916666666666671</v>
      </c>
      <c r="BC372">
        <f t="shared" si="236"/>
        <v>41.35</v>
      </c>
      <c r="BD372">
        <f t="shared" si="256"/>
        <v>0</v>
      </c>
      <c r="BE372">
        <f t="shared" si="237"/>
        <v>24</v>
      </c>
      <c r="BF372">
        <f t="shared" si="271"/>
        <v>5000</v>
      </c>
      <c r="BU372"/>
      <c r="FD372"/>
      <c r="FE372"/>
    </row>
    <row r="373" spans="1:161" x14ac:dyDescent="0.25">
      <c r="A373" s="7">
        <f t="shared" si="257"/>
        <v>54454</v>
      </c>
      <c r="B373">
        <f t="shared" si="238"/>
        <v>362</v>
      </c>
      <c r="C373">
        <f t="shared" si="239"/>
        <v>30.083333333333332</v>
      </c>
      <c r="D373">
        <f t="shared" si="240"/>
        <v>0</v>
      </c>
      <c r="E373">
        <f t="shared" si="241"/>
        <v>82</v>
      </c>
      <c r="F373">
        <f>IF(C373&gt;=$T$2,0,VLOOKUP($E373,EKM_F05!$A$3:$C$128,2,TRUE))</f>
        <v>7.1312564102564105E-2</v>
      </c>
      <c r="G373">
        <f>F373*'Real assumptions'!$B$3</f>
        <v>2.9758733000000002E-2</v>
      </c>
      <c r="H373">
        <f t="shared" si="258"/>
        <v>2.5143761098936901E-3</v>
      </c>
      <c r="I373">
        <f t="shared" si="259"/>
        <v>4.9099358209405872E-4</v>
      </c>
      <c r="J373">
        <f>IF(B373&gt;$AJ$2,0,HLOOKUP(C373,'Real assumptions'!$B$5:$L$8,4,TRUE))</f>
        <v>3.7900000000000003E-2</v>
      </c>
      <c r="K373">
        <f t="shared" si="228"/>
        <v>1</v>
      </c>
      <c r="L373">
        <f t="shared" si="260"/>
        <v>8.3333333333333329E-2</v>
      </c>
      <c r="M373">
        <f t="shared" si="261"/>
        <v>3.2145624959929453E-3</v>
      </c>
      <c r="N373">
        <f t="shared" si="262"/>
        <v>6.2794225595233879E-4</v>
      </c>
      <c r="O373" s="8">
        <f t="shared" si="242"/>
        <v>0.19446994817499799</v>
      </c>
      <c r="P373">
        <f t="shared" si="243"/>
        <v>4.6941332163130651</v>
      </c>
      <c r="Q373">
        <f t="shared" si="263"/>
        <v>2.4549679104702937</v>
      </c>
      <c r="R373" s="89">
        <f t="shared" si="229"/>
        <v>5000</v>
      </c>
      <c r="S373">
        <f t="shared" si="230"/>
        <v>0.83333333333333215</v>
      </c>
      <c r="U373">
        <f>O372*AV372*'Real assumptions'!$B$33/12+AX373*'Real assumptions'!$B$34</f>
        <v>2.9056429464405982</v>
      </c>
      <c r="V373">
        <f>IF(P373=0,0,IF(E373&lt;=$C$7,$AN$5*O372,0))*'Real assumptions'!$D$28</f>
        <v>1.1735333040782663</v>
      </c>
      <c r="X373" s="94">
        <f t="shared" si="244"/>
        <v>0</v>
      </c>
      <c r="Y373">
        <f t="shared" si="231"/>
        <v>24</v>
      </c>
      <c r="Z373">
        <f t="shared" si="264"/>
        <v>68</v>
      </c>
      <c r="AA373">
        <f t="shared" si="232"/>
        <v>68.833333333333329</v>
      </c>
      <c r="AB373">
        <f t="shared" si="245"/>
        <v>50.505050505050505</v>
      </c>
      <c r="AC373">
        <f t="shared" si="265"/>
        <v>3476.430976430976</v>
      </c>
      <c r="AD373">
        <f t="shared" si="246"/>
        <v>80.505050505050505</v>
      </c>
      <c r="AE373">
        <f t="shared" si="247"/>
        <v>277.07154882154879</v>
      </c>
      <c r="AF373" s="94">
        <f t="shared" si="248"/>
        <v>1246.4974747474753</v>
      </c>
      <c r="AG373">
        <f t="shared" si="266"/>
        <v>0.7827284363318231</v>
      </c>
      <c r="AH373">
        <f t="shared" si="249"/>
        <v>242.40629931440739</v>
      </c>
      <c r="AI373">
        <f>HLOOKUP(AW373,'Real assumptions'!$A$21:$AK$24,2,TRUE)</f>
        <v>2.8616000000000001</v>
      </c>
      <c r="AJ373" s="123">
        <f t="shared" si="267"/>
        <v>2.353950314322617E-3</v>
      </c>
      <c r="AK373" s="122">
        <f>(1+HLOOKUP(YEAR(A373),'Real assumptions'!$A$21:$AK$24,2,TRUE)/100)^(1/12)-1</f>
        <v>2.353950314322617E-3</v>
      </c>
      <c r="AL373">
        <f t="shared" si="268"/>
        <v>2.9056429464405982</v>
      </c>
      <c r="AM373">
        <f>('Real assumptions'!$B$33/12)*O372*AV372</f>
        <v>2.8391943710222303</v>
      </c>
      <c r="AN373">
        <f t="shared" si="250"/>
        <v>243.52721355051492</v>
      </c>
      <c r="AO373">
        <f t="shared" si="272"/>
        <v>0.57325096088334571</v>
      </c>
      <c r="AP373" s="121">
        <f t="shared" si="251"/>
        <v>0.57325096088334571</v>
      </c>
      <c r="AQ373">
        <f t="shared" si="252"/>
        <v>0</v>
      </c>
      <c r="AR373">
        <v>0</v>
      </c>
      <c r="AS373">
        <f t="shared" si="233"/>
        <v>0</v>
      </c>
      <c r="AT373">
        <f t="shared" si="253"/>
        <v>0</v>
      </c>
      <c r="AU373">
        <f>IFERROR(HLOOKUP(B373,'Real assumptions'!$B$43:$AL$44,2,TRUE)*($W$3/$U$2),0)</f>
        <v>0</v>
      </c>
      <c r="AV373">
        <f>AV372*(1+'Real assumptions'!$B$35)^(1/12)</f>
        <v>1.4531168627596547</v>
      </c>
      <c r="AW373">
        <f t="shared" si="234"/>
        <v>2049</v>
      </c>
      <c r="AX373">
        <f t="shared" si="269"/>
        <v>242.56190881941788</v>
      </c>
      <c r="AY373">
        <f t="shared" si="270"/>
        <v>0.82318553877543932</v>
      </c>
      <c r="AZ373">
        <f t="shared" si="235"/>
        <v>575.49382736452435</v>
      </c>
      <c r="BA373">
        <f t="shared" si="254"/>
        <v>4.411229650880383</v>
      </c>
      <c r="BB373">
        <f t="shared" si="255"/>
        <v>68.833333333333329</v>
      </c>
      <c r="BC373">
        <f t="shared" si="236"/>
        <v>41.3</v>
      </c>
      <c r="BD373">
        <f t="shared" si="256"/>
        <v>0</v>
      </c>
      <c r="BE373">
        <f t="shared" si="237"/>
        <v>24</v>
      </c>
      <c r="BF373">
        <f t="shared" si="271"/>
        <v>5000</v>
      </c>
      <c r="BU373"/>
      <c r="FD373"/>
      <c r="FE373"/>
    </row>
    <row r="374" spans="1:161" x14ac:dyDescent="0.25">
      <c r="A374" s="7">
        <f t="shared" si="257"/>
        <v>54482</v>
      </c>
      <c r="B374">
        <f t="shared" si="238"/>
        <v>363</v>
      </c>
      <c r="C374">
        <f t="shared" si="239"/>
        <v>30.166666666666668</v>
      </c>
      <c r="D374">
        <f t="shared" si="240"/>
        <v>0</v>
      </c>
      <c r="E374">
        <f t="shared" si="241"/>
        <v>82</v>
      </c>
      <c r="F374">
        <f>IF(C374&gt;=$T$2,0,VLOOKUP($E374,EKM_F05!$A$3:$C$128,2,TRUE))</f>
        <v>7.1312564102564105E-2</v>
      </c>
      <c r="G374">
        <f>F374*'Real assumptions'!$B$3</f>
        <v>2.9758733000000002E-2</v>
      </c>
      <c r="H374">
        <f t="shared" si="258"/>
        <v>2.5143761098936901E-3</v>
      </c>
      <c r="I374">
        <f t="shared" si="259"/>
        <v>4.8818467852048368E-4</v>
      </c>
      <c r="J374">
        <f>IF(B374&gt;$AJ$2,0,HLOOKUP(C374,'Real assumptions'!$B$5:$L$8,4,TRUE))</f>
        <v>3.7900000000000003E-2</v>
      </c>
      <c r="K374">
        <f t="shared" si="228"/>
        <v>1</v>
      </c>
      <c r="L374">
        <f t="shared" si="260"/>
        <v>8.3333333333333329E-2</v>
      </c>
      <c r="M374">
        <f t="shared" si="261"/>
        <v>3.2145624959929453E-3</v>
      </c>
      <c r="N374">
        <f t="shared" si="262"/>
        <v>6.2434988873804503E-4</v>
      </c>
      <c r="O374" s="8">
        <f t="shared" si="242"/>
        <v>0.19335741360773945</v>
      </c>
      <c r="P374">
        <f t="shared" si="243"/>
        <v>4.667278756199952</v>
      </c>
      <c r="Q374">
        <f t="shared" si="263"/>
        <v>2.4409233926024183</v>
      </c>
      <c r="R374" s="89">
        <f t="shared" si="229"/>
        <v>5000</v>
      </c>
      <c r="S374">
        <f t="shared" si="230"/>
        <v>0.75</v>
      </c>
      <c r="U374">
        <f>O373*AV373*'Real assumptions'!$B$33/12+AX374*'Real assumptions'!$B$34</f>
        <v>2.8923431691709292</v>
      </c>
      <c r="V374">
        <f>IF(P374=0,0,IF(E374&lt;=$C$7,$AN$5*O373,0))*'Real assumptions'!$D$28</f>
        <v>1.166819689049988</v>
      </c>
      <c r="X374" s="94">
        <f t="shared" si="244"/>
        <v>0</v>
      </c>
      <c r="Y374">
        <f t="shared" si="231"/>
        <v>24</v>
      </c>
      <c r="Z374">
        <f t="shared" si="264"/>
        <v>68</v>
      </c>
      <c r="AA374">
        <f t="shared" si="232"/>
        <v>68.75</v>
      </c>
      <c r="AB374">
        <f t="shared" si="245"/>
        <v>50.505050505050505</v>
      </c>
      <c r="AC374">
        <f t="shared" si="265"/>
        <v>3472.2222222222222</v>
      </c>
      <c r="AD374">
        <f t="shared" si="246"/>
        <v>80.505050505050505</v>
      </c>
      <c r="AE374">
        <f t="shared" si="247"/>
        <v>276.73611111111109</v>
      </c>
      <c r="AF374" s="94">
        <f t="shared" si="248"/>
        <v>1251.0416666666667</v>
      </c>
      <c r="AG374">
        <f t="shared" si="266"/>
        <v>0.78108772538999183</v>
      </c>
      <c r="AH374">
        <f t="shared" si="249"/>
        <v>241.8981809821824</v>
      </c>
      <c r="AI374">
        <f>HLOOKUP(AW374,'Real assumptions'!$A$21:$AK$24,2,TRUE)</f>
        <v>2.8616000000000001</v>
      </c>
      <c r="AJ374" s="123">
        <f t="shared" si="267"/>
        <v>2.353950314322617E-3</v>
      </c>
      <c r="AK374" s="122">
        <f>(1+HLOOKUP(YEAR(A374),'Real assumptions'!$A$21:$AK$24,2,TRUE)/100)^(1/12)-1</f>
        <v>2.353950314322617E-3</v>
      </c>
      <c r="AL374">
        <f t="shared" si="268"/>
        <v>2.8923431691709292</v>
      </c>
      <c r="AM374">
        <f>('Real assumptions'!$B$33/12)*O373*AV373</f>
        <v>2.8258756099308573</v>
      </c>
      <c r="AN374">
        <f t="shared" si="250"/>
        <v>243.58766617326975</v>
      </c>
      <c r="AO374">
        <f t="shared" si="272"/>
        <v>0.57339326335368102</v>
      </c>
      <c r="AP374" s="121">
        <f t="shared" si="251"/>
        <v>1.1466442242370267</v>
      </c>
      <c r="AQ374">
        <f t="shared" si="252"/>
        <v>0</v>
      </c>
      <c r="AR374">
        <v>0</v>
      </c>
      <c r="AS374">
        <f t="shared" si="233"/>
        <v>0</v>
      </c>
      <c r="AT374">
        <f t="shared" si="253"/>
        <v>0</v>
      </c>
      <c r="AU374">
        <f>IFERROR(HLOOKUP(B374,'Real assumptions'!$B$43:$AL$44,2,TRUE)*($W$3/$U$2),0)</f>
        <v>0</v>
      </c>
      <c r="AV374">
        <f>AV373*(1+'Real assumptions'!$B$35)^(1/12)</f>
        <v>1.454621922759149</v>
      </c>
      <c r="AW374">
        <f t="shared" si="234"/>
        <v>2049</v>
      </c>
      <c r="AX374">
        <f t="shared" si="269"/>
        <v>242.63120679909849</v>
      </c>
      <c r="AY374">
        <f t="shared" si="270"/>
        <v>0.81847621285773564</v>
      </c>
      <c r="AZ374">
        <f t="shared" si="235"/>
        <v>574.23461602032648</v>
      </c>
      <c r="BA374">
        <f t="shared" si="254"/>
        <v>4.3888308070423978</v>
      </c>
      <c r="BB374">
        <f t="shared" si="255"/>
        <v>68.75</v>
      </c>
      <c r="BC374">
        <f t="shared" si="236"/>
        <v>41.25</v>
      </c>
      <c r="BD374">
        <f t="shared" si="256"/>
        <v>0</v>
      </c>
      <c r="BE374">
        <f t="shared" si="237"/>
        <v>24</v>
      </c>
      <c r="BF374">
        <f t="shared" si="271"/>
        <v>5000</v>
      </c>
      <c r="BU374"/>
      <c r="FD374"/>
      <c r="FE374"/>
    </row>
    <row r="375" spans="1:161" x14ac:dyDescent="0.25">
      <c r="A375" s="7">
        <f t="shared" si="257"/>
        <v>54513</v>
      </c>
      <c r="B375">
        <f t="shared" si="238"/>
        <v>364</v>
      </c>
      <c r="C375">
        <f t="shared" si="239"/>
        <v>30.25</v>
      </c>
      <c r="D375">
        <f t="shared" si="240"/>
        <v>0</v>
      </c>
      <c r="E375">
        <f t="shared" si="241"/>
        <v>82</v>
      </c>
      <c r="F375">
        <f>IF(C375&gt;=$T$2,0,VLOOKUP($E375,EKM_F05!$A$3:$C$128,2,TRUE))</f>
        <v>7.1312564102564105E-2</v>
      </c>
      <c r="G375">
        <f>F375*'Real assumptions'!$B$3</f>
        <v>2.9758733000000002E-2</v>
      </c>
      <c r="H375">
        <f t="shared" si="258"/>
        <v>2.5143761098936901E-3</v>
      </c>
      <c r="I375">
        <f t="shared" si="259"/>
        <v>4.8539184427973347E-4</v>
      </c>
      <c r="J375">
        <f>IF(B375&gt;$AJ$2,0,HLOOKUP(C375,'Real assumptions'!$B$5:$L$8,4,TRUE))</f>
        <v>3.7900000000000003E-2</v>
      </c>
      <c r="K375">
        <f t="shared" si="228"/>
        <v>1</v>
      </c>
      <c r="L375">
        <f t="shared" si="260"/>
        <v>8.3333333333333329E-2</v>
      </c>
      <c r="M375">
        <f t="shared" si="261"/>
        <v>3.2145624959929453E-3</v>
      </c>
      <c r="N375">
        <f t="shared" si="262"/>
        <v>6.2077807293923549E-4</v>
      </c>
      <c r="O375" s="8">
        <f t="shared" si="242"/>
        <v>0.19225124369052049</v>
      </c>
      <c r="P375">
        <f t="shared" si="243"/>
        <v>4.6405779265857472</v>
      </c>
      <c r="Q375">
        <f t="shared" si="263"/>
        <v>2.4269592213986675</v>
      </c>
      <c r="R375" s="89">
        <f t="shared" si="229"/>
        <v>5000</v>
      </c>
      <c r="S375">
        <f t="shared" si="230"/>
        <v>0.66666666666666785</v>
      </c>
      <c r="U375">
        <f>O374*AV374*'Real assumptions'!$B$33/12+AX375*'Real assumptions'!$B$34</f>
        <v>2.8791053145102494</v>
      </c>
      <c r="V375">
        <f>IF(P375=0,0,IF(E375&lt;=$C$7,$AN$5*O374,0))*'Real assumptions'!$D$28</f>
        <v>1.1601444816464368</v>
      </c>
      <c r="X375" s="94">
        <f t="shared" si="244"/>
        <v>0</v>
      </c>
      <c r="Y375">
        <f t="shared" si="231"/>
        <v>24</v>
      </c>
      <c r="Z375">
        <f t="shared" si="264"/>
        <v>68</v>
      </c>
      <c r="AA375">
        <f t="shared" si="232"/>
        <v>68.666666666666671</v>
      </c>
      <c r="AB375">
        <f t="shared" si="245"/>
        <v>50.505050505050505</v>
      </c>
      <c r="AC375">
        <f t="shared" si="265"/>
        <v>3468.0134680134684</v>
      </c>
      <c r="AD375">
        <f t="shared" si="246"/>
        <v>80.505050505050505</v>
      </c>
      <c r="AE375">
        <f t="shared" si="247"/>
        <v>276.40067340067338</v>
      </c>
      <c r="AF375" s="94">
        <f t="shared" si="248"/>
        <v>1255.5858585858582</v>
      </c>
      <c r="AG375">
        <f t="shared" si="266"/>
        <v>0.77944016970268448</v>
      </c>
      <c r="AH375">
        <f t="shared" si="249"/>
        <v>241.38794287336123</v>
      </c>
      <c r="AI375">
        <f>HLOOKUP(AW375,'Real assumptions'!$A$21:$AK$24,2,TRUE)</f>
        <v>2.8616000000000001</v>
      </c>
      <c r="AJ375" s="123">
        <f t="shared" si="267"/>
        <v>2.353950314322617E-3</v>
      </c>
      <c r="AK375" s="122">
        <f>(1+HLOOKUP(YEAR(A375),'Real assumptions'!$A$21:$AK$24,2,TRUE)/100)^(1/12)-1</f>
        <v>2.353950314322617E-3</v>
      </c>
      <c r="AL375">
        <f t="shared" si="268"/>
        <v>2.8791053145102494</v>
      </c>
      <c r="AM375">
        <f>('Real assumptions'!$B$33/12)*O374*AV374</f>
        <v>2.8126193276182598</v>
      </c>
      <c r="AN375">
        <f t="shared" si="250"/>
        <v>243.6461533368485</v>
      </c>
      <c r="AO375">
        <f t="shared" si="272"/>
        <v>0.57353093923077103</v>
      </c>
      <c r="AP375" s="121">
        <f t="shared" si="251"/>
        <v>1.7201751634677978</v>
      </c>
      <c r="AQ375">
        <f t="shared" si="252"/>
        <v>0</v>
      </c>
      <c r="AR375">
        <v>0</v>
      </c>
      <c r="AS375">
        <f t="shared" si="233"/>
        <v>0</v>
      </c>
      <c r="AT375">
        <f t="shared" si="253"/>
        <v>0</v>
      </c>
      <c r="AU375">
        <f>IFERROR(HLOOKUP(B375,'Real assumptions'!$B$43:$AL$44,2,TRUE)*($W$3/$U$2),0)</f>
        <v>0</v>
      </c>
      <c r="AV375">
        <f>AV374*(1+'Real assumptions'!$B$35)^(1/12)</f>
        <v>1.4561285416185397</v>
      </c>
      <c r="AW375">
        <f t="shared" si="234"/>
        <v>2049</v>
      </c>
      <c r="AX375">
        <f t="shared" si="269"/>
        <v>242.6984745530884</v>
      </c>
      <c r="AY375">
        <f t="shared" si="270"/>
        <v>0.8137938283154017</v>
      </c>
      <c r="AZ375">
        <f t="shared" si="235"/>
        <v>572.98126451453004</v>
      </c>
      <c r="BA375">
        <f t="shared" si="254"/>
        <v>4.3665438727477888</v>
      </c>
      <c r="BB375">
        <f t="shared" si="255"/>
        <v>68.666666666666671</v>
      </c>
      <c r="BC375">
        <f t="shared" si="236"/>
        <v>41.2</v>
      </c>
      <c r="BD375">
        <f t="shared" si="256"/>
        <v>0</v>
      </c>
      <c r="BE375">
        <f t="shared" si="237"/>
        <v>24</v>
      </c>
      <c r="BF375">
        <f t="shared" si="271"/>
        <v>5000</v>
      </c>
      <c r="BU375"/>
      <c r="FD375"/>
      <c r="FE375"/>
    </row>
    <row r="376" spans="1:161" x14ac:dyDescent="0.25">
      <c r="A376" s="7">
        <f t="shared" si="257"/>
        <v>54543</v>
      </c>
      <c r="B376">
        <f t="shared" si="238"/>
        <v>365</v>
      </c>
      <c r="C376">
        <f t="shared" si="239"/>
        <v>30.333333333333332</v>
      </c>
      <c r="D376">
        <f t="shared" si="240"/>
        <v>0</v>
      </c>
      <c r="E376">
        <f t="shared" si="241"/>
        <v>82</v>
      </c>
      <c r="F376">
        <f>IF(C376&gt;=$T$2,0,VLOOKUP($E376,EKM_F05!$A$3:$C$128,2,TRUE))</f>
        <v>7.1312564102564105E-2</v>
      </c>
      <c r="G376">
        <f>F376*'Real assumptions'!$B$3</f>
        <v>2.9758733000000002E-2</v>
      </c>
      <c r="H376">
        <f t="shared" si="258"/>
        <v>2.5143761098936901E-3</v>
      </c>
      <c r="I376">
        <f t="shared" si="259"/>
        <v>4.8261498744146965E-4</v>
      </c>
      <c r="J376">
        <f>IF(B376&gt;$AJ$2,0,HLOOKUP(C376,'Real assumptions'!$B$5:$L$8,4,TRUE))</f>
        <v>3.7900000000000003E-2</v>
      </c>
      <c r="K376">
        <f t="shared" si="228"/>
        <v>1</v>
      </c>
      <c r="L376">
        <f t="shared" si="260"/>
        <v>8.3333333333333329E-2</v>
      </c>
      <c r="M376">
        <f t="shared" si="261"/>
        <v>3.2145624959929453E-3</v>
      </c>
      <c r="N376">
        <f t="shared" si="262"/>
        <v>6.1722669098422244E-4</v>
      </c>
      <c r="O376" s="8">
        <f t="shared" si="242"/>
        <v>0.1911514020120948</v>
      </c>
      <c r="P376">
        <f t="shared" si="243"/>
        <v>4.6140298485724918</v>
      </c>
      <c r="Q376">
        <f t="shared" si="263"/>
        <v>2.4130749372073481</v>
      </c>
      <c r="R376" s="89">
        <f t="shared" si="229"/>
        <v>5000</v>
      </c>
      <c r="S376">
        <f t="shared" si="230"/>
        <v>0.58333333333333215</v>
      </c>
      <c r="U376">
        <f>O375*AV375*'Real assumptions'!$B$33/12+AX376*'Real assumptions'!$B$34</f>
        <v>2.8659290994288384</v>
      </c>
      <c r="V376">
        <f>IF(P376=0,0,IF(E376&lt;=$C$7,$AN$5*O375,0))*'Real assumptions'!$D$28</f>
        <v>1.1535074621431229</v>
      </c>
      <c r="X376" s="94">
        <f t="shared" si="244"/>
        <v>0</v>
      </c>
      <c r="Y376">
        <f t="shared" si="231"/>
        <v>24</v>
      </c>
      <c r="Z376">
        <f t="shared" si="264"/>
        <v>68</v>
      </c>
      <c r="AA376">
        <f t="shared" si="232"/>
        <v>68.583333333333329</v>
      </c>
      <c r="AB376">
        <f t="shared" si="245"/>
        <v>50.505050505050505</v>
      </c>
      <c r="AC376">
        <f t="shared" si="265"/>
        <v>3463.8047138047136</v>
      </c>
      <c r="AD376">
        <f t="shared" si="246"/>
        <v>80.505050505050505</v>
      </c>
      <c r="AE376">
        <f t="shared" si="247"/>
        <v>276.06523569023568</v>
      </c>
      <c r="AF376" s="94">
        <f t="shared" si="248"/>
        <v>1260.1300505050508</v>
      </c>
      <c r="AG376">
        <f t="shared" si="266"/>
        <v>0.77778590128301361</v>
      </c>
      <c r="AH376">
        <f t="shared" si="249"/>
        <v>240.87562587161227</v>
      </c>
      <c r="AI376">
        <f>HLOOKUP(AW376,'Real assumptions'!$A$21:$AK$24,2,TRUE)</f>
        <v>2.8616000000000001</v>
      </c>
      <c r="AJ376" s="123">
        <f t="shared" si="267"/>
        <v>2.353950314322617E-3</v>
      </c>
      <c r="AK376" s="122">
        <f>(1+HLOOKUP(YEAR(A376),'Real assumptions'!$A$21:$AK$24,2,TRUE)/100)^(1/12)-1</f>
        <v>2.353950314322617E-3</v>
      </c>
      <c r="AL376">
        <f t="shared" si="268"/>
        <v>2.8659290994288384</v>
      </c>
      <c r="AM376">
        <f>('Real assumptions'!$B$33/12)*O375*AV375</f>
        <v>2.7994252309942809</v>
      </c>
      <c r="AN376">
        <f t="shared" si="250"/>
        <v>243.70271132382956</v>
      </c>
      <c r="AO376">
        <f t="shared" si="272"/>
        <v>0.57366407392200258</v>
      </c>
      <c r="AP376" s="121">
        <f t="shared" si="251"/>
        <v>2.2938392373898004</v>
      </c>
      <c r="AQ376">
        <f t="shared" si="252"/>
        <v>0</v>
      </c>
      <c r="AR376">
        <v>0</v>
      </c>
      <c r="AS376">
        <f t="shared" si="233"/>
        <v>0</v>
      </c>
      <c r="AT376">
        <f t="shared" si="253"/>
        <v>0</v>
      </c>
      <c r="AU376">
        <f>IFERROR(HLOOKUP(B376,'Real assumptions'!$B$43:$AL$44,2,TRUE)*($W$3/$U$2),0)</f>
        <v>0</v>
      </c>
      <c r="AV376">
        <f>AV375*(1+'Real assumptions'!$B$35)^(1/12)</f>
        <v>1.4576367209524097</v>
      </c>
      <c r="AW376">
        <f t="shared" si="234"/>
        <v>2049</v>
      </c>
      <c r="AX376">
        <f t="shared" si="269"/>
        <v>242.7637488057066</v>
      </c>
      <c r="AY376">
        <f t="shared" si="270"/>
        <v>0.80913823102070903</v>
      </c>
      <c r="AZ376">
        <f t="shared" si="235"/>
        <v>571.73376639074513</v>
      </c>
      <c r="BA376">
        <f t="shared" si="254"/>
        <v>4.3443683006334846</v>
      </c>
      <c r="BB376">
        <f t="shared" si="255"/>
        <v>68.583333333333329</v>
      </c>
      <c r="BC376">
        <f t="shared" si="236"/>
        <v>41.149999999999991</v>
      </c>
      <c r="BD376">
        <f t="shared" si="256"/>
        <v>0</v>
      </c>
      <c r="BE376">
        <f t="shared" si="237"/>
        <v>24</v>
      </c>
      <c r="BF376">
        <f t="shared" si="271"/>
        <v>5000</v>
      </c>
      <c r="BU376"/>
      <c r="FD376"/>
      <c r="FE376"/>
    </row>
    <row r="377" spans="1:161" x14ac:dyDescent="0.25">
      <c r="A377" s="7">
        <f t="shared" si="257"/>
        <v>54574</v>
      </c>
      <c r="B377">
        <f t="shared" si="238"/>
        <v>366</v>
      </c>
      <c r="C377">
        <f t="shared" si="239"/>
        <v>30.416666666666668</v>
      </c>
      <c r="D377">
        <f t="shared" si="240"/>
        <v>0</v>
      </c>
      <c r="E377">
        <f t="shared" si="241"/>
        <v>82</v>
      </c>
      <c r="F377">
        <f>IF(C377&gt;=$T$2,0,VLOOKUP($E377,EKM_F05!$A$3:$C$128,2,TRUE))</f>
        <v>7.1312564102564105E-2</v>
      </c>
      <c r="G377">
        <f>F377*'Real assumptions'!$B$3</f>
        <v>2.9758733000000002E-2</v>
      </c>
      <c r="H377">
        <f t="shared" si="258"/>
        <v>2.5143761098936901E-3</v>
      </c>
      <c r="I377">
        <f t="shared" si="259"/>
        <v>4.7985401660127319E-4</v>
      </c>
      <c r="J377">
        <f>IF(B377&gt;$AJ$2,0,HLOOKUP(C377,'Real assumptions'!$B$5:$L$8,4,TRUE))</f>
        <v>3.7900000000000003E-2</v>
      </c>
      <c r="K377">
        <f t="shared" si="228"/>
        <v>1</v>
      </c>
      <c r="L377">
        <f t="shared" si="260"/>
        <v>8.3333333333333329E-2</v>
      </c>
      <c r="M377">
        <f t="shared" si="261"/>
        <v>3.2145624959929453E-3</v>
      </c>
      <c r="N377">
        <f t="shared" si="262"/>
        <v>6.1369562597392779E-4</v>
      </c>
      <c r="O377" s="8">
        <f t="shared" si="242"/>
        <v>0.19005785236951958</v>
      </c>
      <c r="P377">
        <f t="shared" si="243"/>
        <v>4.5876336482902751</v>
      </c>
      <c r="Q377">
        <f t="shared" si="263"/>
        <v>2.3992700830063658</v>
      </c>
      <c r="R377" s="89">
        <f t="shared" si="229"/>
        <v>5000</v>
      </c>
      <c r="S377">
        <f t="shared" si="230"/>
        <v>0.5</v>
      </c>
      <c r="U377">
        <f>O376*AV376*'Real assumptions'!$B$33/12+AX377*'Real assumptions'!$B$34</f>
        <v>2.8528142421851346</v>
      </c>
      <c r="V377">
        <f>IF(P377=0,0,IF(E377&lt;=$C$7,$AN$5*O376,0))*'Real assumptions'!$D$28</f>
        <v>1.1469084120725688</v>
      </c>
      <c r="X377" s="94">
        <f t="shared" si="244"/>
        <v>0</v>
      </c>
      <c r="Y377">
        <f t="shared" si="231"/>
        <v>24</v>
      </c>
      <c r="Z377">
        <f t="shared" si="264"/>
        <v>68</v>
      </c>
      <c r="AA377">
        <f t="shared" si="232"/>
        <v>68.5</v>
      </c>
      <c r="AB377">
        <f t="shared" si="245"/>
        <v>50.505050505050505</v>
      </c>
      <c r="AC377">
        <f t="shared" si="265"/>
        <v>3459.5959595959598</v>
      </c>
      <c r="AD377">
        <f t="shared" si="246"/>
        <v>80.505050505050505</v>
      </c>
      <c r="AE377">
        <f t="shared" si="247"/>
        <v>275.72979797979798</v>
      </c>
      <c r="AF377" s="94">
        <f t="shared" si="248"/>
        <v>1264.6742424242423</v>
      </c>
      <c r="AG377">
        <f t="shared" si="266"/>
        <v>0.77612505085764827</v>
      </c>
      <c r="AH377">
        <f t="shared" si="249"/>
        <v>240.36127046220065</v>
      </c>
      <c r="AI377">
        <f>HLOOKUP(AW377,'Real assumptions'!$A$21:$AK$24,2,TRUE)</f>
        <v>2.8616000000000001</v>
      </c>
      <c r="AJ377" s="123">
        <f t="shared" si="267"/>
        <v>2.353950314322617E-3</v>
      </c>
      <c r="AK377" s="122">
        <f>(1+HLOOKUP(YEAR(A377),'Real assumptions'!$A$21:$AK$24,2,TRUE)/100)^(1/12)-1</f>
        <v>2.353950314322617E-3</v>
      </c>
      <c r="AL377">
        <f t="shared" si="268"/>
        <v>2.8528142421851346</v>
      </c>
      <c r="AM377">
        <f>('Real assumptions'!$B$33/12)*O376*AV376</f>
        <v>2.7862930283436569</v>
      </c>
      <c r="AN377">
        <f t="shared" si="250"/>
        <v>243.75737610303463</v>
      </c>
      <c r="AO377">
        <f t="shared" si="272"/>
        <v>0.57379275209619474</v>
      </c>
      <c r="AP377" s="121">
        <f t="shared" si="251"/>
        <v>2.8676319894859952</v>
      </c>
      <c r="AQ377">
        <f t="shared" si="252"/>
        <v>0</v>
      </c>
      <c r="AR377">
        <v>0</v>
      </c>
      <c r="AS377">
        <f t="shared" si="233"/>
        <v>0</v>
      </c>
      <c r="AT377">
        <f t="shared" si="253"/>
        <v>0</v>
      </c>
      <c r="AU377">
        <f>IFERROR(HLOOKUP(B377,'Real assumptions'!$B$43:$AL$44,2,TRUE)*($W$3/$U$2),0)</f>
        <v>0</v>
      </c>
      <c r="AV377">
        <f>AV376*(1+'Real assumptions'!$B$35)^(1/12)</f>
        <v>1.4591464623770141</v>
      </c>
      <c r="AW377">
        <f t="shared" si="234"/>
        <v>2049</v>
      </c>
      <c r="AX377">
        <f t="shared" si="269"/>
        <v>242.82706596465715</v>
      </c>
      <c r="AY377">
        <f t="shared" si="270"/>
        <v>0.80450926772767162</v>
      </c>
      <c r="AZ377">
        <f t="shared" si="235"/>
        <v>570.49211513001808</v>
      </c>
      <c r="BA377">
        <f t="shared" si="254"/>
        <v>4.3223035459365828</v>
      </c>
      <c r="BB377">
        <f t="shared" si="255"/>
        <v>68.5</v>
      </c>
      <c r="BC377">
        <f t="shared" si="236"/>
        <v>41.099999999999994</v>
      </c>
      <c r="BD377">
        <f t="shared" si="256"/>
        <v>0</v>
      </c>
      <c r="BE377">
        <f t="shared" si="237"/>
        <v>24</v>
      </c>
      <c r="BF377">
        <f t="shared" si="271"/>
        <v>5000</v>
      </c>
      <c r="BU377"/>
      <c r="FD377"/>
      <c r="FE377"/>
    </row>
    <row r="378" spans="1:161" x14ac:dyDescent="0.25">
      <c r="A378" s="7">
        <f t="shared" si="257"/>
        <v>54604</v>
      </c>
      <c r="B378">
        <f t="shared" si="238"/>
        <v>367</v>
      </c>
      <c r="C378">
        <f t="shared" si="239"/>
        <v>30.5</v>
      </c>
      <c r="D378">
        <f t="shared" si="240"/>
        <v>0</v>
      </c>
      <c r="E378">
        <f t="shared" si="241"/>
        <v>82</v>
      </c>
      <c r="F378">
        <f>IF(C378&gt;=$T$2,0,VLOOKUP($E378,EKM_F05!$A$3:$C$128,2,TRUE))</f>
        <v>7.1312564102564105E-2</v>
      </c>
      <c r="G378">
        <f>F378*'Real assumptions'!$B$3</f>
        <v>2.9758733000000002E-2</v>
      </c>
      <c r="H378">
        <f t="shared" si="258"/>
        <v>2.5143761098936901E-3</v>
      </c>
      <c r="I378">
        <f t="shared" si="259"/>
        <v>4.7710884087763712E-4</v>
      </c>
      <c r="J378">
        <f>IF(B378&gt;$AJ$2,0,HLOOKUP(C378,'Real assumptions'!$B$5:$L$8,4,TRUE))</f>
        <v>3.7900000000000003E-2</v>
      </c>
      <c r="K378">
        <f t="shared" si="228"/>
        <v>1</v>
      </c>
      <c r="L378">
        <f t="shared" si="260"/>
        <v>8.3333333333333329E-2</v>
      </c>
      <c r="M378">
        <f t="shared" si="261"/>
        <v>3.2145624959929453E-3</v>
      </c>
      <c r="N378">
        <f t="shared" si="262"/>
        <v>6.1018476167803678E-4</v>
      </c>
      <c r="O378" s="8">
        <f t="shared" si="242"/>
        <v>0.18897055876696389</v>
      </c>
      <c r="P378">
        <f t="shared" si="243"/>
        <v>4.5613884568684702</v>
      </c>
      <c r="Q378">
        <f t="shared" si="263"/>
        <v>2.3855442043881858</v>
      </c>
      <c r="R378" s="89">
        <f t="shared" si="229"/>
        <v>5000</v>
      </c>
      <c r="S378">
        <f t="shared" si="230"/>
        <v>0.41666666666666785</v>
      </c>
      <c r="U378">
        <f>O377*AV377*'Real assumptions'!$B$33/12+AX378*'Real assumptions'!$B$34</f>
        <v>2.8397604623199761</v>
      </c>
      <c r="V378">
        <f>IF(P378=0,0,IF(E378&lt;=$C$7,$AN$5*O377,0))*'Real assumptions'!$D$28</f>
        <v>1.1403471142171175</v>
      </c>
      <c r="X378" s="94">
        <f t="shared" si="244"/>
        <v>0</v>
      </c>
      <c r="Y378">
        <f t="shared" si="231"/>
        <v>24</v>
      </c>
      <c r="Z378">
        <f t="shared" si="264"/>
        <v>68</v>
      </c>
      <c r="AA378">
        <f t="shared" si="232"/>
        <v>68.416666666666671</v>
      </c>
      <c r="AB378">
        <f t="shared" si="245"/>
        <v>50.505050505050505</v>
      </c>
      <c r="AC378">
        <f t="shared" si="265"/>
        <v>3455.3872053872055</v>
      </c>
      <c r="AD378">
        <f t="shared" si="246"/>
        <v>80.505050505050505</v>
      </c>
      <c r="AE378">
        <f t="shared" si="247"/>
        <v>275.39436026936028</v>
      </c>
      <c r="AF378" s="94">
        <f t="shared" si="248"/>
        <v>1269.2184343434342</v>
      </c>
      <c r="AG378">
        <f t="shared" si="266"/>
        <v>0.77445774787721933</v>
      </c>
      <c r="AH378">
        <f t="shared" si="249"/>
        <v>239.84491673520984</v>
      </c>
      <c r="AI378">
        <f>HLOOKUP(AW378,'Real assumptions'!$A$21:$AK$24,2,TRUE)</f>
        <v>2.8616000000000001</v>
      </c>
      <c r="AJ378" s="123">
        <f t="shared" si="267"/>
        <v>2.353950314322617E-3</v>
      </c>
      <c r="AK378" s="122">
        <f>(1+HLOOKUP(YEAR(A378),'Real assumptions'!$A$21:$AK$24,2,TRUE)/100)^(1/12)-1</f>
        <v>2.353950314322617E-3</v>
      </c>
      <c r="AL378">
        <f t="shared" si="268"/>
        <v>2.8397604623199761</v>
      </c>
      <c r="AM378">
        <f>('Real assumptions'!$B$33/12)*O377*AV377</f>
        <v>2.7732224293195729</v>
      </c>
      <c r="AN378">
        <f t="shared" si="250"/>
        <v>243.810183332018</v>
      </c>
      <c r="AO378">
        <f t="shared" si="272"/>
        <v>0.57391705768945867</v>
      </c>
      <c r="AP378" s="121">
        <f t="shared" si="251"/>
        <v>3.441549047175454</v>
      </c>
      <c r="AQ378">
        <f t="shared" si="252"/>
        <v>0</v>
      </c>
      <c r="AR378">
        <v>0</v>
      </c>
      <c r="AS378">
        <f t="shared" si="233"/>
        <v>0</v>
      </c>
      <c r="AT378">
        <f t="shared" si="253"/>
        <v>0</v>
      </c>
      <c r="AU378">
        <f>IFERROR(HLOOKUP(B378,'Real assumptions'!$B$43:$AL$44,2,TRUE)*($W$3/$U$2),0)</f>
        <v>0</v>
      </c>
      <c r="AV378">
        <f>AV377*(1+'Real assumptions'!$B$35)^(1/12)</f>
        <v>1.4606577675102823</v>
      </c>
      <c r="AW378">
        <f t="shared" si="234"/>
        <v>2049</v>
      </c>
      <c r="AX378">
        <f t="shared" si="269"/>
        <v>242.88846212353653</v>
      </c>
      <c r="AY378">
        <f t="shared" si="270"/>
        <v>0.7999067860670015</v>
      </c>
      <c r="AZ378">
        <f t="shared" si="235"/>
        <v>569.25630415181286</v>
      </c>
      <c r="BA378">
        <f t="shared" si="254"/>
        <v>4.3003490664825232</v>
      </c>
      <c r="BB378">
        <f t="shared" si="255"/>
        <v>68.416666666666671</v>
      </c>
      <c r="BC378">
        <f t="shared" si="236"/>
        <v>41.05</v>
      </c>
      <c r="BD378">
        <f t="shared" si="256"/>
        <v>0</v>
      </c>
      <c r="BE378">
        <f t="shared" si="237"/>
        <v>24</v>
      </c>
      <c r="BF378">
        <f t="shared" si="271"/>
        <v>5000</v>
      </c>
      <c r="BU378"/>
      <c r="FD378"/>
      <c r="FE378"/>
    </row>
    <row r="379" spans="1:161" x14ac:dyDescent="0.25">
      <c r="A379" s="7">
        <f t="shared" si="257"/>
        <v>54635</v>
      </c>
      <c r="B379">
        <f t="shared" si="238"/>
        <v>368</v>
      </c>
      <c r="C379">
        <f t="shared" si="239"/>
        <v>30.583333333333332</v>
      </c>
      <c r="D379">
        <f t="shared" si="240"/>
        <v>0</v>
      </c>
      <c r="E379">
        <f t="shared" si="241"/>
        <v>82</v>
      </c>
      <c r="F379">
        <f>IF(C379&gt;=$T$2,0,VLOOKUP($E379,EKM_F05!$A$3:$C$128,2,TRUE))</f>
        <v>7.1312564102564105E-2</v>
      </c>
      <c r="G379">
        <f>F379*'Real assumptions'!$B$3</f>
        <v>2.9758733000000002E-2</v>
      </c>
      <c r="H379">
        <f t="shared" si="258"/>
        <v>2.5143761098936901E-3</v>
      </c>
      <c r="I379">
        <f t="shared" si="259"/>
        <v>4.7437936990897425E-4</v>
      </c>
      <c r="J379">
        <f>IF(B379&gt;$AJ$2,0,HLOOKUP(C379,'Real assumptions'!$B$5:$L$8,4,TRUE))</f>
        <v>3.7900000000000003E-2</v>
      </c>
      <c r="K379">
        <f t="shared" si="228"/>
        <v>1</v>
      </c>
      <c r="L379">
        <f t="shared" si="260"/>
        <v>8.3333333333333329E-2</v>
      </c>
      <c r="M379">
        <f t="shared" si="261"/>
        <v>3.2145624959929453E-3</v>
      </c>
      <c r="N379">
        <f t="shared" si="262"/>
        <v>6.066939825311716E-4</v>
      </c>
      <c r="O379" s="8">
        <f t="shared" si="242"/>
        <v>0.18788948541452377</v>
      </c>
      <c r="P379">
        <f t="shared" si="243"/>
        <v>4.5352934104071334</v>
      </c>
      <c r="Q379">
        <f t="shared" si="263"/>
        <v>2.3718968495448713</v>
      </c>
      <c r="R379" s="89">
        <f t="shared" si="229"/>
        <v>5000</v>
      </c>
      <c r="S379">
        <f t="shared" si="230"/>
        <v>0.33333333333333215</v>
      </c>
      <c r="U379">
        <f>O378*AV378*'Real assumptions'!$B$33/12+AX379*'Real assumptions'!$B$34</f>
        <v>2.8267674806508625</v>
      </c>
      <c r="V379">
        <f>IF(P379=0,0,IF(E379&lt;=$C$7,$AN$5*O378,0))*'Real assumptions'!$D$28</f>
        <v>1.1338233526017834</v>
      </c>
      <c r="X379" s="94">
        <f t="shared" si="244"/>
        <v>0</v>
      </c>
      <c r="Y379">
        <f t="shared" si="231"/>
        <v>24</v>
      </c>
      <c r="Z379">
        <f t="shared" si="264"/>
        <v>68</v>
      </c>
      <c r="AA379">
        <f t="shared" si="232"/>
        <v>68.333333333333329</v>
      </c>
      <c r="AB379">
        <f t="shared" si="245"/>
        <v>50.505050505050505</v>
      </c>
      <c r="AC379">
        <f t="shared" si="265"/>
        <v>3451.1784511784508</v>
      </c>
      <c r="AD379">
        <f t="shared" si="246"/>
        <v>80.505050505050505</v>
      </c>
      <c r="AE379">
        <f t="shared" si="247"/>
        <v>275.05892255892252</v>
      </c>
      <c r="AF379" s="94">
        <f t="shared" si="248"/>
        <v>1273.7626262626268</v>
      </c>
      <c r="AG379">
        <f t="shared" si="266"/>
        <v>0.77278412052663736</v>
      </c>
      <c r="AH379">
        <f t="shared" si="249"/>
        <v>239.32660438873731</v>
      </c>
      <c r="AI379">
        <f>HLOOKUP(AW379,'Real assumptions'!$A$21:$AK$24,2,TRUE)</f>
        <v>2.8616000000000001</v>
      </c>
      <c r="AJ379" s="123">
        <f t="shared" si="267"/>
        <v>2.353950314322617E-3</v>
      </c>
      <c r="AK379" s="122">
        <f>(1+HLOOKUP(YEAR(A379),'Real assumptions'!$A$21:$AK$24,2,TRUE)/100)^(1/12)-1</f>
        <v>2.353950314322617E-3</v>
      </c>
      <c r="AL379">
        <f t="shared" si="268"/>
        <v>2.8267674806508625</v>
      </c>
      <c r="AM379">
        <f>('Real assumptions'!$B$33/12)*O378*AV378</f>
        <v>2.7602131449372407</v>
      </c>
      <c r="AN379">
        <f t="shared" si="250"/>
        <v>243.86116835953979</v>
      </c>
      <c r="AO379">
        <f t="shared" si="272"/>
        <v>0.57403707391101932</v>
      </c>
      <c r="AP379" s="121">
        <f t="shared" si="251"/>
        <v>4.0155861210864732</v>
      </c>
      <c r="AQ379">
        <f t="shared" si="252"/>
        <v>0</v>
      </c>
      <c r="AR379">
        <v>0</v>
      </c>
      <c r="AS379">
        <f t="shared" si="233"/>
        <v>0</v>
      </c>
      <c r="AT379">
        <f t="shared" si="253"/>
        <v>0</v>
      </c>
      <c r="AU379">
        <f>IFERROR(HLOOKUP(B379,'Real assumptions'!$B$43:$AL$44,2,TRUE)*($W$3/$U$2),0)</f>
        <v>0</v>
      </c>
      <c r="AV379">
        <f>AV378*(1+'Real assumptions'!$B$35)^(1/12)</f>
        <v>1.4621706379718193</v>
      </c>
      <c r="AW379">
        <f t="shared" si="234"/>
        <v>2049</v>
      </c>
      <c r="AX379">
        <f t="shared" si="269"/>
        <v>242.9479730643246</v>
      </c>
      <c r="AY379">
        <f t="shared" si="270"/>
        <v>0.79533063454109376</v>
      </c>
      <c r="AZ379">
        <f t="shared" si="235"/>
        <v>568.02632681498415</v>
      </c>
      <c r="BA379">
        <f t="shared" si="254"/>
        <v>4.2785043226732924</v>
      </c>
      <c r="BB379">
        <f t="shared" si="255"/>
        <v>68.333333333333329</v>
      </c>
      <c r="BC379">
        <f t="shared" si="236"/>
        <v>41</v>
      </c>
      <c r="BD379">
        <f t="shared" si="256"/>
        <v>0</v>
      </c>
      <c r="BE379">
        <f t="shared" si="237"/>
        <v>24</v>
      </c>
      <c r="BF379">
        <f t="shared" si="271"/>
        <v>5000</v>
      </c>
      <c r="BU379"/>
      <c r="FD379"/>
      <c r="FE379"/>
    </row>
    <row r="380" spans="1:161" x14ac:dyDescent="0.25">
      <c r="A380" s="7">
        <f t="shared" si="257"/>
        <v>54666</v>
      </c>
      <c r="B380">
        <f t="shared" si="238"/>
        <v>369</v>
      </c>
      <c r="C380">
        <f t="shared" si="239"/>
        <v>30.666666666666668</v>
      </c>
      <c r="D380">
        <f t="shared" si="240"/>
        <v>0</v>
      </c>
      <c r="E380">
        <f t="shared" si="241"/>
        <v>82</v>
      </c>
      <c r="F380">
        <f>IF(C380&gt;=$T$2,0,VLOOKUP($E380,EKM_F05!$A$3:$C$128,2,TRUE))</f>
        <v>7.1312564102564105E-2</v>
      </c>
      <c r="G380">
        <f>F380*'Real assumptions'!$B$3</f>
        <v>2.9758733000000002E-2</v>
      </c>
      <c r="H380">
        <f t="shared" si="258"/>
        <v>2.5143761098936901E-3</v>
      </c>
      <c r="I380">
        <f t="shared" si="259"/>
        <v>4.7166551385064326E-4</v>
      </c>
      <c r="J380">
        <f>IF(B380&gt;$AJ$2,0,HLOOKUP(C380,'Real assumptions'!$B$5:$L$8,4,TRUE))</f>
        <v>3.7900000000000003E-2</v>
      </c>
      <c r="K380">
        <f t="shared" si="228"/>
        <v>1</v>
      </c>
      <c r="L380">
        <f t="shared" si="260"/>
        <v>8.3333333333333329E-2</v>
      </c>
      <c r="M380">
        <f t="shared" si="261"/>
        <v>3.2145624959929453E-3</v>
      </c>
      <c r="N380">
        <f t="shared" si="262"/>
        <v>6.0322317362908741E-4</v>
      </c>
      <c r="O380" s="8">
        <f t="shared" si="242"/>
        <v>0.18681459672704404</v>
      </c>
      <c r="P380">
        <f t="shared" si="243"/>
        <v>4.5093476499485705</v>
      </c>
      <c r="Q380">
        <f t="shared" si="263"/>
        <v>2.3583275692532162</v>
      </c>
      <c r="R380" s="89">
        <f t="shared" si="229"/>
        <v>5000</v>
      </c>
      <c r="S380">
        <f t="shared" si="230"/>
        <v>0.25</v>
      </c>
      <c r="U380">
        <f>O379*AV379*'Real assumptions'!$B$33/12+AX380*'Real assumptions'!$B$34</f>
        <v>2.813835019266242</v>
      </c>
      <c r="V380">
        <f>IF(P380=0,0,IF(E380&lt;=$C$7,$AN$5*O379,0))*'Real assumptions'!$D$28</f>
        <v>1.1273369124871426</v>
      </c>
      <c r="X380" s="94">
        <f t="shared" si="244"/>
        <v>0</v>
      </c>
      <c r="Y380">
        <f t="shared" si="231"/>
        <v>24</v>
      </c>
      <c r="Z380">
        <f t="shared" si="264"/>
        <v>68</v>
      </c>
      <c r="AA380">
        <f t="shared" si="232"/>
        <v>68.25</v>
      </c>
      <c r="AB380">
        <f t="shared" si="245"/>
        <v>50.505050505050505</v>
      </c>
      <c r="AC380">
        <f t="shared" si="265"/>
        <v>3446.969696969697</v>
      </c>
      <c r="AD380">
        <f t="shared" si="246"/>
        <v>80.505050505050505</v>
      </c>
      <c r="AE380">
        <f t="shared" si="247"/>
        <v>274.72348484848482</v>
      </c>
      <c r="AF380" s="94">
        <f t="shared" si="248"/>
        <v>1278.3068181818182</v>
      </c>
      <c r="AG380">
        <f t="shared" si="266"/>
        <v>0.77110429573533723</v>
      </c>
      <c r="AH380">
        <f t="shared" si="249"/>
        <v>238.80637273206719</v>
      </c>
      <c r="AI380">
        <f>HLOOKUP(AW380,'Real assumptions'!$A$21:$AK$24,2,TRUE)</f>
        <v>2.8616000000000001</v>
      </c>
      <c r="AJ380" s="123">
        <f t="shared" si="267"/>
        <v>2.353950314322617E-3</v>
      </c>
      <c r="AK380" s="122">
        <f>(1+HLOOKUP(YEAR(A380),'Real assumptions'!$A$21:$AK$24,2,TRUE)/100)^(1/12)-1</f>
        <v>2.353950314322617E-3</v>
      </c>
      <c r="AL380">
        <f t="shared" si="268"/>
        <v>2.813835019266242</v>
      </c>
      <c r="AM380">
        <f>('Real assumptions'!$B$33/12)*O379*AV379</f>
        <v>2.7472648875675105</v>
      </c>
      <c r="AN380">
        <f t="shared" si="250"/>
        <v>243.91036622801897</v>
      </c>
      <c r="AO380">
        <f t="shared" si="272"/>
        <v>0.57415288324898994</v>
      </c>
      <c r="AP380" s="121">
        <f t="shared" si="251"/>
        <v>4.5897390043354633</v>
      </c>
      <c r="AQ380">
        <f t="shared" si="252"/>
        <v>0</v>
      </c>
      <c r="AR380">
        <v>0</v>
      </c>
      <c r="AS380">
        <f t="shared" si="233"/>
        <v>0</v>
      </c>
      <c r="AT380">
        <f t="shared" si="253"/>
        <v>0</v>
      </c>
      <c r="AU380">
        <f>IFERROR(HLOOKUP(B380,'Real assumptions'!$B$43:$AL$44,2,TRUE)*($W$3/$U$2),0)</f>
        <v>0</v>
      </c>
      <c r="AV380">
        <f>AV379*(1+'Real assumptions'!$B$35)^(1/12)</f>
        <v>1.4636850753829076</v>
      </c>
      <c r="AW380">
        <f t="shared" si="234"/>
        <v>2049</v>
      </c>
      <c r="AX380">
        <f t="shared" si="269"/>
        <v>243.00563425985567</v>
      </c>
      <c r="AY380">
        <f t="shared" si="270"/>
        <v>0.79078066251903933</v>
      </c>
      <c r="AZ380">
        <f t="shared" si="235"/>
        <v>566.80217641874049</v>
      </c>
      <c r="BA380">
        <f t="shared" si="254"/>
        <v>4.2567687774756955</v>
      </c>
      <c r="BB380">
        <f t="shared" si="255"/>
        <v>68.25</v>
      </c>
      <c r="BC380">
        <f t="shared" si="236"/>
        <v>40.950000000000003</v>
      </c>
      <c r="BD380">
        <f t="shared" si="256"/>
        <v>0</v>
      </c>
      <c r="BE380">
        <f t="shared" si="237"/>
        <v>24</v>
      </c>
      <c r="BF380">
        <f t="shared" si="271"/>
        <v>5000</v>
      </c>
      <c r="BU380"/>
      <c r="FD380"/>
      <c r="FE380"/>
    </row>
    <row r="381" spans="1:161" x14ac:dyDescent="0.25">
      <c r="A381" s="7">
        <f t="shared" si="257"/>
        <v>54696</v>
      </c>
      <c r="B381">
        <f t="shared" si="238"/>
        <v>370</v>
      </c>
      <c r="C381">
        <f t="shared" si="239"/>
        <v>30.75</v>
      </c>
      <c r="D381">
        <f t="shared" si="240"/>
        <v>0</v>
      </c>
      <c r="E381">
        <f t="shared" si="241"/>
        <v>82</v>
      </c>
      <c r="F381">
        <f>IF(C381&gt;=$T$2,0,VLOOKUP($E381,EKM_F05!$A$3:$C$128,2,TRUE))</f>
        <v>7.1312564102564105E-2</v>
      </c>
      <c r="G381">
        <f>F381*'Real assumptions'!$B$3</f>
        <v>2.9758733000000002E-2</v>
      </c>
      <c r="H381">
        <f t="shared" si="258"/>
        <v>2.5143761098936901E-3</v>
      </c>
      <c r="I381">
        <f t="shared" si="259"/>
        <v>4.6896718337199059E-4</v>
      </c>
      <c r="J381">
        <f>IF(B381&gt;$AJ$2,0,HLOOKUP(C381,'Real assumptions'!$B$5:$L$8,4,TRUE))</f>
        <v>3.7900000000000003E-2</v>
      </c>
      <c r="K381">
        <f t="shared" si="228"/>
        <v>1</v>
      </c>
      <c r="L381">
        <f t="shared" si="260"/>
        <v>8.3333333333333329E-2</v>
      </c>
      <c r="M381">
        <f t="shared" si="261"/>
        <v>3.2145624959929453E-3</v>
      </c>
      <c r="N381">
        <f t="shared" si="262"/>
        <v>5.9977222072488926E-4</v>
      </c>
      <c r="O381" s="8">
        <f t="shared" si="242"/>
        <v>0.18574585732294716</v>
      </c>
      <c r="P381">
        <f t="shared" si="243"/>
        <v>4.4835503214490569</v>
      </c>
      <c r="Q381">
        <f t="shared" si="263"/>
        <v>2.3448359168599531</v>
      </c>
      <c r="R381" s="89">
        <f t="shared" si="229"/>
        <v>5000</v>
      </c>
      <c r="S381">
        <f t="shared" si="230"/>
        <v>0.16666666666666785</v>
      </c>
      <c r="U381">
        <f>O380*AV380*'Real assumptions'!$B$33/12+AX381*'Real assumptions'!$B$34</f>
        <v>2.8009628015198245</v>
      </c>
      <c r="V381">
        <f>IF(P381=0,0,IF(E381&lt;=$C$7,$AN$5*O380,0))*'Real assumptions'!$D$28</f>
        <v>1.1208875803622642</v>
      </c>
      <c r="X381" s="94">
        <f t="shared" si="244"/>
        <v>0</v>
      </c>
      <c r="Y381">
        <f t="shared" si="231"/>
        <v>24</v>
      </c>
      <c r="Z381">
        <f t="shared" si="264"/>
        <v>68</v>
      </c>
      <c r="AA381">
        <f t="shared" si="232"/>
        <v>68.166666666666671</v>
      </c>
      <c r="AB381">
        <f t="shared" si="245"/>
        <v>50.505050505050505</v>
      </c>
      <c r="AC381">
        <f t="shared" si="265"/>
        <v>3442.7609427609432</v>
      </c>
      <c r="AD381">
        <f t="shared" si="246"/>
        <v>80.505050505050505</v>
      </c>
      <c r="AE381">
        <f t="shared" si="247"/>
        <v>274.38804713804717</v>
      </c>
      <c r="AF381" s="94">
        <f t="shared" si="248"/>
        <v>1282.8510101010097</v>
      </c>
      <c r="AG381">
        <f t="shared" si="266"/>
        <v>0.76941839918744992</v>
      </c>
      <c r="AH381">
        <f t="shared" si="249"/>
        <v>238.28426068882078</v>
      </c>
      <c r="AI381">
        <f>HLOOKUP(AW381,'Real assumptions'!$A$21:$AK$24,2,TRUE)</f>
        <v>2.8616000000000001</v>
      </c>
      <c r="AJ381" s="123">
        <f t="shared" si="267"/>
        <v>2.353950314322617E-3</v>
      </c>
      <c r="AK381" s="122">
        <f>(1+HLOOKUP(YEAR(A381),'Real assumptions'!$A$21:$AK$24,2,TRUE)/100)^(1/12)-1</f>
        <v>2.353950314322617E-3</v>
      </c>
      <c r="AL381">
        <f t="shared" si="268"/>
        <v>2.8009628015198245</v>
      </c>
      <c r="AM381">
        <f>('Real assumptions'!$B$33/12)*O380*AV380</f>
        <v>2.7343773709305093</v>
      </c>
      <c r="AN381">
        <f t="shared" si="250"/>
        <v>243.95781167596962</v>
      </c>
      <c r="AO381">
        <f t="shared" si="272"/>
        <v>0.57426456747610655</v>
      </c>
      <c r="AP381" s="121">
        <f t="shared" si="251"/>
        <v>5.1640035718115698</v>
      </c>
      <c r="AQ381">
        <f t="shared" si="252"/>
        <v>0</v>
      </c>
      <c r="AR381">
        <v>0</v>
      </c>
      <c r="AS381">
        <f t="shared" si="233"/>
        <v>0</v>
      </c>
      <c r="AT381">
        <f t="shared" si="253"/>
        <v>0</v>
      </c>
      <c r="AU381">
        <f>IFERROR(HLOOKUP(B381,'Real assumptions'!$B$43:$AL$44,2,TRUE)*($W$3/$U$2),0)</f>
        <v>0</v>
      </c>
      <c r="AV381">
        <f>AV380*(1+'Real assumptions'!$B$35)^(1/12)</f>
        <v>1.4652010813665088</v>
      </c>
      <c r="AW381">
        <f t="shared" si="234"/>
        <v>2049</v>
      </c>
      <c r="AX381">
        <f t="shared" si="269"/>
        <v>243.06148087627207</v>
      </c>
      <c r="AY381">
        <f t="shared" si="270"/>
        <v>0.78625672023166682</v>
      </c>
      <c r="AZ381">
        <f t="shared" si="235"/>
        <v>565.58384620359959</v>
      </c>
      <c r="BA381">
        <f t="shared" si="254"/>
        <v>4.235141896409667</v>
      </c>
      <c r="BB381">
        <f t="shared" si="255"/>
        <v>68.166666666666671</v>
      </c>
      <c r="BC381">
        <f t="shared" si="236"/>
        <v>40.900000000000006</v>
      </c>
      <c r="BD381">
        <f t="shared" si="256"/>
        <v>0</v>
      </c>
      <c r="BE381">
        <f t="shared" si="237"/>
        <v>24</v>
      </c>
      <c r="BF381">
        <f t="shared" si="271"/>
        <v>5000</v>
      </c>
      <c r="BU381"/>
      <c r="FD381"/>
      <c r="FE381"/>
    </row>
    <row r="382" spans="1:161" x14ac:dyDescent="0.25">
      <c r="A382" s="7">
        <f t="shared" si="257"/>
        <v>54727</v>
      </c>
      <c r="B382">
        <f t="shared" si="238"/>
        <v>371</v>
      </c>
      <c r="C382">
        <f t="shared" si="239"/>
        <v>30.833333333333332</v>
      </c>
      <c r="D382">
        <f t="shared" si="240"/>
        <v>0</v>
      </c>
      <c r="E382">
        <f t="shared" si="241"/>
        <v>82</v>
      </c>
      <c r="F382">
        <f>IF(C382&gt;=$T$2,0,VLOOKUP($E382,EKM_F05!$A$3:$C$128,2,TRUE))</f>
        <v>7.1312564102564105E-2</v>
      </c>
      <c r="G382">
        <f>F382*'Real assumptions'!$B$3</f>
        <v>2.9758733000000002E-2</v>
      </c>
      <c r="H382">
        <f t="shared" si="258"/>
        <v>2.5143761098936901E-3</v>
      </c>
      <c r="I382">
        <f t="shared" si="259"/>
        <v>4.6628428965341093E-4</v>
      </c>
      <c r="J382">
        <f>IF(B382&gt;$AJ$2,0,HLOOKUP(C382,'Real assumptions'!$B$5:$L$8,4,TRUE))</f>
        <v>3.7900000000000003E-2</v>
      </c>
      <c r="K382">
        <f t="shared" si="228"/>
        <v>1</v>
      </c>
      <c r="L382">
        <f t="shared" si="260"/>
        <v>8.3333333333333329E-2</v>
      </c>
      <c r="M382">
        <f t="shared" si="261"/>
        <v>3.2145624959929453E-3</v>
      </c>
      <c r="N382">
        <f t="shared" si="262"/>
        <v>5.9634101022527323E-4</v>
      </c>
      <c r="O382" s="8">
        <f t="shared" si="242"/>
        <v>0.18468323202306847</v>
      </c>
      <c r="P382">
        <f t="shared" si="243"/>
        <v>4.457900575750732</v>
      </c>
      <c r="Q382">
        <f t="shared" si="263"/>
        <v>2.3314214482670548</v>
      </c>
      <c r="R382" s="89">
        <f t="shared" si="229"/>
        <v>5000</v>
      </c>
      <c r="S382">
        <f t="shared" si="230"/>
        <v>8.3333333333332149E-2</v>
      </c>
      <c r="U382">
        <f>O381*AV381*'Real assumptions'!$B$33/12+AX382*'Real assumptions'!$B$34</f>
        <v>2.7881505520249208</v>
      </c>
      <c r="V382">
        <f>IF(P382=0,0,IF(E382&lt;=$C$7,$AN$5*O381,0))*'Real assumptions'!$D$28</f>
        <v>1.114475143937683</v>
      </c>
      <c r="X382" s="94">
        <f t="shared" si="244"/>
        <v>0</v>
      </c>
      <c r="Y382">
        <f t="shared" si="231"/>
        <v>24</v>
      </c>
      <c r="Z382">
        <f t="shared" si="264"/>
        <v>68</v>
      </c>
      <c r="AA382">
        <f t="shared" si="232"/>
        <v>68.083333333333329</v>
      </c>
      <c r="AB382">
        <f t="shared" si="245"/>
        <v>50.505050505050505</v>
      </c>
      <c r="AC382">
        <f t="shared" si="265"/>
        <v>3438.5521885521885</v>
      </c>
      <c r="AD382">
        <f t="shared" si="246"/>
        <v>80.505050505050505</v>
      </c>
      <c r="AE382">
        <f t="shared" si="247"/>
        <v>274.05260942760941</v>
      </c>
      <c r="AF382" s="94">
        <f t="shared" si="248"/>
        <v>1287.3952020202021</v>
      </c>
      <c r="AG382">
        <f t="shared" si="266"/>
        <v>0.76772655533189704</v>
      </c>
      <c r="AH382">
        <f t="shared" si="249"/>
        <v>237.76030680008208</v>
      </c>
      <c r="AI382">
        <f>HLOOKUP(AW382,'Real assumptions'!$A$21:$AK$24,2,TRUE)</f>
        <v>2.8616000000000001</v>
      </c>
      <c r="AJ382" s="123">
        <f t="shared" si="267"/>
        <v>2.353950314322617E-3</v>
      </c>
      <c r="AK382" s="122">
        <f>(1+HLOOKUP(YEAR(A382),'Real assumptions'!$A$21:$AK$24,2,TRUE)/100)^(1/12)-1</f>
        <v>2.353950314322617E-3</v>
      </c>
      <c r="AL382">
        <f t="shared" si="268"/>
        <v>2.7881505520249208</v>
      </c>
      <c r="AM382">
        <f>('Real assumptions'!$B$33/12)*O381*AV381</f>
        <v>2.7215503100893144</v>
      </c>
      <c r="AN382">
        <f t="shared" si="250"/>
        <v>244.00353914042049</v>
      </c>
      <c r="AO382">
        <f t="shared" si="272"/>
        <v>0.57437220765542374</v>
      </c>
      <c r="AP382" s="121">
        <f t="shared" si="251"/>
        <v>5.7383757794669936</v>
      </c>
      <c r="AQ382">
        <f t="shared" si="252"/>
        <v>0</v>
      </c>
      <c r="AR382">
        <v>0</v>
      </c>
      <c r="AS382">
        <f t="shared" si="233"/>
        <v>0</v>
      </c>
      <c r="AT382">
        <f t="shared" si="253"/>
        <v>0</v>
      </c>
      <c r="AU382">
        <f>IFERROR(HLOOKUP(B382,'Real assumptions'!$B$43:$AL$44,2,TRUE)*($W$3/$U$2),0)</f>
        <v>0</v>
      </c>
      <c r="AV382">
        <f>AV381*(1+'Real assumptions'!$B$35)^(1/12)</f>
        <v>1.4667186575472659</v>
      </c>
      <c r="AW382">
        <f t="shared" si="234"/>
        <v>2049</v>
      </c>
      <c r="AX382">
        <f t="shared" si="269"/>
        <v>243.11554777546129</v>
      </c>
      <c r="AY382">
        <f t="shared" si="270"/>
        <v>0.78175865876661255</v>
      </c>
      <c r="AZ382">
        <f t="shared" si="235"/>
        <v>564.37132935233547</v>
      </c>
      <c r="BA382">
        <f t="shared" si="254"/>
        <v>4.2136231475366346</v>
      </c>
      <c r="BB382">
        <f t="shared" si="255"/>
        <v>68.083333333333329</v>
      </c>
      <c r="BC382">
        <f t="shared" si="236"/>
        <v>40.849999999999994</v>
      </c>
      <c r="BD382">
        <f t="shared" si="256"/>
        <v>0</v>
      </c>
      <c r="BE382">
        <f t="shared" si="237"/>
        <v>24</v>
      </c>
      <c r="BF382">
        <f t="shared" si="271"/>
        <v>5000</v>
      </c>
      <c r="BU382"/>
      <c r="FD382"/>
      <c r="FE382"/>
    </row>
    <row r="383" spans="1:161" x14ac:dyDescent="0.25">
      <c r="A383" s="7">
        <f t="shared" si="257"/>
        <v>54757</v>
      </c>
      <c r="B383">
        <f t="shared" si="238"/>
        <v>372</v>
      </c>
      <c r="C383">
        <f t="shared" si="239"/>
        <v>30.916666666666668</v>
      </c>
      <c r="D383">
        <f t="shared" si="240"/>
        <v>0</v>
      </c>
      <c r="E383">
        <f t="shared" si="241"/>
        <v>82</v>
      </c>
      <c r="F383">
        <f>IF(C383&gt;=$T$2,0,VLOOKUP($E383,EKM_F05!$A$3:$C$128,2,TRUE))</f>
        <v>7.1312564102564105E-2</v>
      </c>
      <c r="G383">
        <f>F383*'Real assumptions'!$B$3</f>
        <v>2.9758733000000002E-2</v>
      </c>
      <c r="H383">
        <f t="shared" si="258"/>
        <v>2.5143761098936901E-3</v>
      </c>
      <c r="I383">
        <f t="shared" si="259"/>
        <v>4.6361674438342304E-4</v>
      </c>
      <c r="J383">
        <f>IF(B383&gt;$AJ$2,0,HLOOKUP(C383,'Real assumptions'!$B$5:$L$8,4,TRUE))</f>
        <v>3.7900000000000003E-2</v>
      </c>
      <c r="K383">
        <f t="shared" si="228"/>
        <v>1</v>
      </c>
      <c r="L383">
        <f t="shared" si="260"/>
        <v>8.3333333333333329E-2</v>
      </c>
      <c r="M383">
        <f t="shared" si="261"/>
        <v>3.2145624959929453E-3</v>
      </c>
      <c r="N383">
        <f t="shared" si="262"/>
        <v>5.9292942918678557E-4</v>
      </c>
      <c r="O383" s="8">
        <f t="shared" si="242"/>
        <v>0.18362668584949826</v>
      </c>
      <c r="P383">
        <f t="shared" si="243"/>
        <v>4.4323975685536432</v>
      </c>
      <c r="Q383">
        <f t="shared" si="263"/>
        <v>2.3180837219171151</v>
      </c>
      <c r="R383" s="89">
        <f t="shared" si="229"/>
        <v>5000</v>
      </c>
      <c r="S383">
        <f t="shared" si="230"/>
        <v>1</v>
      </c>
      <c r="U383">
        <f>O382*AV382*'Real assumptions'!$B$33/12+AX383*'Real assumptions'!$B$34</f>
        <v>2.775397996648802</v>
      </c>
      <c r="V383">
        <f>IF(P383=0,0,IF(E383&lt;=$C$7,$AN$5*O382,0))*'Real assumptions'!$D$28</f>
        <v>1.1080993921384108</v>
      </c>
      <c r="X383" s="94">
        <f t="shared" si="244"/>
        <v>0</v>
      </c>
      <c r="Y383">
        <f t="shared" si="231"/>
        <v>24</v>
      </c>
      <c r="Z383">
        <f t="shared" si="264"/>
        <v>68</v>
      </c>
      <c r="AA383">
        <f t="shared" si="232"/>
        <v>68</v>
      </c>
      <c r="AB383">
        <f t="shared" si="245"/>
        <v>50.505050505050505</v>
      </c>
      <c r="AC383">
        <f t="shared" si="265"/>
        <v>3434.3434343434342</v>
      </c>
      <c r="AD383">
        <f t="shared" si="246"/>
        <v>80.505050505050505</v>
      </c>
      <c r="AE383">
        <f t="shared" si="247"/>
        <v>273.71717171717171</v>
      </c>
      <c r="AF383" s="94">
        <f t="shared" si="248"/>
        <v>1291.939393939394</v>
      </c>
      <c r="AG383">
        <f t="shared" si="266"/>
        <v>0.7660288873924066</v>
      </c>
      <c r="AH383">
        <f t="shared" si="249"/>
        <v>237.23454922750028</v>
      </c>
      <c r="AI383">
        <f>HLOOKUP(AW383,'Real assumptions'!$A$21:$AK$24,2,TRUE)</f>
        <v>2.8616000000000001</v>
      </c>
      <c r="AJ383" s="123">
        <f t="shared" si="267"/>
        <v>2.353950314322617E-3</v>
      </c>
      <c r="AK383" s="122">
        <f>(1+HLOOKUP(YEAR(A383),'Real assumptions'!$A$21:$AK$24,2,TRUE)/100)^(1/12)-1</f>
        <v>2.353950314322617E-3</v>
      </c>
      <c r="AL383">
        <f t="shared" si="268"/>
        <v>2.775397996648802</v>
      </c>
      <c r="AM383">
        <f>('Real assumptions'!$B$33/12)*O382*AV382</f>
        <v>2.7087834214436524</v>
      </c>
      <c r="AN383">
        <f t="shared" si="250"/>
        <v>244.04758275931553</v>
      </c>
      <c r="AO383">
        <f t="shared" si="272"/>
        <v>0.57447588414596573</v>
      </c>
      <c r="AP383" s="121">
        <f t="shared" si="251"/>
        <v>6.3128516636129595</v>
      </c>
      <c r="AQ383">
        <f t="shared" si="252"/>
        <v>0</v>
      </c>
      <c r="AR383">
        <v>0</v>
      </c>
      <c r="AS383">
        <f t="shared" si="233"/>
        <v>0</v>
      </c>
      <c r="AT383">
        <f t="shared" si="253"/>
        <v>0</v>
      </c>
      <c r="AU383">
        <f>IFERROR(HLOOKUP(B383,'Real assumptions'!$B$43:$AL$44,2,TRUE)*($W$3/$U$2),0)</f>
        <v>0</v>
      </c>
      <c r="AV383">
        <f>AV382*(1+'Real assumptions'!$B$35)^(1/12)</f>
        <v>1.4682378055515042</v>
      </c>
      <c r="AW383">
        <f t="shared" si="234"/>
        <v>2049</v>
      </c>
      <c r="AX383">
        <f t="shared" si="269"/>
        <v>243.16786951747409</v>
      </c>
      <c r="AY383">
        <f t="shared" si="270"/>
        <v>0.77728633006341941</v>
      </c>
      <c r="AZ383">
        <f t="shared" si="235"/>
        <v>563.16461899091587</v>
      </c>
      <c r="BA383">
        <f t="shared" si="254"/>
        <v>4.1922120014479329</v>
      </c>
      <c r="BB383">
        <f t="shared" si="255"/>
        <v>68</v>
      </c>
      <c r="BC383">
        <f t="shared" si="236"/>
        <v>40.799999999999997</v>
      </c>
      <c r="BD383">
        <f t="shared" si="256"/>
        <v>0</v>
      </c>
      <c r="BE383">
        <f t="shared" si="237"/>
        <v>24</v>
      </c>
      <c r="BF383">
        <f t="shared" si="271"/>
        <v>5000</v>
      </c>
      <c r="BU383"/>
      <c r="FD383"/>
      <c r="FE383"/>
    </row>
    <row r="384" spans="1:161" x14ac:dyDescent="0.25">
      <c r="A384" s="7">
        <f t="shared" si="257"/>
        <v>54788</v>
      </c>
      <c r="B384">
        <f t="shared" si="238"/>
        <v>373</v>
      </c>
      <c r="C384">
        <f t="shared" si="239"/>
        <v>31</v>
      </c>
      <c r="D384">
        <f t="shared" si="240"/>
        <v>1</v>
      </c>
      <c r="E384">
        <f t="shared" si="241"/>
        <v>83</v>
      </c>
      <c r="F384">
        <f>IF(C384&gt;=$T$2,0,VLOOKUP($E384,EKM_F05!$A$3:$C$128,2,TRUE))</f>
        <v>7.8464102564102564E-2</v>
      </c>
      <c r="G384">
        <f>F384*'Real assumptions'!$B$3</f>
        <v>3.2743069999999999E-2</v>
      </c>
      <c r="H384">
        <f t="shared" si="258"/>
        <v>2.7704153621982419E-3</v>
      </c>
      <c r="I384">
        <f t="shared" si="259"/>
        <v>5.0790453174834446E-4</v>
      </c>
      <c r="J384">
        <f>IF(B384&gt;$AJ$2,0,HLOOKUP(C384,'Real assumptions'!$B$5:$L$8,4,TRUE))</f>
        <v>3.7900000000000003E-2</v>
      </c>
      <c r="K384">
        <f t="shared" si="228"/>
        <v>1</v>
      </c>
      <c r="L384">
        <f t="shared" si="260"/>
        <v>8.3333333333333329E-2</v>
      </c>
      <c r="M384">
        <f t="shared" si="261"/>
        <v>3.2145624959929453E-3</v>
      </c>
      <c r="N384">
        <f t="shared" si="262"/>
        <v>5.8946179795661951E-4</v>
      </c>
      <c r="O384" s="8">
        <f t="shared" si="242"/>
        <v>0.18252931951979329</v>
      </c>
      <c r="P384">
        <f t="shared" si="243"/>
        <v>4.4070404603879583</v>
      </c>
      <c r="Q384">
        <f t="shared" si="263"/>
        <v>2.5395226587417223</v>
      </c>
      <c r="R384" s="89">
        <f t="shared" si="229"/>
        <v>5000</v>
      </c>
      <c r="S384">
        <f t="shared" si="230"/>
        <v>0.91666666666666785</v>
      </c>
      <c r="U384">
        <f>O383*AV383*'Real assumptions'!$B$33/12+AX384*'Real assumptions'!$B$34</f>
        <v>2.7627048625070918</v>
      </c>
      <c r="V384">
        <f>IF(P384=0,0,IF(E384&lt;=$C$7,$AN$5*O383,0))*'Real assumptions'!$D$28</f>
        <v>1.1017601150969896</v>
      </c>
      <c r="X384" s="94">
        <f t="shared" si="244"/>
        <v>0</v>
      </c>
      <c r="Y384">
        <f t="shared" si="231"/>
        <v>24</v>
      </c>
      <c r="Z384">
        <f t="shared" si="264"/>
        <v>68</v>
      </c>
      <c r="AA384">
        <f t="shared" si="232"/>
        <v>67.916666666666671</v>
      </c>
      <c r="AB384">
        <f t="shared" si="245"/>
        <v>50.505050505050505</v>
      </c>
      <c r="AC384">
        <f t="shared" si="265"/>
        <v>3430.1346801346804</v>
      </c>
      <c r="AD384">
        <f t="shared" si="246"/>
        <v>80.505050505050505</v>
      </c>
      <c r="AE384">
        <f t="shared" si="247"/>
        <v>273.38173400673401</v>
      </c>
      <c r="AF384" s="94">
        <f t="shared" si="248"/>
        <v>1296.4835858585857</v>
      </c>
      <c r="AG384">
        <f t="shared" si="266"/>
        <v>0.76422754554144723</v>
      </c>
      <c r="AH384">
        <f t="shared" si="249"/>
        <v>236.64626669534914</v>
      </c>
      <c r="AI384">
        <f>HLOOKUP(AW384,'Real assumptions'!$A$21:$AK$24,2,TRUE)</f>
        <v>2.8616000000000001</v>
      </c>
      <c r="AJ384" s="123">
        <f t="shared" si="267"/>
        <v>2.353950314322617E-3</v>
      </c>
      <c r="AK384" s="122">
        <f>(1+HLOOKUP(YEAR(A384),'Real assumptions'!$A$21:$AK$24,2,TRUE)/100)^(1/12)-1</f>
        <v>2.353950314322617E-3</v>
      </c>
      <c r="AL384">
        <f t="shared" si="268"/>
        <v>2.7627048625070918</v>
      </c>
      <c r="AM384">
        <f>('Real assumptions'!$B$33/12)*O383*AV383</f>
        <v>2.6960764227236278</v>
      </c>
      <c r="AN384">
        <f t="shared" si="250"/>
        <v>244.08997637389712</v>
      </c>
      <c r="AO384">
        <f t="shared" si="272"/>
        <v>0.57457567660833531</v>
      </c>
      <c r="AP384" s="121">
        <f t="shared" si="251"/>
        <v>0</v>
      </c>
      <c r="AQ384">
        <f t="shared" si="252"/>
        <v>0</v>
      </c>
      <c r="AR384">
        <v>0</v>
      </c>
      <c r="AS384">
        <f t="shared" si="233"/>
        <v>0</v>
      </c>
      <c r="AT384">
        <f t="shared" si="253"/>
        <v>0</v>
      </c>
      <c r="AU384">
        <f>IFERROR(HLOOKUP(B384,'Real assumptions'!$B$43:$AL$44,2,TRUE)*($W$3/$U$2),0)</f>
        <v>0</v>
      </c>
      <c r="AV384">
        <f>AV383*(1+'Real assumptions'!$B$35)^(1/12)</f>
        <v>1.4697585270072335</v>
      </c>
      <c r="AW384">
        <f t="shared" si="234"/>
        <v>2049</v>
      </c>
      <c r="AX384">
        <f t="shared" si="269"/>
        <v>243.21848036292491</v>
      </c>
      <c r="AY384">
        <f t="shared" si="270"/>
        <v>0.77283958690866261</v>
      </c>
      <c r="AZ384">
        <f t="shared" si="235"/>
        <v>561.72910580130565</v>
      </c>
      <c r="BA384">
        <f t="shared" si="254"/>
        <v>4.4055103193801592</v>
      </c>
      <c r="BB384">
        <f t="shared" si="255"/>
        <v>67.916666666666671</v>
      </c>
      <c r="BC384">
        <f t="shared" si="236"/>
        <v>40.75</v>
      </c>
      <c r="BD384">
        <f t="shared" si="256"/>
        <v>0</v>
      </c>
      <c r="BE384">
        <f t="shared" si="237"/>
        <v>24</v>
      </c>
      <c r="BF384">
        <f t="shared" si="271"/>
        <v>5000</v>
      </c>
      <c r="BU384"/>
      <c r="FD384"/>
      <c r="FE384"/>
    </row>
    <row r="385" spans="1:161" x14ac:dyDescent="0.25">
      <c r="A385" s="7">
        <f t="shared" si="257"/>
        <v>54819</v>
      </c>
      <c r="B385">
        <f t="shared" si="238"/>
        <v>374</v>
      </c>
      <c r="C385">
        <f t="shared" si="239"/>
        <v>31.083333333333336</v>
      </c>
      <c r="D385">
        <f t="shared" si="240"/>
        <v>0</v>
      </c>
      <c r="E385">
        <f t="shared" si="241"/>
        <v>83</v>
      </c>
      <c r="F385">
        <f>IF(C385&gt;=$T$2,0,VLOOKUP($E385,EKM_F05!$A$3:$C$128,2,TRUE))</f>
        <v>7.8464102564102564E-2</v>
      </c>
      <c r="G385">
        <f>F385*'Real assumptions'!$B$3</f>
        <v>3.2743069999999999E-2</v>
      </c>
      <c r="H385">
        <f t="shared" si="258"/>
        <v>2.7704153621982419E-3</v>
      </c>
      <c r="I385">
        <f t="shared" si="259"/>
        <v>5.0486925760359397E-4</v>
      </c>
      <c r="J385">
        <f>IF(B385&gt;$AJ$2,0,HLOOKUP(C385,'Real assumptions'!$B$5:$L$8,4,TRUE))</f>
        <v>3.7900000000000003E-2</v>
      </c>
      <c r="K385">
        <f t="shared" si="228"/>
        <v>1</v>
      </c>
      <c r="L385">
        <f t="shared" si="260"/>
        <v>8.3333333333333329E-2</v>
      </c>
      <c r="M385">
        <f t="shared" si="261"/>
        <v>3.2145624959929453E-3</v>
      </c>
      <c r="N385">
        <f t="shared" si="262"/>
        <v>5.8593913170180772E-4</v>
      </c>
      <c r="O385" s="8">
        <f t="shared" si="242"/>
        <v>0.1814385111304879</v>
      </c>
      <c r="P385">
        <f t="shared" si="243"/>
        <v>4.3807036684750393</v>
      </c>
      <c r="Q385">
        <f t="shared" si="263"/>
        <v>2.5243462880179699</v>
      </c>
      <c r="R385" s="89">
        <f t="shared" si="229"/>
        <v>5000</v>
      </c>
      <c r="S385">
        <f t="shared" si="230"/>
        <v>0.83333333333333215</v>
      </c>
      <c r="U385">
        <f>O384*AV384*'Real assumptions'!$B$33/12+AX385*'Real assumptions'!$B$34</f>
        <v>2.7474786863154974</v>
      </c>
      <c r="V385">
        <f>IF(P385=0,0,IF(E385&lt;=$C$7,$AN$5*O384,0))*'Real assumptions'!$D$28</f>
        <v>1.0951759171187598</v>
      </c>
      <c r="X385" s="94">
        <f t="shared" si="244"/>
        <v>0</v>
      </c>
      <c r="Y385">
        <f t="shared" si="231"/>
        <v>24</v>
      </c>
      <c r="Z385">
        <f t="shared" si="264"/>
        <v>67</v>
      </c>
      <c r="AA385">
        <f t="shared" si="232"/>
        <v>67.833333333333329</v>
      </c>
      <c r="AB385">
        <f t="shared" si="245"/>
        <v>50.505050505050505</v>
      </c>
      <c r="AC385">
        <f t="shared" si="265"/>
        <v>3425.9259259259256</v>
      </c>
      <c r="AD385">
        <f t="shared" si="246"/>
        <v>80.505050505050505</v>
      </c>
      <c r="AE385">
        <f t="shared" si="247"/>
        <v>273.04629629629625</v>
      </c>
      <c r="AF385" s="94">
        <f t="shared" si="248"/>
        <v>1301.0277777777781</v>
      </c>
      <c r="AG385">
        <f t="shared" si="266"/>
        <v>0.76232308643104374</v>
      </c>
      <c r="AH385">
        <f t="shared" si="249"/>
        <v>236.05654293940731</v>
      </c>
      <c r="AI385">
        <f>HLOOKUP(AW385,'Real assumptions'!$A$21:$AK$24,2,TRUE)</f>
        <v>2.2197</v>
      </c>
      <c r="AJ385" s="123">
        <f t="shared" si="267"/>
        <v>1.831193966759237E-3</v>
      </c>
      <c r="AK385" s="122">
        <f>(1+HLOOKUP(YEAR(A385),'Real assumptions'!$A$21:$AK$24,2,TRUE)/100)^(1/12)-1</f>
        <v>1.831193966759237E-3</v>
      </c>
      <c r="AL385">
        <f t="shared" si="268"/>
        <v>2.7474786863154974</v>
      </c>
      <c r="AM385">
        <f>('Real assumptions'!$B$33/12)*O384*AV384</f>
        <v>2.6827402379304406</v>
      </c>
      <c r="AN385">
        <f t="shared" si="250"/>
        <v>237.18431576038992</v>
      </c>
      <c r="AO385">
        <f t="shared" si="272"/>
        <v>0.4343304880303438</v>
      </c>
      <c r="AP385" s="121">
        <f t="shared" si="251"/>
        <v>0.4343304880303438</v>
      </c>
      <c r="AQ385">
        <f t="shared" si="252"/>
        <v>0</v>
      </c>
      <c r="AR385">
        <v>0</v>
      </c>
      <c r="AS385">
        <f t="shared" si="233"/>
        <v>0</v>
      </c>
      <c r="AT385">
        <f t="shared" si="253"/>
        <v>0</v>
      </c>
      <c r="AU385">
        <f>IFERROR(HLOOKUP(B385,'Real assumptions'!$B$43:$AL$44,2,TRUE)*($W$3/$U$2),0)</f>
        <v>0</v>
      </c>
      <c r="AV385">
        <f>AV384*(1+'Real assumptions'!$B$35)^(1/12)</f>
        <v>1.4712808235441501</v>
      </c>
      <c r="AW385">
        <f t="shared" si="234"/>
        <v>2050</v>
      </c>
      <c r="AX385">
        <f t="shared" si="269"/>
        <v>236.31931181998036</v>
      </c>
      <c r="AY385">
        <f t="shared" si="270"/>
        <v>0.76822104174997174</v>
      </c>
      <c r="AZ385">
        <f t="shared" si="235"/>
        <v>560.00912044139386</v>
      </c>
      <c r="BA385">
        <f t="shared" si="254"/>
        <v>4.3818452915677737</v>
      </c>
      <c r="BB385">
        <f t="shared" si="255"/>
        <v>67.833333333333329</v>
      </c>
      <c r="BC385">
        <f t="shared" si="236"/>
        <v>40.699999999999996</v>
      </c>
      <c r="BD385">
        <f t="shared" si="256"/>
        <v>0</v>
      </c>
      <c r="BE385">
        <f t="shared" si="237"/>
        <v>24</v>
      </c>
      <c r="BF385">
        <f t="shared" si="271"/>
        <v>5000</v>
      </c>
      <c r="BU385"/>
      <c r="FD385"/>
      <c r="FE385"/>
    </row>
    <row r="386" spans="1:161" x14ac:dyDescent="0.25">
      <c r="A386" s="7">
        <f t="shared" si="257"/>
        <v>54847</v>
      </c>
      <c r="B386">
        <f t="shared" si="238"/>
        <v>375</v>
      </c>
      <c r="C386">
        <f t="shared" si="239"/>
        <v>31.166666666666664</v>
      </c>
      <c r="D386">
        <f t="shared" si="240"/>
        <v>0</v>
      </c>
      <c r="E386">
        <f t="shared" si="241"/>
        <v>83</v>
      </c>
      <c r="F386">
        <f>IF(C386&gt;=$T$2,0,VLOOKUP($E386,EKM_F05!$A$3:$C$128,2,TRUE))</f>
        <v>7.8464102564102564E-2</v>
      </c>
      <c r="G386">
        <f>F386*'Real assumptions'!$B$3</f>
        <v>3.2743069999999999E-2</v>
      </c>
      <c r="H386">
        <f t="shared" si="258"/>
        <v>2.7704153621982419E-3</v>
      </c>
      <c r="I386">
        <f t="shared" si="259"/>
        <v>5.0185212247623348E-4</v>
      </c>
      <c r="J386">
        <f>IF(B386&gt;$AJ$2,0,HLOOKUP(C386,'Real assumptions'!$B$5:$L$8,4,TRUE))</f>
        <v>3.7900000000000003E-2</v>
      </c>
      <c r="K386">
        <f t="shared" si="228"/>
        <v>1</v>
      </c>
      <c r="L386">
        <f t="shared" si="260"/>
        <v>8.3333333333333329E-2</v>
      </c>
      <c r="M386">
        <f t="shared" si="261"/>
        <v>3.2145624959929453E-3</v>
      </c>
      <c r="N386">
        <f t="shared" si="262"/>
        <v>5.8243751715481799E-4</v>
      </c>
      <c r="O386" s="8">
        <f t="shared" si="242"/>
        <v>0.18035422149085686</v>
      </c>
      <c r="P386">
        <f t="shared" si="243"/>
        <v>4.3545242671317093</v>
      </c>
      <c r="Q386">
        <f t="shared" si="263"/>
        <v>2.5092606123811674</v>
      </c>
      <c r="R386" s="89">
        <f t="shared" si="229"/>
        <v>5000</v>
      </c>
      <c r="S386">
        <f t="shared" si="230"/>
        <v>0.75</v>
      </c>
      <c r="U386">
        <f>O385*AV385*'Real assumptions'!$B$33/12+AX386*'Real assumptions'!$B$34</f>
        <v>2.7341664352554647</v>
      </c>
      <c r="V386">
        <f>IF(P386=0,0,IF(E386&lt;=$C$7,$AN$5*O385,0))*'Real assumptions'!$D$28</f>
        <v>1.0886310667829273</v>
      </c>
      <c r="X386" s="94">
        <f t="shared" si="244"/>
        <v>0</v>
      </c>
      <c r="Y386">
        <f t="shared" si="231"/>
        <v>24</v>
      </c>
      <c r="Z386">
        <f t="shared" si="264"/>
        <v>67</v>
      </c>
      <c r="AA386">
        <f t="shared" si="232"/>
        <v>67.75</v>
      </c>
      <c r="AB386">
        <f t="shared" si="245"/>
        <v>50.505050505050505</v>
      </c>
      <c r="AC386">
        <f t="shared" si="265"/>
        <v>3421.7171717171718</v>
      </c>
      <c r="AD386">
        <f t="shared" si="246"/>
        <v>80.505050505050505</v>
      </c>
      <c r="AE386">
        <f t="shared" si="247"/>
        <v>272.7108585858586</v>
      </c>
      <c r="AF386" s="94">
        <f t="shared" si="248"/>
        <v>1305.5719696969695</v>
      </c>
      <c r="AG386">
        <f t="shared" si="266"/>
        <v>0.76041409649722824</v>
      </c>
      <c r="AH386">
        <f t="shared" si="249"/>
        <v>235.46541619498151</v>
      </c>
      <c r="AI386">
        <f>HLOOKUP(AW386,'Real assumptions'!$A$21:$AK$24,2,TRUE)</f>
        <v>2.2197</v>
      </c>
      <c r="AJ386" s="123">
        <f t="shared" si="267"/>
        <v>1.831193966759237E-3</v>
      </c>
      <c r="AK386" s="122">
        <f>(1+HLOOKUP(YEAR(A386),'Real assumptions'!$A$21:$AK$24,2,TRUE)/100)^(1/12)-1</f>
        <v>1.831193966759237E-3</v>
      </c>
      <c r="AL386">
        <f t="shared" si="268"/>
        <v>2.7341664352554647</v>
      </c>
      <c r="AM386">
        <f>('Real assumptions'!$B$33/12)*O385*AV385</f>
        <v>2.6694700207868869</v>
      </c>
      <c r="AN386">
        <f t="shared" si="250"/>
        <v>237.02260019253094</v>
      </c>
      <c r="AO386">
        <f t="shared" si="272"/>
        <v>0.43403435545814945</v>
      </c>
      <c r="AP386" s="121">
        <f t="shared" si="251"/>
        <v>0.86836484348849319</v>
      </c>
      <c r="AQ386">
        <f t="shared" si="252"/>
        <v>0</v>
      </c>
      <c r="AR386">
        <v>0</v>
      </c>
      <c r="AS386">
        <f t="shared" si="233"/>
        <v>0</v>
      </c>
      <c r="AT386">
        <f t="shared" si="253"/>
        <v>0</v>
      </c>
      <c r="AU386">
        <f>IFERROR(HLOOKUP(B386,'Real assumptions'!$B$43:$AL$44,2,TRUE)*($W$3/$U$2),0)</f>
        <v>0</v>
      </c>
      <c r="AV386">
        <f>AV385*(1+'Real assumptions'!$B$35)^(1/12)</f>
        <v>1.4728046967936381</v>
      </c>
      <c r="AW386">
        <f t="shared" si="234"/>
        <v>2050</v>
      </c>
      <c r="AX386">
        <f t="shared" si="269"/>
        <v>236.16587245800525</v>
      </c>
      <c r="AY386">
        <f t="shared" si="270"/>
        <v>0.76363009735053822</v>
      </c>
      <c r="AZ386">
        <f t="shared" si="235"/>
        <v>558.29665782029133</v>
      </c>
      <c r="BA386">
        <f t="shared" si="254"/>
        <v>4.3583057756613233</v>
      </c>
      <c r="BB386">
        <f t="shared" si="255"/>
        <v>67.75</v>
      </c>
      <c r="BC386">
        <f t="shared" si="236"/>
        <v>40.65</v>
      </c>
      <c r="BD386">
        <f t="shared" si="256"/>
        <v>0</v>
      </c>
      <c r="BE386">
        <f t="shared" si="237"/>
        <v>24</v>
      </c>
      <c r="BF386">
        <f t="shared" si="271"/>
        <v>5000</v>
      </c>
      <c r="BU386"/>
      <c r="FD386"/>
      <c r="FE386"/>
    </row>
    <row r="387" spans="1:161" x14ac:dyDescent="0.25">
      <c r="A387" s="7">
        <f t="shared" si="257"/>
        <v>54878</v>
      </c>
      <c r="B387">
        <f t="shared" si="238"/>
        <v>376</v>
      </c>
      <c r="C387">
        <f t="shared" si="239"/>
        <v>31.25</v>
      </c>
      <c r="D387">
        <f t="shared" si="240"/>
        <v>0</v>
      </c>
      <c r="E387">
        <f t="shared" si="241"/>
        <v>83</v>
      </c>
      <c r="F387">
        <f>IF(C387&gt;=$T$2,0,VLOOKUP($E387,EKM_F05!$A$3:$C$128,2,TRUE))</f>
        <v>7.8464102564102564E-2</v>
      </c>
      <c r="G387">
        <f>F387*'Real assumptions'!$B$3</f>
        <v>3.2743069999999999E-2</v>
      </c>
      <c r="H387">
        <f t="shared" si="258"/>
        <v>2.7704153621982419E-3</v>
      </c>
      <c r="I387">
        <f t="shared" si="259"/>
        <v>4.9885301796618556E-4</v>
      </c>
      <c r="J387">
        <f>IF(B387&gt;$AJ$2,0,HLOOKUP(C387,'Real assumptions'!$B$5:$L$8,4,TRUE))</f>
        <v>3.7900000000000003E-2</v>
      </c>
      <c r="K387">
        <f t="shared" si="228"/>
        <v>1</v>
      </c>
      <c r="L387">
        <f t="shared" si="260"/>
        <v>8.3333333333333329E-2</v>
      </c>
      <c r="M387">
        <f t="shared" si="261"/>
        <v>3.2145624959929453E-3</v>
      </c>
      <c r="N387">
        <f t="shared" si="262"/>
        <v>5.7895682850912474E-4</v>
      </c>
      <c r="O387" s="8">
        <f t="shared" si="242"/>
        <v>0.17927641164438157</v>
      </c>
      <c r="P387">
        <f t="shared" si="243"/>
        <v>4.3285013157805645</v>
      </c>
      <c r="Q387">
        <f t="shared" si="263"/>
        <v>2.494265089830928</v>
      </c>
      <c r="R387" s="89">
        <f t="shared" si="229"/>
        <v>5000</v>
      </c>
      <c r="S387">
        <f t="shared" si="230"/>
        <v>0.66666666666666785</v>
      </c>
      <c r="U387">
        <f>O386*AV386*'Real assumptions'!$B$33/12+AX387*'Real assumptions'!$B$34</f>
        <v>2.7209193568708825</v>
      </c>
      <c r="V387">
        <f>IF(P387=0,0,IF(E387&lt;=$C$7,$AN$5*O386,0))*'Real assumptions'!$D$28</f>
        <v>1.0821253289451411</v>
      </c>
      <c r="X387" s="94">
        <f t="shared" si="244"/>
        <v>0</v>
      </c>
      <c r="Y387">
        <f t="shared" si="231"/>
        <v>24</v>
      </c>
      <c r="Z387">
        <f t="shared" si="264"/>
        <v>67</v>
      </c>
      <c r="AA387">
        <f t="shared" si="232"/>
        <v>67.666666666666671</v>
      </c>
      <c r="AB387">
        <f t="shared" si="245"/>
        <v>50.505050505050505</v>
      </c>
      <c r="AC387">
        <f t="shared" si="265"/>
        <v>3417.5084175084176</v>
      </c>
      <c r="AD387">
        <f t="shared" si="246"/>
        <v>80.505050505050505</v>
      </c>
      <c r="AE387">
        <f t="shared" si="247"/>
        <v>272.3754208754209</v>
      </c>
      <c r="AF387" s="94">
        <f t="shared" si="248"/>
        <v>1310.1161616161617</v>
      </c>
      <c r="AG387">
        <f t="shared" si="266"/>
        <v>0.75850069790784092</v>
      </c>
      <c r="AH387">
        <f t="shared" si="249"/>
        <v>234.87292429185612</v>
      </c>
      <c r="AI387">
        <f>HLOOKUP(AW387,'Real assumptions'!$A$21:$AK$24,2,TRUE)</f>
        <v>2.2197</v>
      </c>
      <c r="AJ387" s="123">
        <f t="shared" si="267"/>
        <v>1.831193966759237E-3</v>
      </c>
      <c r="AK387" s="122">
        <f>(1+HLOOKUP(YEAR(A387),'Real assumptions'!$A$21:$AK$24,2,TRUE)/100)^(1/12)-1</f>
        <v>1.831193966759237E-3</v>
      </c>
      <c r="AL387">
        <f t="shared" si="268"/>
        <v>2.7209193568708825</v>
      </c>
      <c r="AM387">
        <f>('Real assumptions'!$B$33/12)*O386*AV386</f>
        <v>2.656265444982941</v>
      </c>
      <c r="AN387">
        <f t="shared" si="250"/>
        <v>236.85923766843453</v>
      </c>
      <c r="AO387">
        <f t="shared" si="272"/>
        <v>0.43373520698962953</v>
      </c>
      <c r="AP387" s="121">
        <f t="shared" si="251"/>
        <v>1.3021000504781228</v>
      </c>
      <c r="AQ387">
        <f t="shared" si="252"/>
        <v>0</v>
      </c>
      <c r="AR387">
        <v>0</v>
      </c>
      <c r="AS387">
        <f t="shared" si="233"/>
        <v>0</v>
      </c>
      <c r="AT387">
        <f t="shared" si="253"/>
        <v>0</v>
      </c>
      <c r="AU387">
        <f>IFERROR(HLOOKUP(B387,'Real assumptions'!$B$43:$AL$44,2,TRUE)*($W$3/$U$2),0)</f>
        <v>0</v>
      </c>
      <c r="AV387">
        <f>AV386*(1+'Real assumptions'!$B$35)^(1/12)</f>
        <v>1.4743301483887712</v>
      </c>
      <c r="AW387">
        <f t="shared" si="234"/>
        <v>2050</v>
      </c>
      <c r="AX387">
        <f t="shared" si="269"/>
        <v>236.01072229829111</v>
      </c>
      <c r="AY387">
        <f t="shared" si="270"/>
        <v>0.75906658876623256</v>
      </c>
      <c r="AZ387">
        <f t="shared" si="235"/>
        <v>556.59169813397943</v>
      </c>
      <c r="BA387">
        <f t="shared" si="254"/>
        <v>4.3348911166839095</v>
      </c>
      <c r="BB387">
        <f t="shared" si="255"/>
        <v>67.666666666666671</v>
      </c>
      <c r="BC387">
        <f t="shared" si="236"/>
        <v>40.6</v>
      </c>
      <c r="BD387">
        <f t="shared" si="256"/>
        <v>0</v>
      </c>
      <c r="BE387">
        <f t="shared" si="237"/>
        <v>24</v>
      </c>
      <c r="BF387">
        <f t="shared" si="271"/>
        <v>5000</v>
      </c>
      <c r="BU387"/>
      <c r="FD387"/>
      <c r="FE387"/>
    </row>
    <row r="388" spans="1:161" x14ac:dyDescent="0.25">
      <c r="A388" s="7">
        <f t="shared" si="257"/>
        <v>54908</v>
      </c>
      <c r="B388">
        <f t="shared" si="238"/>
        <v>377</v>
      </c>
      <c r="C388">
        <f t="shared" si="239"/>
        <v>31.333333333333336</v>
      </c>
      <c r="D388">
        <f t="shared" si="240"/>
        <v>0</v>
      </c>
      <c r="E388">
        <f t="shared" si="241"/>
        <v>83</v>
      </c>
      <c r="F388">
        <f>IF(C388&gt;=$T$2,0,VLOOKUP($E388,EKM_F05!$A$3:$C$128,2,TRUE))</f>
        <v>7.8464102564102564E-2</v>
      </c>
      <c r="G388">
        <f>F388*'Real assumptions'!$B$3</f>
        <v>3.2743069999999999E-2</v>
      </c>
      <c r="H388">
        <f t="shared" si="258"/>
        <v>2.7704153621982419E-3</v>
      </c>
      <c r="I388">
        <f t="shared" si="259"/>
        <v>4.9587183632117968E-4</v>
      </c>
      <c r="J388">
        <f>IF(B388&gt;$AJ$2,0,HLOOKUP(C388,'Real assumptions'!$B$5:$L$8,4,TRUE))</f>
        <v>3.7900000000000003E-2</v>
      </c>
      <c r="K388">
        <f t="shared" si="228"/>
        <v>1</v>
      </c>
      <c r="L388">
        <f t="shared" si="260"/>
        <v>8.3333333333333329E-2</v>
      </c>
      <c r="M388">
        <f t="shared" si="261"/>
        <v>3.2145624959929453E-3</v>
      </c>
      <c r="N388">
        <f t="shared" si="262"/>
        <v>5.7549694071003113E-4</v>
      </c>
      <c r="O388" s="8">
        <f t="shared" si="242"/>
        <v>0.17820504286735037</v>
      </c>
      <c r="P388">
        <f t="shared" si="243"/>
        <v>4.3026338794651577</v>
      </c>
      <c r="Q388">
        <f t="shared" si="263"/>
        <v>2.4793591816058984</v>
      </c>
      <c r="R388" s="89">
        <f t="shared" si="229"/>
        <v>5000</v>
      </c>
      <c r="S388">
        <f t="shared" si="230"/>
        <v>0.58333333333333215</v>
      </c>
      <c r="U388">
        <f>O387*AV387*'Real assumptions'!$B$33/12+AX388*'Real assumptions'!$B$34</f>
        <v>2.7077371360220224</v>
      </c>
      <c r="V388">
        <f>IF(P388=0,0,IF(E388&lt;=$C$7,$AN$5*O387,0))*'Real assumptions'!$D$28</f>
        <v>1.0756584698662894</v>
      </c>
      <c r="X388" s="94">
        <f t="shared" si="244"/>
        <v>0</v>
      </c>
      <c r="Y388">
        <f t="shared" si="231"/>
        <v>24</v>
      </c>
      <c r="Z388">
        <f t="shared" si="264"/>
        <v>67</v>
      </c>
      <c r="AA388">
        <f t="shared" si="232"/>
        <v>67.583333333333329</v>
      </c>
      <c r="AB388">
        <f t="shared" si="245"/>
        <v>50.505050505050505</v>
      </c>
      <c r="AC388">
        <f t="shared" si="265"/>
        <v>3413.2996632996633</v>
      </c>
      <c r="AD388">
        <f t="shared" si="246"/>
        <v>80.505050505050505</v>
      </c>
      <c r="AE388">
        <f t="shared" si="247"/>
        <v>272.03998316498314</v>
      </c>
      <c r="AF388" s="94">
        <f t="shared" si="248"/>
        <v>1314.6603535353536</v>
      </c>
      <c r="AG388">
        <f t="shared" si="266"/>
        <v>0.75658301153236396</v>
      </c>
      <c r="AH388">
        <f t="shared" si="249"/>
        <v>234.27910465777367</v>
      </c>
      <c r="AI388">
        <f>HLOOKUP(AW388,'Real assumptions'!$A$21:$AK$24,2,TRUE)</f>
        <v>2.2197</v>
      </c>
      <c r="AJ388" s="123">
        <f t="shared" si="267"/>
        <v>1.831193966759237E-3</v>
      </c>
      <c r="AK388" s="122">
        <f>(1+HLOOKUP(YEAR(A388),'Real assumptions'!$A$21:$AK$24,2,TRUE)/100)^(1/12)-1</f>
        <v>1.831193966759237E-3</v>
      </c>
      <c r="AL388">
        <f t="shared" si="268"/>
        <v>2.7077371360220224</v>
      </c>
      <c r="AM388">
        <f>('Real assumptions'!$B$33/12)*O387*AV387</f>
        <v>2.6431261858226751</v>
      </c>
      <c r="AN388">
        <f t="shared" si="250"/>
        <v>236.6942626159111</v>
      </c>
      <c r="AO388">
        <f t="shared" si="272"/>
        <v>0.43343310566878279</v>
      </c>
      <c r="AP388" s="121">
        <f t="shared" si="251"/>
        <v>1.7355331561469056</v>
      </c>
      <c r="AQ388">
        <f t="shared" si="252"/>
        <v>0</v>
      </c>
      <c r="AR388">
        <v>0</v>
      </c>
      <c r="AS388">
        <f t="shared" si="233"/>
        <v>0</v>
      </c>
      <c r="AT388">
        <f t="shared" si="253"/>
        <v>0</v>
      </c>
      <c r="AU388">
        <f>IFERROR(HLOOKUP(B388,'Real assumptions'!$B$43:$AL$44,2,TRUE)*($W$3/$U$2),0)</f>
        <v>0</v>
      </c>
      <c r="AV388">
        <f>AV387*(1+'Real assumptions'!$B$35)^(1/12)</f>
        <v>1.4758571799643145</v>
      </c>
      <c r="AW388">
        <f t="shared" si="234"/>
        <v>2050</v>
      </c>
      <c r="AX388">
        <f t="shared" si="269"/>
        <v>235.8538962245066</v>
      </c>
      <c r="AY388">
        <f t="shared" si="270"/>
        <v>0.75453035203864294</v>
      </c>
      <c r="AZ388">
        <f t="shared" si="235"/>
        <v>554.89422157398917</v>
      </c>
      <c r="BA388">
        <f t="shared" si="254"/>
        <v>4.311600663004552</v>
      </c>
      <c r="BB388">
        <f t="shared" si="255"/>
        <v>67.583333333333329</v>
      </c>
      <c r="BC388">
        <f t="shared" si="236"/>
        <v>40.549999999999997</v>
      </c>
      <c r="BD388">
        <f t="shared" si="256"/>
        <v>0</v>
      </c>
      <c r="BE388">
        <f t="shared" si="237"/>
        <v>24</v>
      </c>
      <c r="BF388">
        <f t="shared" si="271"/>
        <v>5000</v>
      </c>
      <c r="BU388"/>
      <c r="FD388"/>
      <c r="FE388"/>
    </row>
    <row r="389" spans="1:161" x14ac:dyDescent="0.25">
      <c r="A389" s="7">
        <f t="shared" si="257"/>
        <v>54939</v>
      </c>
      <c r="B389">
        <f t="shared" si="238"/>
        <v>378</v>
      </c>
      <c r="C389">
        <f t="shared" si="239"/>
        <v>31.416666666666664</v>
      </c>
      <c r="D389">
        <f t="shared" si="240"/>
        <v>0</v>
      </c>
      <c r="E389">
        <f t="shared" si="241"/>
        <v>83</v>
      </c>
      <c r="F389">
        <f>IF(C389&gt;=$T$2,0,VLOOKUP($E389,EKM_F05!$A$3:$C$128,2,TRUE))</f>
        <v>7.8464102564102564E-2</v>
      </c>
      <c r="G389">
        <f>F389*'Real assumptions'!$B$3</f>
        <v>3.2743069999999999E-2</v>
      </c>
      <c r="H389">
        <f t="shared" si="258"/>
        <v>2.7704153621982419E-3</v>
      </c>
      <c r="I389">
        <f t="shared" si="259"/>
        <v>4.9290847043288049E-4</v>
      </c>
      <c r="J389">
        <f>IF(B389&gt;$AJ$2,0,HLOOKUP(C389,'Real assumptions'!$B$5:$L$8,4,TRUE))</f>
        <v>3.7900000000000003E-2</v>
      </c>
      <c r="K389">
        <f t="shared" si="228"/>
        <v>1</v>
      </c>
      <c r="L389">
        <f t="shared" si="260"/>
        <v>8.3333333333333329E-2</v>
      </c>
      <c r="M389">
        <f t="shared" si="261"/>
        <v>3.2145624959929453E-3</v>
      </c>
      <c r="N389">
        <f t="shared" si="262"/>
        <v>5.7205772945017632E-4</v>
      </c>
      <c r="O389" s="8">
        <f t="shared" si="242"/>
        <v>0.17714007666746731</v>
      </c>
      <c r="P389">
        <f t="shared" si="243"/>
        <v>4.2769210288164086</v>
      </c>
      <c r="Q389">
        <f t="shared" si="263"/>
        <v>2.4645423521644023</v>
      </c>
      <c r="R389" s="89">
        <f t="shared" si="229"/>
        <v>5000</v>
      </c>
      <c r="S389">
        <f t="shared" si="230"/>
        <v>0.5</v>
      </c>
      <c r="U389">
        <f>O388*AV388*'Real assumptions'!$B$33/12+AX389*'Real assumptions'!$B$34</f>
        <v>2.6946194590822898</v>
      </c>
      <c r="V389">
        <f>IF(P389=0,0,IF(E389&lt;=$C$7,$AN$5*O388,0))*'Real assumptions'!$D$28</f>
        <v>1.0692302572041021</v>
      </c>
      <c r="X389" s="94">
        <f t="shared" si="244"/>
        <v>0</v>
      </c>
      <c r="Y389">
        <f t="shared" si="231"/>
        <v>24</v>
      </c>
      <c r="Z389">
        <f t="shared" si="264"/>
        <v>67</v>
      </c>
      <c r="AA389">
        <f t="shared" si="232"/>
        <v>67.5</v>
      </c>
      <c r="AB389">
        <f t="shared" si="245"/>
        <v>50.505050505050505</v>
      </c>
      <c r="AC389">
        <f t="shared" si="265"/>
        <v>3409.090909090909</v>
      </c>
      <c r="AD389">
        <f t="shared" si="246"/>
        <v>80.505050505050505</v>
      </c>
      <c r="AE389">
        <f t="shared" si="247"/>
        <v>271.70454545454544</v>
      </c>
      <c r="AF389" s="94">
        <f t="shared" si="248"/>
        <v>1319.2045454545455</v>
      </c>
      <c r="AG389">
        <f t="shared" si="266"/>
        <v>0.75466115695307923</v>
      </c>
      <c r="AH389">
        <f t="shared" si="249"/>
        <v>233.68399432188954</v>
      </c>
      <c r="AI389">
        <f>HLOOKUP(AW389,'Real assumptions'!$A$21:$AK$24,2,TRUE)</f>
        <v>2.2197</v>
      </c>
      <c r="AJ389" s="123">
        <f t="shared" si="267"/>
        <v>1.831193966759237E-3</v>
      </c>
      <c r="AK389" s="122">
        <f>(1+HLOOKUP(YEAR(A389),'Real assumptions'!$A$21:$AK$24,2,TRUE)/100)^(1/12)-1</f>
        <v>1.831193966759237E-3</v>
      </c>
      <c r="AL389">
        <f t="shared" si="268"/>
        <v>2.6946194590822898</v>
      </c>
      <c r="AM389">
        <f>('Real assumptions'!$B$33/12)*O388*AV388</f>
        <v>2.6300519202162751</v>
      </c>
      <c r="AN389">
        <f t="shared" si="250"/>
        <v>236.52770912645059</v>
      </c>
      <c r="AO389">
        <f t="shared" si="272"/>
        <v>0.43312811392374001</v>
      </c>
      <c r="AP389" s="121">
        <f t="shared" si="251"/>
        <v>2.1686612700706456</v>
      </c>
      <c r="AQ389">
        <f t="shared" si="252"/>
        <v>0</v>
      </c>
      <c r="AR389">
        <v>0</v>
      </c>
      <c r="AS389">
        <f t="shared" si="233"/>
        <v>0</v>
      </c>
      <c r="AT389">
        <f t="shared" si="253"/>
        <v>0</v>
      </c>
      <c r="AU389">
        <f>IFERROR(HLOOKUP(B389,'Real assumptions'!$B$43:$AL$44,2,TRUE)*($W$3/$U$2),0)</f>
        <v>0</v>
      </c>
      <c r="AV389">
        <f>AV388*(1+'Real assumptions'!$B$35)^(1/12)</f>
        <v>1.4773857931567265</v>
      </c>
      <c r="AW389">
        <f t="shared" si="234"/>
        <v>2050</v>
      </c>
      <c r="AX389">
        <f t="shared" si="269"/>
        <v>235.69542878090567</v>
      </c>
      <c r="AY389">
        <f t="shared" si="270"/>
        <v>0.75002122418918504</v>
      </c>
      <c r="AZ389">
        <f t="shared" si="235"/>
        <v>553.20420832813761</v>
      </c>
      <c r="BA389">
        <f t="shared" si="254"/>
        <v>4.2884337663215835</v>
      </c>
      <c r="BB389">
        <f t="shared" si="255"/>
        <v>67.5</v>
      </c>
      <c r="BC389">
        <f t="shared" si="236"/>
        <v>40.5</v>
      </c>
      <c r="BD389">
        <f t="shared" si="256"/>
        <v>0</v>
      </c>
      <c r="BE389">
        <f t="shared" si="237"/>
        <v>24</v>
      </c>
      <c r="BF389">
        <f t="shared" si="271"/>
        <v>5000</v>
      </c>
      <c r="BU389"/>
      <c r="FD389"/>
      <c r="FE389"/>
    </row>
    <row r="390" spans="1:161" x14ac:dyDescent="0.25">
      <c r="A390" s="7">
        <f t="shared" si="257"/>
        <v>54969</v>
      </c>
      <c r="B390">
        <f t="shared" si="238"/>
        <v>379</v>
      </c>
      <c r="C390">
        <f t="shared" si="239"/>
        <v>31.5</v>
      </c>
      <c r="D390">
        <f t="shared" si="240"/>
        <v>0</v>
      </c>
      <c r="E390">
        <f t="shared" si="241"/>
        <v>83</v>
      </c>
      <c r="F390">
        <f>IF(C390&gt;=$T$2,0,VLOOKUP($E390,EKM_F05!$A$3:$C$128,2,TRUE))</f>
        <v>7.8464102564102564E-2</v>
      </c>
      <c r="G390">
        <f>F390*'Real assumptions'!$B$3</f>
        <v>3.2743069999999999E-2</v>
      </c>
      <c r="H390">
        <f t="shared" si="258"/>
        <v>2.7704153621982419E-3</v>
      </c>
      <c r="I390">
        <f t="shared" si="259"/>
        <v>4.8996281383303995E-4</v>
      </c>
      <c r="J390">
        <f>IF(B390&gt;$AJ$2,0,HLOOKUP(C390,'Real assumptions'!$B$5:$L$8,4,TRUE))</f>
        <v>3.7900000000000003E-2</v>
      </c>
      <c r="K390">
        <f t="shared" si="228"/>
        <v>1</v>
      </c>
      <c r="L390">
        <f t="shared" si="260"/>
        <v>8.3333333333333329E-2</v>
      </c>
      <c r="M390">
        <f t="shared" si="261"/>
        <v>3.2145624959929453E-3</v>
      </c>
      <c r="N390">
        <f t="shared" si="262"/>
        <v>5.6863907116506951E-4</v>
      </c>
      <c r="O390" s="8">
        <f t="shared" si="242"/>
        <v>0.17608147478246922</v>
      </c>
      <c r="P390">
        <f t="shared" si="243"/>
        <v>4.2513618400192152</v>
      </c>
      <c r="Q390">
        <f t="shared" si="263"/>
        <v>2.4498140691651997</v>
      </c>
      <c r="R390" s="89">
        <f t="shared" si="229"/>
        <v>5000</v>
      </c>
      <c r="S390">
        <f t="shared" si="230"/>
        <v>0.41666666666666785</v>
      </c>
      <c r="U390">
        <f>O389*AV389*'Real assumptions'!$B$33/12+AX390*'Real assumptions'!$B$34</f>
        <v>2.6815660139310564</v>
      </c>
      <c r="V390">
        <f>IF(P390=0,0,IF(E390&lt;=$C$7,$AN$5*O389,0))*'Real assumptions'!$D$28</f>
        <v>1.0628404600048038</v>
      </c>
      <c r="X390" s="94">
        <f t="shared" si="244"/>
        <v>0</v>
      </c>
      <c r="Y390">
        <f t="shared" si="231"/>
        <v>24</v>
      </c>
      <c r="Z390">
        <f t="shared" si="264"/>
        <v>67</v>
      </c>
      <c r="AA390">
        <f t="shared" si="232"/>
        <v>67.416666666666671</v>
      </c>
      <c r="AB390">
        <f t="shared" si="245"/>
        <v>50.505050505050505</v>
      </c>
      <c r="AC390">
        <f t="shared" si="265"/>
        <v>3404.8821548821552</v>
      </c>
      <c r="AD390">
        <f t="shared" si="246"/>
        <v>80.505050505050505</v>
      </c>
      <c r="AE390">
        <f t="shared" si="247"/>
        <v>271.36910774410774</v>
      </c>
      <c r="AF390" s="94">
        <f t="shared" si="248"/>
        <v>1323.7487373737372</v>
      </c>
      <c r="AG390">
        <f t="shared" si="266"/>
        <v>0.75273525247613549</v>
      </c>
      <c r="AH390">
        <f t="shared" si="249"/>
        <v>233.08762991819916</v>
      </c>
      <c r="AI390">
        <f>HLOOKUP(AW390,'Real assumptions'!$A$21:$AK$24,2,TRUE)</f>
        <v>2.2197</v>
      </c>
      <c r="AJ390" s="123">
        <f t="shared" si="267"/>
        <v>1.831193966759237E-3</v>
      </c>
      <c r="AK390" s="122">
        <f>(1+HLOOKUP(YEAR(A390),'Real assumptions'!$A$21:$AK$24,2,TRUE)/100)^(1/12)-1</f>
        <v>1.831193966759237E-3</v>
      </c>
      <c r="AL390">
        <f t="shared" si="268"/>
        <v>2.6815660139310564</v>
      </c>
      <c r="AM390">
        <f>('Real assumptions'!$B$33/12)*O389*AV389</f>
        <v>2.6170423266720952</v>
      </c>
      <c r="AN390">
        <f t="shared" si="250"/>
        <v>236.35961095804356</v>
      </c>
      <c r="AO390">
        <f t="shared" si="272"/>
        <v>0.4328202935719298</v>
      </c>
      <c r="AP390" s="121">
        <f t="shared" si="251"/>
        <v>2.6014815636425754</v>
      </c>
      <c r="AQ390">
        <f t="shared" si="252"/>
        <v>0</v>
      </c>
      <c r="AR390">
        <v>0</v>
      </c>
      <c r="AS390">
        <f t="shared" si="233"/>
        <v>0</v>
      </c>
      <c r="AT390">
        <f t="shared" si="253"/>
        <v>0</v>
      </c>
      <c r="AU390">
        <f>IFERROR(HLOOKUP(B390,'Real assumptions'!$B$43:$AL$44,2,TRUE)*($W$3/$U$2),0)</f>
        <v>0</v>
      </c>
      <c r="AV390">
        <f>AV389*(1+'Real assumptions'!$B$35)^(1/12)</f>
        <v>1.4789159896041606</v>
      </c>
      <c r="AW390">
        <f t="shared" si="234"/>
        <v>2050</v>
      </c>
      <c r="AX390">
        <f t="shared" si="269"/>
        <v>235.53535417516866</v>
      </c>
      <c r="AY390">
        <f t="shared" si="270"/>
        <v>0.74553904321324616</v>
      </c>
      <c r="AZ390">
        <f t="shared" si="235"/>
        <v>551.52163858125584</v>
      </c>
      <c r="BA390">
        <f t="shared" si="254"/>
        <v>4.2653897816461388</v>
      </c>
      <c r="BB390">
        <f t="shared" si="255"/>
        <v>67.416666666666671</v>
      </c>
      <c r="BC390">
        <f t="shared" si="236"/>
        <v>40.450000000000003</v>
      </c>
      <c r="BD390">
        <f t="shared" si="256"/>
        <v>0</v>
      </c>
      <c r="BE390">
        <f t="shared" si="237"/>
        <v>24</v>
      </c>
      <c r="BF390">
        <f t="shared" si="271"/>
        <v>5000</v>
      </c>
      <c r="BU390"/>
      <c r="FD390"/>
      <c r="FE390"/>
    </row>
    <row r="391" spans="1:161" x14ac:dyDescent="0.25">
      <c r="A391" s="7">
        <f t="shared" si="257"/>
        <v>55000</v>
      </c>
      <c r="B391">
        <f t="shared" si="238"/>
        <v>380</v>
      </c>
      <c r="C391">
        <f t="shared" si="239"/>
        <v>31.583333333333336</v>
      </c>
      <c r="D391">
        <f t="shared" si="240"/>
        <v>0</v>
      </c>
      <c r="E391">
        <f t="shared" si="241"/>
        <v>83</v>
      </c>
      <c r="F391">
        <f>IF(C391&gt;=$T$2,0,VLOOKUP($E391,EKM_F05!$A$3:$C$128,2,TRUE))</f>
        <v>7.8464102564102564E-2</v>
      </c>
      <c r="G391">
        <f>F391*'Real assumptions'!$B$3</f>
        <v>3.2743069999999999E-2</v>
      </c>
      <c r="H391">
        <f t="shared" si="258"/>
        <v>2.7704153621982419E-3</v>
      </c>
      <c r="I391">
        <f t="shared" si="259"/>
        <v>4.8703476068967196E-4</v>
      </c>
      <c r="J391">
        <f>IF(B391&gt;$AJ$2,0,HLOOKUP(C391,'Real assumptions'!$B$5:$L$8,4,TRUE))</f>
        <v>3.7900000000000003E-2</v>
      </c>
      <c r="K391">
        <f t="shared" si="228"/>
        <v>1</v>
      </c>
      <c r="L391">
        <f t="shared" si="260"/>
        <v>8.3333333333333329E-2</v>
      </c>
      <c r="M391">
        <f t="shared" si="261"/>
        <v>3.2145624959929453E-3</v>
      </c>
      <c r="N391">
        <f t="shared" si="262"/>
        <v>5.6524084302864998E-4</v>
      </c>
      <c r="O391" s="8">
        <f t="shared" si="242"/>
        <v>0.1750291991787509</v>
      </c>
      <c r="P391">
        <f t="shared" si="243"/>
        <v>4.2259553947792607</v>
      </c>
      <c r="Q391">
        <f t="shared" si="263"/>
        <v>2.4351738034483597</v>
      </c>
      <c r="R391" s="89">
        <f t="shared" si="229"/>
        <v>5000</v>
      </c>
      <c r="S391">
        <f t="shared" si="230"/>
        <v>0.33333333333333215</v>
      </c>
      <c r="U391">
        <f>O390*AV390*'Real assumptions'!$B$33/12+AX391*'Real assumptions'!$B$34</f>
        <v>2.6685764899465259</v>
      </c>
      <c r="V391">
        <f>IF(P391=0,0,IF(E391&lt;=$C$7,$AN$5*O390,0))*'Real assumptions'!$D$28</f>
        <v>1.0564888486948152</v>
      </c>
      <c r="X391" s="94">
        <f t="shared" si="244"/>
        <v>0</v>
      </c>
      <c r="Y391">
        <f t="shared" si="231"/>
        <v>24</v>
      </c>
      <c r="Z391">
        <f t="shared" si="264"/>
        <v>67</v>
      </c>
      <c r="AA391">
        <f t="shared" si="232"/>
        <v>67.333333333333329</v>
      </c>
      <c r="AB391">
        <f t="shared" si="245"/>
        <v>50.505050505050505</v>
      </c>
      <c r="AC391">
        <f t="shared" si="265"/>
        <v>3400.6734006734005</v>
      </c>
      <c r="AD391">
        <f t="shared" si="246"/>
        <v>80.505050505050505</v>
      </c>
      <c r="AE391">
        <f t="shared" si="247"/>
        <v>271.03367003366998</v>
      </c>
      <c r="AF391" s="94">
        <f t="shared" si="248"/>
        <v>1328.2929292929296</v>
      </c>
      <c r="AG391">
        <f t="shared" si="266"/>
        <v>0.75080541514253052</v>
      </c>
      <c r="AH391">
        <f t="shared" si="249"/>
        <v>232.49004768893866</v>
      </c>
      <c r="AI391">
        <f>HLOOKUP(AW391,'Real assumptions'!$A$21:$AK$24,2,TRUE)</f>
        <v>2.2197</v>
      </c>
      <c r="AJ391" s="123">
        <f t="shared" si="267"/>
        <v>1.831193966759237E-3</v>
      </c>
      <c r="AK391" s="122">
        <f>(1+HLOOKUP(YEAR(A391),'Real assumptions'!$A$21:$AK$24,2,TRUE)/100)^(1/12)-1</f>
        <v>1.831193966759237E-3</v>
      </c>
      <c r="AL391">
        <f t="shared" si="268"/>
        <v>2.6685764899465259</v>
      </c>
      <c r="AM391">
        <f>('Real assumptions'!$B$33/12)*O390*AV390</f>
        <v>2.6040970852887551</v>
      </c>
      <c r="AN391">
        <f t="shared" si="250"/>
        <v>236.19000153797964</v>
      </c>
      <c r="AO391">
        <f t="shared" si="272"/>
        <v>0.43250970582520321</v>
      </c>
      <c r="AP391" s="121">
        <f t="shared" si="251"/>
        <v>3.0339912694677786</v>
      </c>
      <c r="AQ391">
        <f t="shared" si="252"/>
        <v>0</v>
      </c>
      <c r="AR391">
        <v>0</v>
      </c>
      <c r="AS391">
        <f t="shared" si="233"/>
        <v>0</v>
      </c>
      <c r="AT391">
        <f t="shared" si="253"/>
        <v>0</v>
      </c>
      <c r="AU391">
        <f>IFERROR(HLOOKUP(B391,'Real assumptions'!$B$43:$AL$44,2,TRUE)*($W$3/$U$2),0)</f>
        <v>0</v>
      </c>
      <c r="AV391">
        <f>AV390*(1+'Real assumptions'!$B$35)^(1/12)</f>
        <v>1.4804477709464667</v>
      </c>
      <c r="AW391">
        <f t="shared" si="234"/>
        <v>2050</v>
      </c>
      <c r="AX391">
        <f t="shared" si="269"/>
        <v>235.37370628122127</v>
      </c>
      <c r="AY391">
        <f t="shared" si="270"/>
        <v>0.74108364807436533</v>
      </c>
      <c r="AZ391">
        <f t="shared" si="235"/>
        <v>549.84649251590997</v>
      </c>
      <c r="BA391">
        <f t="shared" si="254"/>
        <v>4.2424680672857056</v>
      </c>
      <c r="BB391">
        <f t="shared" si="255"/>
        <v>67.333333333333329</v>
      </c>
      <c r="BC391">
        <f t="shared" si="236"/>
        <v>40.399999999999991</v>
      </c>
      <c r="BD391">
        <f t="shared" si="256"/>
        <v>0</v>
      </c>
      <c r="BE391">
        <f t="shared" si="237"/>
        <v>24</v>
      </c>
      <c r="BF391">
        <f t="shared" si="271"/>
        <v>5000</v>
      </c>
      <c r="BU391"/>
      <c r="FD391"/>
      <c r="FE391"/>
    </row>
    <row r="392" spans="1:161" x14ac:dyDescent="0.25">
      <c r="A392" s="7">
        <f t="shared" si="257"/>
        <v>55031</v>
      </c>
      <c r="B392">
        <f t="shared" si="238"/>
        <v>381</v>
      </c>
      <c r="C392">
        <f t="shared" si="239"/>
        <v>31.666666666666664</v>
      </c>
      <c r="D392">
        <f t="shared" si="240"/>
        <v>0</v>
      </c>
      <c r="E392">
        <f t="shared" si="241"/>
        <v>83</v>
      </c>
      <c r="F392">
        <f>IF(C392&gt;=$T$2,0,VLOOKUP($E392,EKM_F05!$A$3:$C$128,2,TRUE))</f>
        <v>7.8464102564102564E-2</v>
      </c>
      <c r="G392">
        <f>F392*'Real assumptions'!$B$3</f>
        <v>3.2743069999999999E-2</v>
      </c>
      <c r="H392">
        <f t="shared" si="258"/>
        <v>2.7704153621982419E-3</v>
      </c>
      <c r="I392">
        <f t="shared" si="259"/>
        <v>4.8412420580324982E-4</v>
      </c>
      <c r="J392">
        <f>IF(B392&gt;$AJ$2,0,HLOOKUP(C392,'Real assumptions'!$B$5:$L$8,4,TRUE))</f>
        <v>3.7900000000000003E-2</v>
      </c>
      <c r="K392">
        <f t="shared" si="228"/>
        <v>1</v>
      </c>
      <c r="L392">
        <f t="shared" si="260"/>
        <v>8.3333333333333329E-2</v>
      </c>
      <c r="M392">
        <f t="shared" si="261"/>
        <v>3.2145624959929453E-3</v>
      </c>
      <c r="N392">
        <f t="shared" si="262"/>
        <v>5.6186292294887433E-4</v>
      </c>
      <c r="O392" s="8">
        <f t="shared" si="242"/>
        <v>0.17398321204999878</v>
      </c>
      <c r="P392">
        <f t="shared" si="243"/>
        <v>4.2007007802900214</v>
      </c>
      <c r="Q392">
        <f t="shared" si="263"/>
        <v>2.4206210290162491</v>
      </c>
      <c r="R392" s="89">
        <f t="shared" si="229"/>
        <v>5000</v>
      </c>
      <c r="S392">
        <f t="shared" si="230"/>
        <v>0.25</v>
      </c>
      <c r="U392">
        <f>O391*AV391*'Real assumptions'!$B$33/12+AX392*'Real assumptions'!$B$34</f>
        <v>2.6556505779986357</v>
      </c>
      <c r="V392">
        <f>IF(P392=0,0,IF(E392&lt;=$C$7,$AN$5*O391,0))*'Real assumptions'!$D$28</f>
        <v>1.0501751950725053</v>
      </c>
      <c r="X392" s="94">
        <f t="shared" si="244"/>
        <v>0</v>
      </c>
      <c r="Y392">
        <f t="shared" si="231"/>
        <v>24</v>
      </c>
      <c r="Z392">
        <f t="shared" si="264"/>
        <v>67</v>
      </c>
      <c r="AA392">
        <f t="shared" si="232"/>
        <v>67.25</v>
      </c>
      <c r="AB392">
        <f t="shared" si="245"/>
        <v>50.505050505050505</v>
      </c>
      <c r="AC392">
        <f t="shared" si="265"/>
        <v>3396.4646464646466</v>
      </c>
      <c r="AD392">
        <f t="shared" si="246"/>
        <v>80.505050505050505</v>
      </c>
      <c r="AE392">
        <f t="shared" si="247"/>
        <v>270.69823232323233</v>
      </c>
      <c r="AF392" s="94">
        <f t="shared" si="248"/>
        <v>1332.837121212121</v>
      </c>
      <c r="AG392">
        <f t="shared" si="266"/>
        <v>0.74887176073900541</v>
      </c>
      <c r="AH392">
        <f t="shared" si="249"/>
        <v>231.89128348795839</v>
      </c>
      <c r="AI392">
        <f>HLOOKUP(AW392,'Real assumptions'!$A$21:$AK$24,2,TRUE)</f>
        <v>2.2197</v>
      </c>
      <c r="AJ392" s="123">
        <f t="shared" si="267"/>
        <v>1.831193966759237E-3</v>
      </c>
      <c r="AK392" s="122">
        <f>(1+HLOOKUP(YEAR(A392),'Real assumptions'!$A$21:$AK$24,2,TRUE)/100)^(1/12)-1</f>
        <v>1.831193966759237E-3</v>
      </c>
      <c r="AL392">
        <f t="shared" si="268"/>
        <v>2.6556505779986357</v>
      </c>
      <c r="AM392">
        <f>('Real assumptions'!$B$33/12)*O391*AV391</f>
        <v>2.5912158777472691</v>
      </c>
      <c r="AN392">
        <f t="shared" si="250"/>
        <v>236.0189139656253</v>
      </c>
      <c r="AO392">
        <f t="shared" si="272"/>
        <v>0.43219641129492048</v>
      </c>
      <c r="AP392" s="121">
        <f t="shared" si="251"/>
        <v>3.4661876807626992</v>
      </c>
      <c r="AQ392">
        <f t="shared" si="252"/>
        <v>0</v>
      </c>
      <c r="AR392">
        <v>0</v>
      </c>
      <c r="AS392">
        <f t="shared" si="233"/>
        <v>0</v>
      </c>
      <c r="AT392">
        <f t="shared" si="253"/>
        <v>0</v>
      </c>
      <c r="AU392">
        <f>IFERROR(HLOOKUP(B392,'Real assumptions'!$B$43:$AL$44,2,TRUE)*($W$3/$U$2),0)</f>
        <v>0</v>
      </c>
      <c r="AV392">
        <f>AV391*(1+'Real assumptions'!$B$35)^(1/12)</f>
        <v>1.4819811388251936</v>
      </c>
      <c r="AW392">
        <f t="shared" si="234"/>
        <v>2050</v>
      </c>
      <c r="AX392">
        <f t="shared" si="269"/>
        <v>235.21051864203238</v>
      </c>
      <c r="AY392">
        <f t="shared" si="270"/>
        <v>0.73665487869844648</v>
      </c>
      <c r="AZ392">
        <f t="shared" si="235"/>
        <v>548.17875031311257</v>
      </c>
      <c r="BA392">
        <f t="shared" si="254"/>
        <v>4.2196679848277601</v>
      </c>
      <c r="BB392">
        <f t="shared" si="255"/>
        <v>67.25</v>
      </c>
      <c r="BC392">
        <f t="shared" si="236"/>
        <v>40.349999999999994</v>
      </c>
      <c r="BD392">
        <f t="shared" si="256"/>
        <v>0</v>
      </c>
      <c r="BE392">
        <f t="shared" si="237"/>
        <v>24</v>
      </c>
      <c r="BF392">
        <f t="shared" si="271"/>
        <v>5000</v>
      </c>
      <c r="BU392"/>
      <c r="FD392"/>
      <c r="FE392"/>
    </row>
    <row r="393" spans="1:161" x14ac:dyDescent="0.25">
      <c r="A393" s="7">
        <f t="shared" si="257"/>
        <v>55061</v>
      </c>
      <c r="B393">
        <f t="shared" si="238"/>
        <v>382</v>
      </c>
      <c r="C393">
        <f t="shared" si="239"/>
        <v>31.75</v>
      </c>
      <c r="D393">
        <f t="shared" si="240"/>
        <v>0</v>
      </c>
      <c r="E393">
        <f t="shared" si="241"/>
        <v>83</v>
      </c>
      <c r="F393">
        <f>IF(C393&gt;=$T$2,0,VLOOKUP($E393,EKM_F05!$A$3:$C$128,2,TRUE))</f>
        <v>7.8464102564102564E-2</v>
      </c>
      <c r="G393">
        <f>F393*'Real assumptions'!$B$3</f>
        <v>3.2743069999999999E-2</v>
      </c>
      <c r="H393">
        <f t="shared" si="258"/>
        <v>2.7704153621982419E-3</v>
      </c>
      <c r="I393">
        <f t="shared" si="259"/>
        <v>4.8123104460292702E-4</v>
      </c>
      <c r="J393">
        <f>IF(B393&gt;$AJ$2,0,HLOOKUP(C393,'Real assumptions'!$B$5:$L$8,4,TRUE))</f>
        <v>3.7900000000000003E-2</v>
      </c>
      <c r="K393">
        <f t="shared" si="228"/>
        <v>1</v>
      </c>
      <c r="L393">
        <f t="shared" si="260"/>
        <v>8.3333333333333329E-2</v>
      </c>
      <c r="M393">
        <f t="shared" si="261"/>
        <v>3.2145624959929453E-3</v>
      </c>
      <c r="N393">
        <f t="shared" si="262"/>
        <v>5.5850518956333003E-4</v>
      </c>
      <c r="O393" s="8">
        <f t="shared" si="242"/>
        <v>0.17294347581583253</v>
      </c>
      <c r="P393">
        <f t="shared" si="243"/>
        <v>4.1755970891999707</v>
      </c>
      <c r="Q393">
        <f t="shared" si="263"/>
        <v>2.4061552230146352</v>
      </c>
      <c r="R393" s="89">
        <f t="shared" si="229"/>
        <v>5000</v>
      </c>
      <c r="S393">
        <f t="shared" si="230"/>
        <v>0.16666666666666785</v>
      </c>
      <c r="U393">
        <f>O392*AV392*'Real assumptions'!$B$33/12+AX393*'Real assumptions'!$B$34</f>
        <v>2.642787970441991</v>
      </c>
      <c r="V393">
        <f>IF(P393=0,0,IF(E393&lt;=$C$7,$AN$5*O392,0))*'Real assumptions'!$D$28</f>
        <v>1.0438992722999927</v>
      </c>
      <c r="X393" s="94">
        <f t="shared" si="244"/>
        <v>0</v>
      </c>
      <c r="Y393">
        <f t="shared" si="231"/>
        <v>24</v>
      </c>
      <c r="Z393">
        <f t="shared" si="264"/>
        <v>67</v>
      </c>
      <c r="AA393">
        <f t="shared" si="232"/>
        <v>67.166666666666671</v>
      </c>
      <c r="AB393">
        <f t="shared" si="245"/>
        <v>50.505050505050505</v>
      </c>
      <c r="AC393">
        <f t="shared" si="265"/>
        <v>3392.2558922558924</v>
      </c>
      <c r="AD393">
        <f t="shared" si="246"/>
        <v>80.505050505050505</v>
      </c>
      <c r="AE393">
        <f t="shared" si="247"/>
        <v>270.36279461279463</v>
      </c>
      <c r="AF393" s="94">
        <f t="shared" si="248"/>
        <v>1337.3813131313129</v>
      </c>
      <c r="AG393">
        <f t="shared" si="266"/>
        <v>0.74693440380885923</v>
      </c>
      <c r="AH393">
        <f t="shared" si="249"/>
        <v>231.29137278407157</v>
      </c>
      <c r="AI393">
        <f>HLOOKUP(AW393,'Real assumptions'!$A$21:$AK$24,2,TRUE)</f>
        <v>2.2197</v>
      </c>
      <c r="AJ393" s="123">
        <f t="shared" si="267"/>
        <v>1.831193966759237E-3</v>
      </c>
      <c r="AK393" s="122">
        <f>(1+HLOOKUP(YEAR(A393),'Real assumptions'!$A$21:$AK$24,2,TRUE)/100)^(1/12)-1</f>
        <v>1.831193966759237E-3</v>
      </c>
      <c r="AL393">
        <f t="shared" si="268"/>
        <v>2.642787970441991</v>
      </c>
      <c r="AM393">
        <f>('Real assumptions'!$B$33/12)*O392*AV392</f>
        <v>2.5783983873032232</v>
      </c>
      <c r="AN393">
        <f t="shared" si="250"/>
        <v>235.84638101517908</v>
      </c>
      <c r="AO393">
        <f t="shared" si="272"/>
        <v>0.43188046999699614</v>
      </c>
      <c r="AP393" s="121">
        <f t="shared" si="251"/>
        <v>3.8980681507596953</v>
      </c>
      <c r="AQ393">
        <f t="shared" si="252"/>
        <v>0</v>
      </c>
      <c r="AR393">
        <v>0</v>
      </c>
      <c r="AS393">
        <f t="shared" si="233"/>
        <v>0</v>
      </c>
      <c r="AT393">
        <f t="shared" si="253"/>
        <v>0</v>
      </c>
      <c r="AU393">
        <f>IFERROR(HLOOKUP(B393,'Real assumptions'!$B$43:$AL$44,2,TRUE)*($W$3/$U$2),0)</f>
        <v>0</v>
      </c>
      <c r="AV393">
        <f>AV392*(1+'Real assumptions'!$B$35)^(1/12)</f>
        <v>1.4835160948835899</v>
      </c>
      <c r="AW393">
        <f t="shared" si="234"/>
        <v>2050</v>
      </c>
      <c r="AX393">
        <f t="shared" si="269"/>
        <v>235.04582447238909</v>
      </c>
      <c r="AY393">
        <f t="shared" si="270"/>
        <v>0.7322525759680083</v>
      </c>
      <c r="AZ393">
        <f t="shared" si="235"/>
        <v>546.51839215302607</v>
      </c>
      <c r="BA393">
        <f t="shared" si="254"/>
        <v>4.1969888991234869</v>
      </c>
      <c r="BB393">
        <f t="shared" si="255"/>
        <v>67.166666666666671</v>
      </c>
      <c r="BC393">
        <f t="shared" si="236"/>
        <v>40.299999999999997</v>
      </c>
      <c r="BD393">
        <f t="shared" si="256"/>
        <v>0</v>
      </c>
      <c r="BE393">
        <f t="shared" si="237"/>
        <v>24</v>
      </c>
      <c r="BF393">
        <f t="shared" si="271"/>
        <v>5000</v>
      </c>
      <c r="BU393"/>
      <c r="FD393"/>
      <c r="FE393"/>
    </row>
    <row r="394" spans="1:161" x14ac:dyDescent="0.25">
      <c r="A394" s="7">
        <f t="shared" si="257"/>
        <v>55092</v>
      </c>
      <c r="B394">
        <f t="shared" si="238"/>
        <v>383</v>
      </c>
      <c r="C394">
        <f t="shared" si="239"/>
        <v>31.833333333333336</v>
      </c>
      <c r="D394">
        <f t="shared" si="240"/>
        <v>0</v>
      </c>
      <c r="E394">
        <f t="shared" si="241"/>
        <v>83</v>
      </c>
      <c r="F394">
        <f>IF(C394&gt;=$T$2,0,VLOOKUP($E394,EKM_F05!$A$3:$C$128,2,TRUE))</f>
        <v>7.8464102564102564E-2</v>
      </c>
      <c r="G394">
        <f>F394*'Real assumptions'!$B$3</f>
        <v>3.2743069999999999E-2</v>
      </c>
      <c r="H394">
        <f t="shared" si="258"/>
        <v>2.7704153621982419E-3</v>
      </c>
      <c r="I394">
        <f t="shared" si="259"/>
        <v>4.7835517314277976E-4</v>
      </c>
      <c r="J394">
        <f>IF(B394&gt;$AJ$2,0,HLOOKUP(C394,'Real assumptions'!$B$5:$L$8,4,TRUE))</f>
        <v>3.7900000000000003E-2</v>
      </c>
      <c r="K394">
        <f t="shared" si="228"/>
        <v>1</v>
      </c>
      <c r="L394">
        <f t="shared" si="260"/>
        <v>8.3333333333333329E-2</v>
      </c>
      <c r="M394">
        <f t="shared" si="261"/>
        <v>3.2145624959929453E-3</v>
      </c>
      <c r="N394">
        <f t="shared" si="262"/>
        <v>5.5516752223487532E-4</v>
      </c>
      <c r="O394" s="8">
        <f t="shared" si="242"/>
        <v>0.17190995312045487</v>
      </c>
      <c r="P394">
        <f t="shared" si="243"/>
        <v>4.1506434195799802</v>
      </c>
      <c r="Q394">
        <f t="shared" si="263"/>
        <v>2.3917758657138988</v>
      </c>
      <c r="R394" s="89">
        <f t="shared" si="229"/>
        <v>5000</v>
      </c>
      <c r="S394">
        <f t="shared" si="230"/>
        <v>8.3333333333332149E-2</v>
      </c>
      <c r="U394">
        <f>O393*AV393*'Real assumptions'!$B$33/12+AX394*'Real assumptions'!$B$34</f>
        <v>2.6299883611088268</v>
      </c>
      <c r="V394">
        <f>IF(P394=0,0,IF(E394&lt;=$C$7,$AN$5*O393,0))*'Real assumptions'!$D$28</f>
        <v>1.037660854894995</v>
      </c>
      <c r="X394" s="94">
        <f t="shared" si="244"/>
        <v>0</v>
      </c>
      <c r="Y394">
        <f t="shared" si="231"/>
        <v>24</v>
      </c>
      <c r="Z394">
        <f t="shared" si="264"/>
        <v>67</v>
      </c>
      <c r="AA394">
        <f t="shared" si="232"/>
        <v>67.083333333333329</v>
      </c>
      <c r="AB394">
        <f t="shared" si="245"/>
        <v>50.505050505050505</v>
      </c>
      <c r="AC394">
        <f t="shared" si="265"/>
        <v>3388.0471380471377</v>
      </c>
      <c r="AD394">
        <f t="shared" si="246"/>
        <v>80.505050505050505</v>
      </c>
      <c r="AE394">
        <f t="shared" si="247"/>
        <v>270.02735690235687</v>
      </c>
      <c r="AF394" s="94">
        <f t="shared" si="248"/>
        <v>1341.9255050505055</v>
      </c>
      <c r="AG394">
        <f t="shared" si="266"/>
        <v>0.74499345766267278</v>
      </c>
      <c r="AH394">
        <f t="shared" si="249"/>
        <v>230.69035066437513</v>
      </c>
      <c r="AI394">
        <f>HLOOKUP(AW394,'Real assumptions'!$A$21:$AK$24,2,TRUE)</f>
        <v>2.2197</v>
      </c>
      <c r="AJ394" s="123">
        <f t="shared" si="267"/>
        <v>1.831193966759237E-3</v>
      </c>
      <c r="AK394" s="122">
        <f>(1+HLOOKUP(YEAR(A394),'Real assumptions'!$A$21:$AK$24,2,TRUE)/100)^(1/12)-1</f>
        <v>1.831193966759237E-3</v>
      </c>
      <c r="AL394">
        <f t="shared" si="268"/>
        <v>2.6299883611088268</v>
      </c>
      <c r="AM394">
        <f>('Real assumptions'!$B$33/12)*O393*AV393</f>
        <v>2.5656442987789845</v>
      </c>
      <c r="AN394">
        <f t="shared" si="250"/>
        <v>235.67243513840742</v>
      </c>
      <c r="AO394">
        <f t="shared" si="272"/>
        <v>0.43156194135690928</v>
      </c>
      <c r="AP394" s="121">
        <f t="shared" si="251"/>
        <v>4.3296300921166049</v>
      </c>
      <c r="AQ394">
        <f t="shared" si="252"/>
        <v>0</v>
      </c>
      <c r="AR394">
        <v>0</v>
      </c>
      <c r="AS394">
        <f t="shared" si="233"/>
        <v>0</v>
      </c>
      <c r="AT394">
        <f t="shared" si="253"/>
        <v>0</v>
      </c>
      <c r="AU394">
        <f>IFERROR(HLOOKUP(B394,'Real assumptions'!$B$43:$AL$44,2,TRUE)*($W$3/$U$2),0)</f>
        <v>0</v>
      </c>
      <c r="AV394">
        <f>AV393*(1+'Real assumptions'!$B$35)^(1/12)</f>
        <v>1.4850526407666065</v>
      </c>
      <c r="AW394">
        <f t="shared" si="234"/>
        <v>2050</v>
      </c>
      <c r="AX394">
        <f t="shared" si="269"/>
        <v>234.87965666165272</v>
      </c>
      <c r="AY394">
        <f t="shared" si="270"/>
        <v>0.72787658171646685</v>
      </c>
      <c r="AZ394">
        <f t="shared" si="235"/>
        <v>544.86539821565918</v>
      </c>
      <c r="BA394">
        <f t="shared" si="254"/>
        <v>4.1744301782715665</v>
      </c>
      <c r="BB394">
        <f t="shared" si="255"/>
        <v>67.083333333333329</v>
      </c>
      <c r="BC394">
        <f t="shared" si="236"/>
        <v>40.25</v>
      </c>
      <c r="BD394">
        <f t="shared" si="256"/>
        <v>0</v>
      </c>
      <c r="BE394">
        <f t="shared" si="237"/>
        <v>24</v>
      </c>
      <c r="BF394">
        <f t="shared" si="271"/>
        <v>5000</v>
      </c>
      <c r="BU394"/>
      <c r="FD394"/>
      <c r="FE394"/>
    </row>
    <row r="395" spans="1:161" x14ac:dyDescent="0.25">
      <c r="A395" s="7">
        <f t="shared" si="257"/>
        <v>55122</v>
      </c>
      <c r="B395">
        <f t="shared" si="238"/>
        <v>384</v>
      </c>
      <c r="C395">
        <f t="shared" si="239"/>
        <v>31.916666666666664</v>
      </c>
      <c r="D395">
        <f t="shared" si="240"/>
        <v>0</v>
      </c>
      <c r="E395">
        <f t="shared" si="241"/>
        <v>83</v>
      </c>
      <c r="F395">
        <f>IF(C395&gt;=$T$2,0,VLOOKUP($E395,EKM_F05!$A$3:$C$128,2,TRUE))</f>
        <v>7.8464102564102564E-2</v>
      </c>
      <c r="G395">
        <f>F395*'Real assumptions'!$B$3</f>
        <v>3.2743069999999999E-2</v>
      </c>
      <c r="H395">
        <f t="shared" si="258"/>
        <v>2.7704153621982419E-3</v>
      </c>
      <c r="I395">
        <f t="shared" si="259"/>
        <v>4.754964880980727E-4</v>
      </c>
      <c r="J395">
        <f>IF(B395&gt;$AJ$2,0,HLOOKUP(C395,'Real assumptions'!$B$5:$L$8,4,TRUE))</f>
        <v>3.7900000000000003E-2</v>
      </c>
      <c r="K395">
        <f t="shared" si="228"/>
        <v>1</v>
      </c>
      <c r="L395">
        <f t="shared" si="260"/>
        <v>8.3333333333333329E-2</v>
      </c>
      <c r="M395">
        <f t="shared" si="261"/>
        <v>3.2145624959929453E-3</v>
      </c>
      <c r="N395">
        <f t="shared" si="262"/>
        <v>5.5184980104730453E-4</v>
      </c>
      <c r="O395" s="8">
        <f t="shared" si="242"/>
        <v>0.17088260683130949</v>
      </c>
      <c r="P395">
        <f t="shared" si="243"/>
        <v>4.1258388748909169</v>
      </c>
      <c r="Q395">
        <f t="shared" si="263"/>
        <v>2.3774824404903634</v>
      </c>
      <c r="R395" s="89">
        <f t="shared" si="229"/>
        <v>5000</v>
      </c>
      <c r="S395">
        <f t="shared" si="230"/>
        <v>1</v>
      </c>
      <c r="U395">
        <f>O394*AV394*'Real assumptions'!$B$33/12+AX395*'Real assumptions'!$B$34</f>
        <v>2.6172514453020126</v>
      </c>
      <c r="V395">
        <f>IF(P395=0,0,IF(E395&lt;=$C$7,$AN$5*O394,0))*'Real assumptions'!$D$28</f>
        <v>1.0314597187227292</v>
      </c>
      <c r="X395" s="94">
        <f t="shared" si="244"/>
        <v>0</v>
      </c>
      <c r="Y395">
        <f t="shared" si="231"/>
        <v>24</v>
      </c>
      <c r="Z395">
        <f t="shared" si="264"/>
        <v>67</v>
      </c>
      <c r="AA395">
        <f t="shared" si="232"/>
        <v>67</v>
      </c>
      <c r="AB395">
        <f t="shared" si="245"/>
        <v>50.505050505050505</v>
      </c>
      <c r="AC395">
        <f t="shared" si="265"/>
        <v>3383.8383838383838</v>
      </c>
      <c r="AD395">
        <f t="shared" si="246"/>
        <v>80.505050505050505</v>
      </c>
      <c r="AE395">
        <f t="shared" si="247"/>
        <v>269.69191919191917</v>
      </c>
      <c r="AF395" s="94">
        <f t="shared" si="248"/>
        <v>1346.469696969697</v>
      </c>
      <c r="AG395">
        <f t="shared" si="266"/>
        <v>0.74304903438895176</v>
      </c>
      <c r="AH395">
        <f t="shared" si="249"/>
        <v>230.08825183754516</v>
      </c>
      <c r="AI395">
        <f>HLOOKUP(AW395,'Real assumptions'!$A$21:$AK$24,2,TRUE)</f>
        <v>2.2197</v>
      </c>
      <c r="AJ395" s="123">
        <f t="shared" si="267"/>
        <v>1.831193966759237E-3</v>
      </c>
      <c r="AK395" s="122">
        <f>(1+HLOOKUP(YEAR(A395),'Real assumptions'!$A$21:$AK$24,2,TRUE)/100)^(1/12)-1</f>
        <v>1.831193966759237E-3</v>
      </c>
      <c r="AL395">
        <f t="shared" si="268"/>
        <v>2.6172514453020126</v>
      </c>
      <c r="AM395">
        <f>('Real assumptions'!$B$33/12)*O394*AV394</f>
        <v>2.5529532985559502</v>
      </c>
      <c r="AN395">
        <f t="shared" si="250"/>
        <v>235.49710846735795</v>
      </c>
      <c r="AO395">
        <f t="shared" si="272"/>
        <v>0.43124088421467149</v>
      </c>
      <c r="AP395" s="121">
        <f t="shared" si="251"/>
        <v>4.760870976331276</v>
      </c>
      <c r="AQ395">
        <f t="shared" si="252"/>
        <v>0</v>
      </c>
      <c r="AR395">
        <v>0</v>
      </c>
      <c r="AS395">
        <f t="shared" si="233"/>
        <v>0</v>
      </c>
      <c r="AT395">
        <f t="shared" si="253"/>
        <v>0</v>
      </c>
      <c r="AU395">
        <f>IFERROR(HLOOKUP(B395,'Real assumptions'!$B$43:$AL$44,2,TRUE)*($W$3/$U$2),0)</f>
        <v>0</v>
      </c>
      <c r="AV395">
        <f>AV394*(1+'Real assumptions'!$B$35)^(1/12)</f>
        <v>1.4865907781208978</v>
      </c>
      <c r="AW395">
        <f t="shared" si="234"/>
        <v>2050</v>
      </c>
      <c r="AX395">
        <f t="shared" si="269"/>
        <v>234.71204777649149</v>
      </c>
      <c r="AY395">
        <f t="shared" si="270"/>
        <v>0.7235267387224531</v>
      </c>
      <c r="AZ395">
        <f t="shared" si="235"/>
        <v>543.21974868155439</v>
      </c>
      <c r="BA395">
        <f t="shared" si="254"/>
        <v>4.1519911936020444</v>
      </c>
      <c r="BB395">
        <f t="shared" si="255"/>
        <v>67</v>
      </c>
      <c r="BC395">
        <f t="shared" si="236"/>
        <v>40.200000000000003</v>
      </c>
      <c r="BD395">
        <f t="shared" si="256"/>
        <v>0</v>
      </c>
      <c r="BE395">
        <f t="shared" si="237"/>
        <v>24</v>
      </c>
      <c r="BF395">
        <f t="shared" si="271"/>
        <v>5000</v>
      </c>
      <c r="BU395"/>
      <c r="FD395"/>
      <c r="FE395"/>
    </row>
    <row r="396" spans="1:161" x14ac:dyDescent="0.25">
      <c r="A396" s="7">
        <f t="shared" si="257"/>
        <v>55153</v>
      </c>
      <c r="B396">
        <f t="shared" si="238"/>
        <v>385</v>
      </c>
      <c r="C396">
        <f t="shared" si="239"/>
        <v>32</v>
      </c>
      <c r="D396">
        <f t="shared" si="240"/>
        <v>1</v>
      </c>
      <c r="E396">
        <f t="shared" si="241"/>
        <v>84</v>
      </c>
      <c r="F396">
        <f>IF(C396&gt;=$T$2,0,VLOOKUP($E396,EKM_F05!$A$3:$C$128,2,TRUE))</f>
        <v>8.6189102564102574E-2</v>
      </c>
      <c r="G396">
        <f>F396*'Real assumptions'!$B$3</f>
        <v>3.5966712500000005E-2</v>
      </c>
      <c r="H396">
        <f t="shared" si="258"/>
        <v>3.0478005277594367E-3</v>
      </c>
      <c r="I396">
        <f t="shared" si="259"/>
        <v>5.1997900133533728E-4</v>
      </c>
      <c r="J396">
        <f>IF(B396&gt;$AJ$2,0,HLOOKUP(C396,'Real assumptions'!$B$5:$L$8,4,TRUE))</f>
        <v>3.7900000000000003E-2</v>
      </c>
      <c r="K396">
        <f t="shared" ref="K396:K459" si="273">IF(B396&gt;$AJ$2,0,IF(($U$2*(B396+11))/12-INT(($U$2*(B396+11))/12)=0,1,0))</f>
        <v>1</v>
      </c>
      <c r="L396">
        <f t="shared" si="260"/>
        <v>8.3333333333333329E-2</v>
      </c>
      <c r="M396">
        <f t="shared" si="261"/>
        <v>3.2145624959929453E-3</v>
      </c>
      <c r="N396">
        <f t="shared" si="262"/>
        <v>5.4847572118739928E-4</v>
      </c>
      <c r="O396" s="8">
        <f t="shared" si="242"/>
        <v>0.16981415210878675</v>
      </c>
      <c r="P396">
        <f t="shared" si="243"/>
        <v>4.1011825639514274</v>
      </c>
      <c r="Q396">
        <f t="shared" si="263"/>
        <v>2.5998950066766864</v>
      </c>
      <c r="R396" s="89">
        <f t="shared" ref="R396:R459" si="274">$AI$2</f>
        <v>5000</v>
      </c>
      <c r="S396">
        <f t="shared" ref="S396:S459" si="275">INT(B396/12)+1-B396/12</f>
        <v>0.9166666666666643</v>
      </c>
      <c r="U396">
        <f>O395*AV395*'Real assumptions'!$B$33/12+AX396*'Real assumptions'!$B$34</f>
        <v>2.6045769197880757</v>
      </c>
      <c r="V396">
        <f>IF(P396=0,0,IF(E396&lt;=$C$7,$AN$5*O395,0))*'Real assumptions'!$D$28</f>
        <v>1.0252956409878569</v>
      </c>
      <c r="X396" s="94">
        <f t="shared" si="244"/>
        <v>0</v>
      </c>
      <c r="Y396">
        <f t="shared" ref="Y396:Y459" si="276">IF(P396=0,0,$AN$5)</f>
        <v>24</v>
      </c>
      <c r="Z396">
        <f t="shared" si="264"/>
        <v>67</v>
      </c>
      <c r="AA396">
        <f t="shared" ref="AA396:AA459" si="277">99-(B396/12)</f>
        <v>66.916666666666657</v>
      </c>
      <c r="AB396">
        <f t="shared" si="245"/>
        <v>50.505050505050505</v>
      </c>
      <c r="AC396">
        <f t="shared" si="265"/>
        <v>3379.6296296296291</v>
      </c>
      <c r="AD396">
        <f t="shared" si="246"/>
        <v>80.505050505050505</v>
      </c>
      <c r="AE396">
        <f t="shared" si="247"/>
        <v>269.35648148148141</v>
      </c>
      <c r="AF396" s="94">
        <f t="shared" si="248"/>
        <v>1351.0138888888896</v>
      </c>
      <c r="AG396">
        <f t="shared" si="266"/>
        <v>0.74099831704252661</v>
      </c>
      <c r="AH396">
        <f t="shared" si="249"/>
        <v>229.42127802886142</v>
      </c>
      <c r="AI396">
        <f>HLOOKUP(AW396,'Real assumptions'!$A$21:$AK$24,2,TRUE)</f>
        <v>2.2197</v>
      </c>
      <c r="AJ396" s="123">
        <f t="shared" si="267"/>
        <v>1.831193966759237E-3</v>
      </c>
      <c r="AK396" s="122">
        <f>(1+HLOOKUP(YEAR(A396),'Real assumptions'!$A$21:$AK$24,2,TRUE)/100)^(1/12)-1</f>
        <v>1.831193966759237E-3</v>
      </c>
      <c r="AL396">
        <f t="shared" si="268"/>
        <v>2.6045769197880757</v>
      </c>
      <c r="AM396">
        <f>('Real assumptions'!$B$33/12)*O395*AV395</f>
        <v>2.5403250745668382</v>
      </c>
      <c r="AN396">
        <f t="shared" si="250"/>
        <v>235.32043281705194</v>
      </c>
      <c r="AO396">
        <f t="shared" si="272"/>
        <v>0.43091735682975785</v>
      </c>
      <c r="AP396" s="121">
        <f t="shared" si="251"/>
        <v>0</v>
      </c>
      <c r="AQ396">
        <f t="shared" si="252"/>
        <v>0</v>
      </c>
      <c r="AR396">
        <v>0</v>
      </c>
      <c r="AS396">
        <f t="shared" ref="AS396:AS459" si="278">IF(B396&gt;$B$12,IF(B396&lt;=$AJ$2,AT396,0),0)</f>
        <v>0</v>
      </c>
      <c r="AT396">
        <f t="shared" si="253"/>
        <v>0</v>
      </c>
      <c r="AU396">
        <f>IFERROR(HLOOKUP(B396,'Real assumptions'!$B$43:$AL$44,2,TRUE)*($W$3/$U$2),0)</f>
        <v>0</v>
      </c>
      <c r="AV396">
        <f>AV395*(1+'Real assumptions'!$B$35)^(1/12)</f>
        <v>1.4881305085948238</v>
      </c>
      <c r="AW396">
        <f t="shared" ref="AW396:AW459" si="279">YEAR(A396)</f>
        <v>2050</v>
      </c>
      <c r="AX396">
        <f t="shared" si="269"/>
        <v>234.54303006359274</v>
      </c>
      <c r="AY396">
        <f t="shared" si="270"/>
        <v>0.71920289070416443</v>
      </c>
      <c r="AZ396">
        <f t="shared" ref="AZ396:AZ459" si="280">(AZ397+BA397-P397+U397+AQ397)/((1+AJ397))</f>
        <v>541.34490608742078</v>
      </c>
      <c r="BA396">
        <f t="shared" si="254"/>
        <v>4.36618896470707</v>
      </c>
      <c r="BB396">
        <f t="shared" si="255"/>
        <v>66.916666666666657</v>
      </c>
      <c r="BC396">
        <f t="shared" ref="BC396:BC459" si="281">$AQ$5*BB396+IF($W$3=0,0,$AP$5*AA396)</f>
        <v>40.149999999999991</v>
      </c>
      <c r="BD396">
        <f t="shared" si="256"/>
        <v>0</v>
      </c>
      <c r="BE396">
        <f t="shared" ref="BE396:BE459" si="282">IF(B396=1,$AR$5,IF(P396=0,0,$W$3/$U$2))</f>
        <v>24</v>
      </c>
      <c r="BF396">
        <f t="shared" si="271"/>
        <v>5000</v>
      </c>
      <c r="BU396"/>
      <c r="FD396"/>
      <c r="FE396"/>
    </row>
    <row r="397" spans="1:161" x14ac:dyDescent="0.25">
      <c r="A397" s="7">
        <f t="shared" si="257"/>
        <v>55184</v>
      </c>
      <c r="B397">
        <f t="shared" ref="B397:B460" si="283">B396+1</f>
        <v>386</v>
      </c>
      <c r="C397">
        <f t="shared" ref="C397:C419" si="284">(B397+11)/12-1</f>
        <v>32.083333333333336</v>
      </c>
      <c r="D397">
        <f t="shared" ref="D397:D419" si="285">IF(C397-INT(C397)=0,1,0)</f>
        <v>0</v>
      </c>
      <c r="E397">
        <f t="shared" ref="E397:E460" si="286">$C$2+INT($C397)</f>
        <v>84</v>
      </c>
      <c r="F397">
        <f>IF(C397&gt;=$T$2,0,VLOOKUP($E397,EKM_F05!$A$3:$C$128,2,TRUE))</f>
        <v>8.6189102564102574E-2</v>
      </c>
      <c r="G397">
        <f>F397*'Real assumptions'!$B$3</f>
        <v>3.5966712500000005E-2</v>
      </c>
      <c r="H397">
        <f t="shared" si="258"/>
        <v>3.0478005277594367E-3</v>
      </c>
      <c r="I397">
        <f t="shared" si="259"/>
        <v>5.1672779847805736E-4</v>
      </c>
      <c r="J397">
        <f>IF(B397&gt;$AJ$2,0,HLOOKUP(C397,'Real assumptions'!$B$5:$L$8,4,TRUE))</f>
        <v>3.7900000000000003E-2</v>
      </c>
      <c r="K397">
        <f t="shared" si="273"/>
        <v>1</v>
      </c>
      <c r="L397">
        <f t="shared" si="260"/>
        <v>8.3333333333333329E-2</v>
      </c>
      <c r="M397">
        <f t="shared" si="261"/>
        <v>3.2145624959929453E-3</v>
      </c>
      <c r="N397">
        <f t="shared" si="262"/>
        <v>5.4504634071762305E-4</v>
      </c>
      <c r="O397" s="8">
        <f t="shared" ref="O397:O460" si="287">IF(E398&gt;$C$5,0,IF(B397&gt;$AJ$2,0,O396-I397-N397))</f>
        <v>0.16875237796959108</v>
      </c>
      <c r="P397">
        <f t="shared" ref="P397:P460" si="288">IF($U$2=0,0,$W$3/$U$2*K397*O396)</f>
        <v>4.0755396506108816</v>
      </c>
      <c r="Q397">
        <f t="shared" si="263"/>
        <v>2.5836389923902869</v>
      </c>
      <c r="R397" s="89">
        <f t="shared" si="274"/>
        <v>5000</v>
      </c>
      <c r="S397">
        <f t="shared" si="275"/>
        <v>0.8333333333333357</v>
      </c>
      <c r="U397">
        <f>O396*AV396*'Real assumptions'!$B$33/12+AX397*'Real assumptions'!$B$34</f>
        <v>2.5898216450623286</v>
      </c>
      <c r="V397">
        <f>IF(P397=0,0,IF(E397&lt;=$C$7,$AN$5*O396,0))*'Real assumptions'!$D$28</f>
        <v>1.0188849126527204</v>
      </c>
      <c r="X397" s="94">
        <f t="shared" ref="X397:X460" si="289">IF($U$2=12,0,IF($AM$2&lt;&gt;0,0,X396+Y397-($AN$5*($U$2/12))))</f>
        <v>0</v>
      </c>
      <c r="Y397">
        <f t="shared" si="276"/>
        <v>24</v>
      </c>
      <c r="Z397">
        <f t="shared" si="264"/>
        <v>66</v>
      </c>
      <c r="AA397">
        <f t="shared" si="277"/>
        <v>66.833333333333343</v>
      </c>
      <c r="AB397">
        <f t="shared" ref="AB397:AB460" si="290">IF($AM$2&lt;&gt;0,0,R397/99)</f>
        <v>50.505050505050505</v>
      </c>
      <c r="AC397">
        <f t="shared" si="265"/>
        <v>3375.4208754208757</v>
      </c>
      <c r="AD397">
        <f t="shared" ref="AD397:AD460" si="291">IF($AM$2&lt;&gt;0,0,AB397+$Q$4*$AI$2+$Q$5*$AI$2)</f>
        <v>80.505050505050505</v>
      </c>
      <c r="AE397">
        <f t="shared" ref="AE397:AE460" si="292">MIN($C$6*AD397*AA397,$AI$2-AC397+BD397)</f>
        <v>269.02104377104382</v>
      </c>
      <c r="AF397" s="94">
        <f t="shared" ref="AF397:AF460" si="293">MAX(($AI$2+$Y$2-AC397-AE397+X397+BD397),0)</f>
        <v>1355.5580808080804</v>
      </c>
      <c r="AG397">
        <f t="shared" si="266"/>
        <v>0.73884197157464815</v>
      </c>
      <c r="AH397">
        <f t="shared" ref="AH397:AH460" si="294">AF397*O397</f>
        <v>228.75364961225867</v>
      </c>
      <c r="AI397">
        <f>HLOOKUP(AW397,'Real assumptions'!$A$21:$AK$24,2,TRUE)</f>
        <v>2.2038000000000002</v>
      </c>
      <c r="AJ397" s="123">
        <f t="shared" si="267"/>
        <v>1.8182070280676754E-3</v>
      </c>
      <c r="AK397" s="122">
        <f>(1+HLOOKUP(YEAR(A397),'Real assumptions'!$A$21:$AK$24,2,TRUE)/100)^(1/12)-1</f>
        <v>1.8182070280676754E-3</v>
      </c>
      <c r="AL397">
        <f t="shared" si="268"/>
        <v>2.5898216450623286</v>
      </c>
      <c r="AM397">
        <f>('Real assumptions'!$B$33/12)*O396*AV396</f>
        <v>2.5270562054424763</v>
      </c>
      <c r="AN397">
        <f t="shared" ref="AN397:AN460" si="295">AP396+P397+AH396-V397-AL397</f>
        <v>229.88811112175728</v>
      </c>
      <c r="AO397">
        <f t="shared" si="272"/>
        <v>0.4179841793107818</v>
      </c>
      <c r="AP397" s="121">
        <f t="shared" ref="AP397:AP460" si="296">IF(MONTH(A397)=12,0,AP396+AO397)</f>
        <v>0.4179841793107818</v>
      </c>
      <c r="AQ397">
        <f t="shared" ref="AQ397:AQ460" si="297">IF(P397=0,0,AR397+AS397)</f>
        <v>0</v>
      </c>
      <c r="AR397">
        <v>0</v>
      </c>
      <c r="AS397">
        <f t="shared" si="278"/>
        <v>0</v>
      </c>
      <c r="AT397">
        <f t="shared" ref="AT397:AT460" si="298">IF(OR(B397&lt;=$B$12,B397&gt;$AJ$2),0,AU397*O396)</f>
        <v>0</v>
      </c>
      <c r="AU397">
        <f>IFERROR(HLOOKUP(B397,'Real assumptions'!$B$43:$AL$44,2,TRUE)*($W$3/$U$2),0)</f>
        <v>0</v>
      </c>
      <c r="AV397">
        <f>AV396*(1+'Real assumptions'!$B$35)^(1/12)</f>
        <v>1.4896718338384518</v>
      </c>
      <c r="AW397">
        <f t="shared" si="279"/>
        <v>2051</v>
      </c>
      <c r="AX397">
        <f t="shared" si="269"/>
        <v>229.11709914360259</v>
      </c>
      <c r="AY397">
        <f t="shared" si="270"/>
        <v>0.71470602739388356</v>
      </c>
      <c r="AZ397">
        <f t="shared" si="280"/>
        <v>539.47353532920852</v>
      </c>
      <c r="BA397">
        <f t="shared" ref="BA397:BA460" si="299">AG397+V397+Q397</f>
        <v>4.3413658766176555</v>
      </c>
      <c r="BB397">
        <f t="shared" ref="BB397:BB460" si="300">Z398+IF(S397=1,0,S397)</f>
        <v>66.833333333333343</v>
      </c>
      <c r="BC397">
        <f t="shared" si="281"/>
        <v>40.100000000000009</v>
      </c>
      <c r="BD397">
        <f t="shared" ref="BD397:BD460" si="301">(BC397/100)*($AI$2+$Y$2)-AA397*(AD397-AB397)</f>
        <v>0</v>
      </c>
      <c r="BE397">
        <f t="shared" si="282"/>
        <v>24</v>
      </c>
      <c r="BF397">
        <f t="shared" si="271"/>
        <v>5000</v>
      </c>
      <c r="BU397"/>
      <c r="FD397"/>
      <c r="FE397"/>
    </row>
    <row r="398" spans="1:161" x14ac:dyDescent="0.25">
      <c r="A398" s="7">
        <f t="shared" ref="A398:A461" si="302">DATE(YEAR(A397),MONTH(A397)+2,1)-1</f>
        <v>55212</v>
      </c>
      <c r="B398">
        <f t="shared" si="283"/>
        <v>387</v>
      </c>
      <c r="C398">
        <f t="shared" si="284"/>
        <v>32.166666666666664</v>
      </c>
      <c r="D398">
        <f t="shared" si="285"/>
        <v>0</v>
      </c>
      <c r="E398">
        <f t="shared" si="286"/>
        <v>84</v>
      </c>
      <c r="F398">
        <f>IF(C398&gt;=$T$2,0,VLOOKUP($E398,EKM_F05!$A$3:$C$128,2,TRUE))</f>
        <v>8.6189102564102574E-2</v>
      </c>
      <c r="G398">
        <f>F398*'Real assumptions'!$B$3</f>
        <v>3.5966712500000005E-2</v>
      </c>
      <c r="H398">
        <f t="shared" ref="H398:H419" si="303">(1-(1-G398)^(1/12))</f>
        <v>3.0478005277594367E-3</v>
      </c>
      <c r="I398">
        <f t="shared" ref="I398:I419" si="304">H398*O397*(1-M398/2)</f>
        <v>5.1349692398017677E-4</v>
      </c>
      <c r="J398">
        <f>IF(B398&gt;$AJ$2,0,HLOOKUP(C398,'Real assumptions'!$B$5:$L$8,4,TRUE))</f>
        <v>3.7900000000000003E-2</v>
      </c>
      <c r="K398">
        <f t="shared" si="273"/>
        <v>1</v>
      </c>
      <c r="L398">
        <f t="shared" ref="L398:L461" si="305">IF(B398&gt;$AJ$2,0,1/12)</f>
        <v>8.3333333333333329E-2</v>
      </c>
      <c r="M398">
        <f t="shared" ref="M398:M419" si="306">(1-(1-J398)^L398)</f>
        <v>3.2145624959929453E-3</v>
      </c>
      <c r="N398">
        <f t="shared" ref="N398:N419" si="307">M398*O397*(1-H398/2)</f>
        <v>5.4163840267447069E-4</v>
      </c>
      <c r="O398" s="8">
        <f t="shared" si="287"/>
        <v>0.16769724264293645</v>
      </c>
      <c r="P398">
        <f t="shared" si="288"/>
        <v>4.050057071270186</v>
      </c>
      <c r="Q398">
        <f t="shared" ref="Q398:Q461" si="308">BF398*I398</f>
        <v>2.5674846199008838</v>
      </c>
      <c r="R398" s="89">
        <f t="shared" si="274"/>
        <v>5000</v>
      </c>
      <c r="S398">
        <f t="shared" si="275"/>
        <v>0.75</v>
      </c>
      <c r="U398">
        <f>O397*AV397*'Real assumptions'!$B$33/12+AX398*'Real assumptions'!$B$34</f>
        <v>2.5765542154381338</v>
      </c>
      <c r="V398">
        <f>IF(P398=0,0,IF(E398&lt;=$C$7,$AN$5*O397,0))*'Real assumptions'!$D$28</f>
        <v>1.0125142678175465</v>
      </c>
      <c r="X398" s="94">
        <f t="shared" si="289"/>
        <v>0</v>
      </c>
      <c r="Y398">
        <f t="shared" si="276"/>
        <v>24</v>
      </c>
      <c r="Z398">
        <f t="shared" ref="Z398:Z461" si="309">IF(S396=1,Z397-1,Z397)</f>
        <v>66</v>
      </c>
      <c r="AA398">
        <f t="shared" si="277"/>
        <v>66.75</v>
      </c>
      <c r="AB398">
        <f t="shared" si="290"/>
        <v>50.505050505050505</v>
      </c>
      <c r="AC398">
        <f t="shared" ref="AC398:AC419" si="310">AB398*AA398</f>
        <v>3371.212121212121</v>
      </c>
      <c r="AD398">
        <f t="shared" si="291"/>
        <v>80.505050505050505</v>
      </c>
      <c r="AE398">
        <f t="shared" si="292"/>
        <v>268.68560606060606</v>
      </c>
      <c r="AF398" s="94">
        <f t="shared" si="293"/>
        <v>1360.102272727273</v>
      </c>
      <c r="AG398">
        <f t="shared" ref="AG398:AG461" si="311">IF(B398&lt;=$C$8,0,AF398*N398)</f>
        <v>0.73668362247391739</v>
      </c>
      <c r="AH398">
        <f t="shared" si="294"/>
        <v>228.08540084875483</v>
      </c>
      <c r="AI398">
        <f>HLOOKUP(AW398,'Real assumptions'!$A$21:$AK$24,2,TRUE)</f>
        <v>2.2038000000000002</v>
      </c>
      <c r="AJ398" s="123">
        <f t="shared" ref="AJ398:AJ419" si="312">((1+AI398/100)^(1/12))-1</f>
        <v>1.8182070280676754E-3</v>
      </c>
      <c r="AK398" s="122">
        <f>(1+HLOOKUP(YEAR(A398),'Real assumptions'!$A$21:$AK$24,2,TRUE)/100)^(1/12)-1</f>
        <v>1.8182070280676754E-3</v>
      </c>
      <c r="AL398">
        <f t="shared" ref="AL398:AL461" si="313">AQ398+U398</f>
        <v>2.5765542154381338</v>
      </c>
      <c r="AM398">
        <f>('Real assumptions'!$B$33/12)*O397*AV397</f>
        <v>2.5138566435456031</v>
      </c>
      <c r="AN398">
        <f t="shared" si="295"/>
        <v>229.63262237958395</v>
      </c>
      <c r="AO398">
        <f t="shared" si="272"/>
        <v>0.41751964788417012</v>
      </c>
      <c r="AP398" s="121">
        <f t="shared" si="296"/>
        <v>0.83550382719495198</v>
      </c>
      <c r="AQ398">
        <f t="shared" si="297"/>
        <v>0</v>
      </c>
      <c r="AR398">
        <v>0</v>
      </c>
      <c r="AS398">
        <f t="shared" si="278"/>
        <v>0</v>
      </c>
      <c r="AT398">
        <f t="shared" si="298"/>
        <v>0</v>
      </c>
      <c r="AU398">
        <f>IFERROR(HLOOKUP(B398,'Real assumptions'!$B$43:$AL$44,2,TRUE)*($W$3/$U$2),0)</f>
        <v>0</v>
      </c>
      <c r="AV398">
        <f>AV397*(1+'Real assumptions'!$B$35)^(1/12)</f>
        <v>1.4912147555035584</v>
      </c>
      <c r="AW398">
        <f t="shared" si="279"/>
        <v>2051</v>
      </c>
      <c r="AX398">
        <f t="shared" ref="AX398:AX461" si="314">MAX(0,AH397+AP397-V398+AY398)</f>
        <v>228.8693568047687</v>
      </c>
      <c r="AY398">
        <f t="shared" ref="AY398:AY461" si="315">IF(P398=0,0,(AB398/$U$2)*O397)</f>
        <v>0.71023728101679739</v>
      </c>
      <c r="AZ398">
        <f t="shared" si="280"/>
        <v>537.6112302482403</v>
      </c>
      <c r="BA398">
        <f t="shared" si="299"/>
        <v>4.3166825101923472</v>
      </c>
      <c r="BB398">
        <f t="shared" si="300"/>
        <v>66.75</v>
      </c>
      <c r="BC398">
        <f t="shared" si="281"/>
        <v>40.049999999999997</v>
      </c>
      <c r="BD398">
        <f t="shared" si="301"/>
        <v>0</v>
      </c>
      <c r="BE398">
        <f t="shared" si="282"/>
        <v>24</v>
      </c>
      <c r="BF398">
        <f t="shared" ref="BF398:BF461" si="316">((IF(B398&lt;13,BF397+BE398,$AI$2+$Y$2)))</f>
        <v>5000</v>
      </c>
      <c r="BU398"/>
      <c r="FD398"/>
      <c r="FE398"/>
    </row>
    <row r="399" spans="1:161" x14ac:dyDescent="0.25">
      <c r="A399" s="7">
        <f t="shared" si="302"/>
        <v>55243</v>
      </c>
      <c r="B399">
        <f t="shared" si="283"/>
        <v>388</v>
      </c>
      <c r="C399">
        <f t="shared" si="284"/>
        <v>32.25</v>
      </c>
      <c r="D399">
        <f t="shared" si="285"/>
        <v>0</v>
      </c>
      <c r="E399">
        <f t="shared" si="286"/>
        <v>84</v>
      </c>
      <c r="F399">
        <f>IF(C399&gt;=$T$2,0,VLOOKUP($E399,EKM_F05!$A$3:$C$128,2,TRUE))</f>
        <v>8.6189102564102574E-2</v>
      </c>
      <c r="G399">
        <f>F399*'Real assumptions'!$B$3</f>
        <v>3.5966712500000005E-2</v>
      </c>
      <c r="H399">
        <f t="shared" si="303"/>
        <v>3.0478005277594367E-3</v>
      </c>
      <c r="I399">
        <f t="shared" si="304"/>
        <v>5.10286250737293E-4</v>
      </c>
      <c r="J399">
        <f>IF(B399&gt;$AJ$2,0,HLOOKUP(C399,'Real assumptions'!$B$5:$L$8,4,TRUE))</f>
        <v>3.7900000000000003E-2</v>
      </c>
      <c r="K399">
        <f t="shared" si="273"/>
        <v>1</v>
      </c>
      <c r="L399">
        <f t="shared" si="305"/>
        <v>8.3333333333333329E-2</v>
      </c>
      <c r="M399">
        <f t="shared" si="306"/>
        <v>3.2145624959929453E-3</v>
      </c>
      <c r="N399">
        <f t="shared" si="307"/>
        <v>5.3825177298776137E-4</v>
      </c>
      <c r="O399" s="8">
        <f t="shared" si="287"/>
        <v>0.16664870461921139</v>
      </c>
      <c r="P399">
        <f t="shared" si="288"/>
        <v>4.0247338234304753</v>
      </c>
      <c r="Q399">
        <f t="shared" si="308"/>
        <v>2.5514312536864652</v>
      </c>
      <c r="R399" s="89">
        <f t="shared" si="274"/>
        <v>5000</v>
      </c>
      <c r="S399">
        <f t="shared" si="275"/>
        <v>0.6666666666666643</v>
      </c>
      <c r="U399">
        <f>O398*AV398*'Real assumptions'!$B$33/12+AX399*'Real assumptions'!$B$34</f>
        <v>2.5633554305748176</v>
      </c>
      <c r="V399">
        <f>IF(P399=0,0,IF(E399&lt;=$C$7,$AN$5*O398,0))*'Real assumptions'!$D$28</f>
        <v>1.0061834558576188</v>
      </c>
      <c r="X399" s="94">
        <f t="shared" si="289"/>
        <v>0</v>
      </c>
      <c r="Y399">
        <f t="shared" si="276"/>
        <v>24</v>
      </c>
      <c r="Z399">
        <f t="shared" si="309"/>
        <v>66</v>
      </c>
      <c r="AA399">
        <f t="shared" si="277"/>
        <v>66.666666666666657</v>
      </c>
      <c r="AB399">
        <f t="shared" si="290"/>
        <v>50.505050505050505</v>
      </c>
      <c r="AC399">
        <f t="shared" si="310"/>
        <v>3367.0033670033667</v>
      </c>
      <c r="AD399">
        <f t="shared" si="291"/>
        <v>80.505050505050505</v>
      </c>
      <c r="AE399">
        <f t="shared" si="292"/>
        <v>268.3501683501683</v>
      </c>
      <c r="AF399" s="94">
        <f t="shared" si="293"/>
        <v>1364.6464646464649</v>
      </c>
      <c r="AG399">
        <f t="shared" si="311"/>
        <v>0.73452337909744014</v>
      </c>
      <c r="AH399">
        <f t="shared" si="294"/>
        <v>227.41656559651983</v>
      </c>
      <c r="AI399">
        <f>HLOOKUP(AW399,'Real assumptions'!$A$21:$AK$24,2,TRUE)</f>
        <v>2.2038000000000002</v>
      </c>
      <c r="AJ399" s="123">
        <f t="shared" si="312"/>
        <v>1.8182070280676754E-3</v>
      </c>
      <c r="AK399" s="122">
        <f>(1+HLOOKUP(YEAR(A399),'Real assumptions'!$A$21:$AK$24,2,TRUE)/100)^(1/12)-1</f>
        <v>1.8182070280676754E-3</v>
      </c>
      <c r="AL399">
        <f t="shared" si="313"/>
        <v>2.5633554305748176</v>
      </c>
      <c r="AM399">
        <f>('Real assumptions'!$B$33/12)*O398*AV398</f>
        <v>2.5007260268640739</v>
      </c>
      <c r="AN399">
        <f t="shared" si="295"/>
        <v>229.37609961294783</v>
      </c>
      <c r="AO399">
        <f t="shared" si="272"/>
        <v>0.41705323638701292</v>
      </c>
      <c r="AP399" s="121">
        <f t="shared" si="296"/>
        <v>1.2525570635819649</v>
      </c>
      <c r="AQ399">
        <f t="shared" si="297"/>
        <v>0</v>
      </c>
      <c r="AR399">
        <v>0</v>
      </c>
      <c r="AS399">
        <f t="shared" si="278"/>
        <v>0</v>
      </c>
      <c r="AT399">
        <f t="shared" si="298"/>
        <v>0</v>
      </c>
      <c r="AU399">
        <f>IFERROR(HLOOKUP(B399,'Real assumptions'!$B$43:$AL$44,2,TRUE)*($W$3/$U$2),0)</f>
        <v>0</v>
      </c>
      <c r="AV399">
        <f>AV398*(1+'Real assumptions'!$B$35)^(1/12)</f>
        <v>1.4927592752436307</v>
      </c>
      <c r="AW399">
        <f t="shared" si="279"/>
        <v>2051</v>
      </c>
      <c r="AX399">
        <f t="shared" si="314"/>
        <v>228.62051769586211</v>
      </c>
      <c r="AY399">
        <f t="shared" si="315"/>
        <v>0.70579647576993454</v>
      </c>
      <c r="AZ399">
        <f t="shared" si="280"/>
        <v>535.75795906965982</v>
      </c>
      <c r="BA399">
        <f t="shared" si="299"/>
        <v>4.2921380886415239</v>
      </c>
      <c r="BB399">
        <f t="shared" si="300"/>
        <v>66.666666666666657</v>
      </c>
      <c r="BC399">
        <f t="shared" si="281"/>
        <v>39.999999999999993</v>
      </c>
      <c r="BD399">
        <f t="shared" si="301"/>
        <v>0</v>
      </c>
      <c r="BE399">
        <f t="shared" si="282"/>
        <v>24</v>
      </c>
      <c r="BF399">
        <f t="shared" si="316"/>
        <v>5000</v>
      </c>
      <c r="BU399"/>
      <c r="FD399"/>
      <c r="FE399"/>
    </row>
    <row r="400" spans="1:161" x14ac:dyDescent="0.25">
      <c r="A400" s="7">
        <f t="shared" si="302"/>
        <v>55273</v>
      </c>
      <c r="B400">
        <f t="shared" si="283"/>
        <v>389</v>
      </c>
      <c r="C400">
        <f t="shared" si="284"/>
        <v>32.333333333333336</v>
      </c>
      <c r="D400">
        <f t="shared" si="285"/>
        <v>0</v>
      </c>
      <c r="E400">
        <f t="shared" si="286"/>
        <v>84</v>
      </c>
      <c r="F400">
        <f>IF(C400&gt;=$T$2,0,VLOOKUP($E400,EKM_F05!$A$3:$C$128,2,TRUE))</f>
        <v>8.6189102564102574E-2</v>
      </c>
      <c r="G400">
        <f>F400*'Real assumptions'!$B$3</f>
        <v>3.5966712500000005E-2</v>
      </c>
      <c r="H400">
        <f t="shared" si="303"/>
        <v>3.0478005277594367E-3</v>
      </c>
      <c r="I400">
        <f t="shared" si="304"/>
        <v>5.0709565243973239E-4</v>
      </c>
      <c r="J400">
        <f>IF(B400&gt;$AJ$2,0,HLOOKUP(C400,'Real assumptions'!$B$5:$L$8,4,TRUE))</f>
        <v>3.7900000000000003E-2</v>
      </c>
      <c r="K400">
        <f t="shared" si="273"/>
        <v>1</v>
      </c>
      <c r="L400">
        <f t="shared" si="305"/>
        <v>8.3333333333333329E-2</v>
      </c>
      <c r="M400">
        <f t="shared" si="306"/>
        <v>3.2145624959929453E-3</v>
      </c>
      <c r="N400">
        <f t="shared" si="307"/>
        <v>5.348863184255967E-4</v>
      </c>
      <c r="O400" s="8">
        <f t="shared" si="287"/>
        <v>0.16560672264834606</v>
      </c>
      <c r="P400">
        <f t="shared" si="288"/>
        <v>3.9995689108610732</v>
      </c>
      <c r="Q400">
        <f t="shared" si="308"/>
        <v>2.5354782621986618</v>
      </c>
      <c r="R400" s="89">
        <f t="shared" si="274"/>
        <v>5000</v>
      </c>
      <c r="S400">
        <f t="shared" si="275"/>
        <v>0.5833333333333357</v>
      </c>
      <c r="U400">
        <f>O399*AV399*'Real assumptions'!$B$33/12+AX400*'Real assumptions'!$B$34</f>
        <v>2.5502249391317311</v>
      </c>
      <c r="V400">
        <f>IF(P400=0,0,IF(E400&lt;=$C$7,$AN$5*O399,0))*'Real assumptions'!$D$28</f>
        <v>0.99989222771526831</v>
      </c>
      <c r="X400" s="94">
        <f t="shared" si="289"/>
        <v>0</v>
      </c>
      <c r="Y400">
        <f t="shared" si="276"/>
        <v>24</v>
      </c>
      <c r="Z400">
        <f t="shared" si="309"/>
        <v>66</v>
      </c>
      <c r="AA400">
        <f t="shared" si="277"/>
        <v>66.583333333333343</v>
      </c>
      <c r="AB400">
        <f t="shared" si="290"/>
        <v>50.505050505050505</v>
      </c>
      <c r="AC400">
        <f t="shared" si="310"/>
        <v>3362.7946127946134</v>
      </c>
      <c r="AD400">
        <f t="shared" si="291"/>
        <v>80.505050505050505</v>
      </c>
      <c r="AE400">
        <f t="shared" si="292"/>
        <v>268.01473063973066</v>
      </c>
      <c r="AF400" s="94">
        <f t="shared" si="293"/>
        <v>1369.1906565656559</v>
      </c>
      <c r="AG400">
        <f t="shared" si="311"/>
        <v>0.73236134951312926</v>
      </c>
      <c r="AH400">
        <f t="shared" si="294"/>
        <v>226.74717731457542</v>
      </c>
      <c r="AI400">
        <f>HLOOKUP(AW400,'Real assumptions'!$A$21:$AK$24,2,TRUE)</f>
        <v>2.2038000000000002</v>
      </c>
      <c r="AJ400" s="123">
        <f t="shared" si="312"/>
        <v>1.8182070280676754E-3</v>
      </c>
      <c r="AK400" s="122">
        <f>(1+HLOOKUP(YEAR(A400),'Real assumptions'!$A$21:$AK$24,2,TRUE)/100)^(1/12)-1</f>
        <v>1.8182070280676754E-3</v>
      </c>
      <c r="AL400">
        <f t="shared" si="313"/>
        <v>2.5502249391317311</v>
      </c>
      <c r="AM400">
        <f>('Real assumptions'!$B$33/12)*O399*AV399</f>
        <v>2.4876639952766388</v>
      </c>
      <c r="AN400">
        <f t="shared" si="295"/>
        <v>229.11857440411586</v>
      </c>
      <c r="AO400">
        <f t="shared" si="272"/>
        <v>0.41658500224241007</v>
      </c>
      <c r="AP400" s="121">
        <f t="shared" si="296"/>
        <v>1.669142065824375</v>
      </c>
      <c r="AQ400">
        <f t="shared" si="297"/>
        <v>0</v>
      </c>
      <c r="AR400">
        <v>0</v>
      </c>
      <c r="AS400">
        <f t="shared" si="278"/>
        <v>0</v>
      </c>
      <c r="AT400">
        <f t="shared" si="298"/>
        <v>0</v>
      </c>
      <c r="AU400">
        <f>IFERROR(HLOOKUP(B400,'Real assumptions'!$B$43:$AL$44,2,TRUE)*($W$3/$U$2),0)</f>
        <v>0</v>
      </c>
      <c r="AV400">
        <f>AV399*(1+'Real assumptions'!$B$35)^(1/12)</f>
        <v>1.4943053947138683</v>
      </c>
      <c r="AW400">
        <f t="shared" si="279"/>
        <v>2051</v>
      </c>
      <c r="AX400">
        <f t="shared" si="314"/>
        <v>228.3706138693361</v>
      </c>
      <c r="AY400">
        <f t="shared" si="315"/>
        <v>0.70138343694954286</v>
      </c>
      <c r="AZ400">
        <f t="shared" si="280"/>
        <v>533.91369008848585</v>
      </c>
      <c r="BA400">
        <f t="shared" si="299"/>
        <v>4.2677318394270589</v>
      </c>
      <c r="BB400">
        <f t="shared" si="300"/>
        <v>66.583333333333343</v>
      </c>
      <c r="BC400">
        <f t="shared" si="281"/>
        <v>39.950000000000003</v>
      </c>
      <c r="BD400">
        <f t="shared" si="301"/>
        <v>0</v>
      </c>
      <c r="BE400">
        <f t="shared" si="282"/>
        <v>24</v>
      </c>
      <c r="BF400">
        <f t="shared" si="316"/>
        <v>5000</v>
      </c>
      <c r="BU400"/>
      <c r="FD400"/>
      <c r="FE400"/>
    </row>
    <row r="401" spans="1:161" x14ac:dyDescent="0.25">
      <c r="A401" s="7">
        <f t="shared" si="302"/>
        <v>55304</v>
      </c>
      <c r="B401">
        <f t="shared" si="283"/>
        <v>390</v>
      </c>
      <c r="C401">
        <f t="shared" si="284"/>
        <v>32.416666666666664</v>
      </c>
      <c r="D401">
        <f t="shared" si="285"/>
        <v>0</v>
      </c>
      <c r="E401">
        <f t="shared" si="286"/>
        <v>84</v>
      </c>
      <c r="F401">
        <f>IF(C401&gt;=$T$2,0,VLOOKUP($E401,EKM_F05!$A$3:$C$128,2,TRUE))</f>
        <v>8.6189102564102574E-2</v>
      </c>
      <c r="G401">
        <f>F401*'Real assumptions'!$B$3</f>
        <v>3.5966712500000005E-2</v>
      </c>
      <c r="H401">
        <f t="shared" si="303"/>
        <v>3.0478005277594367E-3</v>
      </c>
      <c r="I401">
        <f t="shared" si="304"/>
        <v>5.0392500356758103E-4</v>
      </c>
      <c r="J401">
        <f>IF(B401&gt;$AJ$2,0,HLOOKUP(C401,'Real assumptions'!$B$5:$L$8,4,TRUE))</f>
        <v>3.7900000000000003E-2</v>
      </c>
      <c r="K401">
        <f t="shared" si="273"/>
        <v>1</v>
      </c>
      <c r="L401">
        <f t="shared" si="305"/>
        <v>8.3333333333333329E-2</v>
      </c>
      <c r="M401">
        <f t="shared" si="306"/>
        <v>3.2145624959929453E-3</v>
      </c>
      <c r="N401">
        <f t="shared" si="307"/>
        <v>5.3154190658911992E-4</v>
      </c>
      <c r="O401" s="8">
        <f t="shared" si="287"/>
        <v>0.16457125573818934</v>
      </c>
      <c r="P401">
        <f t="shared" si="288"/>
        <v>3.9745613435603051</v>
      </c>
      <c r="Q401">
        <f t="shared" si="308"/>
        <v>2.5196250178379049</v>
      </c>
      <c r="R401" s="89">
        <f t="shared" si="274"/>
        <v>5000</v>
      </c>
      <c r="S401">
        <f t="shared" si="275"/>
        <v>0.5</v>
      </c>
      <c r="U401">
        <f>O400*AV400*'Real assumptions'!$B$33/12+AX401*'Real assumptions'!$B$34</f>
        <v>2.5371623915555084</v>
      </c>
      <c r="V401">
        <f>IF(P401=0,0,IF(E401&lt;=$C$7,$AN$5*O400,0))*'Real assumptions'!$D$28</f>
        <v>0.99364033589007628</v>
      </c>
      <c r="X401" s="94">
        <f t="shared" si="289"/>
        <v>0</v>
      </c>
      <c r="Y401">
        <f t="shared" si="276"/>
        <v>24</v>
      </c>
      <c r="Z401">
        <f t="shared" si="309"/>
        <v>66</v>
      </c>
      <c r="AA401">
        <f t="shared" si="277"/>
        <v>66.5</v>
      </c>
      <c r="AB401">
        <f t="shared" si="290"/>
        <v>50.505050505050505</v>
      </c>
      <c r="AC401">
        <f t="shared" si="310"/>
        <v>3358.5858585858587</v>
      </c>
      <c r="AD401">
        <f t="shared" si="291"/>
        <v>80.505050505050505</v>
      </c>
      <c r="AE401">
        <f t="shared" si="292"/>
        <v>267.6792929292929</v>
      </c>
      <c r="AF401" s="94">
        <f t="shared" si="293"/>
        <v>1373.7348484848485</v>
      </c>
      <c r="AG401">
        <f t="shared" si="311"/>
        <v>0.73019764051155212</v>
      </c>
      <c r="AH401">
        <f t="shared" si="294"/>
        <v>226.0772690664628</v>
      </c>
      <c r="AI401">
        <f>HLOOKUP(AW401,'Real assumptions'!$A$21:$AK$24,2,TRUE)</f>
        <v>2.2038000000000002</v>
      </c>
      <c r="AJ401" s="123">
        <f t="shared" si="312"/>
        <v>1.8182070280676754E-3</v>
      </c>
      <c r="AK401" s="122">
        <f>(1+HLOOKUP(YEAR(A401),'Real assumptions'!$A$21:$AK$24,2,TRUE)/100)^(1/12)-1</f>
        <v>1.8182070280676754E-3</v>
      </c>
      <c r="AL401">
        <f t="shared" si="313"/>
        <v>2.5371623915555084</v>
      </c>
      <c r="AM401">
        <f>('Real assumptions'!$B$33/12)*O400*AV400</f>
        <v>2.4746701905430686</v>
      </c>
      <c r="AN401">
        <f t="shared" si="295"/>
        <v>228.86007799651452</v>
      </c>
      <c r="AO401">
        <f t="shared" si="272"/>
        <v>0.41611500225737907</v>
      </c>
      <c r="AP401" s="121">
        <f t="shared" si="296"/>
        <v>2.0852570680817539</v>
      </c>
      <c r="AQ401">
        <f t="shared" si="297"/>
        <v>0</v>
      </c>
      <c r="AR401">
        <v>0</v>
      </c>
      <c r="AS401">
        <f t="shared" si="278"/>
        <v>0</v>
      </c>
      <c r="AT401">
        <f t="shared" si="298"/>
        <v>0</v>
      </c>
      <c r="AU401">
        <f>IFERROR(HLOOKUP(B401,'Real assumptions'!$B$43:$AL$44,2,TRUE)*($W$3/$U$2),0)</f>
        <v>0</v>
      </c>
      <c r="AV401">
        <f>AV400*(1+'Real assumptions'!$B$35)^(1/12)</f>
        <v>1.4958531155711854</v>
      </c>
      <c r="AW401">
        <f t="shared" si="279"/>
        <v>2051</v>
      </c>
      <c r="AX401">
        <f t="shared" si="314"/>
        <v>228.11967703545398</v>
      </c>
      <c r="AY401">
        <f t="shared" si="315"/>
        <v>0.69699799094421733</v>
      </c>
      <c r="AZ401">
        <f t="shared" si="280"/>
        <v>532.07839166995154</v>
      </c>
      <c r="BA401">
        <f t="shared" si="299"/>
        <v>4.2434629942395334</v>
      </c>
      <c r="BB401">
        <f t="shared" si="300"/>
        <v>66.5</v>
      </c>
      <c r="BC401">
        <f t="shared" si="281"/>
        <v>39.9</v>
      </c>
      <c r="BD401">
        <f t="shared" si="301"/>
        <v>0</v>
      </c>
      <c r="BE401">
        <f t="shared" si="282"/>
        <v>24</v>
      </c>
      <c r="BF401">
        <f t="shared" si="316"/>
        <v>5000</v>
      </c>
      <c r="BU401"/>
      <c r="FD401"/>
      <c r="FE401"/>
    </row>
    <row r="402" spans="1:161" x14ac:dyDescent="0.25">
      <c r="A402" s="7">
        <f t="shared" si="302"/>
        <v>55334</v>
      </c>
      <c r="B402">
        <f t="shared" si="283"/>
        <v>391</v>
      </c>
      <c r="C402">
        <f t="shared" si="284"/>
        <v>32.5</v>
      </c>
      <c r="D402">
        <f t="shared" si="285"/>
        <v>0</v>
      </c>
      <c r="E402">
        <f t="shared" si="286"/>
        <v>84</v>
      </c>
      <c r="F402">
        <f>IF(C402&gt;=$T$2,0,VLOOKUP($E402,EKM_F05!$A$3:$C$128,2,TRUE))</f>
        <v>8.6189102564102574E-2</v>
      </c>
      <c r="G402">
        <f>F402*'Real assumptions'!$B$3</f>
        <v>3.5966712500000005E-2</v>
      </c>
      <c r="H402">
        <f t="shared" si="303"/>
        <v>3.0478005277594367E-3</v>
      </c>
      <c r="I402">
        <f t="shared" si="304"/>
        <v>5.00774179385746E-4</v>
      </c>
      <c r="J402">
        <f>IF(B402&gt;$AJ$2,0,HLOOKUP(C402,'Real assumptions'!$B$5:$L$8,4,TRUE))</f>
        <v>3.7900000000000003E-2</v>
      </c>
      <c r="K402">
        <f t="shared" si="273"/>
        <v>1</v>
      </c>
      <c r="L402">
        <f t="shared" si="305"/>
        <v>8.3333333333333329E-2</v>
      </c>
      <c r="M402">
        <f t="shared" si="306"/>
        <v>3.2145624959929453E-3</v>
      </c>
      <c r="N402">
        <f t="shared" si="307"/>
        <v>5.2821840590730658E-4</v>
      </c>
      <c r="O402" s="8">
        <f t="shared" si="287"/>
        <v>0.1635422631528963</v>
      </c>
      <c r="P402">
        <f t="shared" si="288"/>
        <v>3.9497101377165444</v>
      </c>
      <c r="Q402">
        <f t="shared" si="308"/>
        <v>2.50387089692873</v>
      </c>
      <c r="R402" s="89">
        <f t="shared" si="274"/>
        <v>5000</v>
      </c>
      <c r="S402">
        <f t="shared" si="275"/>
        <v>0.4166666666666643</v>
      </c>
      <c r="U402">
        <f>O401*AV401*'Real assumptions'!$B$33/12+AX402*'Real assumptions'!$B$34</f>
        <v>2.5241674400710719</v>
      </c>
      <c r="V402">
        <f>IF(P402=0,0,IF(E402&lt;=$C$7,$AN$5*O401,0))*'Real assumptions'!$D$28</f>
        <v>0.98742753442913611</v>
      </c>
      <c r="X402" s="94">
        <f t="shared" si="289"/>
        <v>0</v>
      </c>
      <c r="Y402">
        <f t="shared" si="276"/>
        <v>24</v>
      </c>
      <c r="Z402">
        <f t="shared" si="309"/>
        <v>66</v>
      </c>
      <c r="AA402">
        <f t="shared" si="277"/>
        <v>66.416666666666657</v>
      </c>
      <c r="AB402">
        <f t="shared" si="290"/>
        <v>50.505050505050505</v>
      </c>
      <c r="AC402">
        <f t="shared" si="310"/>
        <v>3354.3771043771039</v>
      </c>
      <c r="AD402">
        <f t="shared" si="291"/>
        <v>80.505050505050505</v>
      </c>
      <c r="AE402">
        <f t="shared" si="292"/>
        <v>267.3438552188552</v>
      </c>
      <c r="AF402" s="94">
        <f t="shared" si="293"/>
        <v>1378.2790404040409</v>
      </c>
      <c r="AG402">
        <f t="shared" si="311"/>
        <v>0.72803235761767471</v>
      </c>
      <c r="AH402">
        <f t="shared" si="294"/>
        <v>225.40687352387906</v>
      </c>
      <c r="AI402">
        <f>HLOOKUP(AW402,'Real assumptions'!$A$21:$AK$24,2,TRUE)</f>
        <v>2.2038000000000002</v>
      </c>
      <c r="AJ402" s="123">
        <f t="shared" si="312"/>
        <v>1.8182070280676754E-3</v>
      </c>
      <c r="AK402" s="122">
        <f>(1+HLOOKUP(YEAR(A402),'Real assumptions'!$A$21:$AK$24,2,TRUE)/100)^(1/12)-1</f>
        <v>1.8182070280676754E-3</v>
      </c>
      <c r="AL402">
        <f t="shared" si="313"/>
        <v>2.5241674400710719</v>
      </c>
      <c r="AM402">
        <f>('Real assumptions'!$B$33/12)*O401*AV401</f>
        <v>2.4617442562943284</v>
      </c>
      <c r="AN402">
        <f t="shared" si="295"/>
        <v>228.60064129776089</v>
      </c>
      <c r="AO402">
        <f t="shared" si="272"/>
        <v>0.41564329262836652</v>
      </c>
      <c r="AP402" s="121">
        <f t="shared" si="296"/>
        <v>2.5009003607101206</v>
      </c>
      <c r="AQ402">
        <f t="shared" si="297"/>
        <v>0</v>
      </c>
      <c r="AR402">
        <v>0</v>
      </c>
      <c r="AS402">
        <f t="shared" si="278"/>
        <v>0</v>
      </c>
      <c r="AT402">
        <f t="shared" si="298"/>
        <v>0</v>
      </c>
      <c r="AU402">
        <f>IFERROR(HLOOKUP(B402,'Real assumptions'!$B$43:$AL$44,2,TRUE)*($W$3/$U$2),0)</f>
        <v>0</v>
      </c>
      <c r="AV402">
        <f>AV401*(1+'Real assumptions'!$B$35)^(1/12)</f>
        <v>1.4974024394742123</v>
      </c>
      <c r="AW402">
        <f t="shared" si="279"/>
        <v>2051</v>
      </c>
      <c r="AX402">
        <f t="shared" si="314"/>
        <v>227.86773856534347</v>
      </c>
      <c r="AY402">
        <f t="shared" si="315"/>
        <v>0.69263996522806959</v>
      </c>
      <c r="AZ402">
        <f t="shared" si="280"/>
        <v>530.25203224983875</v>
      </c>
      <c r="BA402">
        <f t="shared" si="299"/>
        <v>4.2193307889755403</v>
      </c>
      <c r="BB402">
        <f t="shared" si="300"/>
        <v>66.416666666666657</v>
      </c>
      <c r="BC402">
        <f t="shared" si="281"/>
        <v>39.849999999999994</v>
      </c>
      <c r="BD402">
        <f t="shared" si="301"/>
        <v>0</v>
      </c>
      <c r="BE402">
        <f t="shared" si="282"/>
        <v>24</v>
      </c>
      <c r="BF402">
        <f t="shared" si="316"/>
        <v>5000</v>
      </c>
      <c r="BU402"/>
      <c r="FD402"/>
      <c r="FE402"/>
    </row>
    <row r="403" spans="1:161" x14ac:dyDescent="0.25">
      <c r="A403" s="7">
        <f t="shared" si="302"/>
        <v>55365</v>
      </c>
      <c r="B403">
        <f t="shared" si="283"/>
        <v>392</v>
      </c>
      <c r="C403">
        <f t="shared" si="284"/>
        <v>32.583333333333336</v>
      </c>
      <c r="D403">
        <f t="shared" si="285"/>
        <v>0</v>
      </c>
      <c r="E403">
        <f t="shared" si="286"/>
        <v>84</v>
      </c>
      <c r="F403">
        <f>IF(C403&gt;=$T$2,0,VLOOKUP($E403,EKM_F05!$A$3:$C$128,2,TRUE))</f>
        <v>8.6189102564102574E-2</v>
      </c>
      <c r="G403">
        <f>F403*'Real assumptions'!$B$3</f>
        <v>3.5966712500000005E-2</v>
      </c>
      <c r="H403">
        <f t="shared" si="303"/>
        <v>3.0478005277594367E-3</v>
      </c>
      <c r="I403">
        <f t="shared" si="304"/>
        <v>4.9764305593904959E-4</v>
      </c>
      <c r="J403">
        <f>IF(B403&gt;$AJ$2,0,HLOOKUP(C403,'Real assumptions'!$B$5:$L$8,4,TRUE))</f>
        <v>3.7900000000000003E-2</v>
      </c>
      <c r="K403">
        <f t="shared" si="273"/>
        <v>1</v>
      </c>
      <c r="L403">
        <f t="shared" si="305"/>
        <v>8.3333333333333329E-2</v>
      </c>
      <c r="M403">
        <f t="shared" si="306"/>
        <v>3.2145624959929453E-3</v>
      </c>
      <c r="N403">
        <f t="shared" si="307"/>
        <v>5.249156856317889E-4</v>
      </c>
      <c r="O403" s="8">
        <f t="shared" si="287"/>
        <v>0.16251970441132546</v>
      </c>
      <c r="P403">
        <f t="shared" si="288"/>
        <v>3.925014315669511</v>
      </c>
      <c r="Q403">
        <f t="shared" si="308"/>
        <v>2.4882152796952481</v>
      </c>
      <c r="R403" s="89">
        <f t="shared" si="274"/>
        <v>5000</v>
      </c>
      <c r="S403">
        <f t="shared" si="275"/>
        <v>0.3333333333333357</v>
      </c>
      <c r="U403">
        <f>O402*AV402*'Real assumptions'!$B$33/12+AX403*'Real assumptions'!$B$34</f>
        <v>2.5112397386726912</v>
      </c>
      <c r="V403">
        <f>IF(P403=0,0,IF(E403&lt;=$C$7,$AN$5*O402,0))*'Real assumptions'!$D$28</f>
        <v>0.98125357891737774</v>
      </c>
      <c r="X403" s="94">
        <f t="shared" si="289"/>
        <v>0</v>
      </c>
      <c r="Y403">
        <f t="shared" si="276"/>
        <v>24</v>
      </c>
      <c r="Z403">
        <f t="shared" si="309"/>
        <v>66</v>
      </c>
      <c r="AA403">
        <f t="shared" si="277"/>
        <v>66.333333333333343</v>
      </c>
      <c r="AB403">
        <f t="shared" si="290"/>
        <v>50.505050505050505</v>
      </c>
      <c r="AC403">
        <f t="shared" si="310"/>
        <v>3350.1683501683506</v>
      </c>
      <c r="AD403">
        <f t="shared" si="291"/>
        <v>80.505050505050505</v>
      </c>
      <c r="AE403">
        <f t="shared" si="292"/>
        <v>267.00841750841755</v>
      </c>
      <c r="AF403" s="94">
        <f t="shared" si="293"/>
        <v>1382.8232323232319</v>
      </c>
      <c r="AG403">
        <f t="shared" si="311"/>
        <v>0.72586560510251574</v>
      </c>
      <c r="AH403">
        <f t="shared" si="294"/>
        <v>224.73602297028529</v>
      </c>
      <c r="AI403">
        <f>HLOOKUP(AW403,'Real assumptions'!$A$21:$AK$24,2,TRUE)</f>
        <v>2.2038000000000002</v>
      </c>
      <c r="AJ403" s="123">
        <f t="shared" si="312"/>
        <v>1.8182070280676754E-3</v>
      </c>
      <c r="AK403" s="122">
        <f>(1+HLOOKUP(YEAR(A403),'Real assumptions'!$A$21:$AK$24,2,TRUE)/100)^(1/12)-1</f>
        <v>1.8182070280676754E-3</v>
      </c>
      <c r="AL403">
        <f t="shared" si="313"/>
        <v>2.5112397386726912</v>
      </c>
      <c r="AM403">
        <f>('Real assumptions'!$B$33/12)*O402*AV402</f>
        <v>2.4488858380228051</v>
      </c>
      <c r="AN403">
        <f t="shared" si="295"/>
        <v>228.34029488266862</v>
      </c>
      <c r="AO403">
        <f t="shared" si="272"/>
        <v>0.41516992894671356</v>
      </c>
      <c r="AP403" s="121">
        <f t="shared" si="296"/>
        <v>2.916070289656834</v>
      </c>
      <c r="AQ403">
        <f t="shared" si="297"/>
        <v>0</v>
      </c>
      <c r="AR403">
        <v>0</v>
      </c>
      <c r="AS403">
        <f t="shared" si="278"/>
        <v>0</v>
      </c>
      <c r="AT403">
        <f t="shared" si="298"/>
        <v>0</v>
      </c>
      <c r="AU403">
        <f>IFERROR(HLOOKUP(B403,'Real assumptions'!$B$43:$AL$44,2,TRUE)*($W$3/$U$2),0)</f>
        <v>0</v>
      </c>
      <c r="AV403">
        <f>AV402*(1+'Real assumptions'!$B$35)^(1/12)</f>
        <v>1.4989533680832974</v>
      </c>
      <c r="AW403">
        <f t="shared" si="279"/>
        <v>2051</v>
      </c>
      <c r="AX403">
        <f t="shared" si="314"/>
        <v>227.61482949402574</v>
      </c>
      <c r="AY403">
        <f t="shared" si="315"/>
        <v>0.68830918835394062</v>
      </c>
      <c r="AZ403">
        <f t="shared" si="280"/>
        <v>528.43458033480431</v>
      </c>
      <c r="BA403">
        <f t="shared" si="299"/>
        <v>4.1953344637151417</v>
      </c>
      <c r="BB403">
        <f t="shared" si="300"/>
        <v>66.333333333333343</v>
      </c>
      <c r="BC403">
        <f t="shared" si="281"/>
        <v>39.800000000000004</v>
      </c>
      <c r="BD403">
        <f t="shared" si="301"/>
        <v>0</v>
      </c>
      <c r="BE403">
        <f t="shared" si="282"/>
        <v>24</v>
      </c>
      <c r="BF403">
        <f t="shared" si="316"/>
        <v>5000</v>
      </c>
      <c r="BU403"/>
      <c r="FD403"/>
      <c r="FE403"/>
    </row>
    <row r="404" spans="1:161" x14ac:dyDescent="0.25">
      <c r="A404" s="7">
        <f t="shared" si="302"/>
        <v>55396</v>
      </c>
      <c r="B404">
        <f t="shared" si="283"/>
        <v>393</v>
      </c>
      <c r="C404">
        <f t="shared" si="284"/>
        <v>32.666666666666664</v>
      </c>
      <c r="D404">
        <f t="shared" si="285"/>
        <v>0</v>
      </c>
      <c r="E404">
        <f t="shared" si="286"/>
        <v>84</v>
      </c>
      <c r="F404">
        <f>IF(C404&gt;=$T$2,0,VLOOKUP($E404,EKM_F05!$A$3:$C$128,2,TRUE))</f>
        <v>8.6189102564102574E-2</v>
      </c>
      <c r="G404">
        <f>F404*'Real assumptions'!$B$3</f>
        <v>3.5966712500000005E-2</v>
      </c>
      <c r="H404">
        <f t="shared" si="303"/>
        <v>3.0478005277594367E-3</v>
      </c>
      <c r="I404">
        <f t="shared" si="304"/>
        <v>4.945315100473508E-4</v>
      </c>
      <c r="J404">
        <f>IF(B404&gt;$AJ$2,0,HLOOKUP(C404,'Real assumptions'!$B$5:$L$8,4,TRUE))</f>
        <v>3.7900000000000003E-2</v>
      </c>
      <c r="K404">
        <f t="shared" si="273"/>
        <v>1</v>
      </c>
      <c r="L404">
        <f t="shared" si="305"/>
        <v>8.3333333333333329E-2</v>
      </c>
      <c r="M404">
        <f t="shared" si="306"/>
        <v>3.2145624959929453E-3</v>
      </c>
      <c r="N404">
        <f t="shared" si="307"/>
        <v>5.2163361583171144E-4</v>
      </c>
      <c r="O404" s="8">
        <f t="shared" si="287"/>
        <v>0.16150353928544639</v>
      </c>
      <c r="P404">
        <f t="shared" si="288"/>
        <v>3.9004729058718111</v>
      </c>
      <c r="Q404">
        <f t="shared" si="308"/>
        <v>2.4726575502367538</v>
      </c>
      <c r="R404" s="89">
        <f t="shared" si="274"/>
        <v>5000</v>
      </c>
      <c r="S404">
        <f t="shared" si="275"/>
        <v>0.25</v>
      </c>
      <c r="U404">
        <f>O403*AV403*'Real assumptions'!$B$33/12+AX404*'Real assumptions'!$B$34</f>
        <v>2.4983789431150822</v>
      </c>
      <c r="V404">
        <f>IF(P404=0,0,IF(E404&lt;=$C$7,$AN$5*O403,0))*'Real assumptions'!$D$28</f>
        <v>0.97511822646795276</v>
      </c>
      <c r="X404" s="94">
        <f t="shared" si="289"/>
        <v>0</v>
      </c>
      <c r="Y404">
        <f t="shared" si="276"/>
        <v>24</v>
      </c>
      <c r="Z404">
        <f t="shared" si="309"/>
        <v>66</v>
      </c>
      <c r="AA404">
        <f t="shared" si="277"/>
        <v>66.25</v>
      </c>
      <c r="AB404">
        <f t="shared" si="290"/>
        <v>50.505050505050505</v>
      </c>
      <c r="AC404">
        <f t="shared" si="310"/>
        <v>3345.9595959595958</v>
      </c>
      <c r="AD404">
        <f t="shared" si="291"/>
        <v>80.505050505050505</v>
      </c>
      <c r="AE404">
        <f t="shared" si="292"/>
        <v>266.67297979797979</v>
      </c>
      <c r="AF404" s="94">
        <f t="shared" si="293"/>
        <v>1387.3674242424245</v>
      </c>
      <c r="AG404">
        <f t="shared" si="311"/>
        <v>0.72369748599470385</v>
      </c>
      <c r="AH404">
        <f t="shared" si="294"/>
        <v>224.06474930448496</v>
      </c>
      <c r="AI404">
        <f>HLOOKUP(AW404,'Real assumptions'!$A$21:$AK$24,2,TRUE)</f>
        <v>2.2038000000000002</v>
      </c>
      <c r="AJ404" s="123">
        <f t="shared" si="312"/>
        <v>1.8182070280676754E-3</v>
      </c>
      <c r="AK404" s="122">
        <f>(1+HLOOKUP(YEAR(A404),'Real assumptions'!$A$21:$AK$24,2,TRUE)/100)^(1/12)-1</f>
        <v>1.8182070280676754E-3</v>
      </c>
      <c r="AL404">
        <f t="shared" si="313"/>
        <v>2.4983789431150822</v>
      </c>
      <c r="AM404">
        <f>('Real assumptions'!$B$33/12)*O403*AV403</f>
        <v>2.4360945830725824</v>
      </c>
      <c r="AN404">
        <f t="shared" si="295"/>
        <v>228.07906899623092</v>
      </c>
      <c r="AO404">
        <f t="shared" si="272"/>
        <v>0.41469496620407931</v>
      </c>
      <c r="AP404" s="121">
        <f t="shared" si="296"/>
        <v>3.3307652558609133</v>
      </c>
      <c r="AQ404">
        <f t="shared" si="297"/>
        <v>0</v>
      </c>
      <c r="AR404">
        <v>0</v>
      </c>
      <c r="AS404">
        <f t="shared" si="278"/>
        <v>0</v>
      </c>
      <c r="AT404">
        <f t="shared" si="298"/>
        <v>0</v>
      </c>
      <c r="AU404">
        <f>IFERROR(HLOOKUP(B404,'Real assumptions'!$B$43:$AL$44,2,TRUE)*($W$3/$U$2),0)</f>
        <v>0</v>
      </c>
      <c r="AV404">
        <f>AV403*(1+'Real assumptions'!$B$35)^(1/12)</f>
        <v>1.5005059030605084</v>
      </c>
      <c r="AW404">
        <f t="shared" si="279"/>
        <v>2051</v>
      </c>
      <c r="AX404">
        <f t="shared" si="314"/>
        <v>227.36098052342084</v>
      </c>
      <c r="AY404">
        <f t="shared" si="315"/>
        <v>0.68400548994665589</v>
      </c>
      <c r="AZ404">
        <f t="shared" si="280"/>
        <v>526.62600450270031</v>
      </c>
      <c r="BA404">
        <f t="shared" si="299"/>
        <v>4.1714732626994104</v>
      </c>
      <c r="BB404">
        <f t="shared" si="300"/>
        <v>66.25</v>
      </c>
      <c r="BC404">
        <f t="shared" si="281"/>
        <v>39.75</v>
      </c>
      <c r="BD404">
        <f t="shared" si="301"/>
        <v>0</v>
      </c>
      <c r="BE404">
        <f t="shared" si="282"/>
        <v>24</v>
      </c>
      <c r="BF404">
        <f t="shared" si="316"/>
        <v>5000</v>
      </c>
      <c r="BU404"/>
      <c r="FD404"/>
      <c r="FE404"/>
    </row>
    <row r="405" spans="1:161" x14ac:dyDescent="0.25">
      <c r="A405" s="7">
        <f t="shared" si="302"/>
        <v>55426</v>
      </c>
      <c r="B405">
        <f t="shared" si="283"/>
        <v>394</v>
      </c>
      <c r="C405">
        <f t="shared" si="284"/>
        <v>32.75</v>
      </c>
      <c r="D405">
        <f t="shared" si="285"/>
        <v>0</v>
      </c>
      <c r="E405">
        <f t="shared" si="286"/>
        <v>84</v>
      </c>
      <c r="F405">
        <f>IF(C405&gt;=$T$2,0,VLOOKUP($E405,EKM_F05!$A$3:$C$128,2,TRUE))</f>
        <v>8.6189102564102574E-2</v>
      </c>
      <c r="G405">
        <f>F405*'Real assumptions'!$B$3</f>
        <v>3.5966712500000005E-2</v>
      </c>
      <c r="H405">
        <f t="shared" si="303"/>
        <v>3.0478005277594367E-3</v>
      </c>
      <c r="I405">
        <f t="shared" si="304"/>
        <v>4.9143941930070156E-4</v>
      </c>
      <c r="J405">
        <f>IF(B405&gt;$AJ$2,0,HLOOKUP(C405,'Real assumptions'!$B$5:$L$8,4,TRUE))</f>
        <v>3.7900000000000003E-2</v>
      </c>
      <c r="K405">
        <f t="shared" si="273"/>
        <v>1</v>
      </c>
      <c r="L405">
        <f t="shared" si="305"/>
        <v>8.3333333333333329E-2</v>
      </c>
      <c r="M405">
        <f t="shared" si="306"/>
        <v>3.2145624959929453E-3</v>
      </c>
      <c r="N405">
        <f t="shared" si="307"/>
        <v>5.1837206738862042E-4</v>
      </c>
      <c r="O405" s="8">
        <f t="shared" si="287"/>
        <v>0.16049372779875706</v>
      </c>
      <c r="P405">
        <f t="shared" si="288"/>
        <v>3.8760849428507136</v>
      </c>
      <c r="Q405">
        <f t="shared" si="308"/>
        <v>2.4571970965035077</v>
      </c>
      <c r="R405" s="89">
        <f t="shared" si="274"/>
        <v>5000</v>
      </c>
      <c r="S405">
        <f t="shared" si="275"/>
        <v>0.1666666666666643</v>
      </c>
      <c r="U405">
        <f>O404*AV404*'Real assumptions'!$B$33/12+AX405*'Real assumptions'!$B$34</f>
        <v>2.4855847109045515</v>
      </c>
      <c r="V405">
        <f>IF(P405=0,0,IF(E405&lt;=$C$7,$AN$5*O404,0))*'Real assumptions'!$D$28</f>
        <v>0.9690212357126784</v>
      </c>
      <c r="X405" s="94">
        <f t="shared" si="289"/>
        <v>0</v>
      </c>
      <c r="Y405">
        <f t="shared" si="276"/>
        <v>24</v>
      </c>
      <c r="Z405">
        <f t="shared" si="309"/>
        <v>66</v>
      </c>
      <c r="AA405">
        <f t="shared" si="277"/>
        <v>66.166666666666657</v>
      </c>
      <c r="AB405">
        <f t="shared" si="290"/>
        <v>50.505050505050505</v>
      </c>
      <c r="AC405">
        <f t="shared" si="310"/>
        <v>3341.7508417508411</v>
      </c>
      <c r="AD405">
        <f t="shared" si="291"/>
        <v>80.505050505050505</v>
      </c>
      <c r="AE405">
        <f t="shared" si="292"/>
        <v>266.33754208754203</v>
      </c>
      <c r="AF405" s="94">
        <f t="shared" si="293"/>
        <v>1391.9116161616168</v>
      </c>
      <c r="AG405">
        <f t="shared" si="311"/>
        <v>0.72152810209193319</v>
      </c>
      <c r="AH405">
        <f t="shared" si="294"/>
        <v>223.39308404417056</v>
      </c>
      <c r="AI405">
        <f>HLOOKUP(AW405,'Real assumptions'!$A$21:$AK$24,2,TRUE)</f>
        <v>2.2038000000000002</v>
      </c>
      <c r="AJ405" s="123">
        <f t="shared" si="312"/>
        <v>1.8182070280676754E-3</v>
      </c>
      <c r="AK405" s="122">
        <f>(1+HLOOKUP(YEAR(A405),'Real assumptions'!$A$21:$AK$24,2,TRUE)/100)^(1/12)-1</f>
        <v>1.8182070280676754E-3</v>
      </c>
      <c r="AL405">
        <f t="shared" si="313"/>
        <v>2.4855847109045515</v>
      </c>
      <c r="AM405">
        <f>('Real assumptions'!$B$33/12)*O404*AV404</f>
        <v>2.4233701406297703</v>
      </c>
      <c r="AN405">
        <f t="shared" si="295"/>
        <v>227.81699355657935</v>
      </c>
      <c r="AO405">
        <f t="shared" si="272"/>
        <v>0.41421845879782088</v>
      </c>
      <c r="AP405" s="121">
        <f t="shared" si="296"/>
        <v>3.7449837146587344</v>
      </c>
      <c r="AQ405">
        <f t="shared" si="297"/>
        <v>0</v>
      </c>
      <c r="AR405">
        <v>0</v>
      </c>
      <c r="AS405">
        <f t="shared" si="278"/>
        <v>0</v>
      </c>
      <c r="AT405">
        <f t="shared" si="298"/>
        <v>0</v>
      </c>
      <c r="AU405">
        <f>IFERROR(HLOOKUP(B405,'Real assumptions'!$B$43:$AL$44,2,TRUE)*($W$3/$U$2),0)</f>
        <v>0</v>
      </c>
      <c r="AV405">
        <f>AV404*(1+'Real assumptions'!$B$35)^(1/12)</f>
        <v>1.5020600460696347</v>
      </c>
      <c r="AW405">
        <f t="shared" si="279"/>
        <v>2051</v>
      </c>
      <c r="AX405">
        <f t="shared" si="314"/>
        <v>227.10622202532952</v>
      </c>
      <c r="AY405">
        <f t="shared" si="315"/>
        <v>0.67972870069632318</v>
      </c>
      <c r="AZ405">
        <f t="shared" si="280"/>
        <v>524.82627340288843</v>
      </c>
      <c r="BA405">
        <f t="shared" si="299"/>
        <v>4.1477464343081198</v>
      </c>
      <c r="BB405">
        <f t="shared" si="300"/>
        <v>66.166666666666657</v>
      </c>
      <c r="BC405">
        <f t="shared" si="281"/>
        <v>39.699999999999989</v>
      </c>
      <c r="BD405">
        <f t="shared" si="301"/>
        <v>0</v>
      </c>
      <c r="BE405">
        <f t="shared" si="282"/>
        <v>24</v>
      </c>
      <c r="BF405">
        <f t="shared" si="316"/>
        <v>5000</v>
      </c>
      <c r="BU405"/>
      <c r="FD405"/>
      <c r="FE405"/>
    </row>
    <row r="406" spans="1:161" x14ac:dyDescent="0.25">
      <c r="A406" s="7">
        <f t="shared" si="302"/>
        <v>55457</v>
      </c>
      <c r="B406">
        <f t="shared" si="283"/>
        <v>395</v>
      </c>
      <c r="C406">
        <f t="shared" si="284"/>
        <v>32.833333333333336</v>
      </c>
      <c r="D406">
        <f t="shared" si="285"/>
        <v>0</v>
      </c>
      <c r="E406">
        <f t="shared" si="286"/>
        <v>84</v>
      </c>
      <c r="F406">
        <f>IF(C406&gt;=$T$2,0,VLOOKUP($E406,EKM_F05!$A$3:$C$128,2,TRUE))</f>
        <v>8.6189102564102574E-2</v>
      </c>
      <c r="G406">
        <f>F406*'Real assumptions'!$B$3</f>
        <v>3.5966712500000005E-2</v>
      </c>
      <c r="H406">
        <f t="shared" si="303"/>
        <v>3.0478005277594367E-3</v>
      </c>
      <c r="I406">
        <f t="shared" si="304"/>
        <v>4.8836666205452964E-4</v>
      </c>
      <c r="J406">
        <f>IF(B406&gt;$AJ$2,0,HLOOKUP(C406,'Real assumptions'!$B$5:$L$8,4,TRUE))</f>
        <v>3.7900000000000003E-2</v>
      </c>
      <c r="K406">
        <f t="shared" si="273"/>
        <v>1</v>
      </c>
      <c r="L406">
        <f t="shared" si="305"/>
        <v>8.3333333333333329E-2</v>
      </c>
      <c r="M406">
        <f t="shared" si="306"/>
        <v>3.2145624959929453E-3</v>
      </c>
      <c r="N406">
        <f t="shared" si="307"/>
        <v>5.1513091199138327E-4</v>
      </c>
      <c r="O406" s="8">
        <f t="shared" si="287"/>
        <v>0.15949023022471115</v>
      </c>
      <c r="P406">
        <f t="shared" si="288"/>
        <v>3.8518494671701697</v>
      </c>
      <c r="Q406">
        <f t="shared" si="308"/>
        <v>2.4418333102726484</v>
      </c>
      <c r="R406" s="89">
        <f t="shared" si="274"/>
        <v>5000</v>
      </c>
      <c r="S406">
        <f t="shared" si="275"/>
        <v>8.3333333333335702E-2</v>
      </c>
      <c r="U406">
        <f>O405*AV405*'Real assumptions'!$B$33/12+AX406*'Real assumptions'!$B$34</f>
        <v>2.472856701290187</v>
      </c>
      <c r="V406">
        <f>IF(P406=0,0,IF(E406&lt;=$C$7,$AN$5*O405,0))*'Real assumptions'!$D$28</f>
        <v>0.96296236679254243</v>
      </c>
      <c r="X406" s="94">
        <f t="shared" si="289"/>
        <v>0</v>
      </c>
      <c r="Y406">
        <f t="shared" si="276"/>
        <v>24</v>
      </c>
      <c r="Z406">
        <f t="shared" si="309"/>
        <v>66</v>
      </c>
      <c r="AA406">
        <f t="shared" si="277"/>
        <v>66.083333333333343</v>
      </c>
      <c r="AB406">
        <f t="shared" si="290"/>
        <v>50.505050505050505</v>
      </c>
      <c r="AC406">
        <f t="shared" si="310"/>
        <v>3337.5420875420882</v>
      </c>
      <c r="AD406">
        <f t="shared" si="291"/>
        <v>80.505050505050505</v>
      </c>
      <c r="AE406">
        <f t="shared" si="292"/>
        <v>266.00210437710439</v>
      </c>
      <c r="AF406" s="94">
        <f t="shared" si="293"/>
        <v>1396.4558080808074</v>
      </c>
      <c r="AG406">
        <f t="shared" si="311"/>
        <v>0.71935755397233037</v>
      </c>
      <c r="AH406">
        <f t="shared" si="294"/>
        <v>222.72105832944303</v>
      </c>
      <c r="AI406">
        <f>HLOOKUP(AW406,'Real assumptions'!$A$21:$AK$24,2,TRUE)</f>
        <v>2.2038000000000002</v>
      </c>
      <c r="AJ406" s="123">
        <f t="shared" si="312"/>
        <v>1.8182070280676754E-3</v>
      </c>
      <c r="AK406" s="122">
        <f>(1+HLOOKUP(YEAR(A406),'Real assumptions'!$A$21:$AK$24,2,TRUE)/100)^(1/12)-1</f>
        <v>1.8182070280676754E-3</v>
      </c>
      <c r="AL406">
        <f t="shared" si="313"/>
        <v>2.472856701290187</v>
      </c>
      <c r="AM406">
        <f>('Real assumptions'!$B$33/12)*O405*AV405</f>
        <v>2.4107121617128846</v>
      </c>
      <c r="AN406">
        <f t="shared" si="295"/>
        <v>227.55409815791674</v>
      </c>
      <c r="AO406">
        <f t="shared" si="272"/>
        <v>0.4137404605363259</v>
      </c>
      <c r="AP406" s="121">
        <f t="shared" si="296"/>
        <v>4.1587241751950605</v>
      </c>
      <c r="AQ406">
        <f t="shared" si="297"/>
        <v>0</v>
      </c>
      <c r="AR406">
        <v>0</v>
      </c>
      <c r="AS406">
        <f t="shared" si="278"/>
        <v>0</v>
      </c>
      <c r="AT406">
        <f t="shared" si="298"/>
        <v>0</v>
      </c>
      <c r="AU406">
        <f>IFERROR(HLOOKUP(B406,'Real assumptions'!$B$43:$AL$44,2,TRUE)*($W$3/$U$2),0)</f>
        <v>0</v>
      </c>
      <c r="AV406">
        <f>AV405*(1+'Real assumptions'!$B$35)^(1/12)</f>
        <v>1.5036157987761889</v>
      </c>
      <c r="AW406">
        <f t="shared" si="279"/>
        <v>2051</v>
      </c>
      <c r="AX406">
        <f t="shared" si="314"/>
        <v>226.85058404438843</v>
      </c>
      <c r="AY406">
        <f t="shared" si="315"/>
        <v>0.67547865235167115</v>
      </c>
      <c r="AZ406">
        <f t="shared" si="280"/>
        <v>523.03535575654655</v>
      </c>
      <c r="BA406">
        <f t="shared" si="299"/>
        <v>4.1241532310375213</v>
      </c>
      <c r="BB406">
        <f t="shared" si="300"/>
        <v>66.083333333333343</v>
      </c>
      <c r="BC406">
        <f t="shared" si="281"/>
        <v>39.650000000000006</v>
      </c>
      <c r="BD406">
        <f t="shared" si="301"/>
        <v>0</v>
      </c>
      <c r="BE406">
        <f t="shared" si="282"/>
        <v>24</v>
      </c>
      <c r="BF406">
        <f t="shared" si="316"/>
        <v>5000</v>
      </c>
      <c r="BU406"/>
      <c r="FD406"/>
      <c r="FE406"/>
    </row>
    <row r="407" spans="1:161" x14ac:dyDescent="0.25">
      <c r="A407" s="7">
        <f t="shared" si="302"/>
        <v>55487</v>
      </c>
      <c r="B407">
        <f t="shared" si="283"/>
        <v>396</v>
      </c>
      <c r="C407">
        <f t="shared" si="284"/>
        <v>32.916666666666664</v>
      </c>
      <c r="D407">
        <f t="shared" si="285"/>
        <v>0</v>
      </c>
      <c r="E407">
        <f t="shared" si="286"/>
        <v>84</v>
      </c>
      <c r="F407">
        <f>IF(C407&gt;=$T$2,0,VLOOKUP($E407,EKM_F05!$A$3:$C$128,2,TRUE))</f>
        <v>8.6189102564102574E-2</v>
      </c>
      <c r="G407">
        <f>F407*'Real assumptions'!$B$3</f>
        <v>3.5966712500000005E-2</v>
      </c>
      <c r="H407">
        <f t="shared" si="303"/>
        <v>3.0478005277594367E-3</v>
      </c>
      <c r="I407">
        <f t="shared" si="304"/>
        <v>4.8531311742485328E-4</v>
      </c>
      <c r="J407">
        <f>IF(B407&gt;$AJ$2,0,HLOOKUP(C407,'Real assumptions'!$B$5:$L$8,4,TRUE))</f>
        <v>3.7900000000000003E-2</v>
      </c>
      <c r="K407">
        <f t="shared" si="273"/>
        <v>1</v>
      </c>
      <c r="L407">
        <f t="shared" si="305"/>
        <v>8.3333333333333329E-2</v>
      </c>
      <c r="M407">
        <f t="shared" si="306"/>
        <v>3.2145624959929453E-3</v>
      </c>
      <c r="N407">
        <f t="shared" si="307"/>
        <v>5.1191002213114151E-4</v>
      </c>
      <c r="O407" s="8">
        <f t="shared" si="287"/>
        <v>0.15849300708515515</v>
      </c>
      <c r="P407">
        <f t="shared" si="288"/>
        <v>3.8277655253930676</v>
      </c>
      <c r="Q407">
        <f t="shared" si="308"/>
        <v>2.4265655871242666</v>
      </c>
      <c r="R407" s="89">
        <f t="shared" si="274"/>
        <v>5000</v>
      </c>
      <c r="S407">
        <f t="shared" si="275"/>
        <v>1</v>
      </c>
      <c r="U407">
        <f>O406*AV406*'Real assumptions'!$B$33/12+AX407*'Real assumptions'!$B$34</f>
        <v>2.460194575255088</v>
      </c>
      <c r="V407">
        <f>IF(P407=0,0,IF(E407&lt;=$C$7,$AN$5*O406,0))*'Real assumptions'!$D$28</f>
        <v>0.9569413813482669</v>
      </c>
      <c r="X407" s="94">
        <f t="shared" si="289"/>
        <v>0</v>
      </c>
      <c r="Y407">
        <f t="shared" si="276"/>
        <v>24</v>
      </c>
      <c r="Z407">
        <f t="shared" si="309"/>
        <v>66</v>
      </c>
      <c r="AA407">
        <f t="shared" si="277"/>
        <v>66</v>
      </c>
      <c r="AB407">
        <f t="shared" si="290"/>
        <v>50.505050505050505</v>
      </c>
      <c r="AC407">
        <f t="shared" si="310"/>
        <v>3333.3333333333335</v>
      </c>
      <c r="AD407">
        <f t="shared" si="291"/>
        <v>80.505050505050505</v>
      </c>
      <c r="AE407">
        <f t="shared" si="292"/>
        <v>265.66666666666663</v>
      </c>
      <c r="AF407" s="94">
        <f t="shared" si="293"/>
        <v>1401</v>
      </c>
      <c r="AG407">
        <f t="shared" si="311"/>
        <v>0.7171859410057293</v>
      </c>
      <c r="AH407">
        <f t="shared" si="294"/>
        <v>222.04870292630235</v>
      </c>
      <c r="AI407">
        <f>HLOOKUP(AW407,'Real assumptions'!$A$21:$AK$24,2,TRUE)</f>
        <v>2.2038000000000002</v>
      </c>
      <c r="AJ407" s="123">
        <f t="shared" si="312"/>
        <v>1.8182070280676754E-3</v>
      </c>
      <c r="AK407" s="122">
        <f>(1+HLOOKUP(YEAR(A407),'Real assumptions'!$A$21:$AK$24,2,TRUE)/100)^(1/12)-1</f>
        <v>1.8182070280676754E-3</v>
      </c>
      <c r="AL407">
        <f t="shared" si="313"/>
        <v>2.460194575255088</v>
      </c>
      <c r="AM407">
        <f>('Real assumptions'!$B$33/12)*O406*AV406</f>
        <v>2.3981202991632733</v>
      </c>
      <c r="AN407">
        <f t="shared" si="295"/>
        <v>227.2904120734278</v>
      </c>
      <c r="AO407">
        <f t="shared" si="272"/>
        <v>0.41326102464430448</v>
      </c>
      <c r="AP407" s="121">
        <f t="shared" si="296"/>
        <v>4.5719851998393652</v>
      </c>
      <c r="AQ407">
        <f t="shared" si="297"/>
        <v>0</v>
      </c>
      <c r="AR407">
        <v>0</v>
      </c>
      <c r="AS407">
        <f t="shared" si="278"/>
        <v>0</v>
      </c>
      <c r="AT407">
        <f t="shared" si="298"/>
        <v>0</v>
      </c>
      <c r="AU407">
        <f>IFERROR(HLOOKUP(B407,'Real assumptions'!$B$43:$AL$44,2,TRUE)*($W$3/$U$2),0)</f>
        <v>0</v>
      </c>
      <c r="AV407">
        <f>AV406*(1+'Real assumptions'!$B$35)^(1/12)</f>
        <v>1.5051731628474088</v>
      </c>
      <c r="AW407">
        <f t="shared" si="279"/>
        <v>2051</v>
      </c>
      <c r="AX407">
        <f t="shared" si="314"/>
        <v>226.59409630100325</v>
      </c>
      <c r="AY407">
        <f t="shared" si="315"/>
        <v>0.67125517771343068</v>
      </c>
      <c r="AZ407">
        <f t="shared" si="280"/>
        <v>521.25322035697059</v>
      </c>
      <c r="BA407">
        <f t="shared" si="299"/>
        <v>4.1006929094782629</v>
      </c>
      <c r="BB407">
        <f t="shared" si="300"/>
        <v>66</v>
      </c>
      <c r="BC407">
        <f t="shared" si="281"/>
        <v>39.599999999999994</v>
      </c>
      <c r="BD407">
        <f t="shared" si="301"/>
        <v>0</v>
      </c>
      <c r="BE407">
        <f t="shared" si="282"/>
        <v>24</v>
      </c>
      <c r="BF407">
        <f t="shared" si="316"/>
        <v>5000</v>
      </c>
      <c r="BU407"/>
      <c r="FD407"/>
      <c r="FE407"/>
    </row>
    <row r="408" spans="1:161" x14ac:dyDescent="0.25">
      <c r="A408" s="7">
        <f t="shared" si="302"/>
        <v>55518</v>
      </c>
      <c r="B408">
        <f t="shared" si="283"/>
        <v>397</v>
      </c>
      <c r="C408">
        <f t="shared" si="284"/>
        <v>33</v>
      </c>
      <c r="D408">
        <f t="shared" si="285"/>
        <v>1</v>
      </c>
      <c r="E408">
        <f t="shared" si="286"/>
        <v>85</v>
      </c>
      <c r="F408">
        <f>IF(C408&gt;=$T$2,0,VLOOKUP($E408,EKM_F05!$A$3:$C$128,2,TRUE))</f>
        <v>9.4572307692307706E-2</v>
      </c>
      <c r="G408">
        <f>F408*'Real assumptions'!$B$3</f>
        <v>3.9465024000000008E-2</v>
      </c>
      <c r="H408">
        <f t="shared" si="303"/>
        <v>3.3497838356151277E-3</v>
      </c>
      <c r="I408">
        <f t="shared" si="304"/>
        <v>5.3006397975015665E-4</v>
      </c>
      <c r="J408">
        <f>IF(B408&gt;$AJ$2,0,HLOOKUP(C408,'Real assumptions'!$B$5:$L$8,4,TRUE))</f>
        <v>3.7900000000000003E-2</v>
      </c>
      <c r="K408">
        <f t="shared" si="273"/>
        <v>1</v>
      </c>
      <c r="L408">
        <f t="shared" si="305"/>
        <v>8.3333333333333329E-2</v>
      </c>
      <c r="M408">
        <f t="shared" si="306"/>
        <v>3.2145624959929453E-3</v>
      </c>
      <c r="N408">
        <f t="shared" si="307"/>
        <v>5.0863234301135399E-4</v>
      </c>
      <c r="O408" s="8">
        <f t="shared" si="287"/>
        <v>0.15745431076239363</v>
      </c>
      <c r="P408">
        <f t="shared" si="288"/>
        <v>3.8038321700437239</v>
      </c>
      <c r="Q408">
        <f t="shared" si="308"/>
        <v>2.6503198987507832</v>
      </c>
      <c r="R408" s="89">
        <f t="shared" si="274"/>
        <v>5000</v>
      </c>
      <c r="S408">
        <f t="shared" si="275"/>
        <v>0.9166666666666643</v>
      </c>
      <c r="U408">
        <f>O407*AV407*'Real assumptions'!$B$33/12+AX408*'Real assumptions'!$B$34</f>
        <v>2.4475979955076417</v>
      </c>
      <c r="V408">
        <f>IF(P408=0,0,IF(E408&lt;=$C$7,$AN$5*O407,0))*'Real assumptions'!$D$28</f>
        <v>0.95095804251093097</v>
      </c>
      <c r="X408" s="94">
        <f t="shared" si="289"/>
        <v>0</v>
      </c>
      <c r="Y408">
        <f t="shared" si="276"/>
        <v>24</v>
      </c>
      <c r="Z408">
        <f t="shared" si="309"/>
        <v>66</v>
      </c>
      <c r="AA408">
        <f t="shared" si="277"/>
        <v>65.916666666666657</v>
      </c>
      <c r="AB408">
        <f t="shared" si="290"/>
        <v>50.505050505050505</v>
      </c>
      <c r="AC408">
        <f t="shared" si="310"/>
        <v>3329.1245791245788</v>
      </c>
      <c r="AD408">
        <f t="shared" si="291"/>
        <v>80.505050505050505</v>
      </c>
      <c r="AE408">
        <f t="shared" si="292"/>
        <v>265.33122895622893</v>
      </c>
      <c r="AF408" s="94">
        <f t="shared" si="293"/>
        <v>1405.5441919191924</v>
      </c>
      <c r="AG408">
        <f t="shared" si="311"/>
        <v>0.71490523554185903</v>
      </c>
      <c r="AH408">
        <f t="shared" si="294"/>
        <v>221.30899198472196</v>
      </c>
      <c r="AI408">
        <f>HLOOKUP(AW408,'Real assumptions'!$A$21:$AK$24,2,TRUE)</f>
        <v>2.2038000000000002</v>
      </c>
      <c r="AJ408" s="123">
        <f t="shared" si="312"/>
        <v>1.8182070280676754E-3</v>
      </c>
      <c r="AK408" s="122">
        <f>(1+HLOOKUP(YEAR(A408),'Real assumptions'!$A$21:$AK$24,2,TRUE)/100)^(1/12)-1</f>
        <v>1.8182070280676754E-3</v>
      </c>
      <c r="AL408">
        <f t="shared" si="313"/>
        <v>2.4475979955076417</v>
      </c>
      <c r="AM408">
        <f>('Real assumptions'!$B$33/12)*O407*AV407</f>
        <v>2.3855942076355974</v>
      </c>
      <c r="AN408">
        <f t="shared" si="295"/>
        <v>227.02596425816688</v>
      </c>
      <c r="AO408">
        <f t="shared" si="272"/>
        <v>0.41278020376803992</v>
      </c>
      <c r="AP408" s="121">
        <f t="shared" si="296"/>
        <v>0</v>
      </c>
      <c r="AQ408">
        <f t="shared" si="297"/>
        <v>0</v>
      </c>
      <c r="AR408">
        <v>0</v>
      </c>
      <c r="AS408">
        <f t="shared" si="278"/>
        <v>0</v>
      </c>
      <c r="AT408">
        <f t="shared" si="298"/>
        <v>0</v>
      </c>
      <c r="AU408">
        <f>IFERROR(HLOOKUP(B408,'Real assumptions'!$B$43:$AL$44,2,TRUE)*($W$3/$U$2),0)</f>
        <v>0</v>
      </c>
      <c r="AV408">
        <f>AV407*(1+'Real assumptions'!$B$35)^(1/12)</f>
        <v>1.5067321399522589</v>
      </c>
      <c r="AW408">
        <f t="shared" si="279"/>
        <v>2051</v>
      </c>
      <c r="AX408">
        <f t="shared" si="314"/>
        <v>226.33678819425853</v>
      </c>
      <c r="AY408">
        <f t="shared" si="315"/>
        <v>0.66705811062775733</v>
      </c>
      <c r="AZ408">
        <f t="shared" si="280"/>
        <v>519.24101762335908</v>
      </c>
      <c r="BA408">
        <f t="shared" si="299"/>
        <v>4.3161831768035732</v>
      </c>
      <c r="BB408">
        <f t="shared" si="300"/>
        <v>65.916666666666657</v>
      </c>
      <c r="BC408">
        <f t="shared" si="281"/>
        <v>39.549999999999997</v>
      </c>
      <c r="BD408">
        <f t="shared" si="301"/>
        <v>0</v>
      </c>
      <c r="BE408">
        <f t="shared" si="282"/>
        <v>24</v>
      </c>
      <c r="BF408">
        <f t="shared" si="316"/>
        <v>5000</v>
      </c>
      <c r="BU408"/>
      <c r="FD408"/>
      <c r="FE408"/>
    </row>
    <row r="409" spans="1:161" x14ac:dyDescent="0.25">
      <c r="A409" s="7">
        <f t="shared" si="302"/>
        <v>55549</v>
      </c>
      <c r="B409">
        <f t="shared" si="283"/>
        <v>398</v>
      </c>
      <c r="C409">
        <f t="shared" si="284"/>
        <v>33.083333333333336</v>
      </c>
      <c r="D409">
        <f t="shared" si="285"/>
        <v>0</v>
      </c>
      <c r="E409">
        <f t="shared" si="286"/>
        <v>85</v>
      </c>
      <c r="F409">
        <f>IF(C409&gt;=$T$2,0,VLOOKUP($E409,EKM_F05!$A$3:$C$128,2,TRUE))</f>
        <v>9.4572307692307706E-2</v>
      </c>
      <c r="G409">
        <f>F409*'Real assumptions'!$B$3</f>
        <v>3.9465024000000008E-2</v>
      </c>
      <c r="H409">
        <f t="shared" si="303"/>
        <v>3.3497838356151277E-3</v>
      </c>
      <c r="I409">
        <f t="shared" si="304"/>
        <v>5.265901639855342E-4</v>
      </c>
      <c r="J409">
        <f>IF(B409&gt;$AJ$2,0,HLOOKUP(C409,'Real assumptions'!$B$5:$L$8,4,TRUE))</f>
        <v>3.7900000000000003E-2</v>
      </c>
      <c r="K409">
        <f t="shared" si="273"/>
        <v>1</v>
      </c>
      <c r="L409">
        <f t="shared" si="305"/>
        <v>8.3333333333333329E-2</v>
      </c>
      <c r="M409">
        <f t="shared" si="306"/>
        <v>3.2145624959929453E-3</v>
      </c>
      <c r="N409">
        <f t="shared" si="307"/>
        <v>5.0529898115495595E-4</v>
      </c>
      <c r="O409" s="8">
        <f t="shared" si="287"/>
        <v>0.15642242161725314</v>
      </c>
      <c r="P409">
        <f t="shared" si="288"/>
        <v>3.7789034582974472</v>
      </c>
      <c r="Q409">
        <f t="shared" si="308"/>
        <v>2.6329508199276712</v>
      </c>
      <c r="R409" s="89">
        <f t="shared" si="274"/>
        <v>5000</v>
      </c>
      <c r="S409">
        <f t="shared" si="275"/>
        <v>0.8333333333333357</v>
      </c>
      <c r="U409">
        <f>O408*AV408*'Real assumptions'!$B$33/12+AX409*'Real assumptions'!$B$34</f>
        <v>2.4329638919832428</v>
      </c>
      <c r="V409">
        <f>IF(P409=0,0,IF(E409&lt;=$C$7,$AN$5*O408,0))*'Real assumptions'!$D$28</f>
        <v>0.94472586457436181</v>
      </c>
      <c r="X409" s="94">
        <f t="shared" si="289"/>
        <v>0</v>
      </c>
      <c r="Y409">
        <f t="shared" si="276"/>
        <v>24</v>
      </c>
      <c r="Z409">
        <f t="shared" si="309"/>
        <v>65</v>
      </c>
      <c r="AA409">
        <f t="shared" si="277"/>
        <v>65.833333333333343</v>
      </c>
      <c r="AB409">
        <f t="shared" si="290"/>
        <v>50.505050505050505</v>
      </c>
      <c r="AC409">
        <f t="shared" si="310"/>
        <v>3324.9158249158254</v>
      </c>
      <c r="AD409">
        <f t="shared" si="291"/>
        <v>80.505050505050505</v>
      </c>
      <c r="AE409">
        <f t="shared" si="292"/>
        <v>264.99579124579128</v>
      </c>
      <c r="AF409" s="94">
        <f t="shared" si="293"/>
        <v>1410.0883838383834</v>
      </c>
      <c r="AG409">
        <f t="shared" si="311"/>
        <v>0.71251622369197354</v>
      </c>
      <c r="AH409">
        <f t="shared" si="294"/>
        <v>220.56943969435869</v>
      </c>
      <c r="AI409">
        <f>HLOOKUP(AW409,'Real assumptions'!$A$21:$AK$24,2,TRUE)</f>
        <v>0</v>
      </c>
      <c r="AJ409" s="123">
        <f t="shared" si="312"/>
        <v>0</v>
      </c>
      <c r="AK409" s="122">
        <f>(1+HLOOKUP(YEAR(A409),'Real assumptions'!$A$21:$AK$24,2,TRUE)/100)^(1/12)-1</f>
        <v>0</v>
      </c>
      <c r="AL409">
        <f t="shared" si="313"/>
        <v>2.4329638919832428</v>
      </c>
      <c r="AM409">
        <f>('Real assumptions'!$B$33/12)*O408*AV408</f>
        <v>2.3724147059972931</v>
      </c>
      <c r="AN409">
        <f t="shared" si="295"/>
        <v>221.71020568646179</v>
      </c>
      <c r="AO409">
        <f t="shared" si="272"/>
        <v>0</v>
      </c>
      <c r="AP409" s="121">
        <f t="shared" si="296"/>
        <v>0</v>
      </c>
      <c r="AQ409">
        <f t="shared" si="297"/>
        <v>0</v>
      </c>
      <c r="AR409">
        <v>0</v>
      </c>
      <c r="AS409">
        <f t="shared" si="278"/>
        <v>0</v>
      </c>
      <c r="AT409">
        <f t="shared" si="298"/>
        <v>0</v>
      </c>
      <c r="AU409">
        <f>IFERROR(HLOOKUP(B409,'Real assumptions'!$B$43:$AL$44,2,TRUE)*($W$3/$U$2),0)</f>
        <v>0</v>
      </c>
      <c r="AV409">
        <f>AV408*(1+'Real assumptions'!$B$35)^(1/12)</f>
        <v>1.5082927317614323</v>
      </c>
      <c r="AW409">
        <f t="shared" si="279"/>
        <v>2052</v>
      </c>
      <c r="AX409">
        <f t="shared" si="314"/>
        <v>221.0269526132553</v>
      </c>
      <c r="AY409">
        <f t="shared" si="315"/>
        <v>0.66268649310771732</v>
      </c>
      <c r="AZ409">
        <f t="shared" si="280"/>
        <v>516.29676428147923</v>
      </c>
      <c r="BA409">
        <f t="shared" si="299"/>
        <v>4.2901929081940064</v>
      </c>
      <c r="BB409">
        <f t="shared" si="300"/>
        <v>65.833333333333343</v>
      </c>
      <c r="BC409">
        <f t="shared" si="281"/>
        <v>39.5</v>
      </c>
      <c r="BD409">
        <f t="shared" si="301"/>
        <v>0</v>
      </c>
      <c r="BE409">
        <f t="shared" si="282"/>
        <v>24</v>
      </c>
      <c r="BF409">
        <f t="shared" si="316"/>
        <v>5000</v>
      </c>
      <c r="BU409"/>
      <c r="FD409"/>
      <c r="FE409"/>
    </row>
    <row r="410" spans="1:161" x14ac:dyDescent="0.25">
      <c r="A410" s="7">
        <f t="shared" si="302"/>
        <v>55578</v>
      </c>
      <c r="B410">
        <f t="shared" si="283"/>
        <v>399</v>
      </c>
      <c r="C410">
        <f t="shared" si="284"/>
        <v>33.166666666666664</v>
      </c>
      <c r="D410">
        <f t="shared" si="285"/>
        <v>0</v>
      </c>
      <c r="E410">
        <f t="shared" si="286"/>
        <v>85</v>
      </c>
      <c r="F410">
        <f>IF(C410&gt;=$T$2,0,VLOOKUP($E410,EKM_F05!$A$3:$C$128,2,TRUE))</f>
        <v>9.4572307692307706E-2</v>
      </c>
      <c r="G410">
        <f>F410*'Real assumptions'!$B$3</f>
        <v>3.9465024000000008E-2</v>
      </c>
      <c r="H410">
        <f t="shared" si="303"/>
        <v>3.3497838356151277E-3</v>
      </c>
      <c r="I410">
        <f t="shared" si="304"/>
        <v>5.2313911414432403E-4</v>
      </c>
      <c r="J410">
        <f>IF(B410&gt;$AJ$2,0,HLOOKUP(C410,'Real assumptions'!$B$5:$L$8,4,TRUE))</f>
        <v>3.7900000000000003E-2</v>
      </c>
      <c r="K410">
        <f t="shared" si="273"/>
        <v>1</v>
      </c>
      <c r="L410">
        <f t="shared" si="305"/>
        <v>8.3333333333333329E-2</v>
      </c>
      <c r="M410">
        <f t="shared" si="306"/>
        <v>3.2145624959929453E-3</v>
      </c>
      <c r="N410">
        <f t="shared" si="307"/>
        <v>5.0198746474629317E-4</v>
      </c>
      <c r="O410" s="8">
        <f t="shared" si="287"/>
        <v>0.15539729503836253</v>
      </c>
      <c r="P410">
        <f t="shared" si="288"/>
        <v>3.7541381188140752</v>
      </c>
      <c r="Q410">
        <f t="shared" si="308"/>
        <v>2.6156955707216203</v>
      </c>
      <c r="R410" s="89">
        <f t="shared" si="274"/>
        <v>5000</v>
      </c>
      <c r="S410">
        <f t="shared" si="275"/>
        <v>0.75</v>
      </c>
      <c r="U410">
        <f>O409*AV409*'Real assumptions'!$B$33/12+AX410*'Real assumptions'!$B$34</f>
        <v>2.4196551119249485</v>
      </c>
      <c r="V410">
        <f>IF(P410=0,0,IF(E410&lt;=$C$7,$AN$5*O409,0))*'Real assumptions'!$D$28</f>
        <v>0.93853452970351881</v>
      </c>
      <c r="X410" s="94">
        <f t="shared" si="289"/>
        <v>0</v>
      </c>
      <c r="Y410">
        <f t="shared" si="276"/>
        <v>24</v>
      </c>
      <c r="Z410">
        <f t="shared" si="309"/>
        <v>65</v>
      </c>
      <c r="AA410">
        <f t="shared" si="277"/>
        <v>65.75</v>
      </c>
      <c r="AB410">
        <f t="shared" si="290"/>
        <v>50.505050505050505</v>
      </c>
      <c r="AC410">
        <f t="shared" si="310"/>
        <v>3320.7070707070707</v>
      </c>
      <c r="AD410">
        <f t="shared" si="291"/>
        <v>80.505050505050505</v>
      </c>
      <c r="AE410">
        <f t="shared" si="292"/>
        <v>264.66035353535352</v>
      </c>
      <c r="AF410" s="94">
        <f t="shared" si="293"/>
        <v>1414.6325757575758</v>
      </c>
      <c r="AG410">
        <f t="shared" si="311"/>
        <v>0.710127820252064</v>
      </c>
      <c r="AH410">
        <f t="shared" si="294"/>
        <v>219.83007574587873</v>
      </c>
      <c r="AI410">
        <f>HLOOKUP(AW410,'Real assumptions'!$A$21:$AK$24,2,TRUE)</f>
        <v>0</v>
      </c>
      <c r="AJ410" s="123">
        <f t="shared" si="312"/>
        <v>0</v>
      </c>
      <c r="AK410" s="122">
        <f>(1+HLOOKUP(YEAR(A410),'Real assumptions'!$A$21:$AK$24,2,TRUE)/100)^(1/12)-1</f>
        <v>0</v>
      </c>
      <c r="AL410">
        <f t="shared" si="313"/>
        <v>2.4196551119249485</v>
      </c>
      <c r="AM410">
        <f>('Real assumptions'!$B$33/12)*O409*AV409</f>
        <v>2.3593080160982529</v>
      </c>
      <c r="AN410">
        <f t="shared" si="295"/>
        <v>220.96538817154428</v>
      </c>
      <c r="AO410">
        <f t="shared" si="272"/>
        <v>0</v>
      </c>
      <c r="AP410" s="121">
        <f t="shared" si="296"/>
        <v>0</v>
      </c>
      <c r="AQ410">
        <f t="shared" si="297"/>
        <v>0</v>
      </c>
      <c r="AR410">
        <v>0</v>
      </c>
      <c r="AS410">
        <f t="shared" si="278"/>
        <v>0</v>
      </c>
      <c r="AT410">
        <f t="shared" si="298"/>
        <v>0</v>
      </c>
      <c r="AU410">
        <f>IFERROR(HLOOKUP(B410,'Real assumptions'!$B$43:$AL$44,2,TRUE)*($W$3/$U$2),0)</f>
        <v>0</v>
      </c>
      <c r="AV410">
        <f>AV409*(1+'Real assumptions'!$B$35)^(1/12)</f>
        <v>1.5098549399473526</v>
      </c>
      <c r="AW410">
        <f t="shared" si="279"/>
        <v>2052</v>
      </c>
      <c r="AX410">
        <f t="shared" si="314"/>
        <v>220.2892486899803</v>
      </c>
      <c r="AY410">
        <f t="shared" si="315"/>
        <v>0.6583435253251394</v>
      </c>
      <c r="AZ410">
        <f t="shared" si="280"/>
        <v>513.36688936769121</v>
      </c>
      <c r="BA410">
        <f t="shared" si="299"/>
        <v>4.2643579206772033</v>
      </c>
      <c r="BB410">
        <f t="shared" si="300"/>
        <v>65.75</v>
      </c>
      <c r="BC410">
        <f t="shared" si="281"/>
        <v>39.450000000000003</v>
      </c>
      <c r="BD410">
        <f t="shared" si="301"/>
        <v>0</v>
      </c>
      <c r="BE410">
        <f t="shared" si="282"/>
        <v>24</v>
      </c>
      <c r="BF410">
        <f t="shared" si="316"/>
        <v>5000</v>
      </c>
      <c r="BU410"/>
      <c r="FD410"/>
      <c r="FE410"/>
    </row>
    <row r="411" spans="1:161" x14ac:dyDescent="0.25">
      <c r="A411" s="7">
        <f t="shared" si="302"/>
        <v>55609</v>
      </c>
      <c r="B411">
        <f t="shared" si="283"/>
        <v>400</v>
      </c>
      <c r="C411">
        <f t="shared" si="284"/>
        <v>33.25</v>
      </c>
      <c r="D411">
        <f t="shared" si="285"/>
        <v>0</v>
      </c>
      <c r="E411">
        <f t="shared" si="286"/>
        <v>85</v>
      </c>
      <c r="F411">
        <f>IF(C411&gt;=$T$2,0,VLOOKUP($E411,EKM_F05!$A$3:$C$128,2,TRUE))</f>
        <v>9.4572307692307706E-2</v>
      </c>
      <c r="G411">
        <f>F411*'Real assumptions'!$B$3</f>
        <v>3.9465024000000008E-2</v>
      </c>
      <c r="H411">
        <f t="shared" si="303"/>
        <v>3.3497838356151277E-3</v>
      </c>
      <c r="I411">
        <f t="shared" si="304"/>
        <v>5.1971068102826562E-4</v>
      </c>
      <c r="J411">
        <f>IF(B411&gt;$AJ$2,0,HLOOKUP(C411,'Real assumptions'!$B$5:$L$8,4,TRUE))</f>
        <v>3.7900000000000003E-2</v>
      </c>
      <c r="K411">
        <f t="shared" si="273"/>
        <v>1</v>
      </c>
      <c r="L411">
        <f t="shared" si="305"/>
        <v>8.3333333333333329E-2</v>
      </c>
      <c r="M411">
        <f t="shared" si="306"/>
        <v>3.2145624959929453E-3</v>
      </c>
      <c r="N411">
        <f t="shared" si="307"/>
        <v>4.9869765061951474E-4</v>
      </c>
      <c r="O411" s="8">
        <f t="shared" si="287"/>
        <v>0.15437888670671474</v>
      </c>
      <c r="P411">
        <f t="shared" si="288"/>
        <v>3.7295350809207006</v>
      </c>
      <c r="Q411">
        <f t="shared" si="308"/>
        <v>2.5985534051413279</v>
      </c>
      <c r="R411" s="89">
        <f t="shared" si="274"/>
        <v>5000</v>
      </c>
      <c r="S411">
        <f t="shared" si="275"/>
        <v>0.6666666666666643</v>
      </c>
      <c r="U411">
        <f>O410*AV410*'Real assumptions'!$B$33/12+AX411*'Real assumptions'!$B$34</f>
        <v>2.4064187896255946</v>
      </c>
      <c r="V411">
        <f>IF(P411=0,0,IF(E411&lt;=$C$7,$AN$5*O410,0))*'Real assumptions'!$D$28</f>
        <v>0.93238377023017516</v>
      </c>
      <c r="X411" s="94">
        <f t="shared" si="289"/>
        <v>0</v>
      </c>
      <c r="Y411">
        <f t="shared" si="276"/>
        <v>24</v>
      </c>
      <c r="Z411">
        <f t="shared" si="309"/>
        <v>65</v>
      </c>
      <c r="AA411">
        <f t="shared" si="277"/>
        <v>65.666666666666657</v>
      </c>
      <c r="AB411">
        <f t="shared" si="290"/>
        <v>50.505050505050505</v>
      </c>
      <c r="AC411">
        <f t="shared" si="310"/>
        <v>3316.4983164983159</v>
      </c>
      <c r="AD411">
        <f t="shared" si="291"/>
        <v>80.505050505050505</v>
      </c>
      <c r="AE411">
        <f t="shared" si="292"/>
        <v>264.32491582491576</v>
      </c>
      <c r="AF411" s="94">
        <f t="shared" si="293"/>
        <v>1419.1767676767683</v>
      </c>
      <c r="AG411">
        <f t="shared" si="311"/>
        <v>0.70774011985420127</v>
      </c>
      <c r="AH411">
        <f t="shared" si="294"/>
        <v>219.09092943397343</v>
      </c>
      <c r="AI411">
        <f>HLOOKUP(AW411,'Real assumptions'!$A$21:$AK$24,2,TRUE)</f>
        <v>0</v>
      </c>
      <c r="AJ411" s="123">
        <f t="shared" si="312"/>
        <v>0</v>
      </c>
      <c r="AK411" s="122">
        <f>(1+HLOOKUP(YEAR(A411),'Real assumptions'!$A$21:$AK$24,2,TRUE)/100)^(1/12)-1</f>
        <v>0</v>
      </c>
      <c r="AL411">
        <f t="shared" si="313"/>
        <v>2.4064187896255946</v>
      </c>
      <c r="AM411">
        <f>('Real assumptions'!$B$33/12)*O410*AV410</f>
        <v>2.3462737356812791</v>
      </c>
      <c r="AN411">
        <f t="shared" si="295"/>
        <v>220.22080826694364</v>
      </c>
      <c r="AO411">
        <f t="shared" si="272"/>
        <v>0</v>
      </c>
      <c r="AP411" s="121">
        <f t="shared" si="296"/>
        <v>0</v>
      </c>
      <c r="AQ411">
        <f t="shared" si="297"/>
        <v>0</v>
      </c>
      <c r="AR411">
        <v>0</v>
      </c>
      <c r="AS411">
        <f t="shared" si="278"/>
        <v>0</v>
      </c>
      <c r="AT411">
        <f t="shared" si="298"/>
        <v>0</v>
      </c>
      <c r="AU411">
        <f>IFERROR(HLOOKUP(B411,'Real assumptions'!$B$43:$AL$44,2,TRUE)*($W$3/$U$2),0)</f>
        <v>0</v>
      </c>
      <c r="AV411">
        <f>AV410*(1+'Real assumptions'!$B$35)^(1/12)</f>
        <v>1.5114187661841758</v>
      </c>
      <c r="AW411">
        <f t="shared" si="279"/>
        <v>2052</v>
      </c>
      <c r="AX411">
        <f t="shared" si="314"/>
        <v>219.55172099517026</v>
      </c>
      <c r="AY411">
        <f t="shared" si="315"/>
        <v>0.65402901952172776</v>
      </c>
      <c r="AZ411">
        <f t="shared" si="280"/>
        <v>510.45132836376064</v>
      </c>
      <c r="BA411">
        <f t="shared" si="299"/>
        <v>4.2386772952257044</v>
      </c>
      <c r="BB411">
        <f t="shared" si="300"/>
        <v>65.666666666666657</v>
      </c>
      <c r="BC411">
        <f t="shared" si="281"/>
        <v>39.399999999999991</v>
      </c>
      <c r="BD411">
        <f t="shared" si="301"/>
        <v>0</v>
      </c>
      <c r="BE411">
        <f t="shared" si="282"/>
        <v>24</v>
      </c>
      <c r="BF411">
        <f t="shared" si="316"/>
        <v>5000</v>
      </c>
      <c r="BU411"/>
      <c r="FD411"/>
      <c r="FE411"/>
    </row>
    <row r="412" spans="1:161" x14ac:dyDescent="0.25">
      <c r="A412" s="7">
        <f t="shared" si="302"/>
        <v>55639</v>
      </c>
      <c r="B412">
        <f t="shared" si="283"/>
        <v>401</v>
      </c>
      <c r="C412">
        <f t="shared" si="284"/>
        <v>33.333333333333336</v>
      </c>
      <c r="D412">
        <f t="shared" si="285"/>
        <v>0</v>
      </c>
      <c r="E412">
        <f t="shared" si="286"/>
        <v>85</v>
      </c>
      <c r="F412">
        <f>IF(C412&gt;=$T$2,0,VLOOKUP($E412,EKM_F05!$A$3:$C$128,2,TRUE))</f>
        <v>9.4572307692307706E-2</v>
      </c>
      <c r="G412">
        <f>F412*'Real assumptions'!$B$3</f>
        <v>3.9465024000000008E-2</v>
      </c>
      <c r="H412">
        <f t="shared" si="303"/>
        <v>3.3497838356151277E-3</v>
      </c>
      <c r="I412">
        <f t="shared" si="304"/>
        <v>5.163047164168812E-4</v>
      </c>
      <c r="J412">
        <f>IF(B412&gt;$AJ$2,0,HLOOKUP(C412,'Real assumptions'!$B$5:$L$8,4,TRUE))</f>
        <v>3.7900000000000003E-2</v>
      </c>
      <c r="K412">
        <f t="shared" si="273"/>
        <v>1</v>
      </c>
      <c r="L412">
        <f t="shared" si="305"/>
        <v>8.3333333333333329E-2</v>
      </c>
      <c r="M412">
        <f t="shared" si="306"/>
        <v>3.2145624959929453E-3</v>
      </c>
      <c r="N412">
        <f t="shared" si="307"/>
        <v>4.9542939654701813E-4</v>
      </c>
      <c r="O412" s="8">
        <f t="shared" si="287"/>
        <v>0.15336715259375083</v>
      </c>
      <c r="P412">
        <f t="shared" si="288"/>
        <v>3.7050932809611536</v>
      </c>
      <c r="Q412">
        <f t="shared" si="308"/>
        <v>2.5815235820844062</v>
      </c>
      <c r="R412" s="89">
        <f t="shared" si="274"/>
        <v>5000</v>
      </c>
      <c r="S412">
        <f t="shared" si="275"/>
        <v>0.5833333333333357</v>
      </c>
      <c r="U412">
        <f>O411*AV411*'Real assumptions'!$B$33/12+AX412*'Real assumptions'!$B$34</f>
        <v>2.3932545330971782</v>
      </c>
      <c r="V412">
        <f>IF(P412=0,0,IF(E412&lt;=$C$7,$AN$5*O411,0))*'Real assumptions'!$D$28</f>
        <v>0.92627332024028841</v>
      </c>
      <c r="X412" s="94">
        <f t="shared" si="289"/>
        <v>0</v>
      </c>
      <c r="Y412">
        <f t="shared" si="276"/>
        <v>24</v>
      </c>
      <c r="Z412">
        <f t="shared" si="309"/>
        <v>65</v>
      </c>
      <c r="AA412">
        <f t="shared" si="277"/>
        <v>65.583333333333343</v>
      </c>
      <c r="AB412">
        <f t="shared" si="290"/>
        <v>50.505050505050505</v>
      </c>
      <c r="AC412">
        <f t="shared" si="310"/>
        <v>3312.2895622895626</v>
      </c>
      <c r="AD412">
        <f t="shared" si="291"/>
        <v>80.505050505050505</v>
      </c>
      <c r="AE412">
        <f t="shared" si="292"/>
        <v>263.98947811447812</v>
      </c>
      <c r="AF412" s="94">
        <f t="shared" si="293"/>
        <v>1423.7209595959594</v>
      </c>
      <c r="AG412">
        <f t="shared" si="311"/>
        <v>0.70535321586396771</v>
      </c>
      <c r="AH412">
        <f t="shared" si="294"/>
        <v>218.35202966127486</v>
      </c>
      <c r="AI412">
        <f>HLOOKUP(AW412,'Real assumptions'!$A$21:$AK$24,2,TRUE)</f>
        <v>0</v>
      </c>
      <c r="AJ412" s="123">
        <f t="shared" si="312"/>
        <v>0</v>
      </c>
      <c r="AK412" s="122">
        <f>(1+HLOOKUP(YEAR(A412),'Real assumptions'!$A$21:$AK$24,2,TRUE)/100)^(1/12)-1</f>
        <v>0</v>
      </c>
      <c r="AL412">
        <f t="shared" si="313"/>
        <v>2.3932545330971782</v>
      </c>
      <c r="AM412">
        <f>('Real assumptions'!$B$33/12)*O411*AV411</f>
        <v>2.3333114647114943</v>
      </c>
      <c r="AN412">
        <f t="shared" si="295"/>
        <v>219.47649486159713</v>
      </c>
      <c r="AO412">
        <f t="shared" si="272"/>
        <v>0</v>
      </c>
      <c r="AP412" s="121">
        <f t="shared" si="296"/>
        <v>0</v>
      </c>
      <c r="AQ412">
        <f t="shared" si="297"/>
        <v>0</v>
      </c>
      <c r="AR412">
        <v>0</v>
      </c>
      <c r="AS412">
        <f t="shared" si="278"/>
        <v>0</v>
      </c>
      <c r="AT412">
        <f t="shared" si="298"/>
        <v>0</v>
      </c>
      <c r="AU412">
        <f>IFERROR(HLOOKUP(B412,'Real assumptions'!$B$43:$AL$44,2,TRUE)*($W$3/$U$2),0)</f>
        <v>0</v>
      </c>
      <c r="AV412">
        <f>AV411*(1+'Real assumptions'!$B$35)^(1/12)</f>
        <v>1.5129842121477914</v>
      </c>
      <c r="AW412">
        <f t="shared" si="279"/>
        <v>2052</v>
      </c>
      <c r="AX412">
        <f t="shared" si="314"/>
        <v>218.81439890290281</v>
      </c>
      <c r="AY412">
        <f t="shared" si="315"/>
        <v>0.64974278916967476</v>
      </c>
      <c r="AZ412">
        <f t="shared" si="280"/>
        <v>507.55001699343592</v>
      </c>
      <c r="BA412">
        <f t="shared" si="299"/>
        <v>4.2131501181886621</v>
      </c>
      <c r="BB412">
        <f t="shared" si="300"/>
        <v>65.583333333333343</v>
      </c>
      <c r="BC412">
        <f t="shared" si="281"/>
        <v>39.350000000000009</v>
      </c>
      <c r="BD412">
        <f t="shared" si="301"/>
        <v>0</v>
      </c>
      <c r="BE412">
        <f t="shared" si="282"/>
        <v>24</v>
      </c>
      <c r="BF412">
        <f t="shared" si="316"/>
        <v>5000</v>
      </c>
      <c r="BU412"/>
      <c r="FD412"/>
      <c r="FE412"/>
    </row>
    <row r="413" spans="1:161" x14ac:dyDescent="0.25">
      <c r="A413" s="7">
        <f t="shared" si="302"/>
        <v>55670</v>
      </c>
      <c r="B413">
        <f t="shared" si="283"/>
        <v>402</v>
      </c>
      <c r="C413">
        <f t="shared" si="284"/>
        <v>33.416666666666664</v>
      </c>
      <c r="D413">
        <f t="shared" si="285"/>
        <v>0</v>
      </c>
      <c r="E413">
        <f t="shared" si="286"/>
        <v>85</v>
      </c>
      <c r="F413">
        <f>IF(C413&gt;=$T$2,0,VLOOKUP($E413,EKM_F05!$A$3:$C$128,2,TRUE))</f>
        <v>9.4572307692307706E-2</v>
      </c>
      <c r="G413">
        <f>F413*'Real assumptions'!$B$3</f>
        <v>3.9465024000000008E-2</v>
      </c>
      <c r="H413">
        <f t="shared" si="303"/>
        <v>3.3497838356151277E-3</v>
      </c>
      <c r="I413">
        <f t="shared" si="304"/>
        <v>5.1292107306106735E-4</v>
      </c>
      <c r="J413">
        <f>IF(B413&gt;$AJ$2,0,HLOOKUP(C413,'Real assumptions'!$B$5:$L$8,4,TRUE))</f>
        <v>3.7900000000000003E-2</v>
      </c>
      <c r="K413">
        <f t="shared" si="273"/>
        <v>1</v>
      </c>
      <c r="L413">
        <f t="shared" si="305"/>
        <v>8.3333333333333329E-2</v>
      </c>
      <c r="M413">
        <f t="shared" si="306"/>
        <v>3.2145624959929453E-3</v>
      </c>
      <c r="N413">
        <f t="shared" si="307"/>
        <v>4.9218256123330069E-4</v>
      </c>
      <c r="O413" s="8">
        <f t="shared" si="287"/>
        <v>0.15236204895945649</v>
      </c>
      <c r="P413">
        <f t="shared" si="288"/>
        <v>3.68081166225002</v>
      </c>
      <c r="Q413">
        <f t="shared" si="308"/>
        <v>2.5646053653053369</v>
      </c>
      <c r="R413" s="89">
        <f t="shared" si="274"/>
        <v>5000</v>
      </c>
      <c r="S413">
        <f t="shared" si="275"/>
        <v>0.5</v>
      </c>
      <c r="U413">
        <f>O412*AV412*'Real assumptions'!$B$33/12+AX413*'Real assumptions'!$B$34</f>
        <v>2.3801619524541939</v>
      </c>
      <c r="V413">
        <f>IF(P413=0,0,IF(E413&lt;=$C$7,$AN$5*O412,0))*'Real assumptions'!$D$28</f>
        <v>0.920202915562505</v>
      </c>
      <c r="X413" s="94">
        <f t="shared" si="289"/>
        <v>0</v>
      </c>
      <c r="Y413">
        <f t="shared" si="276"/>
        <v>24</v>
      </c>
      <c r="Z413">
        <f t="shared" si="309"/>
        <v>65</v>
      </c>
      <c r="AA413">
        <f t="shared" si="277"/>
        <v>65.5</v>
      </c>
      <c r="AB413">
        <f t="shared" si="290"/>
        <v>50.505050505050505</v>
      </c>
      <c r="AC413">
        <f t="shared" si="310"/>
        <v>3308.0808080808083</v>
      </c>
      <c r="AD413">
        <f t="shared" si="291"/>
        <v>80.505050505050505</v>
      </c>
      <c r="AE413">
        <f t="shared" si="292"/>
        <v>263.65404040404042</v>
      </c>
      <c r="AF413" s="94">
        <f t="shared" si="293"/>
        <v>1428.2651515151513</v>
      </c>
      <c r="AG413">
        <f t="shared" si="311"/>
        <v>0.70296720039299543</v>
      </c>
      <c r="AH413">
        <f t="shared" si="294"/>
        <v>217.61340494223703</v>
      </c>
      <c r="AI413">
        <f>HLOOKUP(AW413,'Real assumptions'!$A$21:$AK$24,2,TRUE)</f>
        <v>0</v>
      </c>
      <c r="AJ413" s="123">
        <f t="shared" si="312"/>
        <v>0</v>
      </c>
      <c r="AK413" s="122">
        <f>(1+HLOOKUP(YEAR(A413),'Real assumptions'!$A$21:$AK$24,2,TRUE)/100)^(1/12)-1</f>
        <v>0</v>
      </c>
      <c r="AL413">
        <f t="shared" si="313"/>
        <v>2.3801619524541939</v>
      </c>
      <c r="AM413">
        <f>('Real assumptions'!$B$33/12)*O412*AV412</f>
        <v>2.320420805364062</v>
      </c>
      <c r="AN413">
        <f t="shared" si="295"/>
        <v>218.73247645550819</v>
      </c>
      <c r="AO413">
        <f t="shared" si="272"/>
        <v>0</v>
      </c>
      <c r="AP413" s="121">
        <f t="shared" si="296"/>
        <v>0</v>
      </c>
      <c r="AQ413">
        <f t="shared" si="297"/>
        <v>0</v>
      </c>
      <c r="AR413">
        <v>0</v>
      </c>
      <c r="AS413">
        <f t="shared" si="278"/>
        <v>0</v>
      </c>
      <c r="AT413">
        <f t="shared" si="298"/>
        <v>0</v>
      </c>
      <c r="AU413">
        <f>IFERROR(HLOOKUP(B413,'Real assumptions'!$B$43:$AL$44,2,TRUE)*($W$3/$U$2),0)</f>
        <v>0</v>
      </c>
      <c r="AV413">
        <f>AV412*(1+'Real assumptions'!$B$35)^(1/12)</f>
        <v>1.5145512795158251</v>
      </c>
      <c r="AW413">
        <f t="shared" si="279"/>
        <v>2052</v>
      </c>
      <c r="AX413">
        <f t="shared" si="314"/>
        <v>218.07731139467595</v>
      </c>
      <c r="AY413">
        <f t="shared" si="315"/>
        <v>0.6454846489635977</v>
      </c>
      <c r="AZ413">
        <f t="shared" si="280"/>
        <v>504.66289122197088</v>
      </c>
      <c r="BA413">
        <f t="shared" si="299"/>
        <v>4.1877754812608377</v>
      </c>
      <c r="BB413">
        <f t="shared" si="300"/>
        <v>65.5</v>
      </c>
      <c r="BC413">
        <f t="shared" si="281"/>
        <v>39.299999999999997</v>
      </c>
      <c r="BD413">
        <f t="shared" si="301"/>
        <v>0</v>
      </c>
      <c r="BE413">
        <f t="shared" si="282"/>
        <v>24</v>
      </c>
      <c r="BF413">
        <f t="shared" si="316"/>
        <v>5000</v>
      </c>
      <c r="BU413"/>
      <c r="FD413"/>
      <c r="FE413"/>
    </row>
    <row r="414" spans="1:161" x14ac:dyDescent="0.25">
      <c r="A414" s="7">
        <f t="shared" si="302"/>
        <v>55700</v>
      </c>
      <c r="B414">
        <f t="shared" si="283"/>
        <v>403</v>
      </c>
      <c r="C414">
        <f t="shared" si="284"/>
        <v>33.5</v>
      </c>
      <c r="D414">
        <f t="shared" si="285"/>
        <v>0</v>
      </c>
      <c r="E414">
        <f t="shared" si="286"/>
        <v>85</v>
      </c>
      <c r="F414">
        <f>IF(C414&gt;=$T$2,0,VLOOKUP($E414,EKM_F05!$A$3:$C$128,2,TRUE))</f>
        <v>9.4572307692307706E-2</v>
      </c>
      <c r="G414">
        <f>F414*'Real assumptions'!$B$3</f>
        <v>3.9465024000000008E-2</v>
      </c>
      <c r="H414">
        <f t="shared" si="303"/>
        <v>3.3497838356151277E-3</v>
      </c>
      <c r="I414">
        <f t="shared" si="304"/>
        <v>5.0955960467672929E-4</v>
      </c>
      <c r="J414">
        <f>IF(B414&gt;$AJ$2,0,HLOOKUP(C414,'Real assumptions'!$B$5:$L$8,4,TRUE))</f>
        <v>3.7900000000000003E-2</v>
      </c>
      <c r="K414">
        <f t="shared" si="273"/>
        <v>1</v>
      </c>
      <c r="L414">
        <f t="shared" si="305"/>
        <v>8.3333333333333329E-2</v>
      </c>
      <c r="M414">
        <f t="shared" si="306"/>
        <v>3.2145624959929453E-3</v>
      </c>
      <c r="N414">
        <f t="shared" si="307"/>
        <v>4.8895700430885106E-4</v>
      </c>
      <c r="O414" s="8">
        <f t="shared" si="287"/>
        <v>0.15136353235047093</v>
      </c>
      <c r="P414">
        <f t="shared" si="288"/>
        <v>3.6566891750269557</v>
      </c>
      <c r="Q414">
        <f t="shared" si="308"/>
        <v>2.5477980233836464</v>
      </c>
      <c r="R414" s="89">
        <f t="shared" si="274"/>
        <v>5000</v>
      </c>
      <c r="S414">
        <f t="shared" si="275"/>
        <v>0.4166666666666643</v>
      </c>
      <c r="U414">
        <f>O413*AV413*'Real assumptions'!$B$33/12+AX414*'Real assumptions'!$B$34</f>
        <v>2.3671406599024865</v>
      </c>
      <c r="V414">
        <f>IF(P414=0,0,IF(E414&lt;=$C$7,$AN$5*O413,0))*'Real assumptions'!$D$28</f>
        <v>0.91417229375673892</v>
      </c>
      <c r="X414" s="94">
        <f t="shared" si="289"/>
        <v>0</v>
      </c>
      <c r="Y414">
        <f t="shared" si="276"/>
        <v>24</v>
      </c>
      <c r="Z414">
        <f t="shared" si="309"/>
        <v>65</v>
      </c>
      <c r="AA414">
        <f t="shared" si="277"/>
        <v>65.416666666666657</v>
      </c>
      <c r="AB414">
        <f t="shared" si="290"/>
        <v>50.505050505050505</v>
      </c>
      <c r="AC414">
        <f t="shared" si="310"/>
        <v>3303.8720538720536</v>
      </c>
      <c r="AD414">
        <f t="shared" si="291"/>
        <v>80.505050505050505</v>
      </c>
      <c r="AE414">
        <f t="shared" si="292"/>
        <v>263.31860269360266</v>
      </c>
      <c r="AF414" s="94">
        <f t="shared" si="293"/>
        <v>1432.8093434343436</v>
      </c>
      <c r="AG414">
        <f t="shared" si="311"/>
        <v>0.70058216431138842</v>
      </c>
      <c r="AH414">
        <f t="shared" si="294"/>
        <v>216.87508340698128</v>
      </c>
      <c r="AI414">
        <f>HLOOKUP(AW414,'Real assumptions'!$A$21:$AK$24,2,TRUE)</f>
        <v>0</v>
      </c>
      <c r="AJ414" s="123">
        <f t="shared" si="312"/>
        <v>0</v>
      </c>
      <c r="AK414" s="122">
        <f>(1+HLOOKUP(YEAR(A414),'Real assumptions'!$A$21:$AK$24,2,TRUE)/100)^(1/12)-1</f>
        <v>0</v>
      </c>
      <c r="AL414">
        <f t="shared" si="313"/>
        <v>2.3671406599024865</v>
      </c>
      <c r="AM414">
        <f>('Real assumptions'!$B$33/12)*O413*AV413</f>
        <v>2.307601362011976</v>
      </c>
      <c r="AN414">
        <f t="shared" si="295"/>
        <v>217.98878116360478</v>
      </c>
      <c r="AO414">
        <f t="shared" ref="AO414:AO419" si="317">AN414*AJ414</f>
        <v>0</v>
      </c>
      <c r="AP414" s="121">
        <f t="shared" si="296"/>
        <v>0</v>
      </c>
      <c r="AQ414">
        <f t="shared" si="297"/>
        <v>0</v>
      </c>
      <c r="AR414">
        <v>0</v>
      </c>
      <c r="AS414">
        <f t="shared" si="278"/>
        <v>0</v>
      </c>
      <c r="AT414">
        <f t="shared" si="298"/>
        <v>0</v>
      </c>
      <c r="AU414">
        <f>IFERROR(HLOOKUP(B414,'Real assumptions'!$B$43:$AL$44,2,TRUE)*($W$3/$U$2),0)</f>
        <v>0</v>
      </c>
      <c r="AV414">
        <f>AV413*(1+'Real assumptions'!$B$35)^(1/12)</f>
        <v>1.51611996996764</v>
      </c>
      <c r="AW414">
        <f t="shared" si="279"/>
        <v>2052</v>
      </c>
      <c r="AX414">
        <f t="shared" si="314"/>
        <v>217.34048706329281</v>
      </c>
      <c r="AY414">
        <f t="shared" si="315"/>
        <v>0.64125441481252721</v>
      </c>
      <c r="AZ414">
        <f t="shared" si="280"/>
        <v>501.78988725564358</v>
      </c>
      <c r="BA414">
        <f t="shared" si="299"/>
        <v>4.1625524814517743</v>
      </c>
      <c r="BB414">
        <f t="shared" si="300"/>
        <v>65.416666666666657</v>
      </c>
      <c r="BC414">
        <f t="shared" si="281"/>
        <v>39.249999999999993</v>
      </c>
      <c r="BD414">
        <f t="shared" si="301"/>
        <v>0</v>
      </c>
      <c r="BE414">
        <f t="shared" si="282"/>
        <v>24</v>
      </c>
      <c r="BF414">
        <f t="shared" si="316"/>
        <v>5000</v>
      </c>
      <c r="BU414"/>
      <c r="FD414"/>
      <c r="FE414"/>
    </row>
    <row r="415" spans="1:161" x14ac:dyDescent="0.25">
      <c r="A415" s="7">
        <f t="shared" si="302"/>
        <v>55731</v>
      </c>
      <c r="B415">
        <f t="shared" si="283"/>
        <v>404</v>
      </c>
      <c r="C415">
        <f t="shared" si="284"/>
        <v>33.583333333333336</v>
      </c>
      <c r="D415">
        <f t="shared" si="285"/>
        <v>0</v>
      </c>
      <c r="E415">
        <f t="shared" si="286"/>
        <v>85</v>
      </c>
      <c r="F415">
        <f>IF(C415&gt;=$T$2,0,VLOOKUP($E415,EKM_F05!$A$3:$C$128,2,TRUE))</f>
        <v>9.4572307692307706E-2</v>
      </c>
      <c r="G415">
        <f>F415*'Real assumptions'!$B$3</f>
        <v>3.9465024000000008E-2</v>
      </c>
      <c r="H415">
        <f t="shared" si="303"/>
        <v>3.3497838356151277E-3</v>
      </c>
      <c r="I415">
        <f t="shared" si="304"/>
        <v>5.0622016593845649E-4</v>
      </c>
      <c r="J415">
        <f>IF(B415&gt;$AJ$2,0,HLOOKUP(C415,'Real assumptions'!$B$5:$L$8,4,TRUE))</f>
        <v>3.7900000000000003E-2</v>
      </c>
      <c r="K415">
        <f t="shared" si="273"/>
        <v>1</v>
      </c>
      <c r="L415">
        <f t="shared" si="305"/>
        <v>8.3333333333333329E-2</v>
      </c>
      <c r="M415">
        <f t="shared" si="306"/>
        <v>3.2145624959929453E-3</v>
      </c>
      <c r="N415">
        <f t="shared" si="307"/>
        <v>4.8575258632408026E-4</v>
      </c>
      <c r="O415" s="8">
        <f t="shared" si="287"/>
        <v>0.15037155959820839</v>
      </c>
      <c r="P415">
        <f t="shared" si="288"/>
        <v>3.632724776411302</v>
      </c>
      <c r="Q415">
        <f t="shared" si="308"/>
        <v>2.5311008296922823</v>
      </c>
      <c r="R415" s="89">
        <f t="shared" si="274"/>
        <v>5000</v>
      </c>
      <c r="S415">
        <f t="shared" si="275"/>
        <v>0.3333333333333357</v>
      </c>
      <c r="U415">
        <f>O414*AV414*'Real assumptions'!$B$33/12+AX415*'Real assumptions'!$B$34</f>
        <v>2.3541902697281598</v>
      </c>
      <c r="V415">
        <f>IF(P415=0,0,IF(E415&lt;=$C$7,$AN$5*O414,0))*'Real assumptions'!$D$28</f>
        <v>0.9081811941028255</v>
      </c>
      <c r="X415" s="94">
        <f t="shared" si="289"/>
        <v>0</v>
      </c>
      <c r="Y415">
        <f t="shared" si="276"/>
        <v>24</v>
      </c>
      <c r="Z415">
        <f t="shared" si="309"/>
        <v>65</v>
      </c>
      <c r="AA415">
        <f t="shared" si="277"/>
        <v>65.333333333333343</v>
      </c>
      <c r="AB415">
        <f t="shared" si="290"/>
        <v>50.505050505050505</v>
      </c>
      <c r="AC415">
        <f t="shared" si="310"/>
        <v>3299.6632996633002</v>
      </c>
      <c r="AD415">
        <f t="shared" si="291"/>
        <v>80.505050505050505</v>
      </c>
      <c r="AE415">
        <f t="shared" si="292"/>
        <v>262.98316498316501</v>
      </c>
      <c r="AF415" s="94">
        <f t="shared" si="293"/>
        <v>1437.3535353535349</v>
      </c>
      <c r="AG415">
        <f t="shared" si="311"/>
        <v>0.69819819726003995</v>
      </c>
      <c r="AH415">
        <f t="shared" si="294"/>
        <v>216.1370928051096</v>
      </c>
      <c r="AI415">
        <f>HLOOKUP(AW415,'Real assumptions'!$A$21:$AK$24,2,TRUE)</f>
        <v>0</v>
      </c>
      <c r="AJ415" s="123">
        <f t="shared" si="312"/>
        <v>0</v>
      </c>
      <c r="AK415" s="122">
        <f>(1+HLOOKUP(YEAR(A415),'Real assumptions'!$A$21:$AK$24,2,TRUE)/100)^(1/12)-1</f>
        <v>0</v>
      </c>
      <c r="AL415">
        <f t="shared" si="313"/>
        <v>2.3541902697281598</v>
      </c>
      <c r="AM415">
        <f>('Real assumptions'!$B$33/12)*O414*AV414</f>
        <v>2.2948527412139188</v>
      </c>
      <c r="AN415">
        <f t="shared" si="295"/>
        <v>217.24543671956158</v>
      </c>
      <c r="AO415">
        <f t="shared" si="317"/>
        <v>0</v>
      </c>
      <c r="AP415" s="121">
        <f t="shared" si="296"/>
        <v>0</v>
      </c>
      <c r="AQ415">
        <f t="shared" si="297"/>
        <v>0</v>
      </c>
      <c r="AR415">
        <v>0</v>
      </c>
      <c r="AS415">
        <f t="shared" si="278"/>
        <v>0</v>
      </c>
      <c r="AT415">
        <f t="shared" si="298"/>
        <v>0</v>
      </c>
      <c r="AU415">
        <f>IFERROR(HLOOKUP(B415,'Real assumptions'!$B$43:$AL$44,2,TRUE)*($W$3/$U$2),0)</f>
        <v>0</v>
      </c>
      <c r="AV415">
        <f>AV414*(1+'Real assumptions'!$B$35)^(1/12)</f>
        <v>1.5176902851843386</v>
      </c>
      <c r="AW415">
        <f t="shared" si="279"/>
        <v>2052</v>
      </c>
      <c r="AX415">
        <f t="shared" si="314"/>
        <v>216.60395411671038</v>
      </c>
      <c r="AY415">
        <f t="shared" si="315"/>
        <v>0.63705190383194832</v>
      </c>
      <c r="AZ415">
        <f t="shared" si="280"/>
        <v>498.93094154127152</v>
      </c>
      <c r="BA415">
        <f t="shared" si="299"/>
        <v>4.1374802210551476</v>
      </c>
      <c r="BB415">
        <f t="shared" si="300"/>
        <v>65.333333333333343</v>
      </c>
      <c r="BC415">
        <f t="shared" si="281"/>
        <v>39.200000000000003</v>
      </c>
      <c r="BD415">
        <f t="shared" si="301"/>
        <v>0</v>
      </c>
      <c r="BE415">
        <f t="shared" si="282"/>
        <v>24</v>
      </c>
      <c r="BF415">
        <f t="shared" si="316"/>
        <v>5000</v>
      </c>
      <c r="BU415"/>
      <c r="FD415"/>
      <c r="FE415"/>
    </row>
    <row r="416" spans="1:161" x14ac:dyDescent="0.25">
      <c r="A416" s="7">
        <f t="shared" si="302"/>
        <v>55762</v>
      </c>
      <c r="B416">
        <f t="shared" si="283"/>
        <v>405</v>
      </c>
      <c r="C416">
        <f t="shared" si="284"/>
        <v>33.666666666666664</v>
      </c>
      <c r="D416">
        <f t="shared" si="285"/>
        <v>0</v>
      </c>
      <c r="E416">
        <f t="shared" si="286"/>
        <v>85</v>
      </c>
      <c r="F416">
        <f>IF(C416&gt;=$T$2,0,VLOOKUP($E416,EKM_F05!$A$3:$C$128,2,TRUE))</f>
        <v>9.4572307692307706E-2</v>
      </c>
      <c r="G416">
        <f>F416*'Real assumptions'!$B$3</f>
        <v>3.9465024000000008E-2</v>
      </c>
      <c r="H416">
        <f t="shared" si="303"/>
        <v>3.3497838356151277E-3</v>
      </c>
      <c r="I416">
        <f t="shared" si="304"/>
        <v>5.0290261247323961E-4</v>
      </c>
      <c r="J416">
        <f>IF(B416&gt;$AJ$2,0,HLOOKUP(C416,'Real assumptions'!$B$5:$L$8,4,TRUE))</f>
        <v>3.7900000000000003E-2</v>
      </c>
      <c r="K416">
        <f t="shared" si="273"/>
        <v>1</v>
      </c>
      <c r="L416">
        <f t="shared" si="305"/>
        <v>8.3333333333333329E-2</v>
      </c>
      <c r="M416">
        <f t="shared" si="306"/>
        <v>3.2145624959929453E-3</v>
      </c>
      <c r="N416">
        <f t="shared" si="307"/>
        <v>4.8256916874329301E-4</v>
      </c>
      <c r="O416" s="8">
        <f t="shared" si="287"/>
        <v>0.14938608781699186</v>
      </c>
      <c r="P416">
        <f t="shared" si="288"/>
        <v>3.6089174303570015</v>
      </c>
      <c r="Q416">
        <f t="shared" si="308"/>
        <v>2.514513062366198</v>
      </c>
      <c r="R416" s="89">
        <f t="shared" si="274"/>
        <v>5000</v>
      </c>
      <c r="S416">
        <f t="shared" si="275"/>
        <v>0.25</v>
      </c>
      <c r="U416">
        <f>O415*AV415*'Real assumptions'!$B$33/12+AX416*'Real assumptions'!$B$34</f>
        <v>2.341310398286554</v>
      </c>
      <c r="V416">
        <f>IF(P416=0,0,IF(E416&lt;=$C$7,$AN$5*O415,0))*'Real assumptions'!$D$28</f>
        <v>0.90222935758925038</v>
      </c>
      <c r="X416" s="94">
        <f t="shared" si="289"/>
        <v>0</v>
      </c>
      <c r="Y416">
        <f t="shared" si="276"/>
        <v>24</v>
      </c>
      <c r="Z416">
        <f t="shared" si="309"/>
        <v>65</v>
      </c>
      <c r="AA416">
        <f t="shared" si="277"/>
        <v>65.25</v>
      </c>
      <c r="AB416">
        <f t="shared" si="290"/>
        <v>50.505050505050505</v>
      </c>
      <c r="AC416">
        <f t="shared" si="310"/>
        <v>3295.4545454545455</v>
      </c>
      <c r="AD416">
        <f t="shared" si="291"/>
        <v>80.505050505050505</v>
      </c>
      <c r="AE416">
        <f t="shared" si="292"/>
        <v>262.64772727272725</v>
      </c>
      <c r="AF416" s="94">
        <f t="shared" si="293"/>
        <v>1441.8977272727273</v>
      </c>
      <c r="AG416">
        <f t="shared" si="311"/>
        <v>0.69581538766284345</v>
      </c>
      <c r="AH416">
        <f t="shared" si="294"/>
        <v>215.39946050948461</v>
      </c>
      <c r="AI416">
        <f>HLOOKUP(AW416,'Real assumptions'!$A$21:$AK$24,2,TRUE)</f>
        <v>0</v>
      </c>
      <c r="AJ416" s="123">
        <f t="shared" si="312"/>
        <v>0</v>
      </c>
      <c r="AK416" s="122">
        <f>(1+HLOOKUP(YEAR(A416),'Real assumptions'!$A$21:$AK$24,2,TRUE)/100)^(1/12)-1</f>
        <v>0</v>
      </c>
      <c r="AL416">
        <f t="shared" si="313"/>
        <v>2.341310398286554</v>
      </c>
      <c r="AM416">
        <f>('Real assumptions'!$B$33/12)*O415*AV415</f>
        <v>2.2821745517021865</v>
      </c>
      <c r="AN416">
        <f t="shared" si="295"/>
        <v>216.50247047959078</v>
      </c>
      <c r="AO416">
        <f t="shared" si="317"/>
        <v>0</v>
      </c>
      <c r="AP416" s="121">
        <f t="shared" si="296"/>
        <v>0</v>
      </c>
      <c r="AQ416">
        <f t="shared" si="297"/>
        <v>0</v>
      </c>
      <c r="AR416">
        <v>0</v>
      </c>
      <c r="AS416">
        <f t="shared" si="278"/>
        <v>0</v>
      </c>
      <c r="AT416">
        <f t="shared" si="298"/>
        <v>0</v>
      </c>
      <c r="AU416">
        <f>IFERROR(HLOOKUP(B416,'Real assumptions'!$B$43:$AL$44,2,TRUE)*($W$3/$U$2),0)</f>
        <v>0</v>
      </c>
      <c r="AV416">
        <f>AV415*(1+'Real assumptions'!$B$35)^(1/12)</f>
        <v>1.5192622268487648</v>
      </c>
      <c r="AW416">
        <f t="shared" si="279"/>
        <v>2052</v>
      </c>
      <c r="AX416">
        <f t="shared" si="314"/>
        <v>215.86774038185624</v>
      </c>
      <c r="AY416">
        <f t="shared" si="315"/>
        <v>0.63287693433589387</v>
      </c>
      <c r="AZ416">
        <f t="shared" si="280"/>
        <v>496.08599076572364</v>
      </c>
      <c r="BA416">
        <f t="shared" si="299"/>
        <v>4.112557807618292</v>
      </c>
      <c r="BB416">
        <f t="shared" si="300"/>
        <v>65.25</v>
      </c>
      <c r="BC416">
        <f t="shared" si="281"/>
        <v>39.15</v>
      </c>
      <c r="BD416">
        <f t="shared" si="301"/>
        <v>0</v>
      </c>
      <c r="BE416">
        <f t="shared" si="282"/>
        <v>24</v>
      </c>
      <c r="BF416">
        <f t="shared" si="316"/>
        <v>5000</v>
      </c>
      <c r="BU416"/>
      <c r="FD416"/>
      <c r="FE416"/>
    </row>
    <row r="417" spans="1:161" x14ac:dyDescent="0.25">
      <c r="A417" s="7">
        <f t="shared" si="302"/>
        <v>55792</v>
      </c>
      <c r="B417">
        <f t="shared" si="283"/>
        <v>406</v>
      </c>
      <c r="C417">
        <f t="shared" si="284"/>
        <v>33.75</v>
      </c>
      <c r="D417">
        <f t="shared" si="285"/>
        <v>0</v>
      </c>
      <c r="E417">
        <f t="shared" si="286"/>
        <v>85</v>
      </c>
      <c r="F417">
        <f>IF(C417&gt;=$T$2,0,VLOOKUP($E417,EKM_F05!$A$3:$C$128,2,TRUE))</f>
        <v>9.4572307692307706E-2</v>
      </c>
      <c r="G417">
        <f>F417*'Real assumptions'!$B$3</f>
        <v>3.9465024000000008E-2</v>
      </c>
      <c r="H417">
        <f t="shared" si="303"/>
        <v>3.3497838356151277E-3</v>
      </c>
      <c r="I417">
        <f t="shared" si="304"/>
        <v>4.996068008542296E-4</v>
      </c>
      <c r="J417">
        <f>IF(B417&gt;$AJ$2,0,HLOOKUP(C417,'Real assumptions'!$B$5:$L$8,4,TRUE))</f>
        <v>3.7900000000000003E-2</v>
      </c>
      <c r="K417">
        <f t="shared" si="273"/>
        <v>1</v>
      </c>
      <c r="L417">
        <f t="shared" si="305"/>
        <v>8.3333333333333329E-2</v>
      </c>
      <c r="M417">
        <f t="shared" si="306"/>
        <v>3.2145624959929453E-3</v>
      </c>
      <c r="N417">
        <f t="shared" si="307"/>
        <v>4.7940661393869891E-4</v>
      </c>
      <c r="O417" s="8">
        <f t="shared" si="287"/>
        <v>0.14840707440219894</v>
      </c>
      <c r="P417">
        <f t="shared" si="288"/>
        <v>3.5852661076078047</v>
      </c>
      <c r="Q417">
        <f t="shared" si="308"/>
        <v>2.498034004271148</v>
      </c>
      <c r="R417" s="89">
        <f t="shared" si="274"/>
        <v>5000</v>
      </c>
      <c r="S417">
        <f t="shared" si="275"/>
        <v>0.1666666666666643</v>
      </c>
      <c r="U417">
        <f>O416*AV416*'Real assumptions'!$B$33/12+AX417*'Real assumptions'!$B$34</f>
        <v>2.3285006639912691</v>
      </c>
      <c r="V417">
        <f>IF(P417=0,0,IF(E417&lt;=$C$7,$AN$5*O416,0))*'Real assumptions'!$D$28</f>
        <v>0.89631652690195118</v>
      </c>
      <c r="X417" s="94">
        <f t="shared" si="289"/>
        <v>0</v>
      </c>
      <c r="Y417">
        <f t="shared" si="276"/>
        <v>24</v>
      </c>
      <c r="Z417">
        <f t="shared" si="309"/>
        <v>65</v>
      </c>
      <c r="AA417">
        <f t="shared" si="277"/>
        <v>65.166666666666657</v>
      </c>
      <c r="AB417">
        <f t="shared" si="290"/>
        <v>50.505050505050505</v>
      </c>
      <c r="AC417">
        <f t="shared" si="310"/>
        <v>3291.2457912457908</v>
      </c>
      <c r="AD417">
        <f t="shared" si="291"/>
        <v>80.505050505050505</v>
      </c>
      <c r="AE417">
        <f t="shared" si="292"/>
        <v>262.31228956228949</v>
      </c>
      <c r="AF417" s="94">
        <f t="shared" si="293"/>
        <v>1446.4419191919196</v>
      </c>
      <c r="AG417">
        <f t="shared" si="311"/>
        <v>0.69343382273879128</v>
      </c>
      <c r="AH417">
        <f t="shared" si="294"/>
        <v>214.66221351997464</v>
      </c>
      <c r="AI417">
        <f>HLOOKUP(AW417,'Real assumptions'!$A$21:$AK$24,2,TRUE)</f>
        <v>0</v>
      </c>
      <c r="AJ417" s="123">
        <f t="shared" si="312"/>
        <v>0</v>
      </c>
      <c r="AK417" s="122">
        <f>(1+HLOOKUP(YEAR(A417),'Real assumptions'!$A$21:$AK$24,2,TRUE)/100)^(1/12)-1</f>
        <v>0</v>
      </c>
      <c r="AL417">
        <f t="shared" si="313"/>
        <v>2.3285006639912691</v>
      </c>
      <c r="AM417">
        <f>('Real assumptions'!$B$33/12)*O416*AV416</f>
        <v>2.269566404370682</v>
      </c>
      <c r="AN417">
        <f t="shared" si="295"/>
        <v>215.75990942619919</v>
      </c>
      <c r="AO417">
        <f t="shared" si="317"/>
        <v>0</v>
      </c>
      <c r="AP417" s="121">
        <f t="shared" si="296"/>
        <v>0</v>
      </c>
      <c r="AQ417">
        <f t="shared" si="297"/>
        <v>0</v>
      </c>
      <c r="AR417">
        <v>0</v>
      </c>
      <c r="AS417">
        <f t="shared" si="278"/>
        <v>0</v>
      </c>
      <c r="AT417">
        <f t="shared" si="298"/>
        <v>0</v>
      </c>
      <c r="AU417">
        <f>IFERROR(HLOOKUP(B417,'Real assumptions'!$B$43:$AL$44,2,TRUE)*($W$3/$U$2),0)</f>
        <v>0</v>
      </c>
      <c r="AV417">
        <f>AV416*(1+'Real assumptions'!$B$35)^(1/12)</f>
        <v>1.5208357966455051</v>
      </c>
      <c r="AW417">
        <f t="shared" si="279"/>
        <v>2052</v>
      </c>
      <c r="AX417">
        <f t="shared" si="314"/>
        <v>215.13187330841174</v>
      </c>
      <c r="AY417">
        <f t="shared" si="315"/>
        <v>0.62872932582909025</v>
      </c>
      <c r="AZ417">
        <f t="shared" si="280"/>
        <v>493.25497185542827</v>
      </c>
      <c r="BA417">
        <f t="shared" si="299"/>
        <v>4.087784353911891</v>
      </c>
      <c r="BB417">
        <f t="shared" si="300"/>
        <v>65.166666666666657</v>
      </c>
      <c r="BC417">
        <f t="shared" si="281"/>
        <v>39.099999999999994</v>
      </c>
      <c r="BD417">
        <f t="shared" si="301"/>
        <v>0</v>
      </c>
      <c r="BE417">
        <f t="shared" si="282"/>
        <v>24</v>
      </c>
      <c r="BF417">
        <f t="shared" si="316"/>
        <v>5000</v>
      </c>
      <c r="BU417"/>
      <c r="FD417"/>
      <c r="FE417"/>
    </row>
    <row r="418" spans="1:161" x14ac:dyDescent="0.25">
      <c r="A418" s="7">
        <f t="shared" si="302"/>
        <v>55823</v>
      </c>
      <c r="B418">
        <f t="shared" si="283"/>
        <v>407</v>
      </c>
      <c r="C418">
        <f t="shared" si="284"/>
        <v>33.833333333333336</v>
      </c>
      <c r="D418">
        <f t="shared" si="285"/>
        <v>0</v>
      </c>
      <c r="E418">
        <f t="shared" si="286"/>
        <v>85</v>
      </c>
      <c r="F418">
        <f>IF(C418&gt;=$T$2,0,VLOOKUP($E418,EKM_F05!$A$3:$C$128,2,TRUE))</f>
        <v>9.4572307692307706E-2</v>
      </c>
      <c r="G418">
        <f>F418*'Real assumptions'!$B$3</f>
        <v>3.9465024000000008E-2</v>
      </c>
      <c r="H418">
        <f t="shared" si="303"/>
        <v>3.3497838356151277E-3</v>
      </c>
      <c r="I418">
        <f t="shared" si="304"/>
        <v>4.9633258859453579E-4</v>
      </c>
      <c r="J418">
        <f>IF(B418&gt;$AJ$2,0,HLOOKUP(C418,'Real assumptions'!$B$5:$L$8,4,TRUE))</f>
        <v>3.7900000000000003E-2</v>
      </c>
      <c r="K418">
        <f t="shared" si="273"/>
        <v>1</v>
      </c>
      <c r="L418">
        <f t="shared" si="305"/>
        <v>8.3333333333333329E-2</v>
      </c>
      <c r="M418">
        <f t="shared" si="306"/>
        <v>3.2145624959929453E-3</v>
      </c>
      <c r="N418">
        <f t="shared" si="307"/>
        <v>4.7626478518446167E-4</v>
      </c>
      <c r="O418" s="8">
        <f t="shared" si="287"/>
        <v>0.14743447702841997</v>
      </c>
      <c r="P418">
        <f t="shared" si="288"/>
        <v>3.5617697856527748</v>
      </c>
      <c r="Q418">
        <f t="shared" si="308"/>
        <v>2.4816629429726791</v>
      </c>
      <c r="R418" s="89">
        <f t="shared" si="274"/>
        <v>5000</v>
      </c>
      <c r="S418">
        <f t="shared" si="275"/>
        <v>8.3333333333335702E-2</v>
      </c>
      <c r="U418">
        <f>O417*AV417*'Real assumptions'!$B$33/12+AX418*'Real assumptions'!$B$34</f>
        <v>2.3157606873032495</v>
      </c>
      <c r="V418">
        <f>IF(P418=0,0,IF(E418&lt;=$C$7,$AN$5*O417,0))*'Real assumptions'!$D$28</f>
        <v>0.8904424464131937</v>
      </c>
      <c r="X418" s="94">
        <f t="shared" si="289"/>
        <v>0</v>
      </c>
      <c r="Y418">
        <f t="shared" si="276"/>
        <v>24</v>
      </c>
      <c r="Z418">
        <f t="shared" si="309"/>
        <v>65</v>
      </c>
      <c r="AA418">
        <f t="shared" si="277"/>
        <v>65.083333333333343</v>
      </c>
      <c r="AB418">
        <f t="shared" si="290"/>
        <v>50.505050505050505</v>
      </c>
      <c r="AC418">
        <f t="shared" si="310"/>
        <v>3287.0370370370374</v>
      </c>
      <c r="AD418">
        <f t="shared" si="291"/>
        <v>80.505050505050505</v>
      </c>
      <c r="AE418">
        <f t="shared" si="292"/>
        <v>261.9768518518519</v>
      </c>
      <c r="AF418" s="94">
        <f t="shared" si="293"/>
        <v>1450.9861111111106</v>
      </c>
      <c r="AG418">
        <f t="shared" si="311"/>
        <v>0.69105358851397058</v>
      </c>
      <c r="AH418">
        <f t="shared" si="294"/>
        <v>213.92537846716746</v>
      </c>
      <c r="AI418">
        <f>HLOOKUP(AW418,'Real assumptions'!$A$21:$AK$24,2,TRUE)</f>
        <v>0</v>
      </c>
      <c r="AJ418" s="123">
        <f t="shared" si="312"/>
        <v>0</v>
      </c>
      <c r="AK418" s="122">
        <f>(1+HLOOKUP(YEAR(A418),'Real assumptions'!$A$21:$AK$24,2,TRUE)/100)^(1/12)-1</f>
        <v>0</v>
      </c>
      <c r="AL418">
        <f t="shared" si="313"/>
        <v>2.3157606873032495</v>
      </c>
      <c r="AM418">
        <f>('Real assumptions'!$B$33/12)*O417*AV417</f>
        <v>2.2570279122629695</v>
      </c>
      <c r="AN418">
        <f t="shared" si="295"/>
        <v>215.01778017191097</v>
      </c>
      <c r="AO418">
        <f t="shared" si="317"/>
        <v>0</v>
      </c>
      <c r="AP418" s="121">
        <f t="shared" si="296"/>
        <v>0</v>
      </c>
      <c r="AQ418">
        <f t="shared" si="297"/>
        <v>0</v>
      </c>
      <c r="AR418">
        <v>0</v>
      </c>
      <c r="AS418">
        <f t="shared" si="278"/>
        <v>0</v>
      </c>
      <c r="AT418">
        <f t="shared" si="298"/>
        <v>0</v>
      </c>
      <c r="AU418">
        <f>IFERROR(HLOOKUP(B418,'Real assumptions'!$B$43:$AL$44,2,TRUE)*($W$3/$U$2),0)</f>
        <v>0</v>
      </c>
      <c r="AV418">
        <f>AV417*(1+'Real assumptions'!$B$35)^(1/12)</f>
        <v>1.5224109962608912</v>
      </c>
      <c r="AW418">
        <f t="shared" si="279"/>
        <v>2052</v>
      </c>
      <c r="AX418">
        <f t="shared" si="314"/>
        <v>214.3963799725606</v>
      </c>
      <c r="AY418">
        <f t="shared" si="315"/>
        <v>0.62460889899915373</v>
      </c>
      <c r="AZ418">
        <f t="shared" si="280"/>
        <v>490.43782197587797</v>
      </c>
      <c r="BA418">
        <f t="shared" si="299"/>
        <v>4.0631589778998434</v>
      </c>
      <c r="BB418">
        <f t="shared" si="300"/>
        <v>65.083333333333343</v>
      </c>
      <c r="BC418">
        <f t="shared" si="281"/>
        <v>39.050000000000004</v>
      </c>
      <c r="BD418">
        <f t="shared" si="301"/>
        <v>0</v>
      </c>
      <c r="BE418">
        <f t="shared" si="282"/>
        <v>24</v>
      </c>
      <c r="BF418">
        <f t="shared" si="316"/>
        <v>5000</v>
      </c>
      <c r="BU418"/>
      <c r="FD418"/>
      <c r="FE418"/>
    </row>
    <row r="419" spans="1:161" x14ac:dyDescent="0.25">
      <c r="A419" s="7">
        <f t="shared" si="302"/>
        <v>55853</v>
      </c>
      <c r="B419">
        <f t="shared" si="283"/>
        <v>408</v>
      </c>
      <c r="C419">
        <f t="shared" si="284"/>
        <v>33.916666666666664</v>
      </c>
      <c r="D419">
        <f t="shared" si="285"/>
        <v>0</v>
      </c>
      <c r="E419">
        <f t="shared" si="286"/>
        <v>85</v>
      </c>
      <c r="F419">
        <f>IF(C419&gt;=$T$2,0,VLOOKUP($E419,EKM_F05!$A$3:$C$128,2,TRUE))</f>
        <v>9.4572307692307706E-2</v>
      </c>
      <c r="G419">
        <f>F419*'Real assumptions'!$B$3</f>
        <v>3.9465024000000008E-2</v>
      </c>
      <c r="H419">
        <f t="shared" si="303"/>
        <v>3.3497838356151277E-3</v>
      </c>
      <c r="I419">
        <f t="shared" si="304"/>
        <v>4.9307983414106752E-4</v>
      </c>
      <c r="J419">
        <f>IF(B419&gt;$AJ$2,0,HLOOKUP(C419,'Real assumptions'!$B$5:$L$8,4,TRUE))</f>
        <v>3.7900000000000003E-2</v>
      </c>
      <c r="K419">
        <f t="shared" si="273"/>
        <v>1</v>
      </c>
      <c r="L419">
        <f t="shared" si="305"/>
        <v>8.3333333333333329E-2</v>
      </c>
      <c r="M419">
        <f t="shared" si="306"/>
        <v>3.2145624959929453E-3</v>
      </c>
      <c r="N419">
        <f t="shared" si="307"/>
        <v>4.7314354665078863E-4</v>
      </c>
      <c r="O419" s="8">
        <f t="shared" si="287"/>
        <v>0.14646825364762811</v>
      </c>
      <c r="P419">
        <f t="shared" si="288"/>
        <v>3.5384274486820795</v>
      </c>
      <c r="Q419">
        <f t="shared" si="308"/>
        <v>2.4653991707053375</v>
      </c>
      <c r="R419" s="89">
        <f t="shared" si="274"/>
        <v>5000</v>
      </c>
      <c r="S419">
        <f t="shared" si="275"/>
        <v>1</v>
      </c>
      <c r="U419">
        <f>O418*AV418*'Real assumptions'!$B$33/12+AX419*'Real assumptions'!$B$34</f>
        <v>2.3030900907199294</v>
      </c>
      <c r="V419">
        <f>IF(P419=0,0,IF(E419&lt;=$C$7,$AN$5*O418,0))*'Real assumptions'!$D$28</f>
        <v>0.88460686217051987</v>
      </c>
      <c r="X419" s="94">
        <f t="shared" si="289"/>
        <v>0</v>
      </c>
      <c r="Y419">
        <f t="shared" si="276"/>
        <v>24</v>
      </c>
      <c r="Z419">
        <f t="shared" si="309"/>
        <v>65</v>
      </c>
      <c r="AA419">
        <f t="shared" si="277"/>
        <v>65</v>
      </c>
      <c r="AB419">
        <f t="shared" si="290"/>
        <v>50.505050505050505</v>
      </c>
      <c r="AC419">
        <f t="shared" si="310"/>
        <v>3282.8282828282827</v>
      </c>
      <c r="AD419">
        <f t="shared" si="291"/>
        <v>80.505050505050505</v>
      </c>
      <c r="AE419">
        <f t="shared" si="292"/>
        <v>261.64141414141415</v>
      </c>
      <c r="AF419" s="94">
        <f t="shared" si="293"/>
        <v>1455.5303030303032</v>
      </c>
      <c r="AG419">
        <f t="shared" si="311"/>
        <v>0.68867476983345477</v>
      </c>
      <c r="AH419">
        <f t="shared" si="294"/>
        <v>213.18898161605145</v>
      </c>
      <c r="AI419">
        <f>HLOOKUP(AW419,'Real assumptions'!$A$21:$AK$24,2,TRUE)</f>
        <v>0</v>
      </c>
      <c r="AJ419" s="123">
        <f t="shared" si="312"/>
        <v>0</v>
      </c>
      <c r="AK419" s="122">
        <f>(1+HLOOKUP(YEAR(A419),'Real assumptions'!$A$21:$AK$24,2,TRUE)/100)^(1/12)-1</f>
        <v>0</v>
      </c>
      <c r="AL419">
        <f t="shared" si="313"/>
        <v>2.3030900907199294</v>
      </c>
      <c r="AM419">
        <f>('Real assumptions'!$B$33/12)*O418*AV418</f>
        <v>2.2445586905604031</v>
      </c>
      <c r="AN419">
        <f t="shared" si="295"/>
        <v>214.27610896295909</v>
      </c>
      <c r="AO419">
        <f t="shared" si="317"/>
        <v>0</v>
      </c>
      <c r="AP419" s="121">
        <f t="shared" si="296"/>
        <v>0</v>
      </c>
      <c r="AQ419">
        <f t="shared" si="297"/>
        <v>0</v>
      </c>
      <c r="AR419">
        <v>0</v>
      </c>
      <c r="AS419">
        <f t="shared" si="278"/>
        <v>0</v>
      </c>
      <c r="AT419">
        <f t="shared" si="298"/>
        <v>0</v>
      </c>
      <c r="AU419">
        <f>IFERROR(HLOOKUP(B419,'Real assumptions'!$B$43:$AL$44,2,TRUE)*($W$3/$U$2),0)</f>
        <v>0</v>
      </c>
      <c r="AV419">
        <f>AV418*(1+'Real assumptions'!$B$35)^(1/12)</f>
        <v>1.5239878273830014</v>
      </c>
      <c r="AW419">
        <f t="shared" si="279"/>
        <v>2052</v>
      </c>
      <c r="AX419">
        <f t="shared" si="314"/>
        <v>213.66128708070576</v>
      </c>
      <c r="AY419">
        <f t="shared" si="315"/>
        <v>0.62051547570883825</v>
      </c>
      <c r="AZ419">
        <f t="shared" si="280"/>
        <v>487.63447853113075</v>
      </c>
      <c r="BA419">
        <f t="shared" si="299"/>
        <v>4.0386808027093117</v>
      </c>
      <c r="BB419">
        <f t="shared" si="300"/>
        <v>65</v>
      </c>
      <c r="BC419">
        <f t="shared" si="281"/>
        <v>39</v>
      </c>
      <c r="BD419">
        <f t="shared" si="301"/>
        <v>0</v>
      </c>
      <c r="BE419">
        <f t="shared" si="282"/>
        <v>24</v>
      </c>
      <c r="BF419">
        <f t="shared" si="316"/>
        <v>5000</v>
      </c>
      <c r="BU419"/>
      <c r="FD419"/>
      <c r="FE419"/>
    </row>
    <row r="420" spans="1:161" x14ac:dyDescent="0.25">
      <c r="A420" s="7">
        <f t="shared" si="302"/>
        <v>55884</v>
      </c>
      <c r="B420">
        <f t="shared" si="283"/>
        <v>409</v>
      </c>
      <c r="C420">
        <f t="shared" ref="C420" si="318">(B420+11)/12-1</f>
        <v>34</v>
      </c>
      <c r="D420">
        <f t="shared" ref="D420" si="319">IF(C420-INT(C420)=0,1,0)</f>
        <v>1</v>
      </c>
      <c r="E420">
        <f t="shared" si="286"/>
        <v>86</v>
      </c>
      <c r="F420">
        <f>IF(C420&gt;=$T$2,0,VLOOKUP($E420,EKM_F05!$A$3:$C$128,2,TRUE))</f>
        <v>0.10371474358974359</v>
      </c>
      <c r="G420">
        <f>F420*'Real assumptions'!$B$3</f>
        <v>4.3280162499999997E-2</v>
      </c>
      <c r="H420">
        <f t="shared" ref="H420" si="320">(1-(1-G420)^(1/12))</f>
        <v>3.680267916789659E-3</v>
      </c>
      <c r="I420">
        <f t="shared" ref="I420" si="321">H420*O419*(1-M420/2)</f>
        <v>5.3817602196250941E-4</v>
      </c>
      <c r="J420">
        <f>IF(B420&gt;$AJ$2,0,HLOOKUP(C420,'Real assumptions'!$B$5:$L$8,4,TRUE))</f>
        <v>3.7900000000000003E-2</v>
      </c>
      <c r="K420">
        <f t="shared" si="273"/>
        <v>1</v>
      </c>
      <c r="L420">
        <f t="shared" si="305"/>
        <v>8.3333333333333329E-2</v>
      </c>
      <c r="M420">
        <f>(1-(1-J420)^L420)</f>
        <v>3.2145624959929453E-3</v>
      </c>
      <c r="N420">
        <f>M420*O419*(1-H420/2)</f>
        <v>4.6996496226418084E-4</v>
      </c>
      <c r="O420" s="8">
        <f t="shared" si="287"/>
        <v>0.14546011266340142</v>
      </c>
      <c r="P420">
        <f t="shared" si="288"/>
        <v>3.5152380875430747</v>
      </c>
      <c r="Q420">
        <f t="shared" si="308"/>
        <v>2.690880109812547</v>
      </c>
      <c r="R420" s="89">
        <f t="shared" si="274"/>
        <v>5000</v>
      </c>
      <c r="S420">
        <f t="shared" si="275"/>
        <v>0.9166666666666643</v>
      </c>
      <c r="U420">
        <f>O419*AV419*'Real assumptions'!$B$33/12+AX420*'Real assumptions'!$B$34</f>
        <v>2.2907292440697296</v>
      </c>
      <c r="V420">
        <f>IF(P420=0,0,IF(E420&lt;=$C$7,$AN$5*O419,0))*'Real assumptions'!$D$28</f>
        <v>0</v>
      </c>
      <c r="X420" s="94">
        <f t="shared" si="289"/>
        <v>0</v>
      </c>
      <c r="Y420">
        <f t="shared" si="276"/>
        <v>24</v>
      </c>
      <c r="Z420">
        <f t="shared" si="309"/>
        <v>65</v>
      </c>
      <c r="AA420">
        <f t="shared" si="277"/>
        <v>64.916666666666657</v>
      </c>
      <c r="AB420">
        <f t="shared" si="290"/>
        <v>50.505050505050505</v>
      </c>
      <c r="AC420">
        <f t="shared" ref="AC420" si="322">AB420*AA420</f>
        <v>3278.619528619528</v>
      </c>
      <c r="AD420">
        <f t="shared" si="291"/>
        <v>80.505050505050505</v>
      </c>
      <c r="AE420">
        <f t="shared" si="292"/>
        <v>261.30597643097639</v>
      </c>
      <c r="AF420" s="94">
        <f t="shared" si="293"/>
        <v>1460.0744949494956</v>
      </c>
      <c r="AG420">
        <f t="shared" si="311"/>
        <v>0.68618385492183265</v>
      </c>
      <c r="AH420">
        <f t="shared" si="294"/>
        <v>212.38260053231255</v>
      </c>
      <c r="AI420">
        <f>HLOOKUP(AW420,'Real assumptions'!$A$21:$AK$24,2,TRUE)</f>
        <v>0</v>
      </c>
      <c r="AJ420" s="123">
        <f t="shared" ref="AJ420" si="323">((1+AI420/100)^(1/12))-1</f>
        <v>0</v>
      </c>
      <c r="AK420" s="122">
        <f>(1+HLOOKUP(YEAR(A420),'Real assumptions'!$A$21:$AK$24,2,TRUE)/100)^(1/12)-1</f>
        <v>0</v>
      </c>
      <c r="AL420">
        <f t="shared" si="313"/>
        <v>2.2907292440697296</v>
      </c>
      <c r="AM420">
        <f>('Real assumptions'!$B$33/12)*O419*AV419</f>
        <v>2.2321583565703111</v>
      </c>
      <c r="AN420">
        <f t="shared" si="295"/>
        <v>214.41349045952481</v>
      </c>
      <c r="AO420">
        <f t="shared" ref="AO420" si="324">AN420*AJ420</f>
        <v>0</v>
      </c>
      <c r="AP420" s="121">
        <f t="shared" si="296"/>
        <v>0</v>
      </c>
      <c r="AQ420">
        <f t="shared" si="297"/>
        <v>0</v>
      </c>
      <c r="AR420">
        <v>0</v>
      </c>
      <c r="AS420">
        <f t="shared" si="278"/>
        <v>0</v>
      </c>
      <c r="AT420">
        <f t="shared" si="298"/>
        <v>0</v>
      </c>
      <c r="AU420">
        <f>IFERROR(HLOOKUP(B420,'Real assumptions'!$B$43:$AL$44,2,TRUE)*($W$3/$U$2),0)</f>
        <v>0</v>
      </c>
      <c r="AV420">
        <f>AV419*(1+'Real assumptions'!$B$35)^(1/12)</f>
        <v>1.5255662917016621</v>
      </c>
      <c r="AW420">
        <f t="shared" si="279"/>
        <v>2052</v>
      </c>
      <c r="AX420">
        <f t="shared" si="314"/>
        <v>213.80543049503979</v>
      </c>
      <c r="AY420">
        <f t="shared" si="315"/>
        <v>0.61644887898833378</v>
      </c>
      <c r="AZ420">
        <f t="shared" si="280"/>
        <v>485.48192340986975</v>
      </c>
      <c r="BA420">
        <f t="shared" si="299"/>
        <v>3.3770639647343796</v>
      </c>
      <c r="BB420">
        <f t="shared" si="300"/>
        <v>64.916666666666657</v>
      </c>
      <c r="BC420">
        <f t="shared" si="281"/>
        <v>38.949999999999989</v>
      </c>
      <c r="BD420">
        <f t="shared" si="301"/>
        <v>0</v>
      </c>
      <c r="BE420">
        <f t="shared" si="282"/>
        <v>24</v>
      </c>
      <c r="BF420">
        <f t="shared" si="316"/>
        <v>5000</v>
      </c>
      <c r="BU420"/>
      <c r="FD420"/>
      <c r="FE420"/>
    </row>
    <row r="421" spans="1:161" x14ac:dyDescent="0.25">
      <c r="A421" s="7">
        <f t="shared" si="302"/>
        <v>55915</v>
      </c>
      <c r="B421">
        <f t="shared" si="283"/>
        <v>410</v>
      </c>
      <c r="C421">
        <f t="shared" ref="C421" si="325">(B421+11)/12-1</f>
        <v>34.083333333333336</v>
      </c>
      <c r="D421">
        <f t="shared" ref="D421" si="326">IF(C421-INT(C421)=0,1,0)</f>
        <v>0</v>
      </c>
      <c r="E421">
        <f t="shared" si="286"/>
        <v>86</v>
      </c>
      <c r="F421">
        <f>IF(C421&gt;=$T$2,0,VLOOKUP($E421,EKM_F05!$A$3:$C$128,2,TRUE))</f>
        <v>0.10371474358974359</v>
      </c>
      <c r="G421">
        <f>F421*'Real assumptions'!$B$3</f>
        <v>4.3280162499999997E-2</v>
      </c>
      <c r="H421">
        <f t="shared" ref="H421" si="327">(1-(1-G421)^(1/12))</f>
        <v>3.680267916789659E-3</v>
      </c>
      <c r="I421">
        <f t="shared" ref="I421" si="328">H421*O420*(1-M421/2)</f>
        <v>5.344717564240277E-4</v>
      </c>
      <c r="J421">
        <f>IF(B421&gt;$AJ$2,0,HLOOKUP(C421,'Real assumptions'!$B$5:$L$8,4,TRUE))</f>
        <v>3.7900000000000003E-2</v>
      </c>
      <c r="K421">
        <f t="shared" si="273"/>
        <v>1</v>
      </c>
      <c r="L421">
        <f t="shared" si="305"/>
        <v>8.3333333333333329E-2</v>
      </c>
      <c r="M421">
        <f>(1-(1-J421)^L421)</f>
        <v>3.2145624959929453E-3</v>
      </c>
      <c r="N421">
        <f>M421*O420*(1-H421/2)</f>
        <v>4.6673019344698093E-4</v>
      </c>
      <c r="O421" s="8">
        <f t="shared" si="287"/>
        <v>0.14445891071353043</v>
      </c>
      <c r="P421">
        <f t="shared" si="288"/>
        <v>3.4910427039216341</v>
      </c>
      <c r="Q421">
        <f t="shared" si="308"/>
        <v>2.6723587821201384</v>
      </c>
      <c r="R421" s="89">
        <f t="shared" si="274"/>
        <v>5000</v>
      </c>
      <c r="S421">
        <f t="shared" si="275"/>
        <v>0.8333333333333357</v>
      </c>
      <c r="U421">
        <f>O420*AV420*'Real assumptions'!$B$33/12+AX421*'Real assumptions'!$B$34</f>
        <v>2.2774392679001321</v>
      </c>
      <c r="V421">
        <f>IF(P421=0,0,IF(E421&lt;=$C$7,$AN$5*O420,0))*'Real assumptions'!$D$28</f>
        <v>0</v>
      </c>
      <c r="X421" s="94">
        <f t="shared" si="289"/>
        <v>0</v>
      </c>
      <c r="Y421">
        <f t="shared" si="276"/>
        <v>24</v>
      </c>
      <c r="Z421">
        <f t="shared" si="309"/>
        <v>64</v>
      </c>
      <c r="AA421">
        <f t="shared" si="277"/>
        <v>64.833333333333343</v>
      </c>
      <c r="AB421">
        <f t="shared" si="290"/>
        <v>50.505050505050505</v>
      </c>
      <c r="AC421">
        <f t="shared" ref="AC421" si="329">AB421*AA421</f>
        <v>3274.410774410775</v>
      </c>
      <c r="AD421">
        <f t="shared" si="291"/>
        <v>80.505050505050505</v>
      </c>
      <c r="AE421">
        <f t="shared" si="292"/>
        <v>260.97053872053874</v>
      </c>
      <c r="AF421" s="94">
        <f t="shared" si="293"/>
        <v>1464.6186868686862</v>
      </c>
      <c r="AG421">
        <f t="shared" si="311"/>
        <v>0.68358176304828511</v>
      </c>
      <c r="AH421">
        <f t="shared" si="294"/>
        <v>211.57722011573171</v>
      </c>
      <c r="AI421">
        <f>HLOOKUP(AW421,'Real assumptions'!$A$21:$AK$24,2,TRUE)</f>
        <v>0</v>
      </c>
      <c r="AJ421" s="123">
        <f t="shared" ref="AJ421" si="330">((1+AI421/100)^(1/12))-1</f>
        <v>0</v>
      </c>
      <c r="AK421" s="122">
        <f>(1+HLOOKUP(YEAR(A421),'Real assumptions'!$A$21:$AK$24,2,TRUE)/100)^(1/12)-1</f>
        <v>0</v>
      </c>
      <c r="AL421">
        <f t="shared" si="313"/>
        <v>2.2774392679001321</v>
      </c>
      <c r="AM421">
        <f>('Real assumptions'!$B$33/12)*O420*AV420</f>
        <v>2.2190904466641128</v>
      </c>
      <c r="AN421">
        <f t="shared" si="295"/>
        <v>213.59620396833407</v>
      </c>
      <c r="AO421">
        <f t="shared" ref="AO421" si="331">AN421*AJ421</f>
        <v>0</v>
      </c>
      <c r="AP421" s="121">
        <f t="shared" si="296"/>
        <v>0</v>
      </c>
      <c r="AQ421">
        <f t="shared" si="297"/>
        <v>0</v>
      </c>
      <c r="AR421">
        <v>0</v>
      </c>
      <c r="AS421">
        <f t="shared" si="278"/>
        <v>0</v>
      </c>
      <c r="AT421">
        <f t="shared" si="298"/>
        <v>0</v>
      </c>
      <c r="AU421">
        <f>IFERROR(HLOOKUP(B421,'Real assumptions'!$B$43:$AL$44,2,TRUE)*($W$3/$U$2),0)</f>
        <v>0</v>
      </c>
      <c r="AV421">
        <f>AV420*(1+'Real assumptions'!$B$35)^(1/12)</f>
        <v>1.5271463909084504</v>
      </c>
      <c r="AW421">
        <f t="shared" si="279"/>
        <v>2053</v>
      </c>
      <c r="AX421">
        <f t="shared" si="314"/>
        <v>212.99480639369051</v>
      </c>
      <c r="AY421">
        <f t="shared" si="315"/>
        <v>0.61220586137795208</v>
      </c>
      <c r="AZ421">
        <f t="shared" si="280"/>
        <v>483.33958630072277</v>
      </c>
      <c r="BA421">
        <f t="shared" si="299"/>
        <v>3.3559405451684237</v>
      </c>
      <c r="BB421">
        <f t="shared" si="300"/>
        <v>64.833333333333343</v>
      </c>
      <c r="BC421">
        <f t="shared" si="281"/>
        <v>38.900000000000006</v>
      </c>
      <c r="BD421">
        <f t="shared" si="301"/>
        <v>0</v>
      </c>
      <c r="BE421">
        <f t="shared" si="282"/>
        <v>24</v>
      </c>
      <c r="BF421">
        <f t="shared" si="316"/>
        <v>5000</v>
      </c>
      <c r="BQ421" s="124"/>
      <c r="BT421" s="124"/>
      <c r="BU421"/>
      <c r="BW421" s="124"/>
      <c r="CD421" s="124"/>
      <c r="CG421" s="124"/>
      <c r="CY421">
        <f>CX421-U421</f>
        <v>-2.2774392679001321</v>
      </c>
      <c r="CZ421">
        <f t="shared" ref="CZ421" si="332">CY421-DR421</f>
        <v>0</v>
      </c>
      <c r="DB421" s="124" t="s">
        <v>236</v>
      </c>
      <c r="DC421" s="123"/>
      <c r="DN421" s="124"/>
      <c r="DR421">
        <f>DQ421-U421</f>
        <v>-2.2774392679001321</v>
      </c>
      <c r="DW421" s="89"/>
      <c r="DX421" s="89"/>
      <c r="FD421"/>
      <c r="FE421"/>
    </row>
    <row r="422" spans="1:161" x14ac:dyDescent="0.25">
      <c r="A422" s="7">
        <f t="shared" si="302"/>
        <v>55943</v>
      </c>
      <c r="B422">
        <f t="shared" si="283"/>
        <v>411</v>
      </c>
      <c r="C422">
        <f t="shared" ref="C422:C485" si="333">(B422+11)/12-1</f>
        <v>34.166666666666664</v>
      </c>
      <c r="D422">
        <f t="shared" ref="D422:D485" si="334">IF(C422-INT(C422)=0,1,0)</f>
        <v>0</v>
      </c>
      <c r="E422">
        <f t="shared" si="286"/>
        <v>86</v>
      </c>
      <c r="F422">
        <f>IF(C422&gt;=$T$2,0,VLOOKUP($E422,EKM_F05!$A$3:$C$128,2,TRUE))</f>
        <v>0.10371474358974359</v>
      </c>
      <c r="G422">
        <f>F422*'Real assumptions'!$B$3</f>
        <v>4.3280162499999997E-2</v>
      </c>
      <c r="H422">
        <f t="shared" ref="H422:H485" si="335">(1-(1-G422)^(1/12))</f>
        <v>3.680267916789659E-3</v>
      </c>
      <c r="I422">
        <f t="shared" ref="I422:I485" si="336">H422*O421*(1-M422/2)</f>
        <v>5.3079298734510518E-4</v>
      </c>
      <c r="J422">
        <f>IF(B422&gt;$AJ$2,0,HLOOKUP(C422,'Real assumptions'!$B$5:$L$8,4,TRUE))</f>
        <v>3.7900000000000003E-2</v>
      </c>
      <c r="K422">
        <f t="shared" si="273"/>
        <v>1</v>
      </c>
      <c r="L422">
        <f t="shared" si="305"/>
        <v>8.3333333333333329E-2</v>
      </c>
      <c r="M422">
        <f t="shared" ref="M422:M485" si="337">(1-(1-J422)^L422)</f>
        <v>3.2145624959929453E-3</v>
      </c>
      <c r="N422">
        <f t="shared" ref="N422:N485" si="338">M422*O421*(1-H422/2)</f>
        <v>4.635176895434256E-4</v>
      </c>
      <c r="O422" s="8">
        <f t="shared" si="287"/>
        <v>0.14346460003664191</v>
      </c>
      <c r="P422">
        <f t="shared" si="288"/>
        <v>3.46701385712473</v>
      </c>
      <c r="Q422">
        <f t="shared" si="308"/>
        <v>2.6539649367255258</v>
      </c>
      <c r="R422" s="89">
        <f t="shared" si="274"/>
        <v>5000</v>
      </c>
      <c r="S422">
        <f t="shared" si="275"/>
        <v>0.75</v>
      </c>
      <c r="U422">
        <f>O421*AV421*'Real assumptions'!$B$33/12+AX422*'Real assumptions'!$B$34</f>
        <v>2.2642260784080062</v>
      </c>
      <c r="V422">
        <f>IF(P422=0,0,IF(E422&lt;=$C$7,$AN$5*O421,0))*'Real assumptions'!$D$28</f>
        <v>0</v>
      </c>
      <c r="X422" s="94">
        <f t="shared" si="289"/>
        <v>0</v>
      </c>
      <c r="Y422">
        <f t="shared" si="276"/>
        <v>24</v>
      </c>
      <c r="Z422">
        <f t="shared" si="309"/>
        <v>64</v>
      </c>
      <c r="AA422">
        <f t="shared" si="277"/>
        <v>64.75</v>
      </c>
      <c r="AB422">
        <f t="shared" si="290"/>
        <v>50.505050505050505</v>
      </c>
      <c r="AC422">
        <f t="shared" ref="AC422:AC485" si="339">AB422*AA422</f>
        <v>3270.2020202020203</v>
      </c>
      <c r="AD422">
        <f t="shared" si="291"/>
        <v>80.505050505050505</v>
      </c>
      <c r="AE422">
        <f t="shared" si="292"/>
        <v>260.63510101010098</v>
      </c>
      <c r="AF422" s="94">
        <f t="shared" si="293"/>
        <v>1469.1628787878788</v>
      </c>
      <c r="AG422">
        <f t="shared" si="311"/>
        <v>0.68098298313872541</v>
      </c>
      <c r="AH422">
        <f t="shared" si="294"/>
        <v>210.77286479398444</v>
      </c>
      <c r="AI422">
        <f>HLOOKUP(AW422,'Real assumptions'!$A$21:$AK$24,2,TRUE)</f>
        <v>0</v>
      </c>
      <c r="AJ422" s="123">
        <f t="shared" ref="AJ422:AJ485" si="340">((1+AI422/100)^(1/12))-1</f>
        <v>0</v>
      </c>
      <c r="AK422" s="122">
        <f>(1+HLOOKUP(YEAR(A422),'Real assumptions'!$A$21:$AK$24,2,TRUE)/100)^(1/12)-1</f>
        <v>0</v>
      </c>
      <c r="AL422">
        <f t="shared" si="313"/>
        <v>2.2642260784080062</v>
      </c>
      <c r="AM422">
        <f>('Real assumptions'!$B$33/12)*O421*AV421</f>
        <v>2.2060990413073407</v>
      </c>
      <c r="AN422">
        <f t="shared" si="295"/>
        <v>212.78000789444843</v>
      </c>
      <c r="AO422">
        <f t="shared" ref="AO422:AO485" si="341">AN422*AJ422</f>
        <v>0</v>
      </c>
      <c r="AP422" s="121">
        <f t="shared" si="296"/>
        <v>0</v>
      </c>
      <c r="AQ422">
        <f t="shared" si="297"/>
        <v>0</v>
      </c>
      <c r="AR422">
        <v>0</v>
      </c>
      <c r="AS422">
        <f t="shared" si="278"/>
        <v>0</v>
      </c>
      <c r="AT422">
        <f t="shared" si="298"/>
        <v>0</v>
      </c>
      <c r="AU422">
        <f>IFERROR(HLOOKUP(B422,'Real assumptions'!$B$43:$AL$44,2,TRUE)*($W$3/$U$2),0)</f>
        <v>0</v>
      </c>
      <c r="AV422">
        <f>AV421*(1+'Real assumptions'!$B$35)^(1/12)</f>
        <v>1.5287281266966948</v>
      </c>
      <c r="AW422">
        <f t="shared" si="279"/>
        <v>2053</v>
      </c>
      <c r="AX422">
        <f t="shared" si="314"/>
        <v>212.18521216418932</v>
      </c>
      <c r="AY422">
        <f t="shared" si="315"/>
        <v>0.60799204845761956</v>
      </c>
      <c r="AZ422">
        <f t="shared" si="280"/>
        <v>481.20742615957528</v>
      </c>
      <c r="BA422">
        <f t="shared" si="299"/>
        <v>3.3349479198642511</v>
      </c>
      <c r="BB422">
        <f t="shared" si="300"/>
        <v>64.75</v>
      </c>
      <c r="BC422">
        <f t="shared" si="281"/>
        <v>38.849999999999994</v>
      </c>
      <c r="BD422">
        <f t="shared" si="301"/>
        <v>0</v>
      </c>
      <c r="BE422">
        <f t="shared" si="282"/>
        <v>24</v>
      </c>
      <c r="BF422">
        <f t="shared" si="316"/>
        <v>5000</v>
      </c>
      <c r="BQ422" s="124"/>
      <c r="BT422" s="124"/>
      <c r="BU422"/>
      <c r="BW422" s="124"/>
      <c r="CD422" s="124"/>
      <c r="CG422" s="124"/>
      <c r="DB422" s="124"/>
      <c r="DC422" s="123"/>
      <c r="DN422" s="124"/>
      <c r="DW422" s="89"/>
      <c r="DX422" s="89"/>
      <c r="FD422"/>
      <c r="FE422"/>
    </row>
    <row r="423" spans="1:161" x14ac:dyDescent="0.25">
      <c r="A423" s="7">
        <f t="shared" si="302"/>
        <v>55974</v>
      </c>
      <c r="B423">
        <f t="shared" si="283"/>
        <v>412</v>
      </c>
      <c r="C423">
        <f t="shared" si="333"/>
        <v>34.25</v>
      </c>
      <c r="D423">
        <f t="shared" si="334"/>
        <v>0</v>
      </c>
      <c r="E423">
        <f t="shared" si="286"/>
        <v>86</v>
      </c>
      <c r="F423">
        <f>IF(C423&gt;=$T$2,0,VLOOKUP($E423,EKM_F05!$A$3:$C$128,2,TRUE))</f>
        <v>0.10371474358974359</v>
      </c>
      <c r="G423">
        <f>F423*'Real assumptions'!$B$3</f>
        <v>4.3280162499999997E-2</v>
      </c>
      <c r="H423">
        <f t="shared" si="335"/>
        <v>3.680267916789659E-3</v>
      </c>
      <c r="I423">
        <f t="shared" si="336"/>
        <v>5.2713953923361147E-4</v>
      </c>
      <c r="J423">
        <f>IF(B423&gt;$AJ$2,0,HLOOKUP(C423,'Real assumptions'!$B$5:$L$8,4,TRUE))</f>
        <v>3.7900000000000003E-2</v>
      </c>
      <c r="K423">
        <f t="shared" si="273"/>
        <v>1</v>
      </c>
      <c r="L423">
        <f t="shared" si="305"/>
        <v>8.3333333333333329E-2</v>
      </c>
      <c r="M423">
        <f t="shared" si="337"/>
        <v>3.2145624959929453E-3</v>
      </c>
      <c r="N423">
        <f t="shared" si="338"/>
        <v>4.6032729730411488E-4</v>
      </c>
      <c r="O423" s="8">
        <f t="shared" si="287"/>
        <v>0.14247713320010419</v>
      </c>
      <c r="P423">
        <f t="shared" si="288"/>
        <v>3.4431504008794058</v>
      </c>
      <c r="Q423">
        <f t="shared" si="308"/>
        <v>2.6356976961680574</v>
      </c>
      <c r="R423" s="89">
        <f t="shared" si="274"/>
        <v>5000</v>
      </c>
      <c r="S423">
        <f t="shared" si="275"/>
        <v>0.6666666666666643</v>
      </c>
      <c r="U423">
        <f>O422*AV422*'Real assumptions'!$B$33/12+AX423*'Real assumptions'!$B$34</f>
        <v>2.2510892343431861</v>
      </c>
      <c r="V423">
        <f>IF(P423=0,0,IF(E423&lt;=$C$7,$AN$5*O422,0))*'Real assumptions'!$D$28</f>
        <v>0</v>
      </c>
      <c r="X423" s="94">
        <f t="shared" si="289"/>
        <v>0</v>
      </c>
      <c r="Y423">
        <f t="shared" si="276"/>
        <v>24</v>
      </c>
      <c r="Z423">
        <f t="shared" si="309"/>
        <v>64</v>
      </c>
      <c r="AA423">
        <f t="shared" si="277"/>
        <v>64.666666666666657</v>
      </c>
      <c r="AB423">
        <f t="shared" si="290"/>
        <v>50.505050505050505</v>
      </c>
      <c r="AC423">
        <f t="shared" si="339"/>
        <v>3265.9932659932656</v>
      </c>
      <c r="AD423">
        <f t="shared" si="291"/>
        <v>80.505050505050505</v>
      </c>
      <c r="AE423">
        <f t="shared" si="292"/>
        <v>260.29966329966322</v>
      </c>
      <c r="AF423" s="94">
        <f t="shared" si="293"/>
        <v>1473.7070707070711</v>
      </c>
      <c r="AG423">
        <f t="shared" si="311"/>
        <v>0.67838759287655015</v>
      </c>
      <c r="AH423">
        <f t="shared" si="294"/>
        <v>209.96955861106673</v>
      </c>
      <c r="AI423">
        <f>HLOOKUP(AW423,'Real assumptions'!$A$21:$AK$24,2,TRUE)</f>
        <v>0</v>
      </c>
      <c r="AJ423" s="123">
        <f t="shared" si="340"/>
        <v>0</v>
      </c>
      <c r="AK423" s="122">
        <f>(1+HLOOKUP(YEAR(A423),'Real assumptions'!$A$21:$AK$24,2,TRUE)/100)^(1/12)-1</f>
        <v>0</v>
      </c>
      <c r="AL423">
        <f t="shared" si="313"/>
        <v>2.2510892343431861</v>
      </c>
      <c r="AM423">
        <f>('Real assumptions'!$B$33/12)*O422*AV422</f>
        <v>2.1931836926130619</v>
      </c>
      <c r="AN423">
        <f t="shared" si="295"/>
        <v>211.96492596052065</v>
      </c>
      <c r="AO423">
        <f t="shared" si="341"/>
        <v>0</v>
      </c>
      <c r="AP423" s="121">
        <f t="shared" si="296"/>
        <v>0</v>
      </c>
      <c r="AQ423">
        <f t="shared" si="297"/>
        <v>0</v>
      </c>
      <c r="AR423">
        <v>0</v>
      </c>
      <c r="AS423">
        <f t="shared" si="278"/>
        <v>0</v>
      </c>
      <c r="AT423">
        <f t="shared" si="298"/>
        <v>0</v>
      </c>
      <c r="AU423">
        <f>IFERROR(HLOOKUP(B423,'Real assumptions'!$B$43:$AL$44,2,TRUE)*($W$3/$U$2),0)</f>
        <v>0</v>
      </c>
      <c r="AV423">
        <f>AV422*(1+'Real assumptions'!$B$35)^(1/12)</f>
        <v>1.5303115007614783</v>
      </c>
      <c r="AW423">
        <f t="shared" si="279"/>
        <v>2053</v>
      </c>
      <c r="AX423">
        <f t="shared" si="314"/>
        <v>211.37667203319589</v>
      </c>
      <c r="AY423">
        <f t="shared" si="315"/>
        <v>0.60380723921145585</v>
      </c>
      <c r="AZ423">
        <f t="shared" si="280"/>
        <v>479.0854020370669</v>
      </c>
      <c r="BA423">
        <f t="shared" si="299"/>
        <v>3.3140852890446073</v>
      </c>
      <c r="BB423">
        <f t="shared" si="300"/>
        <v>64.666666666666657</v>
      </c>
      <c r="BC423">
        <f t="shared" si="281"/>
        <v>38.799999999999997</v>
      </c>
      <c r="BD423">
        <f t="shared" si="301"/>
        <v>0</v>
      </c>
      <c r="BE423">
        <f t="shared" si="282"/>
        <v>24</v>
      </c>
      <c r="BF423">
        <f t="shared" si="316"/>
        <v>5000</v>
      </c>
      <c r="BQ423" s="124"/>
      <c r="BT423" s="124"/>
      <c r="BU423"/>
      <c r="BW423" s="124"/>
      <c r="CD423" s="124"/>
      <c r="CG423" s="124"/>
      <c r="DB423" s="124"/>
      <c r="DC423" s="123"/>
      <c r="DN423" s="124"/>
      <c r="DW423" s="89"/>
      <c r="DX423" s="89"/>
      <c r="FD423"/>
      <c r="FE423"/>
    </row>
    <row r="424" spans="1:161" x14ac:dyDescent="0.25">
      <c r="A424" s="7">
        <f t="shared" si="302"/>
        <v>56004</v>
      </c>
      <c r="B424">
        <f t="shared" si="283"/>
        <v>413</v>
      </c>
      <c r="C424">
        <f t="shared" si="333"/>
        <v>34.333333333333336</v>
      </c>
      <c r="D424">
        <f t="shared" si="334"/>
        <v>0</v>
      </c>
      <c r="E424">
        <f t="shared" si="286"/>
        <v>86</v>
      </c>
      <c r="F424">
        <f>IF(C424&gt;=$T$2,0,VLOOKUP($E424,EKM_F05!$A$3:$C$128,2,TRUE))</f>
        <v>0.10371474358974359</v>
      </c>
      <c r="G424">
        <f>F424*'Real assumptions'!$B$3</f>
        <v>4.3280162499999997E-2</v>
      </c>
      <c r="H424">
        <f t="shared" si="335"/>
        <v>3.680267916789659E-3</v>
      </c>
      <c r="I424">
        <f t="shared" si="336"/>
        <v>5.2351123780532865E-4</v>
      </c>
      <c r="J424">
        <f>IF(B424&gt;$AJ$2,0,HLOOKUP(C424,'Real assumptions'!$B$5:$L$8,4,TRUE))</f>
        <v>3.7900000000000003E-2</v>
      </c>
      <c r="K424">
        <f t="shared" si="273"/>
        <v>1</v>
      </c>
      <c r="L424">
        <f t="shared" si="305"/>
        <v>8.3333333333333329E-2</v>
      </c>
      <c r="M424">
        <f t="shared" si="337"/>
        <v>3.2145624959929453E-3</v>
      </c>
      <c r="N424">
        <f t="shared" si="338"/>
        <v>4.5715886453446468E-4</v>
      </c>
      <c r="O424" s="8">
        <f t="shared" si="287"/>
        <v>0.1414964630977644</v>
      </c>
      <c r="P424">
        <f t="shared" si="288"/>
        <v>3.4194511968025005</v>
      </c>
      <c r="Q424">
        <f t="shared" si="308"/>
        <v>2.6175561890266432</v>
      </c>
      <c r="R424" s="89">
        <f t="shared" si="274"/>
        <v>5000</v>
      </c>
      <c r="S424">
        <f t="shared" si="275"/>
        <v>0.5833333333333357</v>
      </c>
      <c r="U424">
        <f>O423*AV423*'Real assumptions'!$B$33/12+AX424*'Real assumptions'!$B$34</f>
        <v>2.2380282969728809</v>
      </c>
      <c r="V424">
        <f>IF(P424=0,0,IF(E424&lt;=$C$7,$AN$5*O423,0))*'Real assumptions'!$D$28</f>
        <v>0</v>
      </c>
      <c r="X424" s="94">
        <f t="shared" si="289"/>
        <v>0</v>
      </c>
      <c r="Y424">
        <f t="shared" si="276"/>
        <v>24</v>
      </c>
      <c r="Z424">
        <f t="shared" si="309"/>
        <v>64</v>
      </c>
      <c r="AA424">
        <f t="shared" si="277"/>
        <v>64.583333333333343</v>
      </c>
      <c r="AB424">
        <f t="shared" si="290"/>
        <v>50.505050505050505</v>
      </c>
      <c r="AC424">
        <f t="shared" si="339"/>
        <v>3261.7845117845122</v>
      </c>
      <c r="AD424">
        <f t="shared" si="291"/>
        <v>80.505050505050505</v>
      </c>
      <c r="AE424">
        <f t="shared" si="292"/>
        <v>259.96422558922563</v>
      </c>
      <c r="AF424" s="94">
        <f t="shared" si="293"/>
        <v>1478.2512626262621</v>
      </c>
      <c r="AG424">
        <f t="shared" si="311"/>
        <v>0.67579566871886076</v>
      </c>
      <c r="AH424">
        <f t="shared" si="294"/>
        <v>209.16732523142053</v>
      </c>
      <c r="AI424">
        <f>HLOOKUP(AW424,'Real assumptions'!$A$21:$AK$24,2,TRUE)</f>
        <v>0</v>
      </c>
      <c r="AJ424" s="123">
        <f t="shared" si="340"/>
        <v>0</v>
      </c>
      <c r="AK424" s="122">
        <f>(1+HLOOKUP(YEAR(A424),'Real assumptions'!$A$21:$AK$24,2,TRUE)/100)^(1/12)-1</f>
        <v>0</v>
      </c>
      <c r="AL424">
        <f t="shared" si="313"/>
        <v>2.2380282969728809</v>
      </c>
      <c r="AM424">
        <f>('Real assumptions'!$B$33/12)*O423*AV423</f>
        <v>2.1803439553164452</v>
      </c>
      <c r="AN424">
        <f t="shared" si="295"/>
        <v>211.15098151089634</v>
      </c>
      <c r="AO424">
        <f t="shared" si="341"/>
        <v>0</v>
      </c>
      <c r="AP424" s="121">
        <f t="shared" si="296"/>
        <v>0</v>
      </c>
      <c r="AQ424">
        <f t="shared" si="297"/>
        <v>0</v>
      </c>
      <c r="AR424">
        <v>0</v>
      </c>
      <c r="AS424">
        <f t="shared" si="278"/>
        <v>0</v>
      </c>
      <c r="AT424">
        <f t="shared" si="298"/>
        <v>0</v>
      </c>
      <c r="AU424">
        <f>IFERROR(HLOOKUP(B424,'Real assumptions'!$B$43:$AL$44,2,TRUE)*($W$3/$U$2),0)</f>
        <v>0</v>
      </c>
      <c r="AV424">
        <f>AV423*(1+'Real assumptions'!$B$35)^(1/12)</f>
        <v>1.5318965147996391</v>
      </c>
      <c r="AW424">
        <f t="shared" si="279"/>
        <v>2053</v>
      </c>
      <c r="AX424">
        <f t="shared" si="314"/>
        <v>210.56920984507391</v>
      </c>
      <c r="AY424">
        <f t="shared" si="315"/>
        <v>0.59965123400717246</v>
      </c>
      <c r="AZ424">
        <f t="shared" si="280"/>
        <v>476.97347307915106</v>
      </c>
      <c r="BA424">
        <f t="shared" si="299"/>
        <v>3.2933518577455039</v>
      </c>
      <c r="BB424">
        <f t="shared" si="300"/>
        <v>64.583333333333343</v>
      </c>
      <c r="BC424">
        <f t="shared" si="281"/>
        <v>38.75</v>
      </c>
      <c r="BD424">
        <f t="shared" si="301"/>
        <v>0</v>
      </c>
      <c r="BE424">
        <f t="shared" si="282"/>
        <v>24</v>
      </c>
      <c r="BF424">
        <f t="shared" si="316"/>
        <v>5000</v>
      </c>
      <c r="BQ424" s="124"/>
      <c r="BT424" s="124"/>
      <c r="BU424"/>
      <c r="BW424" s="124"/>
      <c r="CD424" s="124"/>
      <c r="CG424" s="124"/>
      <c r="DB424" s="124"/>
      <c r="DC424" s="123"/>
      <c r="DN424" s="124"/>
      <c r="DW424" s="89"/>
      <c r="DX424" s="89"/>
      <c r="FD424"/>
      <c r="FE424"/>
    </row>
    <row r="425" spans="1:161" x14ac:dyDescent="0.25">
      <c r="A425" s="7">
        <f t="shared" si="302"/>
        <v>56035</v>
      </c>
      <c r="B425">
        <f t="shared" si="283"/>
        <v>414</v>
      </c>
      <c r="C425">
        <f t="shared" si="333"/>
        <v>34.416666666666664</v>
      </c>
      <c r="D425">
        <f t="shared" si="334"/>
        <v>0</v>
      </c>
      <c r="E425">
        <f t="shared" si="286"/>
        <v>86</v>
      </c>
      <c r="F425">
        <f>IF(C425&gt;=$T$2,0,VLOOKUP($E425,EKM_F05!$A$3:$C$128,2,TRUE))</f>
        <v>0.10371474358974359</v>
      </c>
      <c r="G425">
        <f>F425*'Real assumptions'!$B$3</f>
        <v>4.3280162499999997E-2</v>
      </c>
      <c r="H425">
        <f t="shared" si="335"/>
        <v>3.680267916789659E-3</v>
      </c>
      <c r="I425">
        <f t="shared" si="336"/>
        <v>5.1990790997563728E-4</v>
      </c>
      <c r="J425">
        <f>IF(B425&gt;$AJ$2,0,HLOOKUP(C425,'Real assumptions'!$B$5:$L$8,4,TRUE))</f>
        <v>3.7900000000000003E-2</v>
      </c>
      <c r="K425">
        <f t="shared" si="273"/>
        <v>1</v>
      </c>
      <c r="L425">
        <f t="shared" si="305"/>
        <v>8.3333333333333329E-2</v>
      </c>
      <c r="M425">
        <f t="shared" si="337"/>
        <v>3.2145624959929453E-3</v>
      </c>
      <c r="N425">
        <f t="shared" si="338"/>
        <v>4.5401224008744618E-4</v>
      </c>
      <c r="O425" s="8">
        <f t="shared" si="287"/>
        <v>0.14052254294770131</v>
      </c>
      <c r="P425">
        <f t="shared" si="288"/>
        <v>3.3959151143463453</v>
      </c>
      <c r="Q425">
        <f t="shared" si="308"/>
        <v>2.5995395498781866</v>
      </c>
      <c r="R425" s="89">
        <f t="shared" si="274"/>
        <v>5000</v>
      </c>
      <c r="S425">
        <f t="shared" si="275"/>
        <v>0.5</v>
      </c>
      <c r="U425">
        <f>O424*AV424*'Real assumptions'!$B$33/12+AX425*'Real assumptions'!$B$34</f>
        <v>2.2250428300674492</v>
      </c>
      <c r="V425">
        <f>IF(P425=0,0,IF(E425&lt;=$C$7,$AN$5*O424,0))*'Real assumptions'!$D$28</f>
        <v>0</v>
      </c>
      <c r="X425" s="94">
        <f t="shared" si="289"/>
        <v>0</v>
      </c>
      <c r="Y425">
        <f t="shared" si="276"/>
        <v>24</v>
      </c>
      <c r="Z425">
        <f t="shared" si="309"/>
        <v>64</v>
      </c>
      <c r="AA425">
        <f t="shared" si="277"/>
        <v>64.5</v>
      </c>
      <c r="AB425">
        <f t="shared" si="290"/>
        <v>50.505050505050505</v>
      </c>
      <c r="AC425">
        <f t="shared" si="339"/>
        <v>3257.5757575757575</v>
      </c>
      <c r="AD425">
        <f t="shared" si="291"/>
        <v>80.505050505050505</v>
      </c>
      <c r="AE425">
        <f t="shared" si="292"/>
        <v>259.62878787878788</v>
      </c>
      <c r="AF425" s="94">
        <f t="shared" si="293"/>
        <v>1482.7954545454545</v>
      </c>
      <c r="AG425">
        <f t="shared" si="311"/>
        <v>0.67320728590966483</v>
      </c>
      <c r="AH425">
        <f t="shared" si="294"/>
        <v>208.36618794401991</v>
      </c>
      <c r="AI425">
        <f>HLOOKUP(AW425,'Real assumptions'!$A$21:$AK$24,2,TRUE)</f>
        <v>0</v>
      </c>
      <c r="AJ425" s="123">
        <f t="shared" si="340"/>
        <v>0</v>
      </c>
      <c r="AK425" s="122">
        <f>(1+HLOOKUP(YEAR(A425),'Real assumptions'!$A$21:$AK$24,2,TRUE)/100)^(1/12)-1</f>
        <v>0</v>
      </c>
      <c r="AL425">
        <f t="shared" si="313"/>
        <v>2.2250428300674492</v>
      </c>
      <c r="AM425">
        <f>('Real assumptions'!$B$33/12)*O424*AV424</f>
        <v>2.1675793867594102</v>
      </c>
      <c r="AN425">
        <f t="shared" si="295"/>
        <v>210.33819751569942</v>
      </c>
      <c r="AO425">
        <f t="shared" si="341"/>
        <v>0</v>
      </c>
      <c r="AP425" s="121">
        <f t="shared" si="296"/>
        <v>0</v>
      </c>
      <c r="AQ425">
        <f t="shared" si="297"/>
        <v>0</v>
      </c>
      <c r="AR425">
        <v>0</v>
      </c>
      <c r="AS425">
        <f t="shared" si="278"/>
        <v>0</v>
      </c>
      <c r="AT425">
        <f t="shared" si="298"/>
        <v>0</v>
      </c>
      <c r="AU425">
        <f>IFERROR(HLOOKUP(B425,'Real assumptions'!$B$43:$AL$44,2,TRUE)*($W$3/$U$2),0)</f>
        <v>0</v>
      </c>
      <c r="AV425">
        <f>AV424*(1+'Real assumptions'!$B$35)^(1/12)</f>
        <v>1.5334831705097731</v>
      </c>
      <c r="AW425">
        <f t="shared" si="279"/>
        <v>2053</v>
      </c>
      <c r="AX425">
        <f t="shared" si="314"/>
        <v>209.76284906600708</v>
      </c>
      <c r="AY425">
        <f t="shared" si="315"/>
        <v>0.59552383458655045</v>
      </c>
      <c r="AZ425">
        <f t="shared" si="280"/>
        <v>474.87159852764211</v>
      </c>
      <c r="BA425">
        <f t="shared" si="299"/>
        <v>3.2727468357878515</v>
      </c>
      <c r="BB425">
        <f t="shared" si="300"/>
        <v>64.5</v>
      </c>
      <c r="BC425">
        <f t="shared" si="281"/>
        <v>38.700000000000003</v>
      </c>
      <c r="BD425">
        <f t="shared" si="301"/>
        <v>0</v>
      </c>
      <c r="BE425">
        <f t="shared" si="282"/>
        <v>24</v>
      </c>
      <c r="BF425">
        <f t="shared" si="316"/>
        <v>5000</v>
      </c>
      <c r="BQ425" s="124"/>
      <c r="BT425" s="124"/>
      <c r="BU425"/>
      <c r="BW425" s="124"/>
      <c r="CD425" s="124"/>
      <c r="CG425" s="124"/>
      <c r="DB425" s="124"/>
      <c r="DC425" s="123"/>
      <c r="DN425" s="124"/>
      <c r="DW425" s="89"/>
      <c r="DX425" s="89"/>
      <c r="FD425"/>
      <c r="FE425"/>
    </row>
    <row r="426" spans="1:161" x14ac:dyDescent="0.25">
      <c r="A426" s="7">
        <f t="shared" si="302"/>
        <v>56065</v>
      </c>
      <c r="B426">
        <f t="shared" si="283"/>
        <v>415</v>
      </c>
      <c r="C426">
        <f t="shared" si="333"/>
        <v>34.5</v>
      </c>
      <c r="D426">
        <f t="shared" si="334"/>
        <v>0</v>
      </c>
      <c r="E426">
        <f t="shared" si="286"/>
        <v>86</v>
      </c>
      <c r="F426">
        <f>IF(C426&gt;=$T$2,0,VLOOKUP($E426,EKM_F05!$A$3:$C$128,2,TRUE))</f>
        <v>0.10371474358974359</v>
      </c>
      <c r="G426">
        <f>F426*'Real assumptions'!$B$3</f>
        <v>4.3280162499999997E-2</v>
      </c>
      <c r="H426">
        <f t="shared" si="335"/>
        <v>3.680267916789659E-3</v>
      </c>
      <c r="I426">
        <f t="shared" si="336"/>
        <v>5.163293838512592E-4</v>
      </c>
      <c r="J426">
        <f>IF(B426&gt;$AJ$2,0,HLOOKUP(C426,'Real assumptions'!$B$5:$L$8,4,TRUE))</f>
        <v>3.7900000000000003E-2</v>
      </c>
      <c r="K426">
        <f t="shared" si="273"/>
        <v>1</v>
      </c>
      <c r="L426">
        <f t="shared" si="305"/>
        <v>8.3333333333333329E-2</v>
      </c>
      <c r="M426">
        <f t="shared" si="337"/>
        <v>3.2145624959929453E-3</v>
      </c>
      <c r="N426">
        <f t="shared" si="338"/>
        <v>4.5088727385637559E-4</v>
      </c>
      <c r="O426" s="8">
        <f t="shared" si="287"/>
        <v>0.13955532628999368</v>
      </c>
      <c r="P426">
        <f t="shared" si="288"/>
        <v>3.3725410307448316</v>
      </c>
      <c r="Q426">
        <f t="shared" si="308"/>
        <v>2.5816469192562961</v>
      </c>
      <c r="R426" s="89">
        <f t="shared" si="274"/>
        <v>5000</v>
      </c>
      <c r="S426">
        <f t="shared" si="275"/>
        <v>0.4166666666666643</v>
      </c>
      <c r="U426">
        <f>O425*AV425*'Real assumptions'!$B$33/12+AX426*'Real assumptions'!$B$34</f>
        <v>2.2121323998862565</v>
      </c>
      <c r="V426">
        <f>IF(P426=0,0,IF(E426&lt;=$C$7,$AN$5*O425,0))*'Real assumptions'!$D$28</f>
        <v>0</v>
      </c>
      <c r="X426" s="94">
        <f t="shared" si="289"/>
        <v>0</v>
      </c>
      <c r="Y426">
        <f t="shared" si="276"/>
        <v>24</v>
      </c>
      <c r="Z426">
        <f t="shared" si="309"/>
        <v>64</v>
      </c>
      <c r="AA426">
        <f t="shared" si="277"/>
        <v>64.416666666666657</v>
      </c>
      <c r="AB426">
        <f t="shared" si="290"/>
        <v>50.505050505050505</v>
      </c>
      <c r="AC426">
        <f t="shared" si="339"/>
        <v>3253.3670033670028</v>
      </c>
      <c r="AD426">
        <f t="shared" si="291"/>
        <v>80.505050505050505</v>
      </c>
      <c r="AE426">
        <f t="shared" si="292"/>
        <v>259.29335016835012</v>
      </c>
      <c r="AF426" s="94">
        <f t="shared" si="293"/>
        <v>1487.3396464646471</v>
      </c>
      <c r="AG426">
        <f t="shared" si="311"/>
        <v>0.67062251849295018</v>
      </c>
      <c r="AH426">
        <f t="shared" si="294"/>
        <v>207.56616966641766</v>
      </c>
      <c r="AI426">
        <f>HLOOKUP(AW426,'Real assumptions'!$A$21:$AK$24,2,TRUE)</f>
        <v>0</v>
      </c>
      <c r="AJ426" s="123">
        <f t="shared" si="340"/>
        <v>0</v>
      </c>
      <c r="AK426" s="122">
        <f>(1+HLOOKUP(YEAR(A426),'Real assumptions'!$A$21:$AK$24,2,TRUE)/100)^(1/12)-1</f>
        <v>0</v>
      </c>
      <c r="AL426">
        <f t="shared" si="313"/>
        <v>2.2121323998862565</v>
      </c>
      <c r="AM426">
        <f>('Real assumptions'!$B$33/12)*O425*AV425</f>
        <v>2.1548895468753675</v>
      </c>
      <c r="AN426">
        <f t="shared" si="295"/>
        <v>209.52659657487848</v>
      </c>
      <c r="AO426">
        <f t="shared" si="341"/>
        <v>0</v>
      </c>
      <c r="AP426" s="121">
        <f t="shared" si="296"/>
        <v>0</v>
      </c>
      <c r="AQ426">
        <f t="shared" si="297"/>
        <v>0</v>
      </c>
      <c r="AR426">
        <v>0</v>
      </c>
      <c r="AS426">
        <f t="shared" si="278"/>
        <v>0</v>
      </c>
      <c r="AT426">
        <f t="shared" si="298"/>
        <v>0</v>
      </c>
      <c r="AU426">
        <f>IFERROR(HLOOKUP(B426,'Real assumptions'!$B$43:$AL$44,2,TRUE)*($W$3/$U$2),0)</f>
        <v>0</v>
      </c>
      <c r="AV426">
        <f>AV425*(1+'Real assumptions'!$B$35)^(1/12)</f>
        <v>1.5350714695922356</v>
      </c>
      <c r="AW426">
        <f t="shared" si="279"/>
        <v>2053</v>
      </c>
      <c r="AX426">
        <f t="shared" si="314"/>
        <v>208.95761278807589</v>
      </c>
      <c r="AY426">
        <f t="shared" si="315"/>
        <v>0.59142484405598184</v>
      </c>
      <c r="AZ426">
        <f t="shared" si="280"/>
        <v>472.77973772075148</v>
      </c>
      <c r="BA426">
        <f t="shared" si="299"/>
        <v>3.2522694377492463</v>
      </c>
      <c r="BB426">
        <f t="shared" si="300"/>
        <v>64.416666666666657</v>
      </c>
      <c r="BC426">
        <f t="shared" si="281"/>
        <v>38.649999999999991</v>
      </c>
      <c r="BD426">
        <f t="shared" si="301"/>
        <v>0</v>
      </c>
      <c r="BE426">
        <f t="shared" si="282"/>
        <v>24</v>
      </c>
      <c r="BF426">
        <f t="shared" si="316"/>
        <v>5000</v>
      </c>
      <c r="BQ426" s="124"/>
      <c r="BT426" s="124"/>
      <c r="BU426"/>
      <c r="BW426" s="124"/>
      <c r="CD426" s="124"/>
      <c r="CG426" s="124"/>
      <c r="DB426" s="124"/>
      <c r="DC426" s="123"/>
      <c r="DN426" s="124"/>
      <c r="DW426" s="89"/>
      <c r="DX426" s="89"/>
      <c r="FD426"/>
      <c r="FE426"/>
    </row>
    <row r="427" spans="1:161" x14ac:dyDescent="0.25">
      <c r="A427" s="7">
        <f t="shared" si="302"/>
        <v>56096</v>
      </c>
      <c r="B427">
        <f t="shared" si="283"/>
        <v>416</v>
      </c>
      <c r="C427">
        <f t="shared" si="333"/>
        <v>34.583333333333336</v>
      </c>
      <c r="D427">
        <f t="shared" si="334"/>
        <v>0</v>
      </c>
      <c r="E427">
        <f t="shared" si="286"/>
        <v>86</v>
      </c>
      <c r="F427">
        <f>IF(C427&gt;=$T$2,0,VLOOKUP($E427,EKM_F05!$A$3:$C$128,2,TRUE))</f>
        <v>0.10371474358974359</v>
      </c>
      <c r="G427">
        <f>F427*'Real assumptions'!$B$3</f>
        <v>4.3280162499999997E-2</v>
      </c>
      <c r="H427">
        <f t="shared" si="335"/>
        <v>3.680267916789659E-3</v>
      </c>
      <c r="I427">
        <f t="shared" si="336"/>
        <v>5.1277548872205754E-4</v>
      </c>
      <c r="J427">
        <f>IF(B427&gt;$AJ$2,0,HLOOKUP(C427,'Real assumptions'!$B$5:$L$8,4,TRUE))</f>
        <v>3.7900000000000003E-2</v>
      </c>
      <c r="K427">
        <f t="shared" si="273"/>
        <v>1</v>
      </c>
      <c r="L427">
        <f t="shared" si="305"/>
        <v>8.3333333333333329E-2</v>
      </c>
      <c r="M427">
        <f t="shared" si="337"/>
        <v>3.2145624959929453E-3</v>
      </c>
      <c r="N427">
        <f t="shared" si="338"/>
        <v>4.477838167677533E-4</v>
      </c>
      <c r="O427" s="8">
        <f t="shared" si="287"/>
        <v>0.13859476698450388</v>
      </c>
      <c r="P427">
        <f t="shared" si="288"/>
        <v>3.3493278309598482</v>
      </c>
      <c r="Q427">
        <f t="shared" si="308"/>
        <v>2.5638774436102878</v>
      </c>
      <c r="R427" s="89">
        <f t="shared" si="274"/>
        <v>5000</v>
      </c>
      <c r="S427">
        <f t="shared" si="275"/>
        <v>0.3333333333333357</v>
      </c>
      <c r="U427">
        <f>O426*AV426*'Real assumptions'!$B$33/12+AX427*'Real assumptions'!$B$34</f>
        <v>2.1992965751636095</v>
      </c>
      <c r="V427">
        <f>IF(P427=0,0,IF(E427&lt;=$C$7,$AN$5*O426,0))*'Real assumptions'!$D$28</f>
        <v>0</v>
      </c>
      <c r="X427" s="94">
        <f t="shared" si="289"/>
        <v>0</v>
      </c>
      <c r="Y427">
        <f t="shared" si="276"/>
        <v>24</v>
      </c>
      <c r="Z427">
        <f t="shared" si="309"/>
        <v>64</v>
      </c>
      <c r="AA427">
        <f t="shared" si="277"/>
        <v>64.333333333333343</v>
      </c>
      <c r="AB427">
        <f t="shared" si="290"/>
        <v>50.505050505050505</v>
      </c>
      <c r="AC427">
        <f t="shared" si="339"/>
        <v>3249.1582491582494</v>
      </c>
      <c r="AD427">
        <f t="shared" si="291"/>
        <v>80.505050505050505</v>
      </c>
      <c r="AE427">
        <f t="shared" si="292"/>
        <v>258.95791245791247</v>
      </c>
      <c r="AF427" s="94">
        <f t="shared" si="293"/>
        <v>1491.8838383838381</v>
      </c>
      <c r="AG427">
        <f t="shared" si="311"/>
        <v>0.66804143932564108</v>
      </c>
      <c r="AH427">
        <f t="shared" si="294"/>
        <v>206.76729294875528</v>
      </c>
      <c r="AI427">
        <f>HLOOKUP(AW427,'Real assumptions'!$A$21:$AK$24,2,TRUE)</f>
        <v>0</v>
      </c>
      <c r="AJ427" s="123">
        <f t="shared" si="340"/>
        <v>0</v>
      </c>
      <c r="AK427" s="122">
        <f>(1+HLOOKUP(YEAR(A427),'Real assumptions'!$A$21:$AK$24,2,TRUE)/100)^(1/12)-1</f>
        <v>0</v>
      </c>
      <c r="AL427">
        <f t="shared" si="313"/>
        <v>2.1992965751636095</v>
      </c>
      <c r="AM427">
        <f>('Real assumptions'!$B$33/12)*O426*AV426</f>
        <v>2.1422739981740455</v>
      </c>
      <c r="AN427">
        <f t="shared" si="295"/>
        <v>208.71620092221391</v>
      </c>
      <c r="AO427">
        <f t="shared" si="341"/>
        <v>0</v>
      </c>
      <c r="AP427" s="121">
        <f t="shared" si="296"/>
        <v>0</v>
      </c>
      <c r="AQ427">
        <f t="shared" si="297"/>
        <v>0</v>
      </c>
      <c r="AR427">
        <v>0</v>
      </c>
      <c r="AS427">
        <f t="shared" si="278"/>
        <v>0</v>
      </c>
      <c r="AT427">
        <f t="shared" si="298"/>
        <v>0</v>
      </c>
      <c r="AU427">
        <f>IFERROR(HLOOKUP(B427,'Real assumptions'!$B$43:$AL$44,2,TRUE)*($W$3/$U$2),0)</f>
        <v>0</v>
      </c>
      <c r="AV427">
        <f>AV426*(1+'Real assumptions'!$B$35)^(1/12)</f>
        <v>1.536661413749143</v>
      </c>
      <c r="AW427">
        <f t="shared" si="279"/>
        <v>2053</v>
      </c>
      <c r="AX427">
        <f t="shared" si="314"/>
        <v>208.15352373329475</v>
      </c>
      <c r="AY427">
        <f t="shared" si="315"/>
        <v>0.5873540668770777</v>
      </c>
      <c r="AZ427">
        <f t="shared" si="280"/>
        <v>470.69785009361181</v>
      </c>
      <c r="BA427">
        <f t="shared" si="299"/>
        <v>3.2319188829359291</v>
      </c>
      <c r="BB427">
        <f t="shared" si="300"/>
        <v>64.333333333333343</v>
      </c>
      <c r="BC427">
        <f t="shared" si="281"/>
        <v>38.600000000000009</v>
      </c>
      <c r="BD427">
        <f t="shared" si="301"/>
        <v>0</v>
      </c>
      <c r="BE427">
        <f t="shared" si="282"/>
        <v>24</v>
      </c>
      <c r="BF427">
        <f t="shared" si="316"/>
        <v>5000</v>
      </c>
      <c r="BQ427" s="124"/>
      <c r="BT427" s="124"/>
      <c r="BU427"/>
      <c r="BW427" s="124"/>
      <c r="CD427" s="124"/>
      <c r="CG427" s="124"/>
      <c r="DB427" s="124"/>
      <c r="DC427" s="123"/>
      <c r="DN427" s="124"/>
      <c r="DW427" s="89"/>
      <c r="DX427" s="89"/>
      <c r="FD427"/>
      <c r="FE427"/>
    </row>
    <row r="428" spans="1:161" x14ac:dyDescent="0.25">
      <c r="A428" s="7">
        <f t="shared" si="302"/>
        <v>56127</v>
      </c>
      <c r="B428">
        <f t="shared" si="283"/>
        <v>417</v>
      </c>
      <c r="C428">
        <f t="shared" si="333"/>
        <v>34.666666666666664</v>
      </c>
      <c r="D428">
        <f t="shared" si="334"/>
        <v>0</v>
      </c>
      <c r="E428">
        <f t="shared" si="286"/>
        <v>86</v>
      </c>
      <c r="F428">
        <f>IF(C428&gt;=$T$2,0,VLOOKUP($E428,EKM_F05!$A$3:$C$128,2,TRUE))</f>
        <v>0.10371474358974359</v>
      </c>
      <c r="G428">
        <f>F428*'Real assumptions'!$B$3</f>
        <v>4.3280162499999997E-2</v>
      </c>
      <c r="H428">
        <f t="shared" si="335"/>
        <v>3.680267916789659E-3</v>
      </c>
      <c r="I428">
        <f t="shared" si="336"/>
        <v>5.0924605505289365E-4</v>
      </c>
      <c r="J428">
        <f>IF(B428&gt;$AJ$2,0,HLOOKUP(C428,'Real assumptions'!$B$5:$L$8,4,TRUE))</f>
        <v>3.7900000000000003E-2</v>
      </c>
      <c r="K428">
        <f t="shared" si="273"/>
        <v>1</v>
      </c>
      <c r="L428">
        <f t="shared" si="305"/>
        <v>8.3333333333333329E-2</v>
      </c>
      <c r="M428">
        <f t="shared" si="337"/>
        <v>3.2145624959929453E-3</v>
      </c>
      <c r="N428">
        <f t="shared" si="338"/>
        <v>4.4470172077415275E-4</v>
      </c>
      <c r="O428" s="8">
        <f t="shared" si="287"/>
        <v>0.13764081920867682</v>
      </c>
      <c r="P428">
        <f t="shared" si="288"/>
        <v>3.3262744076280928</v>
      </c>
      <c r="Q428">
        <f t="shared" si="308"/>
        <v>2.5462302752644681</v>
      </c>
      <c r="R428" s="89">
        <f t="shared" si="274"/>
        <v>5000</v>
      </c>
      <c r="S428">
        <f t="shared" si="275"/>
        <v>0.25</v>
      </c>
      <c r="U428">
        <f>O427*AV427*'Real assumptions'!$B$33/12+AX428*'Real assumptions'!$B$34</f>
        <v>2.1865349270947685</v>
      </c>
      <c r="V428">
        <f>IF(P428=0,0,IF(E428&lt;=$C$7,$AN$5*O427,0))*'Real assumptions'!$D$28</f>
        <v>0</v>
      </c>
      <c r="X428" s="94">
        <f t="shared" si="289"/>
        <v>0</v>
      </c>
      <c r="Y428">
        <f t="shared" si="276"/>
        <v>24</v>
      </c>
      <c r="Z428">
        <f t="shared" si="309"/>
        <v>64</v>
      </c>
      <c r="AA428">
        <f t="shared" si="277"/>
        <v>64.25</v>
      </c>
      <c r="AB428">
        <f t="shared" si="290"/>
        <v>50.505050505050505</v>
      </c>
      <c r="AC428">
        <f t="shared" si="339"/>
        <v>3244.9494949494951</v>
      </c>
      <c r="AD428">
        <f t="shared" si="291"/>
        <v>80.505050505050505</v>
      </c>
      <c r="AE428">
        <f t="shared" si="292"/>
        <v>258.62247474747471</v>
      </c>
      <c r="AF428" s="94">
        <f t="shared" si="293"/>
        <v>1496.42803030303</v>
      </c>
      <c r="AG428">
        <f t="shared" si="311"/>
        <v>0.66546412009043343</v>
      </c>
      <c r="AH428">
        <f t="shared" si="294"/>
        <v>205.96957997773572</v>
      </c>
      <c r="AI428">
        <f>HLOOKUP(AW428,'Real assumptions'!$A$21:$AK$24,2,TRUE)</f>
        <v>0</v>
      </c>
      <c r="AJ428" s="123">
        <f t="shared" si="340"/>
        <v>0</v>
      </c>
      <c r="AK428" s="122">
        <f>(1+HLOOKUP(YEAR(A428),'Real assumptions'!$A$21:$AK$24,2,TRUE)/100)^(1/12)-1</f>
        <v>0</v>
      </c>
      <c r="AL428">
        <f t="shared" si="313"/>
        <v>2.1865349270947685</v>
      </c>
      <c r="AM428">
        <f>('Real assumptions'!$B$33/12)*O427*AV427</f>
        <v>2.1297323057264079</v>
      </c>
      <c r="AN428">
        <f t="shared" si="295"/>
        <v>207.90703242928862</v>
      </c>
      <c r="AO428">
        <f t="shared" si="341"/>
        <v>0</v>
      </c>
      <c r="AP428" s="121">
        <f t="shared" si="296"/>
        <v>0</v>
      </c>
      <c r="AQ428">
        <f t="shared" si="297"/>
        <v>0</v>
      </c>
      <c r="AR428">
        <v>0</v>
      </c>
      <c r="AS428">
        <f t="shared" si="278"/>
        <v>0</v>
      </c>
      <c r="AT428">
        <f t="shared" si="298"/>
        <v>0</v>
      </c>
      <c r="AU428">
        <f>IFERROR(HLOOKUP(B428,'Real assumptions'!$B$43:$AL$44,2,TRUE)*($W$3/$U$2),0)</f>
        <v>0</v>
      </c>
      <c r="AV428">
        <f>AV427*(1+'Real assumptions'!$B$35)^(1/12)</f>
        <v>1.5382530046843743</v>
      </c>
      <c r="AW428">
        <f t="shared" si="279"/>
        <v>2053</v>
      </c>
      <c r="AX428">
        <f t="shared" si="314"/>
        <v>207.35060425761262</v>
      </c>
      <c r="AY428">
        <f t="shared" si="315"/>
        <v>0.58331130885733951</v>
      </c>
      <c r="AZ428">
        <f t="shared" si="280"/>
        <v>468.62589517879019</v>
      </c>
      <c r="BA428">
        <f t="shared" si="299"/>
        <v>3.2116943953549013</v>
      </c>
      <c r="BB428">
        <f t="shared" si="300"/>
        <v>64.25</v>
      </c>
      <c r="BC428">
        <f t="shared" si="281"/>
        <v>38.549999999999997</v>
      </c>
      <c r="BD428">
        <f t="shared" si="301"/>
        <v>0</v>
      </c>
      <c r="BE428">
        <f t="shared" si="282"/>
        <v>24</v>
      </c>
      <c r="BF428">
        <f t="shared" si="316"/>
        <v>5000</v>
      </c>
      <c r="BQ428" s="124"/>
      <c r="BT428" s="124"/>
      <c r="BU428"/>
      <c r="BW428" s="124"/>
      <c r="CD428" s="124"/>
      <c r="CG428" s="124"/>
      <c r="DB428" s="124"/>
      <c r="DC428" s="123"/>
      <c r="DN428" s="124"/>
      <c r="DW428" s="89"/>
      <c r="DX428" s="89"/>
      <c r="FD428"/>
      <c r="FE428"/>
    </row>
    <row r="429" spans="1:161" x14ac:dyDescent="0.25">
      <c r="A429" s="7">
        <f t="shared" si="302"/>
        <v>56157</v>
      </c>
      <c r="B429">
        <f t="shared" si="283"/>
        <v>418</v>
      </c>
      <c r="C429">
        <f t="shared" si="333"/>
        <v>34.75</v>
      </c>
      <c r="D429">
        <f t="shared" si="334"/>
        <v>0</v>
      </c>
      <c r="E429">
        <f t="shared" si="286"/>
        <v>86</v>
      </c>
      <c r="F429">
        <f>IF(C429&gt;=$T$2,0,VLOOKUP($E429,EKM_F05!$A$3:$C$128,2,TRUE))</f>
        <v>0.10371474358974359</v>
      </c>
      <c r="G429">
        <f>F429*'Real assumptions'!$B$3</f>
        <v>4.3280162499999997E-2</v>
      </c>
      <c r="H429">
        <f t="shared" si="335"/>
        <v>3.680267916789659E-3</v>
      </c>
      <c r="I429">
        <f t="shared" si="336"/>
        <v>5.0574091447553899E-4</v>
      </c>
      <c r="J429">
        <f>IF(B429&gt;$AJ$2,0,HLOOKUP(C429,'Real assumptions'!$B$5:$L$8,4,TRUE))</f>
        <v>3.7900000000000003E-2</v>
      </c>
      <c r="K429">
        <f t="shared" si="273"/>
        <v>1</v>
      </c>
      <c r="L429">
        <f t="shared" si="305"/>
        <v>8.3333333333333329E-2</v>
      </c>
      <c r="M429">
        <f t="shared" si="337"/>
        <v>3.2145624959929453E-3</v>
      </c>
      <c r="N429">
        <f t="shared" si="338"/>
        <v>4.4164083884715768E-4</v>
      </c>
      <c r="O429" s="8">
        <f t="shared" si="287"/>
        <v>0.13669343745535414</v>
      </c>
      <c r="P429">
        <f t="shared" si="288"/>
        <v>3.3033796610082438</v>
      </c>
      <c r="Q429">
        <f t="shared" si="308"/>
        <v>2.5287045723776949</v>
      </c>
      <c r="R429" s="89">
        <f t="shared" si="274"/>
        <v>5000</v>
      </c>
      <c r="S429">
        <f t="shared" si="275"/>
        <v>0.1666666666666643</v>
      </c>
      <c r="U429">
        <f>O428*AV428*'Real assumptions'!$B$33/12+AX429*'Real assumptions'!$B$34</f>
        <v>2.1738470293220367</v>
      </c>
      <c r="V429">
        <f>IF(P429=0,0,IF(E429&lt;=$C$7,$AN$5*O428,0))*'Real assumptions'!$D$28</f>
        <v>0</v>
      </c>
      <c r="X429" s="94">
        <f t="shared" si="289"/>
        <v>0</v>
      </c>
      <c r="Y429">
        <f t="shared" si="276"/>
        <v>24</v>
      </c>
      <c r="Z429">
        <f t="shared" si="309"/>
        <v>64</v>
      </c>
      <c r="AA429">
        <f t="shared" si="277"/>
        <v>64.166666666666657</v>
      </c>
      <c r="AB429">
        <f t="shared" si="290"/>
        <v>50.505050505050505</v>
      </c>
      <c r="AC429">
        <f t="shared" si="339"/>
        <v>3240.7407407407404</v>
      </c>
      <c r="AD429">
        <f t="shared" si="291"/>
        <v>80.505050505050505</v>
      </c>
      <c r="AE429">
        <f t="shared" si="292"/>
        <v>258.28703703703701</v>
      </c>
      <c r="AF429" s="94">
        <f t="shared" si="293"/>
        <v>1500.9722222222226</v>
      </c>
      <c r="AG429">
        <f t="shared" si="311"/>
        <v>0.66289063130850479</v>
      </c>
      <c r="AH429">
        <f t="shared" si="294"/>
        <v>205.17305258055731</v>
      </c>
      <c r="AI429">
        <f>HLOOKUP(AW429,'Real assumptions'!$A$21:$AK$24,2,TRUE)</f>
        <v>0</v>
      </c>
      <c r="AJ429" s="123">
        <f t="shared" si="340"/>
        <v>0</v>
      </c>
      <c r="AK429" s="122">
        <f>(1+HLOOKUP(YEAR(A429),'Real assumptions'!$A$21:$AK$24,2,TRUE)/100)^(1/12)-1</f>
        <v>0</v>
      </c>
      <c r="AL429">
        <f t="shared" si="313"/>
        <v>2.1738470293220367</v>
      </c>
      <c r="AM429">
        <f>('Real assumptions'!$B$33/12)*O428*AV428</f>
        <v>2.1172640371496589</v>
      </c>
      <c r="AN429">
        <f t="shared" si="295"/>
        <v>207.09911260942192</v>
      </c>
      <c r="AO429">
        <f t="shared" si="341"/>
        <v>0</v>
      </c>
      <c r="AP429" s="121">
        <f t="shared" si="296"/>
        <v>0</v>
      </c>
      <c r="AQ429">
        <f t="shared" si="297"/>
        <v>0</v>
      </c>
      <c r="AR429">
        <v>0</v>
      </c>
      <c r="AS429">
        <f t="shared" si="278"/>
        <v>0</v>
      </c>
      <c r="AT429">
        <f t="shared" si="298"/>
        <v>0</v>
      </c>
      <c r="AU429">
        <f>IFERROR(HLOOKUP(B429,'Real assumptions'!$B$43:$AL$44,2,TRUE)*($W$3/$U$2),0)</f>
        <v>0</v>
      </c>
      <c r="AV429">
        <f>AV428*(1+'Real assumptions'!$B$35)^(1/12)</f>
        <v>1.5398462441035738</v>
      </c>
      <c r="AW429">
        <f t="shared" si="279"/>
        <v>2053</v>
      </c>
      <c r="AX429">
        <f t="shared" si="314"/>
        <v>206.54887635487663</v>
      </c>
      <c r="AY429">
        <f t="shared" si="315"/>
        <v>0.57929637714089566</v>
      </c>
      <c r="AZ429">
        <f t="shared" si="280"/>
        <v>466.56383260679024</v>
      </c>
      <c r="BA429">
        <f t="shared" si="299"/>
        <v>3.1915952036861999</v>
      </c>
      <c r="BB429">
        <f t="shared" si="300"/>
        <v>64.166666666666657</v>
      </c>
      <c r="BC429">
        <f t="shared" si="281"/>
        <v>38.499999999999993</v>
      </c>
      <c r="BD429">
        <f t="shared" si="301"/>
        <v>0</v>
      </c>
      <c r="BE429">
        <f t="shared" si="282"/>
        <v>24</v>
      </c>
      <c r="BF429">
        <f t="shared" si="316"/>
        <v>5000</v>
      </c>
      <c r="BQ429" s="124"/>
      <c r="BT429" s="124"/>
      <c r="BU429"/>
      <c r="BW429" s="124"/>
      <c r="CD429" s="124"/>
      <c r="CG429" s="124"/>
      <c r="DB429" s="124"/>
      <c r="DC429" s="123"/>
      <c r="DN429" s="124"/>
      <c r="DW429" s="89"/>
      <c r="DX429" s="89"/>
      <c r="FD429"/>
      <c r="FE429"/>
    </row>
    <row r="430" spans="1:161" x14ac:dyDescent="0.25">
      <c r="A430" s="7">
        <f t="shared" si="302"/>
        <v>56188</v>
      </c>
      <c r="B430">
        <f t="shared" si="283"/>
        <v>419</v>
      </c>
      <c r="C430">
        <f t="shared" si="333"/>
        <v>34.833333333333336</v>
      </c>
      <c r="D430">
        <f t="shared" si="334"/>
        <v>0</v>
      </c>
      <c r="E430">
        <f t="shared" si="286"/>
        <v>86</v>
      </c>
      <c r="F430">
        <f>IF(C430&gt;=$T$2,0,VLOOKUP($E430,EKM_F05!$A$3:$C$128,2,TRUE))</f>
        <v>0.10371474358974359</v>
      </c>
      <c r="G430">
        <f>F430*'Real assumptions'!$B$3</f>
        <v>4.3280162499999997E-2</v>
      </c>
      <c r="H430">
        <f t="shared" si="335"/>
        <v>3.680267916789659E-3</v>
      </c>
      <c r="I430">
        <f t="shared" si="336"/>
        <v>5.0225989978064346E-4</v>
      </c>
      <c r="J430">
        <f>IF(B430&gt;$AJ$2,0,HLOOKUP(C430,'Real assumptions'!$B$5:$L$8,4,TRUE))</f>
        <v>3.7900000000000003E-2</v>
      </c>
      <c r="K430">
        <f t="shared" si="273"/>
        <v>1</v>
      </c>
      <c r="L430">
        <f t="shared" si="305"/>
        <v>8.3333333333333329E-2</v>
      </c>
      <c r="M430">
        <f t="shared" si="337"/>
        <v>3.2145624959929453E-3</v>
      </c>
      <c r="N430">
        <f t="shared" si="338"/>
        <v>4.3860102497034849E-4</v>
      </c>
      <c r="O430" s="8">
        <f t="shared" si="287"/>
        <v>0.13575257653060316</v>
      </c>
      <c r="P430">
        <f t="shared" si="288"/>
        <v>3.2806424989284997</v>
      </c>
      <c r="Q430">
        <f t="shared" si="308"/>
        <v>2.5112994989032171</v>
      </c>
      <c r="R430" s="89">
        <f t="shared" si="274"/>
        <v>5000</v>
      </c>
      <c r="S430">
        <f t="shared" si="275"/>
        <v>8.3333333333335702E-2</v>
      </c>
      <c r="U430">
        <f>O429*AV429*'Real assumptions'!$B$33/12+AX430*'Real assumptions'!$B$34</f>
        <v>2.161232457920935</v>
      </c>
      <c r="V430">
        <f>IF(P430=0,0,IF(E430&lt;=$C$7,$AN$5*O429,0))*'Real assumptions'!$D$28</f>
        <v>0</v>
      </c>
      <c r="X430" s="94">
        <f t="shared" si="289"/>
        <v>0</v>
      </c>
      <c r="Y430">
        <f t="shared" si="276"/>
        <v>24</v>
      </c>
      <c r="Z430">
        <f t="shared" si="309"/>
        <v>64</v>
      </c>
      <c r="AA430">
        <f t="shared" si="277"/>
        <v>64.083333333333343</v>
      </c>
      <c r="AB430">
        <f t="shared" si="290"/>
        <v>50.505050505050505</v>
      </c>
      <c r="AC430">
        <f t="shared" si="339"/>
        <v>3236.5319865319871</v>
      </c>
      <c r="AD430">
        <f t="shared" si="291"/>
        <v>80.505050505050505</v>
      </c>
      <c r="AE430">
        <f t="shared" si="292"/>
        <v>257.95159932659936</v>
      </c>
      <c r="AF430" s="94">
        <f t="shared" si="293"/>
        <v>1505.5164141414136</v>
      </c>
      <c r="AG430">
        <f t="shared" si="311"/>
        <v>0.66032104235210765</v>
      </c>
      <c r="AH430">
        <f t="shared" si="294"/>
        <v>204.37773222881148</v>
      </c>
      <c r="AI430">
        <f>HLOOKUP(AW430,'Real assumptions'!$A$21:$AK$24,2,TRUE)</f>
        <v>0</v>
      </c>
      <c r="AJ430" s="123">
        <f t="shared" si="340"/>
        <v>0</v>
      </c>
      <c r="AK430" s="122">
        <f>(1+HLOOKUP(YEAR(A430),'Real assumptions'!$A$21:$AK$24,2,TRUE)/100)^(1/12)-1</f>
        <v>0</v>
      </c>
      <c r="AL430">
        <f t="shared" si="313"/>
        <v>2.161232457920935</v>
      </c>
      <c r="AM430">
        <f>('Real assumptions'!$B$33/12)*O429*AV429</f>
        <v>2.1048687625923383</v>
      </c>
      <c r="AN430">
        <f t="shared" si="295"/>
        <v>206.29246262156488</v>
      </c>
      <c r="AO430">
        <f t="shared" si="341"/>
        <v>0</v>
      </c>
      <c r="AP430" s="121">
        <f t="shared" si="296"/>
        <v>0</v>
      </c>
      <c r="AQ430">
        <f t="shared" si="297"/>
        <v>0</v>
      </c>
      <c r="AR430">
        <v>0</v>
      </c>
      <c r="AS430">
        <f t="shared" si="278"/>
        <v>0</v>
      </c>
      <c r="AT430">
        <f t="shared" si="298"/>
        <v>0</v>
      </c>
      <c r="AU430">
        <f>IFERROR(HLOOKUP(B430,'Real assumptions'!$B$43:$AL$44,2,TRUE)*($W$3/$U$2),0)</f>
        <v>0</v>
      </c>
      <c r="AV430">
        <f>AV429*(1+'Real assumptions'!$B$35)^(1/12)</f>
        <v>1.5414411337141523</v>
      </c>
      <c r="AW430">
        <f t="shared" si="279"/>
        <v>2053</v>
      </c>
      <c r="AX430">
        <f t="shared" si="314"/>
        <v>205.74836166075661</v>
      </c>
      <c r="AY430">
        <f t="shared" si="315"/>
        <v>0.57530908019930194</v>
      </c>
      <c r="AZ430">
        <f t="shared" si="280"/>
        <v>464.51162210654246</v>
      </c>
      <c r="BA430">
        <f t="shared" si="299"/>
        <v>3.1716205412553249</v>
      </c>
      <c r="BB430">
        <f t="shared" si="300"/>
        <v>64.083333333333343</v>
      </c>
      <c r="BC430">
        <f t="shared" si="281"/>
        <v>38.450000000000003</v>
      </c>
      <c r="BD430">
        <f t="shared" si="301"/>
        <v>0</v>
      </c>
      <c r="BE430">
        <f t="shared" si="282"/>
        <v>24</v>
      </c>
      <c r="BF430">
        <f t="shared" si="316"/>
        <v>5000</v>
      </c>
      <c r="BQ430" s="124"/>
      <c r="BT430" s="124"/>
      <c r="BU430"/>
      <c r="BW430" s="124"/>
      <c r="CD430" s="124"/>
      <c r="CG430" s="124"/>
      <c r="DB430" s="124"/>
      <c r="DC430" s="123"/>
      <c r="DN430" s="124"/>
      <c r="DW430" s="89"/>
      <c r="DX430" s="89"/>
      <c r="FD430"/>
      <c r="FE430"/>
    </row>
    <row r="431" spans="1:161" x14ac:dyDescent="0.25">
      <c r="A431" s="7">
        <f t="shared" si="302"/>
        <v>56218</v>
      </c>
      <c r="B431">
        <f t="shared" si="283"/>
        <v>420</v>
      </c>
      <c r="C431">
        <f t="shared" si="333"/>
        <v>34.916666666666664</v>
      </c>
      <c r="D431">
        <f t="shared" si="334"/>
        <v>0</v>
      </c>
      <c r="E431">
        <f t="shared" si="286"/>
        <v>86</v>
      </c>
      <c r="F431">
        <f>IF(C431&gt;=$T$2,0,VLOOKUP($E431,EKM_F05!$A$3:$C$128,2,TRUE))</f>
        <v>0.10371474358974359</v>
      </c>
      <c r="G431">
        <f>F431*'Real assumptions'!$B$3</f>
        <v>4.3280162499999997E-2</v>
      </c>
      <c r="H431">
        <f t="shared" si="335"/>
        <v>3.680267916789659E-3</v>
      </c>
      <c r="I431">
        <f t="shared" si="336"/>
        <v>4.9880284490975914E-4</v>
      </c>
      <c r="J431">
        <f>IF(B431&gt;$AJ$2,0,HLOOKUP(C431,'Real assumptions'!$B$5:$L$8,4,TRUE))</f>
        <v>3.7900000000000003E-2</v>
      </c>
      <c r="K431">
        <f t="shared" si="273"/>
        <v>1</v>
      </c>
      <c r="L431">
        <f t="shared" si="305"/>
        <v>8.3333333333333329E-2</v>
      </c>
      <c r="M431">
        <f t="shared" si="337"/>
        <v>3.2145624959929453E-3</v>
      </c>
      <c r="N431">
        <f t="shared" si="338"/>
        <v>4.3558213413233648E-4</v>
      </c>
      <c r="O431" s="8">
        <f t="shared" si="287"/>
        <v>0.13481819155156108</v>
      </c>
      <c r="P431">
        <f t="shared" si="288"/>
        <v>3.258061836734476</v>
      </c>
      <c r="Q431">
        <f t="shared" si="308"/>
        <v>2.4940142245487955</v>
      </c>
      <c r="R431" s="89">
        <f t="shared" si="274"/>
        <v>5000</v>
      </c>
      <c r="S431">
        <f t="shared" si="275"/>
        <v>1</v>
      </c>
      <c r="U431">
        <f>O430*AV430*'Real assumptions'!$B$33/12+AX431*'Real assumptions'!$B$34</f>
        <v>2.148690791386441</v>
      </c>
      <c r="V431">
        <f>IF(P431=0,0,IF(E431&lt;=$C$7,$AN$5*O430,0))*'Real assumptions'!$D$28</f>
        <v>0</v>
      </c>
      <c r="X431" s="94">
        <f t="shared" si="289"/>
        <v>0</v>
      </c>
      <c r="Y431">
        <f t="shared" si="276"/>
        <v>24</v>
      </c>
      <c r="Z431">
        <f t="shared" si="309"/>
        <v>64</v>
      </c>
      <c r="AA431">
        <f t="shared" si="277"/>
        <v>64</v>
      </c>
      <c r="AB431">
        <f t="shared" si="290"/>
        <v>50.505050505050505</v>
      </c>
      <c r="AC431">
        <f t="shared" si="339"/>
        <v>3232.3232323232323</v>
      </c>
      <c r="AD431">
        <f t="shared" si="291"/>
        <v>80.505050505050505</v>
      </c>
      <c r="AE431">
        <f t="shared" si="292"/>
        <v>257.61616161616161</v>
      </c>
      <c r="AF431" s="94">
        <f t="shared" si="293"/>
        <v>1510.060606060606</v>
      </c>
      <c r="AG431">
        <f t="shared" si="311"/>
        <v>0.65775542145704824</v>
      </c>
      <c r="AH431">
        <f t="shared" si="294"/>
        <v>203.58364004234519</v>
      </c>
      <c r="AI431">
        <f>HLOOKUP(AW431,'Real assumptions'!$A$21:$AK$24,2,TRUE)</f>
        <v>0</v>
      </c>
      <c r="AJ431" s="123">
        <f t="shared" si="340"/>
        <v>0</v>
      </c>
      <c r="AK431" s="122">
        <f>(1+HLOOKUP(YEAR(A431),'Real assumptions'!$A$21:$AK$24,2,TRUE)/100)^(1/12)-1</f>
        <v>0</v>
      </c>
      <c r="AL431">
        <f t="shared" si="313"/>
        <v>2.148690791386441</v>
      </c>
      <c r="AM431">
        <f>('Real assumptions'!$B$33/12)*O430*AV430</f>
        <v>2.0925460547195014</v>
      </c>
      <c r="AN431">
        <f t="shared" si="295"/>
        <v>205.48710327415952</v>
      </c>
      <c r="AO431">
        <f t="shared" si="341"/>
        <v>0</v>
      </c>
      <c r="AP431" s="121">
        <f t="shared" si="296"/>
        <v>0</v>
      </c>
      <c r="AQ431">
        <f t="shared" si="297"/>
        <v>0</v>
      </c>
      <c r="AR431">
        <v>0</v>
      </c>
      <c r="AS431">
        <f t="shared" si="278"/>
        <v>0</v>
      </c>
      <c r="AT431">
        <f t="shared" si="298"/>
        <v>0</v>
      </c>
      <c r="AU431">
        <f>IFERROR(HLOOKUP(B431,'Real assumptions'!$B$43:$AL$44,2,TRUE)*($W$3/$U$2),0)</f>
        <v>0</v>
      </c>
      <c r="AV431">
        <f>AV430*(1+'Real assumptions'!$B$35)^(1/12)</f>
        <v>1.5430376752252888</v>
      </c>
      <c r="AW431">
        <f t="shared" si="279"/>
        <v>2053</v>
      </c>
      <c r="AX431">
        <f t="shared" si="314"/>
        <v>204.94908145663388</v>
      </c>
      <c r="AY431">
        <f t="shared" si="315"/>
        <v>0.57134922782240383</v>
      </c>
      <c r="AZ431">
        <f t="shared" si="280"/>
        <v>462.46922350588466</v>
      </c>
      <c r="BA431">
        <f t="shared" si="299"/>
        <v>3.1517696460058438</v>
      </c>
      <c r="BB431">
        <f t="shared" si="300"/>
        <v>64</v>
      </c>
      <c r="BC431">
        <f t="shared" si="281"/>
        <v>38.4</v>
      </c>
      <c r="BD431">
        <f t="shared" si="301"/>
        <v>0</v>
      </c>
      <c r="BE431">
        <f t="shared" si="282"/>
        <v>24</v>
      </c>
      <c r="BF431">
        <f t="shared" si="316"/>
        <v>5000</v>
      </c>
      <c r="BQ431" s="124"/>
      <c r="BT431" s="124"/>
      <c r="BU431"/>
      <c r="BW431" s="124"/>
      <c r="CD431" s="124"/>
      <c r="CG431" s="124"/>
      <c r="DB431" s="124"/>
      <c r="DC431" s="123"/>
      <c r="DN431" s="124"/>
      <c r="DW431" s="89"/>
      <c r="DX431" s="89"/>
      <c r="FD431"/>
      <c r="FE431"/>
    </row>
    <row r="432" spans="1:161" x14ac:dyDescent="0.25">
      <c r="A432" s="7">
        <f t="shared" si="302"/>
        <v>56249</v>
      </c>
      <c r="B432">
        <f t="shared" si="283"/>
        <v>421</v>
      </c>
      <c r="C432">
        <f t="shared" si="333"/>
        <v>35</v>
      </c>
      <c r="D432">
        <f t="shared" si="334"/>
        <v>1</v>
      </c>
      <c r="E432">
        <f t="shared" si="286"/>
        <v>87</v>
      </c>
      <c r="F432">
        <f>IF(C432&gt;=$T$2,0,VLOOKUP($E432,EKM_F05!$A$3:$C$128,2,TRUE))</f>
        <v>0.11373346153846153</v>
      </c>
      <c r="G432">
        <f>F432*'Real assumptions'!$B$3</f>
        <v>4.7460973499999996E-2</v>
      </c>
      <c r="H432">
        <f t="shared" si="335"/>
        <v>4.0438183338742384E-3</v>
      </c>
      <c r="I432">
        <f t="shared" si="336"/>
        <v>5.4430401670361095E-4</v>
      </c>
      <c r="J432">
        <f>IF(B432&gt;$AJ$2,0,HLOOKUP(C432,'Real assumptions'!$B$5:$L$8,4,TRUE))</f>
        <v>3.7900000000000003E-2</v>
      </c>
      <c r="K432">
        <f t="shared" si="273"/>
        <v>1</v>
      </c>
      <c r="L432">
        <f t="shared" si="305"/>
        <v>8.3333333333333329E-2</v>
      </c>
      <c r="M432">
        <f t="shared" si="337"/>
        <v>3.2145624959929453E-3</v>
      </c>
      <c r="N432">
        <f t="shared" si="338"/>
        <v>4.3250524430688052E-4</v>
      </c>
      <c r="O432" s="8">
        <f t="shared" si="287"/>
        <v>0.13384138229055059</v>
      </c>
      <c r="P432">
        <f t="shared" si="288"/>
        <v>3.2356365972374661</v>
      </c>
      <c r="Q432">
        <f t="shared" si="308"/>
        <v>2.7215200835180546</v>
      </c>
      <c r="R432" s="89">
        <f t="shared" si="274"/>
        <v>5000</v>
      </c>
      <c r="S432">
        <f t="shared" si="275"/>
        <v>0.9166666666666643</v>
      </c>
      <c r="U432">
        <f>O431*AV431*'Real assumptions'!$B$33/12+AX432*'Real assumptions'!$B$34</f>
        <v>2.1362216106193159</v>
      </c>
      <c r="V432">
        <f>IF(P432=0,0,IF(E432&lt;=$C$7,$AN$5*O431,0))*'Real assumptions'!$D$28</f>
        <v>0</v>
      </c>
      <c r="X432" s="94">
        <f t="shared" si="289"/>
        <v>0</v>
      </c>
      <c r="Y432">
        <f t="shared" si="276"/>
        <v>24</v>
      </c>
      <c r="Z432">
        <f t="shared" si="309"/>
        <v>64</v>
      </c>
      <c r="AA432">
        <f t="shared" si="277"/>
        <v>63.916666666666664</v>
      </c>
      <c r="AB432">
        <f t="shared" si="290"/>
        <v>50.505050505050505</v>
      </c>
      <c r="AC432">
        <f t="shared" si="339"/>
        <v>3228.1144781144781</v>
      </c>
      <c r="AD432">
        <f t="shared" si="291"/>
        <v>80.505050505050505</v>
      </c>
      <c r="AE432">
        <f t="shared" si="292"/>
        <v>257.2807239057239</v>
      </c>
      <c r="AF432" s="94">
        <f t="shared" si="293"/>
        <v>1514.6047979797981</v>
      </c>
      <c r="AG432">
        <f t="shared" si="311"/>
        <v>0.65507451817862605</v>
      </c>
      <c r="AH432">
        <f t="shared" si="294"/>
        <v>202.71679978551632</v>
      </c>
      <c r="AI432">
        <f>HLOOKUP(AW432,'Real assumptions'!$A$21:$AK$24,2,TRUE)</f>
        <v>0</v>
      </c>
      <c r="AJ432" s="123">
        <f t="shared" si="340"/>
        <v>0</v>
      </c>
      <c r="AK432" s="122">
        <f>(1+HLOOKUP(YEAR(A432),'Real assumptions'!$A$21:$AK$24,2,TRUE)/100)^(1/12)-1</f>
        <v>0</v>
      </c>
      <c r="AL432">
        <f t="shared" si="313"/>
        <v>2.1362216106193159</v>
      </c>
      <c r="AM432">
        <f>('Real assumptions'!$B$33/12)*O431*AV431</f>
        <v>2.0802954886979848</v>
      </c>
      <c r="AN432">
        <f t="shared" si="295"/>
        <v>204.68305502896334</v>
      </c>
      <c r="AO432">
        <f t="shared" si="341"/>
        <v>0</v>
      </c>
      <c r="AP432" s="121">
        <f t="shared" si="296"/>
        <v>0</v>
      </c>
      <c r="AQ432">
        <f t="shared" si="297"/>
        <v>0</v>
      </c>
      <c r="AR432">
        <v>0</v>
      </c>
      <c r="AS432">
        <f t="shared" si="278"/>
        <v>0</v>
      </c>
      <c r="AT432">
        <f t="shared" si="298"/>
        <v>0</v>
      </c>
      <c r="AU432">
        <f>IFERROR(HLOOKUP(B432,'Real assumptions'!$B$43:$AL$44,2,TRUE)*($W$3/$U$2),0)</f>
        <v>0</v>
      </c>
      <c r="AV432">
        <f>AV431*(1+'Real assumptions'!$B$35)^(1/12)</f>
        <v>1.5446358703479328</v>
      </c>
      <c r="AW432">
        <f t="shared" si="279"/>
        <v>2053</v>
      </c>
      <c r="AX432">
        <f t="shared" si="314"/>
        <v>204.15105667345446</v>
      </c>
      <c r="AY432">
        <f t="shared" si="315"/>
        <v>0.56741663110926377</v>
      </c>
      <c r="AZ432">
        <f t="shared" si="280"/>
        <v>460.19204389080613</v>
      </c>
      <c r="BA432">
        <f t="shared" si="299"/>
        <v>3.3765946016966808</v>
      </c>
      <c r="BB432">
        <f t="shared" si="300"/>
        <v>63.916666666666664</v>
      </c>
      <c r="BC432">
        <f t="shared" si="281"/>
        <v>38.349999999999994</v>
      </c>
      <c r="BD432">
        <f t="shared" si="301"/>
        <v>0</v>
      </c>
      <c r="BE432">
        <f t="shared" si="282"/>
        <v>24</v>
      </c>
      <c r="BF432">
        <f t="shared" si="316"/>
        <v>5000</v>
      </c>
      <c r="BQ432" s="124"/>
      <c r="BT432" s="124"/>
      <c r="BU432"/>
      <c r="BW432" s="124"/>
      <c r="CD432" s="124"/>
      <c r="CG432" s="124"/>
      <c r="DB432" s="124"/>
      <c r="DC432" s="123"/>
      <c r="DN432" s="124"/>
      <c r="DW432" s="89"/>
      <c r="DX432" s="89"/>
      <c r="FD432"/>
      <c r="FE432"/>
    </row>
    <row r="433" spans="1:161" x14ac:dyDescent="0.25">
      <c r="A433" s="7">
        <f t="shared" si="302"/>
        <v>56280</v>
      </c>
      <c r="B433">
        <f t="shared" si="283"/>
        <v>422</v>
      </c>
      <c r="C433">
        <f t="shared" si="333"/>
        <v>35.083333333333336</v>
      </c>
      <c r="D433">
        <f t="shared" si="334"/>
        <v>0</v>
      </c>
      <c r="E433">
        <f t="shared" si="286"/>
        <v>87</v>
      </c>
      <c r="F433">
        <f>IF(C433&gt;=$T$2,0,VLOOKUP($E433,EKM_F05!$A$3:$C$128,2,TRUE))</f>
        <v>0.11373346153846153</v>
      </c>
      <c r="G433">
        <f>F433*'Real assumptions'!$B$3</f>
        <v>4.7460973499999996E-2</v>
      </c>
      <c r="H433">
        <f t="shared" si="335"/>
        <v>4.0438183338742384E-3</v>
      </c>
      <c r="I433">
        <f t="shared" si="336"/>
        <v>5.4036032632917097E-4</v>
      </c>
      <c r="J433">
        <f>IF(B433&gt;$AJ$2,0,HLOOKUP(C433,'Real assumptions'!$B$5:$L$8,4,TRUE))</f>
        <v>3.7900000000000003E-2</v>
      </c>
      <c r="K433">
        <f t="shared" si="273"/>
        <v>1</v>
      </c>
      <c r="L433">
        <f t="shared" si="305"/>
        <v>8.3333333333333329E-2</v>
      </c>
      <c r="M433">
        <f t="shared" si="337"/>
        <v>3.2145624959929453E-3</v>
      </c>
      <c r="N433">
        <f t="shared" si="338"/>
        <v>4.2937157871462999E-4</v>
      </c>
      <c r="O433" s="8">
        <f t="shared" si="287"/>
        <v>0.13287165038550677</v>
      </c>
      <c r="P433">
        <f t="shared" si="288"/>
        <v>3.2121931749732142</v>
      </c>
      <c r="Q433">
        <f t="shared" si="308"/>
        <v>2.7018016316458549</v>
      </c>
      <c r="R433" s="89">
        <f t="shared" si="274"/>
        <v>5000</v>
      </c>
      <c r="S433">
        <f t="shared" si="275"/>
        <v>0.8333333333333357</v>
      </c>
      <c r="U433">
        <f>O432*AV432*'Real assumptions'!$B$33/12+AX433*'Real assumptions'!$B$34</f>
        <v>2.1230495295351717</v>
      </c>
      <c r="V433">
        <f>IF(P433=0,0,IF(E433&lt;=$C$7,$AN$5*O432,0))*'Real assumptions'!$D$28</f>
        <v>0</v>
      </c>
      <c r="X433" s="94">
        <f t="shared" si="289"/>
        <v>0</v>
      </c>
      <c r="Y433">
        <f t="shared" si="276"/>
        <v>24</v>
      </c>
      <c r="Z433">
        <f t="shared" si="309"/>
        <v>63</v>
      </c>
      <c r="AA433">
        <f t="shared" si="277"/>
        <v>63.833333333333336</v>
      </c>
      <c r="AB433">
        <f t="shared" si="290"/>
        <v>50.505050505050505</v>
      </c>
      <c r="AC433">
        <f t="shared" si="339"/>
        <v>3223.9057239057242</v>
      </c>
      <c r="AD433">
        <f t="shared" si="291"/>
        <v>80.505050505050505</v>
      </c>
      <c r="AE433">
        <f t="shared" si="292"/>
        <v>256.9452861952862</v>
      </c>
      <c r="AF433" s="94">
        <f t="shared" si="293"/>
        <v>1519.1489898989896</v>
      </c>
      <c r="AG433">
        <f t="shared" si="311"/>
        <v>0.65227940009566465</v>
      </c>
      <c r="AH433">
        <f t="shared" si="294"/>
        <v>201.85183346935432</v>
      </c>
      <c r="AI433">
        <f>HLOOKUP(AW433,'Real assumptions'!$A$21:$AK$24,2,TRUE)</f>
        <v>0</v>
      </c>
      <c r="AJ433" s="123">
        <f t="shared" si="340"/>
        <v>0</v>
      </c>
      <c r="AK433" s="122">
        <f>(1+HLOOKUP(YEAR(A433),'Real assumptions'!$A$21:$AK$24,2,TRUE)/100)^(1/12)-1</f>
        <v>0</v>
      </c>
      <c r="AL433">
        <f t="shared" si="313"/>
        <v>2.1230495295351717</v>
      </c>
      <c r="AM433">
        <f>('Real assumptions'!$B$33/12)*O432*AV432</f>
        <v>2.0673620002293505</v>
      </c>
      <c r="AN433">
        <f t="shared" si="295"/>
        <v>203.80594343095436</v>
      </c>
      <c r="AO433">
        <f t="shared" si="341"/>
        <v>0</v>
      </c>
      <c r="AP433" s="121">
        <f t="shared" si="296"/>
        <v>0</v>
      </c>
      <c r="AQ433">
        <f t="shared" si="297"/>
        <v>0</v>
      </c>
      <c r="AR433">
        <v>0</v>
      </c>
      <c r="AS433">
        <f t="shared" si="278"/>
        <v>0</v>
      </c>
      <c r="AT433">
        <f t="shared" si="298"/>
        <v>0</v>
      </c>
      <c r="AU433">
        <f>IFERROR(HLOOKUP(B433,'Real assumptions'!$B$43:$AL$44,2,TRUE)*($W$3/$U$2),0)</f>
        <v>0</v>
      </c>
      <c r="AV433">
        <f>AV432*(1+'Real assumptions'!$B$35)^(1/12)</f>
        <v>1.5462357207948059</v>
      </c>
      <c r="AW433">
        <f t="shared" si="279"/>
        <v>2054</v>
      </c>
      <c r="AX433">
        <f t="shared" si="314"/>
        <v>203.28010526653716</v>
      </c>
      <c r="AY433">
        <f t="shared" si="315"/>
        <v>0.56330548102083577</v>
      </c>
      <c r="AZ433">
        <f t="shared" si="280"/>
        <v>457.9271065045026</v>
      </c>
      <c r="BA433">
        <f t="shared" si="299"/>
        <v>3.3540810317415195</v>
      </c>
      <c r="BB433">
        <f t="shared" si="300"/>
        <v>63.833333333333336</v>
      </c>
      <c r="BC433">
        <f t="shared" si="281"/>
        <v>38.299999999999997</v>
      </c>
      <c r="BD433">
        <f t="shared" si="301"/>
        <v>0</v>
      </c>
      <c r="BE433">
        <f t="shared" si="282"/>
        <v>24</v>
      </c>
      <c r="BF433">
        <f t="shared" si="316"/>
        <v>5000</v>
      </c>
      <c r="BQ433" s="124"/>
      <c r="BT433" s="124"/>
      <c r="BU433"/>
      <c r="BW433" s="124"/>
      <c r="CD433" s="124"/>
      <c r="CG433" s="124"/>
      <c r="DB433" s="124"/>
      <c r="DC433" s="123"/>
      <c r="DN433" s="124"/>
      <c r="DW433" s="89"/>
      <c r="DX433" s="89"/>
      <c r="FD433"/>
      <c r="FE433"/>
    </row>
    <row r="434" spans="1:161" x14ac:dyDescent="0.25">
      <c r="A434" s="7">
        <f t="shared" si="302"/>
        <v>56308</v>
      </c>
      <c r="B434">
        <f t="shared" si="283"/>
        <v>423</v>
      </c>
      <c r="C434">
        <f t="shared" si="333"/>
        <v>35.166666666666664</v>
      </c>
      <c r="D434">
        <f t="shared" si="334"/>
        <v>0</v>
      </c>
      <c r="E434">
        <f t="shared" si="286"/>
        <v>87</v>
      </c>
      <c r="F434">
        <f>IF(C434&gt;=$T$2,0,VLOOKUP($E434,EKM_F05!$A$3:$C$128,2,TRUE))</f>
        <v>0.11373346153846153</v>
      </c>
      <c r="G434">
        <f>F434*'Real assumptions'!$B$3</f>
        <v>4.7460973499999996E-2</v>
      </c>
      <c r="H434">
        <f t="shared" si="335"/>
        <v>4.0438183338742384E-3</v>
      </c>
      <c r="I434">
        <f t="shared" si="336"/>
        <v>5.3644520949689149E-4</v>
      </c>
      <c r="J434">
        <f>IF(B434&gt;$AJ$2,0,HLOOKUP(C434,'Real assumptions'!$B$5:$L$8,4,TRUE))</f>
        <v>3.7900000000000003E-2</v>
      </c>
      <c r="K434">
        <f t="shared" si="273"/>
        <v>1</v>
      </c>
      <c r="L434">
        <f t="shared" si="305"/>
        <v>8.3333333333333329E-2</v>
      </c>
      <c r="M434">
        <f t="shared" si="337"/>
        <v>3.2145624959929453E-3</v>
      </c>
      <c r="N434">
        <f t="shared" si="338"/>
        <v>4.2626061772578787E-4</v>
      </c>
      <c r="O434" s="8">
        <f t="shared" si="287"/>
        <v>0.13190894455828409</v>
      </c>
      <c r="P434">
        <f t="shared" si="288"/>
        <v>3.1889196092521628</v>
      </c>
      <c r="Q434">
        <f t="shared" si="308"/>
        <v>2.6822260474844573</v>
      </c>
      <c r="R434" s="89">
        <f t="shared" si="274"/>
        <v>5000</v>
      </c>
      <c r="S434">
        <f t="shared" si="275"/>
        <v>0.75</v>
      </c>
      <c r="U434">
        <f>O433*AV433*'Real assumptions'!$B$33/12+AX434*'Real assumptions'!$B$34</f>
        <v>2.1099583792768755</v>
      </c>
      <c r="V434">
        <f>IF(P434=0,0,IF(E434&lt;=$C$7,$AN$5*O433,0))*'Real assumptions'!$D$28</f>
        <v>0</v>
      </c>
      <c r="X434" s="94">
        <f t="shared" si="289"/>
        <v>0</v>
      </c>
      <c r="Y434">
        <f t="shared" si="276"/>
        <v>24</v>
      </c>
      <c r="Z434">
        <f t="shared" si="309"/>
        <v>63</v>
      </c>
      <c r="AA434">
        <f t="shared" si="277"/>
        <v>63.75</v>
      </c>
      <c r="AB434">
        <f t="shared" si="290"/>
        <v>50.505050505050505</v>
      </c>
      <c r="AC434">
        <f t="shared" si="339"/>
        <v>3219.6969696969695</v>
      </c>
      <c r="AD434">
        <f t="shared" si="291"/>
        <v>80.505050505050505</v>
      </c>
      <c r="AE434">
        <f t="shared" si="292"/>
        <v>256.6098484848485</v>
      </c>
      <c r="AF434" s="94">
        <f t="shared" si="293"/>
        <v>1523.693181818182</v>
      </c>
      <c r="AG434">
        <f t="shared" si="311"/>
        <v>0.64949039690638943</v>
      </c>
      <c r="AH434">
        <f t="shared" si="294"/>
        <v>200.98875944429005</v>
      </c>
      <c r="AI434">
        <f>HLOOKUP(AW434,'Real assumptions'!$A$21:$AK$24,2,TRUE)</f>
        <v>0</v>
      </c>
      <c r="AJ434" s="123">
        <f t="shared" si="340"/>
        <v>0</v>
      </c>
      <c r="AK434" s="122">
        <f>(1+HLOOKUP(YEAR(A434),'Real assumptions'!$A$21:$AK$24,2,TRUE)/100)^(1/12)-1</f>
        <v>0</v>
      </c>
      <c r="AL434">
        <f t="shared" si="313"/>
        <v>2.1099583792768755</v>
      </c>
      <c r="AM434">
        <f>('Real assumptions'!$B$33/12)*O433*AV433</f>
        <v>2.0545089210702949</v>
      </c>
      <c r="AN434">
        <f t="shared" si="295"/>
        <v>202.93079469932962</v>
      </c>
      <c r="AO434">
        <f t="shared" si="341"/>
        <v>0</v>
      </c>
      <c r="AP434" s="121">
        <f t="shared" si="296"/>
        <v>0</v>
      </c>
      <c r="AQ434">
        <f t="shared" si="297"/>
        <v>0</v>
      </c>
      <c r="AR434">
        <v>0</v>
      </c>
      <c r="AS434">
        <f t="shared" si="278"/>
        <v>0</v>
      </c>
      <c r="AT434">
        <f t="shared" si="298"/>
        <v>0</v>
      </c>
      <c r="AU434">
        <f>IFERROR(HLOOKUP(B434,'Real assumptions'!$B$43:$AL$44,2,TRUE)*($W$3/$U$2),0)</f>
        <v>0</v>
      </c>
      <c r="AV434">
        <f>AV433*(1+'Real assumptions'!$B$35)^(1/12)</f>
        <v>1.5478372282804034</v>
      </c>
      <c r="AW434">
        <f t="shared" si="279"/>
        <v>2054</v>
      </c>
      <c r="AX434">
        <f t="shared" si="314"/>
        <v>202.41105758713843</v>
      </c>
      <c r="AY434">
        <f t="shared" si="315"/>
        <v>0.5592241177841194</v>
      </c>
      <c r="AZ434">
        <f t="shared" si="280"/>
        <v>455.67435129008703</v>
      </c>
      <c r="BA434">
        <f t="shared" si="299"/>
        <v>3.3317164443908469</v>
      </c>
      <c r="BB434">
        <f t="shared" si="300"/>
        <v>63.75</v>
      </c>
      <c r="BC434">
        <f t="shared" si="281"/>
        <v>38.25</v>
      </c>
      <c r="BD434">
        <f t="shared" si="301"/>
        <v>0</v>
      </c>
      <c r="BE434">
        <f t="shared" si="282"/>
        <v>24</v>
      </c>
      <c r="BF434">
        <f t="shared" si="316"/>
        <v>5000</v>
      </c>
      <c r="BQ434" s="124"/>
      <c r="BT434" s="124"/>
      <c r="BU434"/>
      <c r="BW434" s="124"/>
      <c r="CD434" s="124"/>
      <c r="CG434" s="124"/>
      <c r="DB434" s="124"/>
      <c r="DC434" s="123"/>
      <c r="DN434" s="124"/>
      <c r="DW434" s="89"/>
      <c r="DX434" s="89"/>
      <c r="FD434"/>
      <c r="FE434"/>
    </row>
    <row r="435" spans="1:161" x14ac:dyDescent="0.25">
      <c r="A435" s="7">
        <f t="shared" si="302"/>
        <v>56339</v>
      </c>
      <c r="B435">
        <f t="shared" si="283"/>
        <v>424</v>
      </c>
      <c r="C435">
        <f t="shared" si="333"/>
        <v>35.25</v>
      </c>
      <c r="D435">
        <f t="shared" si="334"/>
        <v>0</v>
      </c>
      <c r="E435">
        <f t="shared" si="286"/>
        <v>87</v>
      </c>
      <c r="F435">
        <f>IF(C435&gt;=$T$2,0,VLOOKUP($E435,EKM_F05!$A$3:$C$128,2,TRUE))</f>
        <v>0.11373346153846153</v>
      </c>
      <c r="G435">
        <f>F435*'Real assumptions'!$B$3</f>
        <v>4.7460973499999996E-2</v>
      </c>
      <c r="H435">
        <f t="shared" si="335"/>
        <v>4.0438183338742384E-3</v>
      </c>
      <c r="I435">
        <f t="shared" si="336"/>
        <v>5.3255845918055256E-4</v>
      </c>
      <c r="J435">
        <f>IF(B435&gt;$AJ$2,0,HLOOKUP(C435,'Real assumptions'!$B$5:$L$8,4,TRUE))</f>
        <v>3.7900000000000003E-2</v>
      </c>
      <c r="K435">
        <f t="shared" si="273"/>
        <v>1</v>
      </c>
      <c r="L435">
        <f t="shared" si="305"/>
        <v>8.3333333333333329E-2</v>
      </c>
      <c r="M435">
        <f t="shared" si="337"/>
        <v>3.2145624959929453E-3</v>
      </c>
      <c r="N435">
        <f t="shared" si="338"/>
        <v>4.231721968368356E-4</v>
      </c>
      <c r="O435" s="8">
        <f t="shared" si="287"/>
        <v>0.13095321390226672</v>
      </c>
      <c r="P435">
        <f t="shared" si="288"/>
        <v>3.1658146693988183</v>
      </c>
      <c r="Q435">
        <f t="shared" si="308"/>
        <v>2.6627922959027628</v>
      </c>
      <c r="R435" s="89">
        <f t="shared" si="274"/>
        <v>5000</v>
      </c>
      <c r="S435">
        <f t="shared" si="275"/>
        <v>0.6666666666666643</v>
      </c>
      <c r="U435">
        <f>O434*AV434*'Real assumptions'!$B$33/12+AX435*'Real assumptions'!$B$34</f>
        <v>2.0969476648963692</v>
      </c>
      <c r="V435">
        <f>IF(P435=0,0,IF(E435&lt;=$C$7,$AN$5*O434,0))*'Real assumptions'!$D$28</f>
        <v>0</v>
      </c>
      <c r="X435" s="94">
        <f t="shared" si="289"/>
        <v>0</v>
      </c>
      <c r="Y435">
        <f t="shared" si="276"/>
        <v>24</v>
      </c>
      <c r="Z435">
        <f t="shared" si="309"/>
        <v>63</v>
      </c>
      <c r="AA435">
        <f t="shared" si="277"/>
        <v>63.666666666666664</v>
      </c>
      <c r="AB435">
        <f t="shared" si="290"/>
        <v>50.505050505050505</v>
      </c>
      <c r="AC435">
        <f t="shared" si="339"/>
        <v>3215.4882154882152</v>
      </c>
      <c r="AD435">
        <f t="shared" si="291"/>
        <v>80.505050505050505</v>
      </c>
      <c r="AE435">
        <f t="shared" si="292"/>
        <v>256.27441077441074</v>
      </c>
      <c r="AF435" s="94">
        <f t="shared" si="293"/>
        <v>1528.2373737373741</v>
      </c>
      <c r="AG435">
        <f t="shared" si="311"/>
        <v>0.64670756673260077</v>
      </c>
      <c r="AH435">
        <f t="shared" si="294"/>
        <v>200.12759569646869</v>
      </c>
      <c r="AI435">
        <f>HLOOKUP(AW435,'Real assumptions'!$A$21:$AK$24,2,TRUE)</f>
        <v>0</v>
      </c>
      <c r="AJ435" s="123">
        <f t="shared" si="340"/>
        <v>0</v>
      </c>
      <c r="AK435" s="122">
        <f>(1+HLOOKUP(YEAR(A435),'Real assumptions'!$A$21:$AK$24,2,TRUE)/100)^(1/12)-1</f>
        <v>0</v>
      </c>
      <c r="AL435">
        <f t="shared" si="313"/>
        <v>2.0969476648963692</v>
      </c>
      <c r="AM435">
        <f>('Real assumptions'!$B$33/12)*O434*AV434</f>
        <v>2.0417357513048784</v>
      </c>
      <c r="AN435">
        <f t="shared" si="295"/>
        <v>202.05762644879252</v>
      </c>
      <c r="AO435">
        <f t="shared" si="341"/>
        <v>0</v>
      </c>
      <c r="AP435" s="121">
        <f t="shared" si="296"/>
        <v>0</v>
      </c>
      <c r="AQ435">
        <f t="shared" si="297"/>
        <v>0</v>
      </c>
      <c r="AR435">
        <v>0</v>
      </c>
      <c r="AS435">
        <f t="shared" si="278"/>
        <v>0</v>
      </c>
      <c r="AT435">
        <f t="shared" si="298"/>
        <v>0</v>
      </c>
      <c r="AU435">
        <f>IFERROR(HLOOKUP(B435,'Real assumptions'!$B$43:$AL$44,2,TRUE)*($W$3/$U$2),0)</f>
        <v>0</v>
      </c>
      <c r="AV435">
        <f>AV434*(1+'Real assumptions'!$B$35)^(1/12)</f>
        <v>1.5494403945209965</v>
      </c>
      <c r="AW435">
        <f t="shared" si="279"/>
        <v>2054</v>
      </c>
      <c r="AX435">
        <f t="shared" si="314"/>
        <v>201.54393176987205</v>
      </c>
      <c r="AY435">
        <f t="shared" si="315"/>
        <v>0.55517232558200369</v>
      </c>
      <c r="AZ435">
        <f t="shared" si="280"/>
        <v>453.43371843195405</v>
      </c>
      <c r="BA435">
        <f t="shared" si="299"/>
        <v>3.3094998626353638</v>
      </c>
      <c r="BB435">
        <f t="shared" si="300"/>
        <v>63.666666666666664</v>
      </c>
      <c r="BC435">
        <f t="shared" si="281"/>
        <v>38.199999999999996</v>
      </c>
      <c r="BD435">
        <f t="shared" si="301"/>
        <v>0</v>
      </c>
      <c r="BE435">
        <f t="shared" si="282"/>
        <v>24</v>
      </c>
      <c r="BF435">
        <f t="shared" si="316"/>
        <v>5000</v>
      </c>
      <c r="BQ435" s="124"/>
      <c r="BT435" s="124"/>
      <c r="BU435"/>
      <c r="BW435" s="124"/>
      <c r="CD435" s="124"/>
      <c r="CG435" s="124"/>
      <c r="DB435" s="124"/>
      <c r="DC435" s="123"/>
      <c r="DN435" s="124"/>
      <c r="DW435" s="89"/>
      <c r="DX435" s="89"/>
      <c r="FD435"/>
      <c r="FE435"/>
    </row>
    <row r="436" spans="1:161" x14ac:dyDescent="0.25">
      <c r="A436" s="7">
        <f t="shared" si="302"/>
        <v>56369</v>
      </c>
      <c r="B436">
        <f t="shared" si="283"/>
        <v>425</v>
      </c>
      <c r="C436">
        <f t="shared" si="333"/>
        <v>35.333333333333336</v>
      </c>
      <c r="D436">
        <f t="shared" si="334"/>
        <v>0</v>
      </c>
      <c r="E436">
        <f t="shared" si="286"/>
        <v>87</v>
      </c>
      <c r="F436">
        <f>IF(C436&gt;=$T$2,0,VLOOKUP($E436,EKM_F05!$A$3:$C$128,2,TRUE))</f>
        <v>0.11373346153846153</v>
      </c>
      <c r="G436">
        <f>F436*'Real assumptions'!$B$3</f>
        <v>4.7460973499999996E-2</v>
      </c>
      <c r="H436">
        <f t="shared" si="335"/>
        <v>4.0438183338742384E-3</v>
      </c>
      <c r="I436">
        <f t="shared" si="336"/>
        <v>5.2869986985391794E-4</v>
      </c>
      <c r="J436">
        <f>IF(B436&gt;$AJ$2,0,HLOOKUP(C436,'Real assumptions'!$B$5:$L$8,4,TRUE))</f>
        <v>3.7900000000000003E-2</v>
      </c>
      <c r="K436">
        <f t="shared" si="273"/>
        <v>1</v>
      </c>
      <c r="L436">
        <f t="shared" si="305"/>
        <v>8.3333333333333329E-2</v>
      </c>
      <c r="M436">
        <f t="shared" si="337"/>
        <v>3.2145624959929453E-3</v>
      </c>
      <c r="N436">
        <f t="shared" si="338"/>
        <v>4.2010615273614551E-4</v>
      </c>
      <c r="O436" s="8">
        <f t="shared" si="287"/>
        <v>0.13000440787967668</v>
      </c>
      <c r="P436">
        <f t="shared" si="288"/>
        <v>3.1428771336544012</v>
      </c>
      <c r="Q436">
        <f t="shared" si="308"/>
        <v>2.6434993492695895</v>
      </c>
      <c r="R436" s="89">
        <f t="shared" si="274"/>
        <v>5000</v>
      </c>
      <c r="S436">
        <f t="shared" si="275"/>
        <v>0.5833333333333357</v>
      </c>
      <c r="U436">
        <f>O435*AV435*'Real assumptions'!$B$33/12+AX436*'Real assumptions'!$B$34</f>
        <v>2.084016894454277</v>
      </c>
      <c r="V436">
        <f>IF(P436=0,0,IF(E436&lt;=$C$7,$AN$5*O435,0))*'Real assumptions'!$D$28</f>
        <v>0</v>
      </c>
      <c r="X436" s="94">
        <f t="shared" si="289"/>
        <v>0</v>
      </c>
      <c r="Y436">
        <f t="shared" si="276"/>
        <v>24</v>
      </c>
      <c r="Z436">
        <f t="shared" si="309"/>
        <v>63</v>
      </c>
      <c r="AA436">
        <f t="shared" si="277"/>
        <v>63.583333333333336</v>
      </c>
      <c r="AB436">
        <f t="shared" si="290"/>
        <v>50.505050505050505</v>
      </c>
      <c r="AC436">
        <f t="shared" si="339"/>
        <v>3211.2794612794614</v>
      </c>
      <c r="AD436">
        <f t="shared" si="291"/>
        <v>80.505050505050505</v>
      </c>
      <c r="AE436">
        <f t="shared" si="292"/>
        <v>255.93897306397307</v>
      </c>
      <c r="AF436" s="94">
        <f t="shared" si="293"/>
        <v>1532.7815656565656</v>
      </c>
      <c r="AG436">
        <f t="shared" si="311"/>
        <v>0.64393096653286541</v>
      </c>
      <c r="AH436">
        <f t="shared" si="294"/>
        <v>199.26835985206557</v>
      </c>
      <c r="AI436">
        <f>HLOOKUP(AW436,'Real assumptions'!$A$21:$AK$24,2,TRUE)</f>
        <v>0</v>
      </c>
      <c r="AJ436" s="123">
        <f t="shared" si="340"/>
        <v>0</v>
      </c>
      <c r="AK436" s="122">
        <f>(1+HLOOKUP(YEAR(A436),'Real assumptions'!$A$21:$AK$24,2,TRUE)/100)^(1/12)-1</f>
        <v>0</v>
      </c>
      <c r="AL436">
        <f t="shared" si="313"/>
        <v>2.084016894454277</v>
      </c>
      <c r="AM436">
        <f>('Real assumptions'!$B$33/12)*O435*AV435</f>
        <v>2.0290419941252056</v>
      </c>
      <c r="AN436">
        <f t="shared" si="295"/>
        <v>201.18645593566882</v>
      </c>
      <c r="AO436">
        <f t="shared" si="341"/>
        <v>0</v>
      </c>
      <c r="AP436" s="121">
        <f t="shared" si="296"/>
        <v>0</v>
      </c>
      <c r="AQ436">
        <f t="shared" si="297"/>
        <v>0</v>
      </c>
      <c r="AR436">
        <v>0</v>
      </c>
      <c r="AS436">
        <f t="shared" si="278"/>
        <v>0</v>
      </c>
      <c r="AT436">
        <f t="shared" si="298"/>
        <v>0</v>
      </c>
      <c r="AU436">
        <f>IFERROR(HLOOKUP(B436,'Real assumptions'!$B$43:$AL$44,2,TRUE)*($W$3/$U$2),0)</f>
        <v>0</v>
      </c>
      <c r="AV436">
        <f>AV435*(1+'Real assumptions'!$B$35)^(1/12)</f>
        <v>1.5510452212346342</v>
      </c>
      <c r="AW436">
        <f t="shared" si="279"/>
        <v>2054</v>
      </c>
      <c r="AX436">
        <f t="shared" si="314"/>
        <v>200.67874558662973</v>
      </c>
      <c r="AY436">
        <f t="shared" si="315"/>
        <v>0.5511498901610552</v>
      </c>
      <c r="AZ436">
        <f t="shared" si="280"/>
        <v>451.2051483553517</v>
      </c>
      <c r="BA436">
        <f t="shared" si="299"/>
        <v>3.2874303158024549</v>
      </c>
      <c r="BB436">
        <f t="shared" si="300"/>
        <v>63.583333333333336</v>
      </c>
      <c r="BC436">
        <f t="shared" si="281"/>
        <v>38.15</v>
      </c>
      <c r="BD436">
        <f t="shared" si="301"/>
        <v>0</v>
      </c>
      <c r="BE436">
        <f t="shared" si="282"/>
        <v>24</v>
      </c>
      <c r="BF436">
        <f t="shared" si="316"/>
        <v>5000</v>
      </c>
      <c r="BQ436" s="124"/>
      <c r="BT436" s="124"/>
      <c r="BU436"/>
      <c r="BW436" s="124"/>
      <c r="CD436" s="124"/>
      <c r="CG436" s="124"/>
      <c r="DB436" s="124"/>
      <c r="DC436" s="123"/>
      <c r="DN436" s="124"/>
      <c r="DW436" s="89"/>
      <c r="DX436" s="89"/>
      <c r="FD436"/>
      <c r="FE436"/>
    </row>
    <row r="437" spans="1:161" x14ac:dyDescent="0.25">
      <c r="A437" s="7">
        <f t="shared" si="302"/>
        <v>56400</v>
      </c>
      <c r="B437">
        <f t="shared" si="283"/>
        <v>426</v>
      </c>
      <c r="C437">
        <f t="shared" si="333"/>
        <v>35.416666666666664</v>
      </c>
      <c r="D437">
        <f t="shared" si="334"/>
        <v>0</v>
      </c>
      <c r="E437">
        <f t="shared" si="286"/>
        <v>87</v>
      </c>
      <c r="F437">
        <f>IF(C437&gt;=$T$2,0,VLOOKUP($E437,EKM_F05!$A$3:$C$128,2,TRUE))</f>
        <v>0.11373346153846153</v>
      </c>
      <c r="G437">
        <f>F437*'Real assumptions'!$B$3</f>
        <v>4.7460973499999996E-2</v>
      </c>
      <c r="H437">
        <f t="shared" si="335"/>
        <v>4.0438183338742384E-3</v>
      </c>
      <c r="I437">
        <f t="shared" si="336"/>
        <v>5.2486923747986755E-4</v>
      </c>
      <c r="J437">
        <f>IF(B437&gt;$AJ$2,0,HLOOKUP(C437,'Real assumptions'!$B$5:$L$8,4,TRUE))</f>
        <v>3.7900000000000003E-2</v>
      </c>
      <c r="K437">
        <f t="shared" si="273"/>
        <v>1</v>
      </c>
      <c r="L437">
        <f t="shared" si="305"/>
        <v>8.3333333333333329E-2</v>
      </c>
      <c r="M437">
        <f t="shared" si="337"/>
        <v>3.2145624959929453E-3</v>
      </c>
      <c r="N437">
        <f t="shared" si="338"/>
        <v>4.1706232329534492E-4</v>
      </c>
      <c r="O437" s="8">
        <f t="shared" si="287"/>
        <v>0.12906247631890144</v>
      </c>
      <c r="P437">
        <f t="shared" si="288"/>
        <v>3.1201057891122401</v>
      </c>
      <c r="Q437">
        <f t="shared" si="308"/>
        <v>2.6243461873993379</v>
      </c>
      <c r="R437" s="89">
        <f t="shared" si="274"/>
        <v>5000</v>
      </c>
      <c r="S437">
        <f t="shared" si="275"/>
        <v>0.5</v>
      </c>
      <c r="U437">
        <f>O436*AV436*'Real assumptions'!$B$33/12+AX437*'Real assumptions'!$B$34</f>
        <v>2.0711655790017582</v>
      </c>
      <c r="V437">
        <f>IF(P437=0,0,IF(E437&lt;=$C$7,$AN$5*O436,0))*'Real assumptions'!$D$28</f>
        <v>0</v>
      </c>
      <c r="X437" s="94">
        <f t="shared" si="289"/>
        <v>0</v>
      </c>
      <c r="Y437">
        <f t="shared" si="276"/>
        <v>24</v>
      </c>
      <c r="Z437">
        <f t="shared" si="309"/>
        <v>63</v>
      </c>
      <c r="AA437">
        <f t="shared" si="277"/>
        <v>63.5</v>
      </c>
      <c r="AB437">
        <f t="shared" si="290"/>
        <v>50.505050505050505</v>
      </c>
      <c r="AC437">
        <f t="shared" si="339"/>
        <v>3207.0707070707072</v>
      </c>
      <c r="AD437">
        <f t="shared" si="291"/>
        <v>80.505050505050505</v>
      </c>
      <c r="AE437">
        <f t="shared" si="292"/>
        <v>255.60353535353534</v>
      </c>
      <c r="AF437" s="94">
        <f t="shared" si="293"/>
        <v>1537.3257575757575</v>
      </c>
      <c r="AG437">
        <f t="shared" si="311"/>
        <v>0.64116065211632167</v>
      </c>
      <c r="AH437">
        <f t="shared" si="294"/>
        <v>198.41106918155842</v>
      </c>
      <c r="AI437">
        <f>HLOOKUP(AW437,'Real assumptions'!$A$21:$AK$24,2,TRUE)</f>
        <v>0</v>
      </c>
      <c r="AJ437" s="123">
        <f t="shared" si="340"/>
        <v>0</v>
      </c>
      <c r="AK437" s="122">
        <f>(1+HLOOKUP(YEAR(A437),'Real assumptions'!$A$21:$AK$24,2,TRUE)/100)^(1/12)-1</f>
        <v>0</v>
      </c>
      <c r="AL437">
        <f t="shared" si="313"/>
        <v>2.0711655790017582</v>
      </c>
      <c r="AM437">
        <f>('Real assumptions'!$B$33/12)*O436*AV436</f>
        <v>2.0164271558121074</v>
      </c>
      <c r="AN437">
        <f t="shared" si="295"/>
        <v>200.31730006217606</v>
      </c>
      <c r="AO437">
        <f t="shared" si="341"/>
        <v>0</v>
      </c>
      <c r="AP437" s="121">
        <f t="shared" si="296"/>
        <v>0</v>
      </c>
      <c r="AQ437">
        <f t="shared" si="297"/>
        <v>0</v>
      </c>
      <c r="AR437">
        <v>0</v>
      </c>
      <c r="AS437">
        <f t="shared" si="278"/>
        <v>0</v>
      </c>
      <c r="AT437">
        <f t="shared" si="298"/>
        <v>0</v>
      </c>
      <c r="AU437">
        <f>IFERROR(HLOOKUP(B437,'Real assumptions'!$B$43:$AL$44,2,TRUE)*($W$3/$U$2),0)</f>
        <v>0</v>
      </c>
      <c r="AV437">
        <f>AV436*(1+'Real assumptions'!$B$35)^(1/12)</f>
        <v>1.5526517101411448</v>
      </c>
      <c r="AW437">
        <f t="shared" si="279"/>
        <v>2054</v>
      </c>
      <c r="AX437">
        <f t="shared" si="314"/>
        <v>199.81551645088575</v>
      </c>
      <c r="AY437">
        <f t="shared" si="315"/>
        <v>0.54715659882018797</v>
      </c>
      <c r="AZ437">
        <f t="shared" si="280"/>
        <v>448.98858172594652</v>
      </c>
      <c r="BA437">
        <f t="shared" si="299"/>
        <v>3.2655068395156595</v>
      </c>
      <c r="BB437">
        <f t="shared" si="300"/>
        <v>63.5</v>
      </c>
      <c r="BC437">
        <f t="shared" si="281"/>
        <v>38.099999999999994</v>
      </c>
      <c r="BD437">
        <f t="shared" si="301"/>
        <v>0</v>
      </c>
      <c r="BE437">
        <f t="shared" si="282"/>
        <v>24</v>
      </c>
      <c r="BF437">
        <f t="shared" si="316"/>
        <v>5000</v>
      </c>
      <c r="BQ437" s="124"/>
      <c r="BT437" s="124"/>
      <c r="BU437"/>
      <c r="BW437" s="124"/>
      <c r="CD437" s="124"/>
      <c r="CG437" s="124"/>
      <c r="DB437" s="124"/>
      <c r="DC437" s="123"/>
      <c r="DN437" s="124"/>
      <c r="DW437" s="89"/>
      <c r="DX437" s="89"/>
      <c r="FD437"/>
      <c r="FE437"/>
    </row>
    <row r="438" spans="1:161" x14ac:dyDescent="0.25">
      <c r="A438" s="7">
        <f t="shared" si="302"/>
        <v>56430</v>
      </c>
      <c r="B438">
        <f t="shared" si="283"/>
        <v>427</v>
      </c>
      <c r="C438">
        <f t="shared" si="333"/>
        <v>35.5</v>
      </c>
      <c r="D438">
        <f t="shared" si="334"/>
        <v>0</v>
      </c>
      <c r="E438">
        <f t="shared" si="286"/>
        <v>87</v>
      </c>
      <c r="F438">
        <f>IF(C438&gt;=$T$2,0,VLOOKUP($E438,EKM_F05!$A$3:$C$128,2,TRUE))</f>
        <v>0.11373346153846153</v>
      </c>
      <c r="G438">
        <f>F438*'Real assumptions'!$B$3</f>
        <v>4.7460973499999996E-2</v>
      </c>
      <c r="H438">
        <f t="shared" si="335"/>
        <v>4.0438183338742384E-3</v>
      </c>
      <c r="I438">
        <f t="shared" si="336"/>
        <v>5.2106635949960797E-4</v>
      </c>
      <c r="J438">
        <f>IF(B438&gt;$AJ$2,0,HLOOKUP(C438,'Real assumptions'!$B$5:$L$8,4,TRUE))</f>
        <v>3.7900000000000003E-2</v>
      </c>
      <c r="K438">
        <f t="shared" si="273"/>
        <v>1</v>
      </c>
      <c r="L438">
        <f t="shared" si="305"/>
        <v>8.3333333333333329E-2</v>
      </c>
      <c r="M438">
        <f t="shared" si="337"/>
        <v>3.2145624959929453E-3</v>
      </c>
      <c r="N438">
        <f t="shared" si="338"/>
        <v>4.1404054756074269E-4</v>
      </c>
      <c r="O438" s="8">
        <f t="shared" si="287"/>
        <v>0.12812736941184108</v>
      </c>
      <c r="P438">
        <f t="shared" si="288"/>
        <v>3.0974994316536346</v>
      </c>
      <c r="Q438">
        <f t="shared" si="308"/>
        <v>2.6053317974980397</v>
      </c>
      <c r="R438" s="89">
        <f t="shared" si="274"/>
        <v>5000</v>
      </c>
      <c r="S438">
        <f t="shared" si="275"/>
        <v>0.4166666666666643</v>
      </c>
      <c r="U438">
        <f>O437*AV437*'Real assumptions'!$B$33/12+AX438*'Real assumptions'!$B$34</f>
        <v>2.0583932325624761</v>
      </c>
      <c r="V438">
        <f>IF(P438=0,0,IF(E438&lt;=$C$7,$AN$5*O437,0))*'Real assumptions'!$D$28</f>
        <v>0</v>
      </c>
      <c r="X438" s="94">
        <f t="shared" si="289"/>
        <v>0</v>
      </c>
      <c r="Y438">
        <f t="shared" si="276"/>
        <v>24</v>
      </c>
      <c r="Z438">
        <f t="shared" si="309"/>
        <v>63</v>
      </c>
      <c r="AA438">
        <f t="shared" si="277"/>
        <v>63.416666666666664</v>
      </c>
      <c r="AB438">
        <f t="shared" si="290"/>
        <v>50.505050505050505</v>
      </c>
      <c r="AC438">
        <f t="shared" si="339"/>
        <v>3202.8619528619529</v>
      </c>
      <c r="AD438">
        <f t="shared" si="291"/>
        <v>80.505050505050505</v>
      </c>
      <c r="AE438">
        <f t="shared" si="292"/>
        <v>255.26809764309763</v>
      </c>
      <c r="AF438" s="94">
        <f t="shared" si="293"/>
        <v>1541.8699494949494</v>
      </c>
      <c r="AG438">
        <f t="shared" si="311"/>
        <v>0.63839667815634349</v>
      </c>
      <c r="AH438">
        <f t="shared" si="294"/>
        <v>197.55574060395614</v>
      </c>
      <c r="AI438">
        <f>HLOOKUP(AW438,'Real assumptions'!$A$21:$AK$24,2,TRUE)</f>
        <v>0</v>
      </c>
      <c r="AJ438" s="123">
        <f t="shared" si="340"/>
        <v>0</v>
      </c>
      <c r="AK438" s="122">
        <f>(1+HLOOKUP(YEAR(A438),'Real assumptions'!$A$21:$AK$24,2,TRUE)/100)^(1/12)-1</f>
        <v>0</v>
      </c>
      <c r="AL438">
        <f t="shared" si="313"/>
        <v>2.0583932325624761</v>
      </c>
      <c r="AM438">
        <f>('Real assumptions'!$B$33/12)*O437*AV437</f>
        <v>2.0038907457159332</v>
      </c>
      <c r="AN438">
        <f t="shared" si="295"/>
        <v>199.45017538064957</v>
      </c>
      <c r="AO438">
        <f t="shared" si="341"/>
        <v>0</v>
      </c>
      <c r="AP438" s="121">
        <f t="shared" si="296"/>
        <v>0</v>
      </c>
      <c r="AQ438">
        <f t="shared" si="297"/>
        <v>0</v>
      </c>
      <c r="AR438">
        <v>0</v>
      </c>
      <c r="AS438">
        <f t="shared" si="278"/>
        <v>0</v>
      </c>
      <c r="AT438">
        <f t="shared" si="298"/>
        <v>0</v>
      </c>
      <c r="AU438">
        <f>IFERROR(HLOOKUP(B438,'Real assumptions'!$B$43:$AL$44,2,TRUE)*($W$3/$U$2),0)</f>
        <v>0</v>
      </c>
      <c r="AV438">
        <f>AV437*(1+'Real assumptions'!$B$35)^(1/12)</f>
        <v>1.554259862962138</v>
      </c>
      <c r="AW438">
        <f t="shared" si="279"/>
        <v>2054</v>
      </c>
      <c r="AX438">
        <f t="shared" si="314"/>
        <v>198.95426142195782</v>
      </c>
      <c r="AY438">
        <f t="shared" si="315"/>
        <v>0.54319224039941683</v>
      </c>
      <c r="AZ438">
        <f t="shared" si="280"/>
        <v>446.7839594493833</v>
      </c>
      <c r="BA438">
        <f t="shared" si="299"/>
        <v>3.2437284756543834</v>
      </c>
      <c r="BB438">
        <f t="shared" si="300"/>
        <v>63.416666666666664</v>
      </c>
      <c r="BC438">
        <f t="shared" si="281"/>
        <v>38.049999999999997</v>
      </c>
      <c r="BD438">
        <f t="shared" si="301"/>
        <v>0</v>
      </c>
      <c r="BE438">
        <f t="shared" si="282"/>
        <v>24</v>
      </c>
      <c r="BF438">
        <f t="shared" si="316"/>
        <v>5000</v>
      </c>
      <c r="BQ438" s="124"/>
      <c r="BT438" s="124"/>
      <c r="BU438"/>
      <c r="BW438" s="124"/>
      <c r="CD438" s="124"/>
      <c r="CG438" s="124"/>
      <c r="DB438" s="124"/>
      <c r="DC438" s="123"/>
      <c r="DN438" s="124"/>
      <c r="DW438" s="89"/>
      <c r="DX438" s="89"/>
      <c r="FD438"/>
      <c r="FE438"/>
    </row>
    <row r="439" spans="1:161" x14ac:dyDescent="0.25">
      <c r="A439" s="7">
        <f t="shared" si="302"/>
        <v>56461</v>
      </c>
      <c r="B439">
        <f t="shared" si="283"/>
        <v>428</v>
      </c>
      <c r="C439">
        <f t="shared" si="333"/>
        <v>35.583333333333336</v>
      </c>
      <c r="D439">
        <f t="shared" si="334"/>
        <v>0</v>
      </c>
      <c r="E439">
        <f t="shared" si="286"/>
        <v>87</v>
      </c>
      <c r="F439">
        <f>IF(C439&gt;=$T$2,0,VLOOKUP($E439,EKM_F05!$A$3:$C$128,2,TRUE))</f>
        <v>0.11373346153846153</v>
      </c>
      <c r="G439">
        <f>F439*'Real assumptions'!$B$3</f>
        <v>4.7460973499999996E-2</v>
      </c>
      <c r="H439">
        <f t="shared" si="335"/>
        <v>4.0438183338742384E-3</v>
      </c>
      <c r="I439">
        <f t="shared" si="336"/>
        <v>5.1729103482196163E-4</v>
      </c>
      <c r="J439">
        <f>IF(B439&gt;$AJ$2,0,HLOOKUP(C439,'Real assumptions'!$B$5:$L$8,4,TRUE))</f>
        <v>3.7900000000000003E-2</v>
      </c>
      <c r="K439">
        <f t="shared" si="273"/>
        <v>1</v>
      </c>
      <c r="L439">
        <f t="shared" si="305"/>
        <v>8.3333333333333329E-2</v>
      </c>
      <c r="M439">
        <f t="shared" si="337"/>
        <v>3.2145624959929453E-3</v>
      </c>
      <c r="N439">
        <f t="shared" si="338"/>
        <v>4.110406657448194E-4</v>
      </c>
      <c r="O439" s="8">
        <f t="shared" si="287"/>
        <v>0.1271990377112743</v>
      </c>
      <c r="P439">
        <f t="shared" si="288"/>
        <v>3.0750568658841857</v>
      </c>
      <c r="Q439">
        <f t="shared" si="308"/>
        <v>2.5864551741098083</v>
      </c>
      <c r="R439" s="89">
        <f t="shared" si="274"/>
        <v>5000</v>
      </c>
      <c r="S439">
        <f t="shared" si="275"/>
        <v>0.3333333333333357</v>
      </c>
      <c r="U439">
        <f>O438*AV438*'Real assumptions'!$B$33/12+AX439*'Real assumptions'!$B$34</f>
        <v>2.0456993721146679</v>
      </c>
      <c r="V439">
        <f>IF(P439=0,0,IF(E439&lt;=$C$7,$AN$5*O438,0))*'Real assumptions'!$D$28</f>
        <v>0</v>
      </c>
      <c r="X439" s="94">
        <f t="shared" si="289"/>
        <v>0</v>
      </c>
      <c r="Y439">
        <f t="shared" si="276"/>
        <v>24</v>
      </c>
      <c r="Z439">
        <f t="shared" si="309"/>
        <v>63</v>
      </c>
      <c r="AA439">
        <f t="shared" si="277"/>
        <v>63.333333333333336</v>
      </c>
      <c r="AB439">
        <f t="shared" si="290"/>
        <v>50.505050505050505</v>
      </c>
      <c r="AC439">
        <f t="shared" si="339"/>
        <v>3198.6531986531986</v>
      </c>
      <c r="AD439">
        <f t="shared" si="291"/>
        <v>80.505050505050505</v>
      </c>
      <c r="AE439">
        <f t="shared" si="292"/>
        <v>254.93265993265993</v>
      </c>
      <c r="AF439" s="94">
        <f t="shared" si="293"/>
        <v>1546.4141414141413</v>
      </c>
      <c r="AG439">
        <f t="shared" si="311"/>
        <v>0.63563909820407194</v>
      </c>
      <c r="AH439">
        <f t="shared" si="294"/>
        <v>196.70239069098523</v>
      </c>
      <c r="AI439">
        <f>HLOOKUP(AW439,'Real assumptions'!$A$21:$AK$24,2,TRUE)</f>
        <v>0</v>
      </c>
      <c r="AJ439" s="123">
        <f t="shared" si="340"/>
        <v>0</v>
      </c>
      <c r="AK439" s="122">
        <f>(1+HLOOKUP(YEAR(A439),'Real assumptions'!$A$21:$AK$24,2,TRUE)/100)^(1/12)-1</f>
        <v>0</v>
      </c>
      <c r="AL439">
        <f t="shared" si="313"/>
        <v>2.0456993721146679</v>
      </c>
      <c r="AM439">
        <f>('Real assumptions'!$B$33/12)*O438*AV438</f>
        <v>1.9914322762374737</v>
      </c>
      <c r="AN439">
        <f t="shared" si="295"/>
        <v>198.58509809772568</v>
      </c>
      <c r="AO439">
        <f t="shared" si="341"/>
        <v>0</v>
      </c>
      <c r="AP439" s="121">
        <f t="shared" si="296"/>
        <v>0</v>
      </c>
      <c r="AQ439">
        <f t="shared" si="297"/>
        <v>0</v>
      </c>
      <c r="AR439">
        <v>0</v>
      </c>
      <c r="AS439">
        <f t="shared" si="278"/>
        <v>0</v>
      </c>
      <c r="AT439">
        <f t="shared" si="298"/>
        <v>0</v>
      </c>
      <c r="AU439">
        <f>IFERROR(HLOOKUP(B439,'Real assumptions'!$B$43:$AL$44,2,TRUE)*($W$3/$U$2),0)</f>
        <v>0</v>
      </c>
      <c r="AV439">
        <f>AV438*(1+'Real assumptions'!$B$35)^(1/12)</f>
        <v>1.5558696814210067</v>
      </c>
      <c r="AW439">
        <f t="shared" si="279"/>
        <v>2054</v>
      </c>
      <c r="AX439">
        <f t="shared" si="314"/>
        <v>198.09499720922483</v>
      </c>
      <c r="AY439">
        <f t="shared" si="315"/>
        <v>0.53925660526869135</v>
      </c>
      <c r="AZ439">
        <f t="shared" si="280"/>
        <v>444.59122267083893</v>
      </c>
      <c r="BA439">
        <f t="shared" si="299"/>
        <v>3.2220942723138801</v>
      </c>
      <c r="BB439">
        <f t="shared" si="300"/>
        <v>63.333333333333336</v>
      </c>
      <c r="BC439">
        <f t="shared" si="281"/>
        <v>38</v>
      </c>
      <c r="BD439">
        <f t="shared" si="301"/>
        <v>0</v>
      </c>
      <c r="BE439">
        <f t="shared" si="282"/>
        <v>24</v>
      </c>
      <c r="BF439">
        <f t="shared" si="316"/>
        <v>5000</v>
      </c>
      <c r="BQ439" s="124"/>
      <c r="BT439" s="124"/>
      <c r="BU439"/>
      <c r="BW439" s="124"/>
      <c r="CD439" s="124"/>
      <c r="CG439" s="124"/>
      <c r="DB439" s="124"/>
      <c r="DC439" s="123"/>
      <c r="DN439" s="124"/>
      <c r="DW439" s="89"/>
      <c r="DX439" s="89"/>
      <c r="FD439"/>
      <c r="FE439"/>
    </row>
    <row r="440" spans="1:161" x14ac:dyDescent="0.25">
      <c r="A440" s="7">
        <f t="shared" si="302"/>
        <v>56492</v>
      </c>
      <c r="B440">
        <f t="shared" si="283"/>
        <v>429</v>
      </c>
      <c r="C440">
        <f t="shared" si="333"/>
        <v>35.666666666666664</v>
      </c>
      <c r="D440">
        <f t="shared" si="334"/>
        <v>0</v>
      </c>
      <c r="E440">
        <f t="shared" si="286"/>
        <v>87</v>
      </c>
      <c r="F440">
        <f>IF(C440&gt;=$T$2,0,VLOOKUP($E440,EKM_F05!$A$3:$C$128,2,TRUE))</f>
        <v>0.11373346153846153</v>
      </c>
      <c r="G440">
        <f>F440*'Real assumptions'!$B$3</f>
        <v>4.7460973499999996E-2</v>
      </c>
      <c r="H440">
        <f t="shared" si="335"/>
        <v>4.0438183338742384E-3</v>
      </c>
      <c r="I440">
        <f t="shared" si="336"/>
        <v>5.1354306381273373E-4</v>
      </c>
      <c r="J440">
        <f>IF(B440&gt;$AJ$2,0,HLOOKUP(C440,'Real assumptions'!$B$5:$L$8,4,TRUE))</f>
        <v>3.7900000000000003E-2</v>
      </c>
      <c r="K440">
        <f t="shared" si="273"/>
        <v>1</v>
      </c>
      <c r="L440">
        <f t="shared" si="305"/>
        <v>8.3333333333333329E-2</v>
      </c>
      <c r="M440">
        <f t="shared" si="337"/>
        <v>3.2145624959929453E-3</v>
      </c>
      <c r="N440">
        <f t="shared" si="338"/>
        <v>4.0806251921777673E-4</v>
      </c>
      <c r="O440" s="8">
        <f t="shared" si="287"/>
        <v>0.1262774321282438</v>
      </c>
      <c r="P440">
        <f t="shared" si="288"/>
        <v>3.0527769050705835</v>
      </c>
      <c r="Q440">
        <f t="shared" si="308"/>
        <v>2.5677153190636686</v>
      </c>
      <c r="R440" s="89">
        <f t="shared" si="274"/>
        <v>5000</v>
      </c>
      <c r="S440">
        <f t="shared" si="275"/>
        <v>0.25</v>
      </c>
      <c r="U440">
        <f>O439*AV439*'Real assumptions'!$B$33/12+AX440*'Real assumptions'!$B$34</f>
        <v>2.0330835175733215</v>
      </c>
      <c r="V440">
        <f>IF(P440=0,0,IF(E440&lt;=$C$7,$AN$5*O439,0))*'Real assumptions'!$D$28</f>
        <v>0</v>
      </c>
      <c r="X440" s="94">
        <f t="shared" si="289"/>
        <v>0</v>
      </c>
      <c r="Y440">
        <f t="shared" si="276"/>
        <v>24</v>
      </c>
      <c r="Z440">
        <f t="shared" si="309"/>
        <v>63</v>
      </c>
      <c r="AA440">
        <f t="shared" si="277"/>
        <v>63.25</v>
      </c>
      <c r="AB440">
        <f t="shared" si="290"/>
        <v>50.505050505050505</v>
      </c>
      <c r="AC440">
        <f t="shared" si="339"/>
        <v>3194.4444444444443</v>
      </c>
      <c r="AD440">
        <f t="shared" si="291"/>
        <v>80.505050505050505</v>
      </c>
      <c r="AE440">
        <f t="shared" si="292"/>
        <v>254.5972222222222</v>
      </c>
      <c r="AF440" s="94">
        <f t="shared" si="293"/>
        <v>1550.9583333333335</v>
      </c>
      <c r="AG440">
        <f t="shared" si="311"/>
        <v>0.63288796470180442</v>
      </c>
      <c r="AH440">
        <f t="shared" si="294"/>
        <v>195.85103567123414</v>
      </c>
      <c r="AI440">
        <f>HLOOKUP(AW440,'Real assumptions'!$A$21:$AK$24,2,TRUE)</f>
        <v>0</v>
      </c>
      <c r="AJ440" s="123">
        <f t="shared" si="340"/>
        <v>0</v>
      </c>
      <c r="AK440" s="122">
        <f>(1+HLOOKUP(YEAR(A440),'Real assumptions'!$A$21:$AK$24,2,TRUE)/100)^(1/12)-1</f>
        <v>0</v>
      </c>
      <c r="AL440">
        <f t="shared" si="313"/>
        <v>2.0330835175733215</v>
      </c>
      <c r="AM440">
        <f>('Real assumptions'!$B$33/12)*O439*AV439</f>
        <v>1.9790512628089896</v>
      </c>
      <c r="AN440">
        <f t="shared" si="295"/>
        <v>197.72208407848248</v>
      </c>
      <c r="AO440">
        <f t="shared" si="341"/>
        <v>0</v>
      </c>
      <c r="AP440" s="121">
        <f t="shared" si="296"/>
        <v>0</v>
      </c>
      <c r="AQ440">
        <f t="shared" si="297"/>
        <v>0</v>
      </c>
      <c r="AR440">
        <v>0</v>
      </c>
      <c r="AS440">
        <f t="shared" si="278"/>
        <v>0</v>
      </c>
      <c r="AT440">
        <f t="shared" si="298"/>
        <v>0</v>
      </c>
      <c r="AU440">
        <f>IFERROR(HLOOKUP(B440,'Real assumptions'!$B$43:$AL$44,2,TRUE)*($W$3/$U$2),0)</f>
        <v>0</v>
      </c>
      <c r="AV440">
        <f>AV439*(1+'Real assumptions'!$B$35)^(1/12)</f>
        <v>1.5574811672429285</v>
      </c>
      <c r="AW440">
        <f t="shared" si="279"/>
        <v>2054</v>
      </c>
      <c r="AX440">
        <f t="shared" si="314"/>
        <v>197.23774017630203</v>
      </c>
      <c r="AY440">
        <f t="shared" si="315"/>
        <v>0.53534948531681104</v>
      </c>
      <c r="AZ440">
        <f t="shared" si="280"/>
        <v>442.41031277457068</v>
      </c>
      <c r="BA440">
        <f t="shared" si="299"/>
        <v>3.200603283765473</v>
      </c>
      <c r="BB440">
        <f t="shared" si="300"/>
        <v>63.25</v>
      </c>
      <c r="BC440">
        <f t="shared" si="281"/>
        <v>37.950000000000003</v>
      </c>
      <c r="BD440">
        <f t="shared" si="301"/>
        <v>0</v>
      </c>
      <c r="BE440">
        <f t="shared" si="282"/>
        <v>24</v>
      </c>
      <c r="BF440">
        <f t="shared" si="316"/>
        <v>5000</v>
      </c>
      <c r="BQ440" s="124"/>
      <c r="BT440" s="124"/>
      <c r="BU440"/>
      <c r="BW440" s="124"/>
      <c r="CD440" s="124"/>
      <c r="CG440" s="124"/>
      <c r="DB440" s="124"/>
      <c r="DC440" s="123"/>
      <c r="DN440" s="124"/>
      <c r="DW440" s="89"/>
      <c r="DX440" s="89"/>
      <c r="FD440"/>
      <c r="FE440"/>
    </row>
    <row r="441" spans="1:161" x14ac:dyDescent="0.25">
      <c r="A441" s="7">
        <f t="shared" si="302"/>
        <v>56522</v>
      </c>
      <c r="B441">
        <f t="shared" si="283"/>
        <v>430</v>
      </c>
      <c r="C441">
        <f t="shared" si="333"/>
        <v>35.75</v>
      </c>
      <c r="D441">
        <f t="shared" si="334"/>
        <v>0</v>
      </c>
      <c r="E441">
        <f t="shared" si="286"/>
        <v>87</v>
      </c>
      <c r="F441">
        <f>IF(C441&gt;=$T$2,0,VLOOKUP($E441,EKM_F05!$A$3:$C$128,2,TRUE))</f>
        <v>0.11373346153846153</v>
      </c>
      <c r="G441">
        <f>F441*'Real assumptions'!$B$3</f>
        <v>4.7460973499999996E-2</v>
      </c>
      <c r="H441">
        <f t="shared" si="335"/>
        <v>4.0438183338742384E-3</v>
      </c>
      <c r="I441">
        <f t="shared" si="336"/>
        <v>5.0982224828415479E-4</v>
      </c>
      <c r="J441">
        <f>IF(B441&gt;$AJ$2,0,HLOOKUP(C441,'Real assumptions'!$B$5:$L$8,4,TRUE))</f>
        <v>3.7900000000000003E-2</v>
      </c>
      <c r="K441">
        <f t="shared" si="273"/>
        <v>1</v>
      </c>
      <c r="L441">
        <f t="shared" si="305"/>
        <v>8.3333333333333329E-2</v>
      </c>
      <c r="M441">
        <f t="shared" si="337"/>
        <v>3.2145624959929453E-3</v>
      </c>
      <c r="N441">
        <f t="shared" si="338"/>
        <v>4.0510595049914982E-4</v>
      </c>
      <c r="O441" s="8">
        <f t="shared" si="287"/>
        <v>0.12536250392946049</v>
      </c>
      <c r="P441">
        <f t="shared" si="288"/>
        <v>3.030658371077851</v>
      </c>
      <c r="Q441">
        <f t="shared" si="308"/>
        <v>2.5491112414207739</v>
      </c>
      <c r="R441" s="89">
        <f t="shared" si="274"/>
        <v>5000</v>
      </c>
      <c r="S441">
        <f t="shared" si="275"/>
        <v>0.1666666666666643</v>
      </c>
      <c r="U441">
        <f>O440*AV440*'Real assumptions'!$B$33/12+AX441*'Real assumptions'!$B$34</f>
        <v>2.0205451917724648</v>
      </c>
      <c r="V441">
        <f>IF(P441=0,0,IF(E441&lt;=$C$7,$AN$5*O440,0))*'Real assumptions'!$D$28</f>
        <v>0</v>
      </c>
      <c r="X441" s="94">
        <f t="shared" si="289"/>
        <v>0</v>
      </c>
      <c r="Y441">
        <f t="shared" si="276"/>
        <v>24</v>
      </c>
      <c r="Z441">
        <f t="shared" si="309"/>
        <v>63</v>
      </c>
      <c r="AA441">
        <f t="shared" si="277"/>
        <v>63.166666666666664</v>
      </c>
      <c r="AB441">
        <f t="shared" si="290"/>
        <v>50.505050505050505</v>
      </c>
      <c r="AC441">
        <f t="shared" si="339"/>
        <v>3190.2356902356901</v>
      </c>
      <c r="AD441">
        <f t="shared" si="291"/>
        <v>80.505050505050505</v>
      </c>
      <c r="AE441">
        <f t="shared" si="292"/>
        <v>254.2617845117845</v>
      </c>
      <c r="AF441" s="94">
        <f t="shared" si="293"/>
        <v>1555.5025252525254</v>
      </c>
      <c r="AG441">
        <f t="shared" si="311"/>
        <v>0.63014332899625214</v>
      </c>
      <c r="AH441">
        <f t="shared" si="294"/>
        <v>195.00169143425543</v>
      </c>
      <c r="AI441">
        <f>HLOOKUP(AW441,'Real assumptions'!$A$21:$AK$24,2,TRUE)</f>
        <v>0</v>
      </c>
      <c r="AJ441" s="123">
        <f t="shared" si="340"/>
        <v>0</v>
      </c>
      <c r="AK441" s="122">
        <f>(1+HLOOKUP(YEAR(A441),'Real assumptions'!$A$21:$AK$24,2,TRUE)/100)^(1/12)-1</f>
        <v>0</v>
      </c>
      <c r="AL441">
        <f t="shared" si="313"/>
        <v>2.0205451917724648</v>
      </c>
      <c r="AM441">
        <f>('Real assumptions'!$B$33/12)*O440*AV440</f>
        <v>1.9667472238753685</v>
      </c>
      <c r="AN441">
        <f t="shared" si="295"/>
        <v>196.86114885053954</v>
      </c>
      <c r="AO441">
        <f t="shared" si="341"/>
        <v>0</v>
      </c>
      <c r="AP441" s="121">
        <f t="shared" si="296"/>
        <v>0</v>
      </c>
      <c r="AQ441">
        <f t="shared" si="297"/>
        <v>0</v>
      </c>
      <c r="AR441">
        <v>0</v>
      </c>
      <c r="AS441">
        <f t="shared" si="278"/>
        <v>0</v>
      </c>
      <c r="AT441">
        <f t="shared" si="298"/>
        <v>0</v>
      </c>
      <c r="AU441">
        <f>IFERROR(HLOOKUP(B441,'Real assumptions'!$B$43:$AL$44,2,TRUE)*($W$3/$U$2),0)</f>
        <v>0</v>
      </c>
      <c r="AV441">
        <f>AV440*(1+'Real assumptions'!$B$35)^(1/12)</f>
        <v>1.5590943221548681</v>
      </c>
      <c r="AW441">
        <f t="shared" si="279"/>
        <v>2054</v>
      </c>
      <c r="AX441">
        <f t="shared" si="314"/>
        <v>196.38250634517456</v>
      </c>
      <c r="AY441">
        <f t="shared" si="315"/>
        <v>0.53147067394042002</v>
      </c>
      <c r="AZ441">
        <f t="shared" si="280"/>
        <v>440.24117138345906</v>
      </c>
      <c r="BA441">
        <f t="shared" si="299"/>
        <v>3.1792545704170259</v>
      </c>
      <c r="BB441">
        <f t="shared" si="300"/>
        <v>63.166666666666664</v>
      </c>
      <c r="BC441">
        <f t="shared" si="281"/>
        <v>37.9</v>
      </c>
      <c r="BD441">
        <f t="shared" si="301"/>
        <v>0</v>
      </c>
      <c r="BE441">
        <f t="shared" si="282"/>
        <v>24</v>
      </c>
      <c r="BF441">
        <f t="shared" si="316"/>
        <v>5000</v>
      </c>
      <c r="BQ441" s="124"/>
      <c r="BT441" s="124"/>
      <c r="BU441"/>
      <c r="BW441" s="124"/>
      <c r="CD441" s="124"/>
      <c r="CG441" s="124"/>
      <c r="DB441" s="124"/>
      <c r="DC441" s="123"/>
      <c r="DN441" s="124"/>
      <c r="DW441" s="89"/>
      <c r="DX441" s="89"/>
      <c r="FD441"/>
      <c r="FE441"/>
    </row>
    <row r="442" spans="1:161" x14ac:dyDescent="0.25">
      <c r="A442" s="7">
        <f t="shared" si="302"/>
        <v>56553</v>
      </c>
      <c r="B442">
        <f t="shared" si="283"/>
        <v>431</v>
      </c>
      <c r="C442">
        <f t="shared" si="333"/>
        <v>35.833333333333336</v>
      </c>
      <c r="D442">
        <f t="shared" si="334"/>
        <v>0</v>
      </c>
      <c r="E442">
        <f t="shared" si="286"/>
        <v>87</v>
      </c>
      <c r="F442">
        <f>IF(C442&gt;=$T$2,0,VLOOKUP($E442,EKM_F05!$A$3:$C$128,2,TRUE))</f>
        <v>0.11373346153846153</v>
      </c>
      <c r="G442">
        <f>F442*'Real assumptions'!$B$3</f>
        <v>4.7460973499999996E-2</v>
      </c>
      <c r="H442">
        <f t="shared" si="335"/>
        <v>4.0438183338742384E-3</v>
      </c>
      <c r="I442">
        <f t="shared" si="336"/>
        <v>5.0612839148440165E-4</v>
      </c>
      <c r="J442">
        <f>IF(B442&gt;$AJ$2,0,HLOOKUP(C442,'Real assumptions'!$B$5:$L$8,4,TRUE))</f>
        <v>3.7900000000000003E-2</v>
      </c>
      <c r="K442">
        <f t="shared" si="273"/>
        <v>1</v>
      </c>
      <c r="L442">
        <f t="shared" si="305"/>
        <v>8.3333333333333329E-2</v>
      </c>
      <c r="M442">
        <f t="shared" si="337"/>
        <v>3.2145624959929453E-3</v>
      </c>
      <c r="N442">
        <f t="shared" si="338"/>
        <v>4.0217080324947999E-4</v>
      </c>
      <c r="O442" s="8">
        <f t="shared" si="287"/>
        <v>0.12445420473472663</v>
      </c>
      <c r="P442">
        <f t="shared" si="288"/>
        <v>3.0087000943070521</v>
      </c>
      <c r="Q442">
        <f t="shared" si="308"/>
        <v>2.530641957422008</v>
      </c>
      <c r="R442" s="89">
        <f t="shared" si="274"/>
        <v>5000</v>
      </c>
      <c r="S442">
        <f t="shared" si="275"/>
        <v>8.3333333333335702E-2</v>
      </c>
      <c r="U442">
        <f>O441*AV441*'Real assumptions'!$B$33/12+AX442*'Real assumptions'!$B$34</f>
        <v>2.0080839204475516</v>
      </c>
      <c r="V442">
        <f>IF(P442=0,0,IF(E442&lt;=$C$7,$AN$5*O441,0))*'Real assumptions'!$D$28</f>
        <v>0</v>
      </c>
      <c r="X442" s="94">
        <f t="shared" si="289"/>
        <v>0</v>
      </c>
      <c r="Y442">
        <f t="shared" si="276"/>
        <v>24</v>
      </c>
      <c r="Z442">
        <f t="shared" si="309"/>
        <v>63</v>
      </c>
      <c r="AA442">
        <f t="shared" si="277"/>
        <v>63.083333333333336</v>
      </c>
      <c r="AB442">
        <f t="shared" si="290"/>
        <v>50.505050505050505</v>
      </c>
      <c r="AC442">
        <f t="shared" si="339"/>
        <v>3186.0269360269363</v>
      </c>
      <c r="AD442">
        <f t="shared" si="291"/>
        <v>80.505050505050505</v>
      </c>
      <c r="AE442">
        <f t="shared" si="292"/>
        <v>253.9263468013468</v>
      </c>
      <c r="AF442" s="94">
        <f t="shared" si="293"/>
        <v>1560.0467171717169</v>
      </c>
      <c r="AG442">
        <f t="shared" si="311"/>
        <v>0.62740524135166365</v>
      </c>
      <c r="AH442">
        <f t="shared" si="294"/>
        <v>194.15437353462701</v>
      </c>
      <c r="AI442">
        <f>HLOOKUP(AW442,'Real assumptions'!$A$21:$AK$24,2,TRUE)</f>
        <v>0</v>
      </c>
      <c r="AJ442" s="123">
        <f t="shared" si="340"/>
        <v>0</v>
      </c>
      <c r="AK442" s="122">
        <f>(1+HLOOKUP(YEAR(A442),'Real assumptions'!$A$21:$AK$24,2,TRUE)/100)^(1/12)-1</f>
        <v>0</v>
      </c>
      <c r="AL442">
        <f t="shared" si="313"/>
        <v>2.0080839204475516</v>
      </c>
      <c r="AM442">
        <f>('Real assumptions'!$B$33/12)*O441*AV441</f>
        <v>1.954519680875392</v>
      </c>
      <c r="AN442">
        <f t="shared" si="295"/>
        <v>196.00230760811493</v>
      </c>
      <c r="AO442">
        <f t="shared" si="341"/>
        <v>0</v>
      </c>
      <c r="AP442" s="121">
        <f t="shared" si="296"/>
        <v>0</v>
      </c>
      <c r="AQ442">
        <f t="shared" si="297"/>
        <v>0</v>
      </c>
      <c r="AR442">
        <v>0</v>
      </c>
      <c r="AS442">
        <f t="shared" si="278"/>
        <v>0</v>
      </c>
      <c r="AT442">
        <f t="shared" si="298"/>
        <v>0</v>
      </c>
      <c r="AU442">
        <f>IFERROR(HLOOKUP(B442,'Real assumptions'!$B$43:$AL$44,2,TRUE)*($W$3/$U$2),0)</f>
        <v>0</v>
      </c>
      <c r="AV442">
        <f>AV441*(1+'Real assumptions'!$B$35)^(1/12)</f>
        <v>1.5607091478855788</v>
      </c>
      <c r="AW442">
        <f t="shared" si="279"/>
        <v>2054</v>
      </c>
      <c r="AX442">
        <f t="shared" si="314"/>
        <v>195.52931140028852</v>
      </c>
      <c r="AY442">
        <f t="shared" si="315"/>
        <v>0.52761996603308281</v>
      </c>
      <c r="AZ442">
        <f t="shared" si="280"/>
        <v>438.0837403585449</v>
      </c>
      <c r="BA442">
        <f t="shared" si="299"/>
        <v>3.1580471987736716</v>
      </c>
      <c r="BB442">
        <f t="shared" si="300"/>
        <v>63.083333333333336</v>
      </c>
      <c r="BC442">
        <f t="shared" si="281"/>
        <v>37.85</v>
      </c>
      <c r="BD442">
        <f t="shared" si="301"/>
        <v>0</v>
      </c>
      <c r="BE442">
        <f t="shared" si="282"/>
        <v>24</v>
      </c>
      <c r="BF442">
        <f t="shared" si="316"/>
        <v>5000</v>
      </c>
      <c r="BQ442" s="124"/>
      <c r="BT442" s="124"/>
      <c r="BU442"/>
      <c r="BW442" s="124"/>
      <c r="CD442" s="124"/>
      <c r="CG442" s="124"/>
      <c r="DB442" s="124"/>
      <c r="DC442" s="123"/>
      <c r="DN442" s="124"/>
      <c r="DW442" s="89"/>
      <c r="DX442" s="89"/>
      <c r="FD442"/>
      <c r="FE442"/>
    </row>
    <row r="443" spans="1:161" x14ac:dyDescent="0.25">
      <c r="A443" s="7">
        <f t="shared" si="302"/>
        <v>56583</v>
      </c>
      <c r="B443">
        <f t="shared" si="283"/>
        <v>432</v>
      </c>
      <c r="C443">
        <f t="shared" si="333"/>
        <v>35.916666666666664</v>
      </c>
      <c r="D443">
        <f t="shared" si="334"/>
        <v>0</v>
      </c>
      <c r="E443">
        <f t="shared" si="286"/>
        <v>87</v>
      </c>
      <c r="F443">
        <f>IF(C443&gt;=$T$2,0,VLOOKUP($E443,EKM_F05!$A$3:$C$128,2,TRUE))</f>
        <v>0.11373346153846153</v>
      </c>
      <c r="G443">
        <f>F443*'Real assumptions'!$B$3</f>
        <v>4.7460973499999996E-2</v>
      </c>
      <c r="H443">
        <f t="shared" si="335"/>
        <v>4.0438183338742384E-3</v>
      </c>
      <c r="I443">
        <f t="shared" si="336"/>
        <v>5.0246129808719333E-4</v>
      </c>
      <c r="J443">
        <f>IF(B443&gt;$AJ$2,0,HLOOKUP(C443,'Real assumptions'!$B$5:$L$8,4,TRUE))</f>
        <v>3.7900000000000003E-2</v>
      </c>
      <c r="K443">
        <f t="shared" si="273"/>
        <v>1</v>
      </c>
      <c r="L443">
        <f t="shared" si="305"/>
        <v>8.3333333333333329E-2</v>
      </c>
      <c r="M443">
        <f t="shared" si="337"/>
        <v>3.2145624959929453E-3</v>
      </c>
      <c r="N443">
        <f t="shared" si="338"/>
        <v>3.9925692226204762E-4</v>
      </c>
      <c r="O443" s="8">
        <f t="shared" si="287"/>
        <v>0.12355248651437739</v>
      </c>
      <c r="P443">
        <f t="shared" si="288"/>
        <v>2.986900913633439</v>
      </c>
      <c r="Q443">
        <f t="shared" si="308"/>
        <v>2.5123064904359667</v>
      </c>
      <c r="R443" s="89">
        <f t="shared" si="274"/>
        <v>5000</v>
      </c>
      <c r="S443">
        <f t="shared" si="275"/>
        <v>1</v>
      </c>
      <c r="U443">
        <f>O442*AV442*'Real assumptions'!$B$33/12+AX443*'Real assumptions'!$B$34</f>
        <v>1.9956992322179625</v>
      </c>
      <c r="V443">
        <f>IF(P443=0,0,IF(E443&lt;=$C$7,$AN$5*O442,0))*'Real assumptions'!$D$28</f>
        <v>0</v>
      </c>
      <c r="X443" s="94">
        <f t="shared" si="289"/>
        <v>0</v>
      </c>
      <c r="Y443">
        <f t="shared" si="276"/>
        <v>24</v>
      </c>
      <c r="Z443">
        <f t="shared" si="309"/>
        <v>63</v>
      </c>
      <c r="AA443">
        <f t="shared" si="277"/>
        <v>63</v>
      </c>
      <c r="AB443">
        <f t="shared" si="290"/>
        <v>50.505050505050505</v>
      </c>
      <c r="AC443">
        <f t="shared" si="339"/>
        <v>3181.818181818182</v>
      </c>
      <c r="AD443">
        <f t="shared" si="291"/>
        <v>80.505050505050505</v>
      </c>
      <c r="AE443">
        <f t="shared" si="292"/>
        <v>253.59090909090909</v>
      </c>
      <c r="AF443" s="94">
        <f t="shared" si="293"/>
        <v>1564.590909090909</v>
      </c>
      <c r="AG443">
        <f t="shared" si="311"/>
        <v>0.62467375096281541</v>
      </c>
      <c r="AH443">
        <f t="shared" si="294"/>
        <v>193.30909719597199</v>
      </c>
      <c r="AI443">
        <f>HLOOKUP(AW443,'Real assumptions'!$A$21:$AK$24,2,TRUE)</f>
        <v>0</v>
      </c>
      <c r="AJ443" s="123">
        <f t="shared" si="340"/>
        <v>0</v>
      </c>
      <c r="AK443" s="122">
        <f>(1+HLOOKUP(YEAR(A443),'Real assumptions'!$A$21:$AK$24,2,TRUE)/100)^(1/12)-1</f>
        <v>0</v>
      </c>
      <c r="AL443">
        <f t="shared" si="313"/>
        <v>1.9956992322179625</v>
      </c>
      <c r="AM443">
        <f>('Real assumptions'!$B$33/12)*O442*AV442</f>
        <v>1.9423681582231254</v>
      </c>
      <c r="AN443">
        <f t="shared" si="295"/>
        <v>195.14557521604249</v>
      </c>
      <c r="AO443">
        <f t="shared" si="341"/>
        <v>0</v>
      </c>
      <c r="AP443" s="121">
        <f t="shared" si="296"/>
        <v>0</v>
      </c>
      <c r="AQ443">
        <f t="shared" si="297"/>
        <v>0</v>
      </c>
      <c r="AR443">
        <v>0</v>
      </c>
      <c r="AS443">
        <f t="shared" si="278"/>
        <v>0</v>
      </c>
      <c r="AT443">
        <f t="shared" si="298"/>
        <v>0</v>
      </c>
      <c r="AU443">
        <f>IFERROR(HLOOKUP(B443,'Real assumptions'!$B$43:$AL$44,2,TRUE)*($W$3/$U$2),0)</f>
        <v>0</v>
      </c>
      <c r="AV443">
        <f>AV442*(1+'Real assumptions'!$B$35)^(1/12)</f>
        <v>1.5623256461656045</v>
      </c>
      <c r="AW443">
        <f t="shared" si="279"/>
        <v>2054</v>
      </c>
      <c r="AX443">
        <f t="shared" si="314"/>
        <v>194.67817069260144</v>
      </c>
      <c r="AY443">
        <f t="shared" si="315"/>
        <v>0.5237971579744386</v>
      </c>
      <c r="AZ443">
        <f t="shared" si="280"/>
        <v>435.93796179856162</v>
      </c>
      <c r="BA443">
        <f t="shared" si="299"/>
        <v>3.1369802413987822</v>
      </c>
      <c r="BB443">
        <f t="shared" si="300"/>
        <v>63</v>
      </c>
      <c r="BC443">
        <f t="shared" si="281"/>
        <v>37.799999999999997</v>
      </c>
      <c r="BD443">
        <f t="shared" si="301"/>
        <v>0</v>
      </c>
      <c r="BE443">
        <f t="shared" si="282"/>
        <v>24</v>
      </c>
      <c r="BF443">
        <f t="shared" si="316"/>
        <v>5000</v>
      </c>
      <c r="BQ443" s="124"/>
      <c r="BT443" s="124"/>
      <c r="BU443"/>
      <c r="BW443" s="124"/>
      <c r="CD443" s="124"/>
      <c r="CG443" s="124"/>
      <c r="DB443" s="124"/>
      <c r="DC443" s="123"/>
      <c r="DN443" s="124"/>
      <c r="DW443" s="89"/>
      <c r="DX443" s="89"/>
      <c r="FD443"/>
      <c r="FE443"/>
    </row>
    <row r="444" spans="1:161" x14ac:dyDescent="0.25">
      <c r="A444" s="7">
        <f t="shared" si="302"/>
        <v>56614</v>
      </c>
      <c r="B444">
        <f t="shared" si="283"/>
        <v>433</v>
      </c>
      <c r="C444">
        <f t="shared" si="333"/>
        <v>36</v>
      </c>
      <c r="D444">
        <f t="shared" si="334"/>
        <v>1</v>
      </c>
      <c r="E444">
        <f t="shared" si="286"/>
        <v>88</v>
      </c>
      <c r="F444">
        <f>IF(C444&gt;=$T$2,0,VLOOKUP($E444,EKM_F05!$A$3:$C$128,2,TRUE))</f>
        <v>0.12475974358974358</v>
      </c>
      <c r="G444">
        <f>F444*'Real assumptions'!$B$3</f>
        <v>5.2062240999999995E-2</v>
      </c>
      <c r="H444">
        <f t="shared" si="335"/>
        <v>4.4456249862347974E-3</v>
      </c>
      <c r="I444">
        <f t="shared" si="336"/>
        <v>5.4838519296921979E-4</v>
      </c>
      <c r="J444">
        <f>IF(B444&gt;$AJ$2,0,HLOOKUP(C444,'Real assumptions'!$B$5:$L$8,4,TRUE))</f>
        <v>3.7900000000000003E-2</v>
      </c>
      <c r="K444">
        <f t="shared" si="273"/>
        <v>1</v>
      </c>
      <c r="L444">
        <f t="shared" si="305"/>
        <v>8.3333333333333329E-2</v>
      </c>
      <c r="M444">
        <f t="shared" si="337"/>
        <v>3.2145624959929453E-3</v>
      </c>
      <c r="N444">
        <f t="shared" si="338"/>
        <v>3.9628436124525745E-4</v>
      </c>
      <c r="O444" s="8">
        <f t="shared" si="287"/>
        <v>0.12260781696016292</v>
      </c>
      <c r="P444">
        <f t="shared" si="288"/>
        <v>2.9652596763450574</v>
      </c>
      <c r="Q444">
        <f t="shared" si="308"/>
        <v>2.7419259648460987</v>
      </c>
      <c r="R444" s="89">
        <f t="shared" si="274"/>
        <v>5000</v>
      </c>
      <c r="S444">
        <f t="shared" si="275"/>
        <v>0.9166666666666643</v>
      </c>
      <c r="U444">
        <f>O443*AV443*'Real assumptions'!$B$33/12+AX444*'Real assumptions'!$B$34</f>
        <v>1.9833906585696019</v>
      </c>
      <c r="V444">
        <f>IF(P444=0,0,IF(E444&lt;=$C$7,$AN$5*O443,0))*'Real assumptions'!$D$28</f>
        <v>0</v>
      </c>
      <c r="X444" s="94">
        <f t="shared" si="289"/>
        <v>0</v>
      </c>
      <c r="Y444">
        <f t="shared" si="276"/>
        <v>24</v>
      </c>
      <c r="Z444">
        <f t="shared" si="309"/>
        <v>63</v>
      </c>
      <c r="AA444">
        <f t="shared" si="277"/>
        <v>62.916666666666664</v>
      </c>
      <c r="AB444">
        <f t="shared" si="290"/>
        <v>50.505050505050505</v>
      </c>
      <c r="AC444">
        <f t="shared" si="339"/>
        <v>3177.6094276094277</v>
      </c>
      <c r="AD444">
        <f t="shared" si="291"/>
        <v>80.505050505050505</v>
      </c>
      <c r="AE444">
        <f t="shared" si="292"/>
        <v>253.25547138047136</v>
      </c>
      <c r="AF444" s="94">
        <f t="shared" si="293"/>
        <v>1569.1351010101009</v>
      </c>
      <c r="AG444">
        <f t="shared" si="311"/>
        <v>0.62182370121130037</v>
      </c>
      <c r="AH444">
        <f t="shared" si="294"/>
        <v>192.38822925041319</v>
      </c>
      <c r="AI444">
        <f>HLOOKUP(AW444,'Real assumptions'!$A$21:$AK$24,2,TRUE)</f>
        <v>0</v>
      </c>
      <c r="AJ444" s="123">
        <f t="shared" si="340"/>
        <v>0</v>
      </c>
      <c r="AK444" s="122">
        <f>(1+HLOOKUP(YEAR(A444),'Real assumptions'!$A$21:$AK$24,2,TRUE)/100)^(1/12)-1</f>
        <v>0</v>
      </c>
      <c r="AL444">
        <f t="shared" si="313"/>
        <v>1.9833906585696019</v>
      </c>
      <c r="AM444">
        <f>('Real assumptions'!$B$33/12)*O443*AV443</f>
        <v>1.9302921832894178</v>
      </c>
      <c r="AN444">
        <f t="shared" si="295"/>
        <v>194.29096621374745</v>
      </c>
      <c r="AO444">
        <f t="shared" si="341"/>
        <v>0</v>
      </c>
      <c r="AP444" s="121">
        <f t="shared" si="296"/>
        <v>0</v>
      </c>
      <c r="AQ444">
        <f t="shared" si="297"/>
        <v>0</v>
      </c>
      <c r="AR444">
        <v>0</v>
      </c>
      <c r="AS444">
        <f t="shared" si="278"/>
        <v>0</v>
      </c>
      <c r="AT444">
        <f t="shared" si="298"/>
        <v>0</v>
      </c>
      <c r="AU444">
        <f>IFERROR(HLOOKUP(B444,'Real assumptions'!$B$43:$AL$44,2,TRUE)*($W$3/$U$2),0)</f>
        <v>0</v>
      </c>
      <c r="AV444">
        <f>AV443*(1+'Real assumptions'!$B$35)^(1/12)</f>
        <v>1.5639438187272816</v>
      </c>
      <c r="AW444">
        <f t="shared" si="279"/>
        <v>2054</v>
      </c>
      <c r="AX444">
        <f t="shared" si="314"/>
        <v>193.82909924359143</v>
      </c>
      <c r="AY444">
        <f t="shared" si="315"/>
        <v>0.52000204761943347</v>
      </c>
      <c r="AZ444">
        <f t="shared" si="280"/>
        <v>433.55608115027968</v>
      </c>
      <c r="BA444">
        <f t="shared" si="299"/>
        <v>3.3637496660573989</v>
      </c>
      <c r="BB444">
        <f t="shared" si="300"/>
        <v>62.916666666666664</v>
      </c>
      <c r="BC444">
        <f t="shared" si="281"/>
        <v>37.75</v>
      </c>
      <c r="BD444">
        <f t="shared" si="301"/>
        <v>0</v>
      </c>
      <c r="BE444">
        <f t="shared" si="282"/>
        <v>24</v>
      </c>
      <c r="BF444">
        <f t="shared" si="316"/>
        <v>5000</v>
      </c>
      <c r="BQ444" s="124"/>
      <c r="BT444" s="124"/>
      <c r="BU444"/>
      <c r="BW444" s="124"/>
      <c r="CD444" s="124"/>
      <c r="CG444" s="124"/>
      <c r="DB444" s="124"/>
      <c r="DC444" s="123"/>
      <c r="DN444" s="124"/>
      <c r="DW444" s="89"/>
      <c r="DX444" s="89"/>
      <c r="FD444"/>
      <c r="FE444"/>
    </row>
    <row r="445" spans="1:161" x14ac:dyDescent="0.25">
      <c r="A445" s="7">
        <f t="shared" si="302"/>
        <v>56645</v>
      </c>
      <c r="B445">
        <f t="shared" si="283"/>
        <v>434</v>
      </c>
      <c r="C445">
        <f t="shared" si="333"/>
        <v>36.083333333333336</v>
      </c>
      <c r="D445">
        <f t="shared" si="334"/>
        <v>0</v>
      </c>
      <c r="E445">
        <f t="shared" si="286"/>
        <v>88</v>
      </c>
      <c r="F445">
        <f>IF(C445&gt;=$T$2,0,VLOOKUP($E445,EKM_F05!$A$3:$C$128,2,TRUE))</f>
        <v>0.12475974358974358</v>
      </c>
      <c r="G445">
        <f>F445*'Real assumptions'!$B$3</f>
        <v>5.2062240999999995E-2</v>
      </c>
      <c r="H445">
        <f t="shared" si="335"/>
        <v>4.4456249862347974E-3</v>
      </c>
      <c r="I445">
        <f t="shared" si="336"/>
        <v>5.4419229640845516E-4</v>
      </c>
      <c r="J445">
        <f>IF(B445&gt;$AJ$2,0,HLOOKUP(C445,'Real assumptions'!$B$5:$L$8,4,TRUE))</f>
        <v>3.7900000000000003E-2</v>
      </c>
      <c r="K445">
        <f t="shared" si="273"/>
        <v>1</v>
      </c>
      <c r="L445">
        <f t="shared" si="305"/>
        <v>8.3333333333333329E-2</v>
      </c>
      <c r="M445">
        <f t="shared" si="337"/>
        <v>3.2145624959929453E-3</v>
      </c>
      <c r="N445">
        <f t="shared" si="338"/>
        <v>3.9325441193835978E-4</v>
      </c>
      <c r="O445" s="8">
        <f t="shared" si="287"/>
        <v>0.12167037025181611</v>
      </c>
      <c r="P445">
        <f t="shared" si="288"/>
        <v>2.9425876070439099</v>
      </c>
      <c r="Q445">
        <f t="shared" si="308"/>
        <v>2.7209614820422758</v>
      </c>
      <c r="R445" s="89">
        <f t="shared" si="274"/>
        <v>5000</v>
      </c>
      <c r="S445">
        <f t="shared" si="275"/>
        <v>0.8333333333333357</v>
      </c>
      <c r="U445">
        <f>O444*AV444*'Real assumptions'!$B$33/12+AX445*'Real assumptions'!$B$34</f>
        <v>1.9703624937408137</v>
      </c>
      <c r="V445">
        <f>IF(P445=0,0,IF(E445&lt;=$C$7,$AN$5*O444,0))*'Real assumptions'!$D$28</f>
        <v>0</v>
      </c>
      <c r="X445" s="94">
        <f t="shared" si="289"/>
        <v>0</v>
      </c>
      <c r="Y445">
        <f t="shared" si="276"/>
        <v>24</v>
      </c>
      <c r="Z445">
        <f t="shared" si="309"/>
        <v>62</v>
      </c>
      <c r="AA445">
        <f t="shared" si="277"/>
        <v>62.833333333333336</v>
      </c>
      <c r="AB445">
        <f t="shared" si="290"/>
        <v>50.505050505050505</v>
      </c>
      <c r="AC445">
        <f t="shared" si="339"/>
        <v>3173.4006734006734</v>
      </c>
      <c r="AD445">
        <f t="shared" si="291"/>
        <v>80.505050505050505</v>
      </c>
      <c r="AE445">
        <f t="shared" si="292"/>
        <v>252.92003367003366</v>
      </c>
      <c r="AF445" s="94">
        <f t="shared" si="293"/>
        <v>1573.6792929292928</v>
      </c>
      <c r="AG445">
        <f t="shared" si="311"/>
        <v>0.61885632492048293</v>
      </c>
      <c r="AH445">
        <f t="shared" si="294"/>
        <v>191.47014222832325</v>
      </c>
      <c r="AI445">
        <f>HLOOKUP(AW445,'Real assumptions'!$A$21:$AK$24,2,TRUE)</f>
        <v>0</v>
      </c>
      <c r="AJ445" s="123">
        <f t="shared" si="340"/>
        <v>0</v>
      </c>
      <c r="AK445" s="122">
        <f>(1+HLOOKUP(YEAR(A445),'Real assumptions'!$A$21:$AK$24,2,TRUE)/100)^(1/12)-1</f>
        <v>0</v>
      </c>
      <c r="AL445">
        <f t="shared" si="313"/>
        <v>1.9703624937408137</v>
      </c>
      <c r="AM445">
        <f>('Real assumptions'!$B$33/12)*O444*AV444</f>
        <v>1.9175173746249277</v>
      </c>
      <c r="AN445">
        <f t="shared" si="295"/>
        <v>193.36045436371629</v>
      </c>
      <c r="AO445">
        <f t="shared" si="341"/>
        <v>0</v>
      </c>
      <c r="AP445" s="121">
        <f t="shared" si="296"/>
        <v>0</v>
      </c>
      <c r="AQ445">
        <f t="shared" si="297"/>
        <v>0</v>
      </c>
      <c r="AR445">
        <v>0</v>
      </c>
      <c r="AS445">
        <f t="shared" si="278"/>
        <v>0</v>
      </c>
      <c r="AT445">
        <f t="shared" si="298"/>
        <v>0</v>
      </c>
      <c r="AU445">
        <f>IFERROR(HLOOKUP(B445,'Real assumptions'!$B$43:$AL$44,2,TRUE)*($W$3/$U$2),0)</f>
        <v>0</v>
      </c>
      <c r="AV445">
        <f>AV444*(1+'Real assumptions'!$B$35)^(1/12)</f>
        <v>1.5655636673047406</v>
      </c>
      <c r="AW445">
        <f t="shared" si="279"/>
        <v>2055</v>
      </c>
      <c r="AX445">
        <f t="shared" si="314"/>
        <v>192.90425541607044</v>
      </c>
      <c r="AY445">
        <f t="shared" si="315"/>
        <v>0.51602616565725135</v>
      </c>
      <c r="AZ445">
        <f t="shared" si="280"/>
        <v>431.18848845662001</v>
      </c>
      <c r="BA445">
        <f t="shared" si="299"/>
        <v>3.3398178069627589</v>
      </c>
      <c r="BB445">
        <f t="shared" si="300"/>
        <v>62.833333333333336</v>
      </c>
      <c r="BC445">
        <f t="shared" si="281"/>
        <v>37.700000000000003</v>
      </c>
      <c r="BD445">
        <f t="shared" si="301"/>
        <v>0</v>
      </c>
      <c r="BE445">
        <f t="shared" si="282"/>
        <v>24</v>
      </c>
      <c r="BF445">
        <f t="shared" si="316"/>
        <v>5000</v>
      </c>
      <c r="BU445"/>
      <c r="DN445" s="124"/>
      <c r="DW445" s="89"/>
      <c r="DX445" s="89"/>
      <c r="FD445"/>
      <c r="FE445"/>
    </row>
    <row r="446" spans="1:161" x14ac:dyDescent="0.25">
      <c r="A446" s="7">
        <f t="shared" si="302"/>
        <v>56673</v>
      </c>
      <c r="B446">
        <f t="shared" si="283"/>
        <v>435</v>
      </c>
      <c r="C446">
        <f t="shared" si="333"/>
        <v>36.166666666666664</v>
      </c>
      <c r="D446">
        <f t="shared" si="334"/>
        <v>0</v>
      </c>
      <c r="E446">
        <f t="shared" si="286"/>
        <v>88</v>
      </c>
      <c r="F446">
        <f>IF(C446&gt;=$T$2,0,VLOOKUP($E446,EKM_F05!$A$3:$C$128,2,TRUE))</f>
        <v>0.12475974358974358</v>
      </c>
      <c r="G446">
        <f>F446*'Real assumptions'!$B$3</f>
        <v>5.2062240999999995E-2</v>
      </c>
      <c r="H446">
        <f t="shared" si="335"/>
        <v>4.4456249862347974E-3</v>
      </c>
      <c r="I446">
        <f t="shared" si="336"/>
        <v>5.4003145830184771E-4</v>
      </c>
      <c r="J446">
        <f>IF(B446&gt;$AJ$2,0,HLOOKUP(C446,'Real assumptions'!$B$5:$L$8,4,TRUE))</f>
        <v>3.7900000000000003E-2</v>
      </c>
      <c r="K446">
        <f t="shared" si="273"/>
        <v>1</v>
      </c>
      <c r="L446">
        <f t="shared" si="305"/>
        <v>8.3333333333333329E-2</v>
      </c>
      <c r="M446">
        <f t="shared" si="337"/>
        <v>3.2145624959929453E-3</v>
      </c>
      <c r="N446">
        <f t="shared" si="338"/>
        <v>3.902476293109988E-4</v>
      </c>
      <c r="O446" s="8">
        <f t="shared" si="287"/>
        <v>0.12074009116420326</v>
      </c>
      <c r="P446">
        <f t="shared" si="288"/>
        <v>2.9200888860435867</v>
      </c>
      <c r="Q446">
        <f t="shared" si="308"/>
        <v>2.7001572915092384</v>
      </c>
      <c r="R446" s="89">
        <f t="shared" si="274"/>
        <v>5000</v>
      </c>
      <c r="S446">
        <f t="shared" si="275"/>
        <v>0.75</v>
      </c>
      <c r="U446">
        <f>O445*AV445*'Real assumptions'!$B$33/12+AX446*'Real assumptions'!$B$34</f>
        <v>1.9574196436364197</v>
      </c>
      <c r="V446">
        <f>IF(P446=0,0,IF(E446&lt;=$C$7,$AN$5*O445,0))*'Real assumptions'!$D$28</f>
        <v>0</v>
      </c>
      <c r="X446" s="94">
        <f t="shared" si="289"/>
        <v>0</v>
      </c>
      <c r="Y446">
        <f t="shared" si="276"/>
        <v>24</v>
      </c>
      <c r="Z446">
        <f t="shared" si="309"/>
        <v>62</v>
      </c>
      <c r="AA446">
        <f t="shared" si="277"/>
        <v>62.75</v>
      </c>
      <c r="AB446">
        <f t="shared" si="290"/>
        <v>50.505050505050505</v>
      </c>
      <c r="AC446">
        <f t="shared" si="339"/>
        <v>3169.1919191919192</v>
      </c>
      <c r="AD446">
        <f t="shared" si="291"/>
        <v>80.505050505050505</v>
      </c>
      <c r="AE446">
        <f t="shared" si="292"/>
        <v>252.58459595959596</v>
      </c>
      <c r="AF446" s="94">
        <f t="shared" si="293"/>
        <v>1578.223484848485</v>
      </c>
      <c r="AG446">
        <f t="shared" si="311"/>
        <v>0.61589797348506425</v>
      </c>
      <c r="AH446">
        <f t="shared" si="294"/>
        <v>190.55484743809262</v>
      </c>
      <c r="AI446">
        <f>HLOOKUP(AW446,'Real assumptions'!$A$21:$AK$24,2,TRUE)</f>
        <v>0</v>
      </c>
      <c r="AJ446" s="123">
        <f t="shared" si="340"/>
        <v>0</v>
      </c>
      <c r="AK446" s="122">
        <f>(1+HLOOKUP(YEAR(A446),'Real assumptions'!$A$21:$AK$24,2,TRUE)/100)^(1/12)-1</f>
        <v>0</v>
      </c>
      <c r="AL446">
        <f t="shared" si="313"/>
        <v>1.9574196436364197</v>
      </c>
      <c r="AM446">
        <f>('Real assumptions'!$B$33/12)*O445*AV445</f>
        <v>1.9048271105375885</v>
      </c>
      <c r="AN446">
        <f t="shared" si="295"/>
        <v>192.4328114707304</v>
      </c>
      <c r="AO446">
        <f t="shared" si="341"/>
        <v>0</v>
      </c>
      <c r="AP446" s="121">
        <f t="shared" si="296"/>
        <v>0</v>
      </c>
      <c r="AQ446">
        <f t="shared" si="297"/>
        <v>0</v>
      </c>
      <c r="AR446">
        <v>0</v>
      </c>
      <c r="AS446">
        <f t="shared" si="278"/>
        <v>0</v>
      </c>
      <c r="AT446">
        <f t="shared" si="298"/>
        <v>0</v>
      </c>
      <c r="AU446">
        <f>IFERROR(HLOOKUP(B446,'Real assumptions'!$B$43:$AL$44,2,TRUE)*($W$3/$U$2),0)</f>
        <v>0</v>
      </c>
      <c r="AV446">
        <f>AV445*(1+'Real assumptions'!$B$35)^(1/12)</f>
        <v>1.5671851936339081</v>
      </c>
      <c r="AW446">
        <f t="shared" si="279"/>
        <v>2055</v>
      </c>
      <c r="AX446">
        <f t="shared" si="314"/>
        <v>191.98222291120126</v>
      </c>
      <c r="AY446">
        <f t="shared" si="315"/>
        <v>0.51208068287801389</v>
      </c>
      <c r="AZ446">
        <f t="shared" si="280"/>
        <v>428.83510243403288</v>
      </c>
      <c r="BA446">
        <f t="shared" si="299"/>
        <v>3.3160552649943025</v>
      </c>
      <c r="BB446">
        <f t="shared" si="300"/>
        <v>62.75</v>
      </c>
      <c r="BC446">
        <f t="shared" si="281"/>
        <v>37.65</v>
      </c>
      <c r="BD446">
        <f t="shared" si="301"/>
        <v>0</v>
      </c>
      <c r="BE446">
        <f t="shared" si="282"/>
        <v>24</v>
      </c>
      <c r="BF446">
        <f t="shared" si="316"/>
        <v>5000</v>
      </c>
      <c r="BU446"/>
      <c r="DN446" s="124"/>
      <c r="DW446" s="89"/>
      <c r="DX446" s="89"/>
      <c r="FD446"/>
      <c r="FE446"/>
    </row>
    <row r="447" spans="1:161" x14ac:dyDescent="0.25">
      <c r="A447" s="7">
        <f t="shared" si="302"/>
        <v>56704</v>
      </c>
      <c r="B447">
        <f t="shared" si="283"/>
        <v>436</v>
      </c>
      <c r="C447">
        <f t="shared" si="333"/>
        <v>36.25</v>
      </c>
      <c r="D447">
        <f t="shared" si="334"/>
        <v>0</v>
      </c>
      <c r="E447">
        <f t="shared" si="286"/>
        <v>88</v>
      </c>
      <c r="F447">
        <f>IF(C447&gt;=$T$2,0,VLOOKUP($E447,EKM_F05!$A$3:$C$128,2,TRUE))</f>
        <v>0.12475974358974358</v>
      </c>
      <c r="G447">
        <f>F447*'Real assumptions'!$B$3</f>
        <v>5.2062240999999995E-2</v>
      </c>
      <c r="H447">
        <f t="shared" si="335"/>
        <v>4.4456249862347974E-3</v>
      </c>
      <c r="I447">
        <f t="shared" si="336"/>
        <v>5.3590243353376715E-4</v>
      </c>
      <c r="J447">
        <f>IF(B447&gt;$AJ$2,0,HLOOKUP(C447,'Real assumptions'!$B$5:$L$8,4,TRUE))</f>
        <v>3.7900000000000003E-2</v>
      </c>
      <c r="K447">
        <f t="shared" si="273"/>
        <v>1</v>
      </c>
      <c r="L447">
        <f t="shared" si="305"/>
        <v>8.3333333333333329E-2</v>
      </c>
      <c r="M447">
        <f t="shared" si="337"/>
        <v>3.2145624959929453E-3</v>
      </c>
      <c r="N447">
        <f t="shared" si="338"/>
        <v>3.8726383623313482E-4</v>
      </c>
      <c r="O447" s="8">
        <f t="shared" si="287"/>
        <v>0.11981692489443635</v>
      </c>
      <c r="P447">
        <f t="shared" si="288"/>
        <v>2.8977621879408781</v>
      </c>
      <c r="Q447">
        <f t="shared" si="308"/>
        <v>2.6795121676688356</v>
      </c>
      <c r="R447" s="89">
        <f t="shared" si="274"/>
        <v>5000</v>
      </c>
      <c r="S447">
        <f t="shared" si="275"/>
        <v>0.6666666666666643</v>
      </c>
      <c r="U447">
        <f>O446*AV446*'Real assumptions'!$B$33/12+AX447*'Real assumptions'!$B$34</f>
        <v>1.9445615517686965</v>
      </c>
      <c r="V447">
        <f>IF(P447=0,0,IF(E447&lt;=$C$7,$AN$5*O446,0))*'Real assumptions'!$D$28</f>
        <v>0</v>
      </c>
      <c r="X447" s="94">
        <f t="shared" si="289"/>
        <v>0</v>
      </c>
      <c r="Y447">
        <f t="shared" si="276"/>
        <v>24</v>
      </c>
      <c r="Z447">
        <f t="shared" si="309"/>
        <v>62</v>
      </c>
      <c r="AA447">
        <f t="shared" si="277"/>
        <v>62.666666666666664</v>
      </c>
      <c r="AB447">
        <f t="shared" si="290"/>
        <v>50.505050505050505</v>
      </c>
      <c r="AC447">
        <f t="shared" si="339"/>
        <v>3164.9831649831649</v>
      </c>
      <c r="AD447">
        <f t="shared" si="291"/>
        <v>80.505050505050505</v>
      </c>
      <c r="AE447">
        <f t="shared" si="292"/>
        <v>252.24915824915823</v>
      </c>
      <c r="AF447" s="94">
        <f t="shared" si="293"/>
        <v>1582.7676767676769</v>
      </c>
      <c r="AG447">
        <f t="shared" si="311"/>
        <v>0.61294868237085687</v>
      </c>
      <c r="AH447">
        <f t="shared" si="294"/>
        <v>189.64235585261426</v>
      </c>
      <c r="AI447">
        <f>HLOOKUP(AW447,'Real assumptions'!$A$21:$AK$24,2,TRUE)</f>
        <v>0</v>
      </c>
      <c r="AJ447" s="123">
        <f t="shared" si="340"/>
        <v>0</v>
      </c>
      <c r="AK447" s="122">
        <f>(1+HLOOKUP(YEAR(A447),'Real assumptions'!$A$21:$AK$24,2,TRUE)/100)^(1/12)-1</f>
        <v>0</v>
      </c>
      <c r="AL447">
        <f t="shared" si="313"/>
        <v>1.9445615517686965</v>
      </c>
      <c r="AM447">
        <f>('Real assumptions'!$B$33/12)*O446*AV446</f>
        <v>1.8922208315054758</v>
      </c>
      <c r="AN447">
        <f t="shared" si="295"/>
        <v>191.50804807426482</v>
      </c>
      <c r="AO447">
        <f t="shared" si="341"/>
        <v>0</v>
      </c>
      <c r="AP447" s="121">
        <f t="shared" si="296"/>
        <v>0</v>
      </c>
      <c r="AQ447">
        <f t="shared" si="297"/>
        <v>0</v>
      </c>
      <c r="AR447">
        <v>0</v>
      </c>
      <c r="AS447">
        <f t="shared" si="278"/>
        <v>0</v>
      </c>
      <c r="AT447">
        <f t="shared" si="298"/>
        <v>0</v>
      </c>
      <c r="AU447">
        <f>IFERROR(HLOOKUP(B447,'Real assumptions'!$B$43:$AL$44,2,TRUE)*($W$3/$U$2),0)</f>
        <v>0</v>
      </c>
      <c r="AV447">
        <f>AV446*(1+'Real assumptions'!$B$35)^(1/12)</f>
        <v>1.5688083994525086</v>
      </c>
      <c r="AW447">
        <f t="shared" si="279"/>
        <v>2055</v>
      </c>
      <c r="AX447">
        <f t="shared" si="314"/>
        <v>191.06301280494532</v>
      </c>
      <c r="AY447">
        <f t="shared" si="315"/>
        <v>0.5081653668527073</v>
      </c>
      <c r="AZ447">
        <f t="shared" si="280"/>
        <v>426.4958422201654</v>
      </c>
      <c r="BA447">
        <f t="shared" si="299"/>
        <v>3.2924608500396926</v>
      </c>
      <c r="BB447">
        <f t="shared" si="300"/>
        <v>62.666666666666664</v>
      </c>
      <c r="BC447">
        <f t="shared" si="281"/>
        <v>37.599999999999994</v>
      </c>
      <c r="BD447">
        <f t="shared" si="301"/>
        <v>0</v>
      </c>
      <c r="BE447">
        <f t="shared" si="282"/>
        <v>24</v>
      </c>
      <c r="BF447">
        <f t="shared" si="316"/>
        <v>5000</v>
      </c>
      <c r="BU447"/>
      <c r="DW447" s="89"/>
      <c r="DX447" s="89"/>
      <c r="FD447"/>
      <c r="FE447"/>
    </row>
    <row r="448" spans="1:161" x14ac:dyDescent="0.25">
      <c r="A448" s="7">
        <f t="shared" si="302"/>
        <v>56734</v>
      </c>
      <c r="B448">
        <f t="shared" si="283"/>
        <v>437</v>
      </c>
      <c r="C448">
        <f t="shared" si="333"/>
        <v>36.333333333333336</v>
      </c>
      <c r="D448">
        <f t="shared" si="334"/>
        <v>0</v>
      </c>
      <c r="E448">
        <f t="shared" si="286"/>
        <v>88</v>
      </c>
      <c r="F448">
        <f>IF(C448&gt;=$T$2,0,VLOOKUP($E448,EKM_F05!$A$3:$C$128,2,TRUE))</f>
        <v>0.12475974358974358</v>
      </c>
      <c r="G448">
        <f>F448*'Real assumptions'!$B$3</f>
        <v>5.2062240999999995E-2</v>
      </c>
      <c r="H448">
        <f t="shared" si="335"/>
        <v>4.4456249862347974E-3</v>
      </c>
      <c r="I448">
        <f t="shared" si="336"/>
        <v>5.3180497886271211E-4</v>
      </c>
      <c r="J448">
        <f>IF(B448&gt;$AJ$2,0,HLOOKUP(C448,'Real assumptions'!$B$5:$L$8,4,TRUE))</f>
        <v>3.7900000000000003E-2</v>
      </c>
      <c r="K448">
        <f t="shared" si="273"/>
        <v>1</v>
      </c>
      <c r="L448">
        <f t="shared" si="305"/>
        <v>8.3333333333333329E-2</v>
      </c>
      <c r="M448">
        <f t="shared" si="337"/>
        <v>3.2145624959929453E-3</v>
      </c>
      <c r="N448">
        <f t="shared" si="338"/>
        <v>3.8430285692904633E-4</v>
      </c>
      <c r="O448" s="8">
        <f t="shared" si="287"/>
        <v>0.1189008170586446</v>
      </c>
      <c r="P448">
        <f t="shared" si="288"/>
        <v>2.8756061974664724</v>
      </c>
      <c r="Q448">
        <f t="shared" si="308"/>
        <v>2.6590248943135606</v>
      </c>
      <c r="R448" s="89">
        <f t="shared" si="274"/>
        <v>5000</v>
      </c>
      <c r="S448">
        <f t="shared" si="275"/>
        <v>0.5833333333333357</v>
      </c>
      <c r="U448">
        <f>O447*AV447*'Real assumptions'!$B$33/12+AX448*'Real assumptions'!$B$34</f>
        <v>1.9317876652614576</v>
      </c>
      <c r="V448">
        <f>IF(P448=0,0,IF(E448&lt;=$C$7,$AN$5*O447,0))*'Real assumptions'!$D$28</f>
        <v>0</v>
      </c>
      <c r="X448" s="94">
        <f t="shared" si="289"/>
        <v>0</v>
      </c>
      <c r="Y448">
        <f t="shared" si="276"/>
        <v>24</v>
      </c>
      <c r="Z448">
        <f t="shared" si="309"/>
        <v>62</v>
      </c>
      <c r="AA448">
        <f t="shared" si="277"/>
        <v>62.583333333333336</v>
      </c>
      <c r="AB448">
        <f t="shared" si="290"/>
        <v>50.505050505050505</v>
      </c>
      <c r="AC448">
        <f t="shared" si="339"/>
        <v>3160.7744107744111</v>
      </c>
      <c r="AD448">
        <f t="shared" si="291"/>
        <v>80.505050505050505</v>
      </c>
      <c r="AE448">
        <f t="shared" si="292"/>
        <v>251.91372053872053</v>
      </c>
      <c r="AF448" s="94">
        <f t="shared" si="293"/>
        <v>1587.3118686868684</v>
      </c>
      <c r="AG448">
        <f t="shared" si="311"/>
        <v>0.61000848597374679</v>
      </c>
      <c r="AH448">
        <f t="shared" si="294"/>
        <v>188.73267811375263</v>
      </c>
      <c r="AI448">
        <f>HLOOKUP(AW448,'Real assumptions'!$A$21:$AK$24,2,TRUE)</f>
        <v>0</v>
      </c>
      <c r="AJ448" s="123">
        <f t="shared" si="340"/>
        <v>0</v>
      </c>
      <c r="AK448" s="122">
        <f>(1+HLOOKUP(YEAR(A448),'Real assumptions'!$A$21:$AK$24,2,TRUE)/100)^(1/12)-1</f>
        <v>0</v>
      </c>
      <c r="AL448">
        <f t="shared" si="313"/>
        <v>1.9317876652614576</v>
      </c>
      <c r="AM448">
        <f>('Real assumptions'!$B$33/12)*O447*AV447</f>
        <v>1.8796979817096211</v>
      </c>
      <c r="AN448">
        <f t="shared" si="295"/>
        <v>190.58617438481929</v>
      </c>
      <c r="AO448">
        <f t="shared" si="341"/>
        <v>0</v>
      </c>
      <c r="AP448" s="121">
        <f t="shared" si="296"/>
        <v>0</v>
      </c>
      <c r="AQ448">
        <f t="shared" si="297"/>
        <v>0</v>
      </c>
      <c r="AR448">
        <v>0</v>
      </c>
      <c r="AS448">
        <f t="shared" si="278"/>
        <v>0</v>
      </c>
      <c r="AT448">
        <f t="shared" si="298"/>
        <v>0</v>
      </c>
      <c r="AU448">
        <f>IFERROR(HLOOKUP(B448,'Real assumptions'!$B$43:$AL$44,2,TRUE)*($W$3/$U$2),0)</f>
        <v>0</v>
      </c>
      <c r="AV448">
        <f>AV447*(1+'Real assumptions'!$B$35)^(1/12)</f>
        <v>1.5704332865000667</v>
      </c>
      <c r="AW448">
        <f t="shared" si="279"/>
        <v>2055</v>
      </c>
      <c r="AX448">
        <f t="shared" si="314"/>
        <v>190.14663583954371</v>
      </c>
      <c r="AY448">
        <f t="shared" si="315"/>
        <v>0.50427998692944587</v>
      </c>
      <c r="AZ448">
        <f t="shared" si="280"/>
        <v>424.17062737208312</v>
      </c>
      <c r="BA448">
        <f t="shared" si="299"/>
        <v>3.2690333802873073</v>
      </c>
      <c r="BB448">
        <f t="shared" si="300"/>
        <v>62.583333333333336</v>
      </c>
      <c r="BC448">
        <f t="shared" si="281"/>
        <v>37.549999999999997</v>
      </c>
      <c r="BD448">
        <f t="shared" si="301"/>
        <v>0</v>
      </c>
      <c r="BE448">
        <f t="shared" si="282"/>
        <v>24</v>
      </c>
      <c r="BF448">
        <f t="shared" si="316"/>
        <v>5000</v>
      </c>
      <c r="BU448"/>
      <c r="DW448" s="89"/>
      <c r="DX448" s="89"/>
      <c r="FD448"/>
      <c r="FE448"/>
    </row>
    <row r="449" spans="1:161" x14ac:dyDescent="0.25">
      <c r="A449" s="7">
        <f t="shared" si="302"/>
        <v>56765</v>
      </c>
      <c r="B449">
        <f t="shared" si="283"/>
        <v>438</v>
      </c>
      <c r="C449">
        <f t="shared" si="333"/>
        <v>36.416666666666664</v>
      </c>
      <c r="D449">
        <f t="shared" si="334"/>
        <v>0</v>
      </c>
      <c r="E449">
        <f t="shared" si="286"/>
        <v>88</v>
      </c>
      <c r="F449">
        <f>IF(C449&gt;=$T$2,0,VLOOKUP($E449,EKM_F05!$A$3:$C$128,2,TRUE))</f>
        <v>0.12475974358974358</v>
      </c>
      <c r="G449">
        <f>F449*'Real assumptions'!$B$3</f>
        <v>5.2062240999999995E-2</v>
      </c>
      <c r="H449">
        <f t="shared" si="335"/>
        <v>4.4456249862347974E-3</v>
      </c>
      <c r="I449">
        <f t="shared" si="336"/>
        <v>5.2773885290698065E-4</v>
      </c>
      <c r="J449">
        <f>IF(B449&gt;$AJ$2,0,HLOOKUP(C449,'Real assumptions'!$B$5:$L$8,4,TRUE))</f>
        <v>3.7900000000000003E-2</v>
      </c>
      <c r="K449">
        <f t="shared" si="273"/>
        <v>1</v>
      </c>
      <c r="L449">
        <f t="shared" si="305"/>
        <v>8.3333333333333329E-2</v>
      </c>
      <c r="M449">
        <f t="shared" si="337"/>
        <v>3.2145624959929453E-3</v>
      </c>
      <c r="N449">
        <f t="shared" si="338"/>
        <v>3.8136451696697468E-4</v>
      </c>
      <c r="O449" s="8">
        <f t="shared" si="287"/>
        <v>0.11799171368877064</v>
      </c>
      <c r="P449">
        <f t="shared" si="288"/>
        <v>2.8536196094074704</v>
      </c>
      <c r="Q449">
        <f t="shared" si="308"/>
        <v>2.6386942645349034</v>
      </c>
      <c r="R449" s="89">
        <f t="shared" si="274"/>
        <v>5000</v>
      </c>
      <c r="S449">
        <f t="shared" si="275"/>
        <v>0.5</v>
      </c>
      <c r="U449">
        <f>O448*AV448*'Real assumptions'!$B$33/12+AX449*'Real assumptions'!$B$34</f>
        <v>1.9190974348267629</v>
      </c>
      <c r="V449">
        <f>IF(P449=0,0,IF(E449&lt;=$C$7,$AN$5*O448,0))*'Real assumptions'!$D$28</f>
        <v>0</v>
      </c>
      <c r="X449" s="94">
        <f t="shared" si="289"/>
        <v>0</v>
      </c>
      <c r="Y449">
        <f t="shared" si="276"/>
        <v>24</v>
      </c>
      <c r="Z449">
        <f t="shared" si="309"/>
        <v>62</v>
      </c>
      <c r="AA449">
        <f t="shared" si="277"/>
        <v>62.5</v>
      </c>
      <c r="AB449">
        <f t="shared" si="290"/>
        <v>50.505050505050505</v>
      </c>
      <c r="AC449">
        <f t="shared" si="339"/>
        <v>3156.5656565656564</v>
      </c>
      <c r="AD449">
        <f t="shared" si="291"/>
        <v>80.505050505050505</v>
      </c>
      <c r="AE449">
        <f t="shared" si="292"/>
        <v>251.57828282828282</v>
      </c>
      <c r="AF449" s="94">
        <f t="shared" si="293"/>
        <v>1591.8560606060607</v>
      </c>
      <c r="AG449">
        <f t="shared" si="311"/>
        <v>0.60707741763398149</v>
      </c>
      <c r="AH449">
        <f t="shared" si="294"/>
        <v>187.82582453676463</v>
      </c>
      <c r="AI449">
        <f>HLOOKUP(AW449,'Real assumptions'!$A$21:$AK$24,2,TRUE)</f>
        <v>0</v>
      </c>
      <c r="AJ449" s="123">
        <f t="shared" si="340"/>
        <v>0</v>
      </c>
      <c r="AK449" s="122">
        <f>(1+HLOOKUP(YEAR(A449),'Real assumptions'!$A$21:$AK$24,2,TRUE)/100)^(1/12)-1</f>
        <v>0</v>
      </c>
      <c r="AL449">
        <f t="shared" si="313"/>
        <v>1.9190974348267629</v>
      </c>
      <c r="AM449">
        <f>('Real assumptions'!$B$33/12)*O448*AV448</f>
        <v>1.8672580090095043</v>
      </c>
      <c r="AN449">
        <f t="shared" si="295"/>
        <v>189.66720028833333</v>
      </c>
      <c r="AO449">
        <f t="shared" si="341"/>
        <v>0</v>
      </c>
      <c r="AP449" s="121">
        <f t="shared" si="296"/>
        <v>0</v>
      </c>
      <c r="AQ449">
        <f t="shared" si="297"/>
        <v>0</v>
      </c>
      <c r="AR449">
        <v>0</v>
      </c>
      <c r="AS449">
        <f t="shared" si="278"/>
        <v>0</v>
      </c>
      <c r="AT449">
        <f t="shared" si="298"/>
        <v>0</v>
      </c>
      <c r="AU449">
        <f>IFERROR(HLOOKUP(B449,'Real assumptions'!$B$43:$AL$44,2,TRUE)*($W$3/$U$2),0)</f>
        <v>0</v>
      </c>
      <c r="AV449">
        <f>AV448*(1+'Real assumptions'!$B$35)^(1/12)</f>
        <v>1.5720598565179089</v>
      </c>
      <c r="AW449">
        <f t="shared" si="279"/>
        <v>2055</v>
      </c>
      <c r="AX449">
        <f t="shared" si="314"/>
        <v>189.23310242797251</v>
      </c>
      <c r="AY449">
        <f t="shared" si="315"/>
        <v>0.50042431421988465</v>
      </c>
      <c r="AZ449">
        <f t="shared" si="280"/>
        <v>421.85937786449495</v>
      </c>
      <c r="BA449">
        <f t="shared" si="299"/>
        <v>3.2457716821688849</v>
      </c>
      <c r="BB449">
        <f t="shared" si="300"/>
        <v>62.5</v>
      </c>
      <c r="BC449">
        <f t="shared" si="281"/>
        <v>37.5</v>
      </c>
      <c r="BD449">
        <f t="shared" si="301"/>
        <v>0</v>
      </c>
      <c r="BE449">
        <f t="shared" si="282"/>
        <v>24</v>
      </c>
      <c r="BF449">
        <f t="shared" si="316"/>
        <v>5000</v>
      </c>
      <c r="BU449"/>
      <c r="DW449" s="89"/>
      <c r="DX449" s="89"/>
      <c r="FD449"/>
      <c r="FE449"/>
    </row>
    <row r="450" spans="1:161" x14ac:dyDescent="0.25">
      <c r="A450" s="7">
        <f t="shared" si="302"/>
        <v>56795</v>
      </c>
      <c r="B450">
        <f t="shared" si="283"/>
        <v>439</v>
      </c>
      <c r="C450">
        <f t="shared" si="333"/>
        <v>36.5</v>
      </c>
      <c r="D450">
        <f t="shared" si="334"/>
        <v>0</v>
      </c>
      <c r="E450">
        <f t="shared" si="286"/>
        <v>88</v>
      </c>
      <c r="F450">
        <f>IF(C450&gt;=$T$2,0,VLOOKUP($E450,EKM_F05!$A$3:$C$128,2,TRUE))</f>
        <v>0.12475974358974358</v>
      </c>
      <c r="G450">
        <f>F450*'Real assumptions'!$B$3</f>
        <v>5.2062240999999995E-2</v>
      </c>
      <c r="H450">
        <f t="shared" si="335"/>
        <v>4.4456249862347974E-3</v>
      </c>
      <c r="I450">
        <f t="shared" si="336"/>
        <v>5.2370381613045015E-4</v>
      </c>
      <c r="J450">
        <f>IF(B450&gt;$AJ$2,0,HLOOKUP(C450,'Real assumptions'!$B$5:$L$8,4,TRUE))</f>
        <v>3.7900000000000003E-2</v>
      </c>
      <c r="K450">
        <f t="shared" si="273"/>
        <v>1</v>
      </c>
      <c r="L450">
        <f t="shared" si="305"/>
        <v>8.3333333333333329E-2</v>
      </c>
      <c r="M450">
        <f t="shared" si="337"/>
        <v>3.2145624959929453E-3</v>
      </c>
      <c r="N450">
        <f t="shared" si="338"/>
        <v>3.7844864324884853E-4</v>
      </c>
      <c r="O450" s="8">
        <f t="shared" si="287"/>
        <v>0.11708956122939133</v>
      </c>
      <c r="P450">
        <f t="shared" si="288"/>
        <v>2.8318011285304951</v>
      </c>
      <c r="Q450">
        <f t="shared" si="308"/>
        <v>2.6185190806522507</v>
      </c>
      <c r="R450" s="89">
        <f t="shared" si="274"/>
        <v>5000</v>
      </c>
      <c r="S450">
        <f t="shared" si="275"/>
        <v>0.4166666666666643</v>
      </c>
      <c r="U450">
        <f>O449*AV449*'Real assumptions'!$B$33/12+AX450*'Real assumptions'!$B$34</f>
        <v>1.9064903147417849</v>
      </c>
      <c r="V450">
        <f>IF(P450=0,0,IF(E450&lt;=$C$7,$AN$5*O449,0))*'Real assumptions'!$D$28</f>
        <v>0</v>
      </c>
      <c r="X450" s="94">
        <f t="shared" si="289"/>
        <v>0</v>
      </c>
      <c r="Y450">
        <f t="shared" si="276"/>
        <v>24</v>
      </c>
      <c r="Z450">
        <f t="shared" si="309"/>
        <v>62</v>
      </c>
      <c r="AA450">
        <f t="shared" si="277"/>
        <v>62.416666666666664</v>
      </c>
      <c r="AB450">
        <f t="shared" si="290"/>
        <v>50.505050505050505</v>
      </c>
      <c r="AC450">
        <f t="shared" si="339"/>
        <v>3152.3569023569021</v>
      </c>
      <c r="AD450">
        <f t="shared" si="291"/>
        <v>80.505050505050505</v>
      </c>
      <c r="AE450">
        <f t="shared" si="292"/>
        <v>251.24284511784509</v>
      </c>
      <c r="AF450" s="94">
        <f t="shared" si="293"/>
        <v>1596.4002525252529</v>
      </c>
      <c r="AG450">
        <f t="shared" si="311"/>
        <v>0.60415550965030118</v>
      </c>
      <c r="AH450">
        <f t="shared" si="294"/>
        <v>186.92180511467137</v>
      </c>
      <c r="AI450">
        <f>HLOOKUP(AW450,'Real assumptions'!$A$21:$AK$24,2,TRUE)</f>
        <v>0</v>
      </c>
      <c r="AJ450" s="123">
        <f t="shared" si="340"/>
        <v>0</v>
      </c>
      <c r="AK450" s="122">
        <f>(1+HLOOKUP(YEAR(A450),'Real assumptions'!$A$21:$AK$24,2,TRUE)/100)^(1/12)-1</f>
        <v>0</v>
      </c>
      <c r="AL450">
        <f t="shared" si="313"/>
        <v>1.9064903147417849</v>
      </c>
      <c r="AM450">
        <f>('Real assumptions'!$B$33/12)*O449*AV449</f>
        <v>1.8549003649187097</v>
      </c>
      <c r="AN450">
        <f t="shared" si="295"/>
        <v>188.75113535055334</v>
      </c>
      <c r="AO450">
        <f t="shared" si="341"/>
        <v>0</v>
      </c>
      <c r="AP450" s="121">
        <f t="shared" si="296"/>
        <v>0</v>
      </c>
      <c r="AQ450">
        <f t="shared" si="297"/>
        <v>0</v>
      </c>
      <c r="AR450">
        <v>0</v>
      </c>
      <c r="AS450">
        <f t="shared" si="278"/>
        <v>0</v>
      </c>
      <c r="AT450">
        <f t="shared" si="298"/>
        <v>0</v>
      </c>
      <c r="AU450">
        <f>IFERROR(HLOOKUP(B450,'Real assumptions'!$B$43:$AL$44,2,TRUE)*($W$3/$U$2),0)</f>
        <v>0</v>
      </c>
      <c r="AV450">
        <f>AV449*(1+'Real assumptions'!$B$35)^(1/12)</f>
        <v>1.5736881112491645</v>
      </c>
      <c r="AW450">
        <f t="shared" si="279"/>
        <v>2055</v>
      </c>
      <c r="AX450">
        <f t="shared" si="314"/>
        <v>188.32242265835038</v>
      </c>
      <c r="AY450">
        <f t="shared" si="315"/>
        <v>0.49659812158573496</v>
      </c>
      <c r="AZ450">
        <f t="shared" si="280"/>
        <v>419.56201408798108</v>
      </c>
      <c r="BA450">
        <f t="shared" si="299"/>
        <v>3.2226745903025518</v>
      </c>
      <c r="BB450">
        <f t="shared" si="300"/>
        <v>62.416666666666664</v>
      </c>
      <c r="BC450">
        <f t="shared" si="281"/>
        <v>37.449999999999996</v>
      </c>
      <c r="BD450">
        <f t="shared" si="301"/>
        <v>0</v>
      </c>
      <c r="BE450">
        <f t="shared" si="282"/>
        <v>24</v>
      </c>
      <c r="BF450">
        <f t="shared" si="316"/>
        <v>5000</v>
      </c>
      <c r="BU450"/>
      <c r="DW450" s="89"/>
      <c r="DX450" s="89"/>
      <c r="FD450"/>
      <c r="FE450"/>
    </row>
    <row r="451" spans="1:161" x14ac:dyDescent="0.25">
      <c r="A451" s="7">
        <f t="shared" si="302"/>
        <v>56826</v>
      </c>
      <c r="B451">
        <f t="shared" si="283"/>
        <v>440</v>
      </c>
      <c r="C451">
        <f t="shared" si="333"/>
        <v>36.583333333333336</v>
      </c>
      <c r="D451">
        <f t="shared" si="334"/>
        <v>0</v>
      </c>
      <c r="E451">
        <f t="shared" si="286"/>
        <v>88</v>
      </c>
      <c r="F451">
        <f>IF(C451&gt;=$T$2,0,VLOOKUP($E451,EKM_F05!$A$3:$C$128,2,TRUE))</f>
        <v>0.12475974358974358</v>
      </c>
      <c r="G451">
        <f>F451*'Real assumptions'!$B$3</f>
        <v>5.2062240999999995E-2</v>
      </c>
      <c r="H451">
        <f t="shared" si="335"/>
        <v>4.4456249862347974E-3</v>
      </c>
      <c r="I451">
        <f t="shared" si="336"/>
        <v>5.1969963082846671E-4</v>
      </c>
      <c r="J451">
        <f>IF(B451&gt;$AJ$2,0,HLOOKUP(C451,'Real assumptions'!$B$5:$L$8,4,TRUE))</f>
        <v>3.7900000000000003E-2</v>
      </c>
      <c r="K451">
        <f t="shared" si="273"/>
        <v>1</v>
      </c>
      <c r="L451">
        <f t="shared" si="305"/>
        <v>8.3333333333333329E-2</v>
      </c>
      <c r="M451">
        <f t="shared" si="337"/>
        <v>3.2145624959929453E-3</v>
      </c>
      <c r="N451">
        <f t="shared" si="338"/>
        <v>3.7555506400008639E-4</v>
      </c>
      <c r="O451" s="8">
        <f t="shared" si="287"/>
        <v>0.11619430653456278</v>
      </c>
      <c r="P451">
        <f t="shared" si="288"/>
        <v>2.8101494695053919</v>
      </c>
      <c r="Q451">
        <f t="shared" si="308"/>
        <v>2.5984981541423333</v>
      </c>
      <c r="R451" s="89">
        <f t="shared" si="274"/>
        <v>5000</v>
      </c>
      <c r="S451">
        <f t="shared" si="275"/>
        <v>0.3333333333333357</v>
      </c>
      <c r="U451">
        <f>O450*AV450*'Real assumptions'!$B$33/12+AX451*'Real assumptions'!$B$34</f>
        <v>1.8939657628258175</v>
      </c>
      <c r="V451">
        <f>IF(P451=0,0,IF(E451&lt;=$C$7,$AN$5*O450,0))*'Real assumptions'!$D$28</f>
        <v>0</v>
      </c>
      <c r="X451" s="94">
        <f t="shared" si="289"/>
        <v>0</v>
      </c>
      <c r="Y451">
        <f t="shared" si="276"/>
        <v>24</v>
      </c>
      <c r="Z451">
        <f t="shared" si="309"/>
        <v>62</v>
      </c>
      <c r="AA451">
        <f t="shared" si="277"/>
        <v>62.333333333333336</v>
      </c>
      <c r="AB451">
        <f t="shared" si="290"/>
        <v>50.505050505050505</v>
      </c>
      <c r="AC451">
        <f t="shared" si="339"/>
        <v>3148.1481481481483</v>
      </c>
      <c r="AD451">
        <f t="shared" si="291"/>
        <v>80.505050505050505</v>
      </c>
      <c r="AE451">
        <f t="shared" si="292"/>
        <v>250.90740740740742</v>
      </c>
      <c r="AF451" s="94">
        <f t="shared" si="293"/>
        <v>1600.9444444444443</v>
      </c>
      <c r="AG451">
        <f t="shared" si="311"/>
        <v>0.60124279329391606</v>
      </c>
      <c r="AH451">
        <f t="shared" si="294"/>
        <v>186.02062952258308</v>
      </c>
      <c r="AI451">
        <f>HLOOKUP(AW451,'Real assumptions'!$A$21:$AK$24,2,TRUE)</f>
        <v>0</v>
      </c>
      <c r="AJ451" s="123">
        <f t="shared" si="340"/>
        <v>0</v>
      </c>
      <c r="AK451" s="122">
        <f>(1+HLOOKUP(YEAR(A451),'Real assumptions'!$A$21:$AK$24,2,TRUE)/100)^(1/12)-1</f>
        <v>0</v>
      </c>
      <c r="AL451">
        <f t="shared" si="313"/>
        <v>1.8939657628258175</v>
      </c>
      <c r="AM451">
        <f>('Real assumptions'!$B$33/12)*O450*AV450</f>
        <v>1.8426245045807426</v>
      </c>
      <c r="AN451">
        <f t="shared" si="295"/>
        <v>187.83798882135096</v>
      </c>
      <c r="AO451">
        <f t="shared" si="341"/>
        <v>0</v>
      </c>
      <c r="AP451" s="121">
        <f t="shared" si="296"/>
        <v>0</v>
      </c>
      <c r="AQ451">
        <f t="shared" si="297"/>
        <v>0</v>
      </c>
      <c r="AR451">
        <v>0</v>
      </c>
      <c r="AS451">
        <f t="shared" si="278"/>
        <v>0</v>
      </c>
      <c r="AT451">
        <f t="shared" si="298"/>
        <v>0</v>
      </c>
      <c r="AU451">
        <f>IFERROR(HLOOKUP(B451,'Real assumptions'!$B$43:$AL$44,2,TRUE)*($W$3/$U$2),0)</f>
        <v>0</v>
      </c>
      <c r="AV451">
        <f>AV450*(1+'Real assumptions'!$B$35)^(1/12)</f>
        <v>1.5753180524387691</v>
      </c>
      <c r="AW451">
        <f t="shared" si="279"/>
        <v>2055</v>
      </c>
      <c r="AX451">
        <f t="shared" si="314"/>
        <v>187.41460629829675</v>
      </c>
      <c r="AY451">
        <f t="shared" si="315"/>
        <v>0.49280118362538439</v>
      </c>
      <c r="AZ451">
        <f t="shared" si="280"/>
        <v>417.27845684722445</v>
      </c>
      <c r="BA451">
        <f t="shared" si="299"/>
        <v>3.1997409474362493</v>
      </c>
      <c r="BB451">
        <f t="shared" si="300"/>
        <v>62.333333333333336</v>
      </c>
      <c r="BC451">
        <f t="shared" si="281"/>
        <v>37.4</v>
      </c>
      <c r="BD451">
        <f t="shared" si="301"/>
        <v>0</v>
      </c>
      <c r="BE451">
        <f t="shared" si="282"/>
        <v>24</v>
      </c>
      <c r="BF451">
        <f t="shared" si="316"/>
        <v>5000</v>
      </c>
      <c r="BU451"/>
      <c r="DW451" s="89"/>
      <c r="DX451" s="89"/>
      <c r="FD451"/>
      <c r="FE451"/>
    </row>
    <row r="452" spans="1:161" x14ac:dyDescent="0.25">
      <c r="A452" s="7">
        <f t="shared" si="302"/>
        <v>56857</v>
      </c>
      <c r="B452">
        <f t="shared" si="283"/>
        <v>441</v>
      </c>
      <c r="C452">
        <f t="shared" si="333"/>
        <v>36.666666666666664</v>
      </c>
      <c r="D452">
        <f t="shared" si="334"/>
        <v>0</v>
      </c>
      <c r="E452">
        <f t="shared" si="286"/>
        <v>88</v>
      </c>
      <c r="F452">
        <f>IF(C452&gt;=$T$2,0,VLOOKUP($E452,EKM_F05!$A$3:$C$128,2,TRUE))</f>
        <v>0.12475974358974358</v>
      </c>
      <c r="G452">
        <f>F452*'Real assumptions'!$B$3</f>
        <v>5.2062240999999995E-2</v>
      </c>
      <c r="H452">
        <f t="shared" si="335"/>
        <v>4.4456249862347974E-3</v>
      </c>
      <c r="I452">
        <f t="shared" si="336"/>
        <v>5.1572606111384162E-4</v>
      </c>
      <c r="J452">
        <f>IF(B452&gt;$AJ$2,0,HLOOKUP(C452,'Real assumptions'!$B$5:$L$8,4,TRUE))</f>
        <v>3.7900000000000003E-2</v>
      </c>
      <c r="K452">
        <f t="shared" si="273"/>
        <v>1</v>
      </c>
      <c r="L452">
        <f t="shared" si="305"/>
        <v>8.3333333333333329E-2</v>
      </c>
      <c r="M452">
        <f t="shared" si="337"/>
        <v>3.2145624959929453E-3</v>
      </c>
      <c r="N452">
        <f t="shared" si="338"/>
        <v>3.7268360875947762E-4</v>
      </c>
      <c r="O452" s="8">
        <f t="shared" si="287"/>
        <v>0.11530589686468946</v>
      </c>
      <c r="P452">
        <f t="shared" si="288"/>
        <v>2.7886633568295069</v>
      </c>
      <c r="Q452">
        <f t="shared" si="308"/>
        <v>2.5786303055692081</v>
      </c>
      <c r="R452" s="89">
        <f t="shared" si="274"/>
        <v>5000</v>
      </c>
      <c r="S452">
        <f t="shared" si="275"/>
        <v>0.25</v>
      </c>
      <c r="U452">
        <f>O451*AV451*'Real assumptions'!$B$33/12+AX452*'Real assumptions'!$B$34</f>
        <v>1.8815232404174365</v>
      </c>
      <c r="V452">
        <f>IF(P452=0,0,IF(E452&lt;=$C$7,$AN$5*O451,0))*'Real assumptions'!$D$28</f>
        <v>0</v>
      </c>
      <c r="X452" s="94">
        <f t="shared" si="289"/>
        <v>0</v>
      </c>
      <c r="Y452">
        <f t="shared" si="276"/>
        <v>24</v>
      </c>
      <c r="Z452">
        <f t="shared" si="309"/>
        <v>62</v>
      </c>
      <c r="AA452">
        <f t="shared" si="277"/>
        <v>62.25</v>
      </c>
      <c r="AB452">
        <f t="shared" si="290"/>
        <v>50.505050505050505</v>
      </c>
      <c r="AC452">
        <f t="shared" si="339"/>
        <v>3143.939393939394</v>
      </c>
      <c r="AD452">
        <f t="shared" si="291"/>
        <v>80.505050505050505</v>
      </c>
      <c r="AE452">
        <f t="shared" si="292"/>
        <v>250.57196969696969</v>
      </c>
      <c r="AF452" s="94">
        <f t="shared" si="293"/>
        <v>1605.4886363636363</v>
      </c>
      <c r="AG452">
        <f t="shared" si="311"/>
        <v>0.59833929882233261</v>
      </c>
      <c r="AH452">
        <f t="shared" si="294"/>
        <v>185.12230712197638</v>
      </c>
      <c r="AI452">
        <f>HLOOKUP(AW452,'Real assumptions'!$A$21:$AK$24,2,TRUE)</f>
        <v>0</v>
      </c>
      <c r="AJ452" s="123">
        <f t="shared" si="340"/>
        <v>0</v>
      </c>
      <c r="AK452" s="122">
        <f>(1+HLOOKUP(YEAR(A452),'Real assumptions'!$A$21:$AK$24,2,TRUE)/100)^(1/12)-1</f>
        <v>0</v>
      </c>
      <c r="AL452">
        <f t="shared" si="313"/>
        <v>1.8815232404174365</v>
      </c>
      <c r="AM452">
        <f>('Real assumptions'!$B$33/12)*O451*AV451</f>
        <v>1.8304298867450077</v>
      </c>
      <c r="AN452">
        <f t="shared" si="295"/>
        <v>186.92776963899516</v>
      </c>
      <c r="AO452">
        <f t="shared" si="341"/>
        <v>0</v>
      </c>
      <c r="AP452" s="121">
        <f t="shared" si="296"/>
        <v>0</v>
      </c>
      <c r="AQ452">
        <f t="shared" si="297"/>
        <v>0</v>
      </c>
      <c r="AR452">
        <v>0</v>
      </c>
      <c r="AS452">
        <f t="shared" si="278"/>
        <v>0</v>
      </c>
      <c r="AT452">
        <f t="shared" si="298"/>
        <v>0</v>
      </c>
      <c r="AU452">
        <f>IFERROR(HLOOKUP(B452,'Real assumptions'!$B$43:$AL$44,2,TRUE)*($W$3/$U$2),0)</f>
        <v>0</v>
      </c>
      <c r="AV452">
        <f>AV451*(1+'Real assumptions'!$B$35)^(1/12)</f>
        <v>1.576949681833465</v>
      </c>
      <c r="AW452">
        <f t="shared" si="279"/>
        <v>2055</v>
      </c>
      <c r="AX452">
        <f t="shared" si="314"/>
        <v>186.5096627992437</v>
      </c>
      <c r="AY452">
        <f t="shared" si="315"/>
        <v>0.48903327666061774</v>
      </c>
      <c r="AZ452">
        <f t="shared" si="280"/>
        <v>415.00862735924494</v>
      </c>
      <c r="BA452">
        <f t="shared" si="299"/>
        <v>3.176969604391541</v>
      </c>
      <c r="BB452">
        <f t="shared" si="300"/>
        <v>62.25</v>
      </c>
      <c r="BC452">
        <f t="shared" si="281"/>
        <v>37.349999999999994</v>
      </c>
      <c r="BD452">
        <f t="shared" si="301"/>
        <v>0</v>
      </c>
      <c r="BE452">
        <f t="shared" si="282"/>
        <v>24</v>
      </c>
      <c r="BF452">
        <f t="shared" si="316"/>
        <v>5000</v>
      </c>
      <c r="BU452"/>
      <c r="DW452" s="89"/>
      <c r="DX452" s="89"/>
      <c r="FD452"/>
      <c r="FE452"/>
    </row>
    <row r="453" spans="1:161" x14ac:dyDescent="0.25">
      <c r="A453" s="7">
        <f t="shared" si="302"/>
        <v>56887</v>
      </c>
      <c r="B453">
        <f t="shared" si="283"/>
        <v>442</v>
      </c>
      <c r="C453">
        <f t="shared" si="333"/>
        <v>36.75</v>
      </c>
      <c r="D453">
        <f t="shared" si="334"/>
        <v>0</v>
      </c>
      <c r="E453">
        <f t="shared" si="286"/>
        <v>88</v>
      </c>
      <c r="F453">
        <f>IF(C453&gt;=$T$2,0,VLOOKUP($E453,EKM_F05!$A$3:$C$128,2,TRUE))</f>
        <v>0.12475974358974358</v>
      </c>
      <c r="G453">
        <f>F453*'Real assumptions'!$B$3</f>
        <v>5.2062240999999995E-2</v>
      </c>
      <c r="H453">
        <f t="shared" si="335"/>
        <v>4.4456249862347974E-3</v>
      </c>
      <c r="I453">
        <f t="shared" si="336"/>
        <v>5.1178287290295512E-4</v>
      </c>
      <c r="J453">
        <f>IF(B453&gt;$AJ$2,0,HLOOKUP(C453,'Real assumptions'!$B$5:$L$8,4,TRUE))</f>
        <v>3.7900000000000003E-2</v>
      </c>
      <c r="K453">
        <f t="shared" si="273"/>
        <v>1</v>
      </c>
      <c r="L453">
        <f t="shared" si="305"/>
        <v>8.3333333333333329E-2</v>
      </c>
      <c r="M453">
        <f t="shared" si="337"/>
        <v>3.2145624959929453E-3</v>
      </c>
      <c r="N453">
        <f t="shared" si="338"/>
        <v>3.6983410836914041E-4</v>
      </c>
      <c r="O453" s="8">
        <f t="shared" si="287"/>
        <v>0.11442427988341736</v>
      </c>
      <c r="P453">
        <f t="shared" si="288"/>
        <v>2.7673415247525472</v>
      </c>
      <c r="Q453">
        <f t="shared" si="308"/>
        <v>2.5589143645147754</v>
      </c>
      <c r="R453" s="89">
        <f t="shared" si="274"/>
        <v>5000</v>
      </c>
      <c r="S453">
        <f t="shared" si="275"/>
        <v>0.1666666666666643</v>
      </c>
      <c r="U453">
        <f>O452*AV452*'Real assumptions'!$B$33/12+AX453*'Real assumptions'!$B$34</f>
        <v>1.869162212351801</v>
      </c>
      <c r="V453">
        <f>IF(P453=0,0,IF(E453&lt;=$C$7,$AN$5*O452,0))*'Real assumptions'!$D$28</f>
        <v>0</v>
      </c>
      <c r="X453" s="94">
        <f t="shared" si="289"/>
        <v>0</v>
      </c>
      <c r="Y453">
        <f t="shared" si="276"/>
        <v>24</v>
      </c>
      <c r="Z453">
        <f t="shared" si="309"/>
        <v>62</v>
      </c>
      <c r="AA453">
        <f t="shared" si="277"/>
        <v>62.166666666666664</v>
      </c>
      <c r="AB453">
        <f t="shared" si="290"/>
        <v>50.505050505050505</v>
      </c>
      <c r="AC453">
        <f t="shared" si="339"/>
        <v>3139.7306397306397</v>
      </c>
      <c r="AD453">
        <f t="shared" si="291"/>
        <v>80.505050505050505</v>
      </c>
      <c r="AE453">
        <f t="shared" si="292"/>
        <v>250.23653198653196</v>
      </c>
      <c r="AF453" s="94">
        <f t="shared" si="293"/>
        <v>1610.0328282828284</v>
      </c>
      <c r="AG453">
        <f t="shared" si="311"/>
        <v>0.59544505549302518</v>
      </c>
      <c r="AH453">
        <f t="shared" si="294"/>
        <v>184.22684696492439</v>
      </c>
      <c r="AI453">
        <f>HLOOKUP(AW453,'Real assumptions'!$A$21:$AK$24,2,TRUE)</f>
        <v>0</v>
      </c>
      <c r="AJ453" s="123">
        <f t="shared" si="340"/>
        <v>0</v>
      </c>
      <c r="AK453" s="122">
        <f>(1+HLOOKUP(YEAR(A453),'Real assumptions'!$A$21:$AK$24,2,TRUE)/100)^(1/12)-1</f>
        <v>0</v>
      </c>
      <c r="AL453">
        <f t="shared" si="313"/>
        <v>1.869162212351801</v>
      </c>
      <c r="AM453">
        <f>('Real assumptions'!$B$33/12)*O452*AV452</f>
        <v>1.8183159737429437</v>
      </c>
      <c r="AN453">
        <f t="shared" si="295"/>
        <v>186.02048643437712</v>
      </c>
      <c r="AO453">
        <f t="shared" si="341"/>
        <v>0</v>
      </c>
      <c r="AP453" s="121">
        <f t="shared" si="296"/>
        <v>0</v>
      </c>
      <c r="AQ453">
        <f t="shared" si="297"/>
        <v>0</v>
      </c>
      <c r="AR453">
        <v>0</v>
      </c>
      <c r="AS453">
        <f t="shared" si="278"/>
        <v>0</v>
      </c>
      <c r="AT453">
        <f t="shared" si="298"/>
        <v>0</v>
      </c>
      <c r="AU453">
        <f>IFERROR(HLOOKUP(B453,'Real assumptions'!$B$43:$AL$44,2,TRUE)*($W$3/$U$2),0)</f>
        <v>0</v>
      </c>
      <c r="AV453">
        <f>AV452*(1+'Real assumptions'!$B$35)^(1/12)</f>
        <v>1.5785830011818038</v>
      </c>
      <c r="AW453">
        <f t="shared" si="279"/>
        <v>2055</v>
      </c>
      <c r="AX453">
        <f t="shared" si="314"/>
        <v>185.60760130069983</v>
      </c>
      <c r="AY453">
        <f t="shared" si="315"/>
        <v>0.48529417872344049</v>
      </c>
      <c r="AZ453">
        <f t="shared" si="280"/>
        <v>412.75244725163793</v>
      </c>
      <c r="BA453">
        <f t="shared" si="299"/>
        <v>3.1543594200078005</v>
      </c>
      <c r="BB453">
        <f t="shared" si="300"/>
        <v>62.166666666666664</v>
      </c>
      <c r="BC453">
        <f t="shared" si="281"/>
        <v>37.299999999999997</v>
      </c>
      <c r="BD453">
        <f t="shared" si="301"/>
        <v>0</v>
      </c>
      <c r="BE453">
        <f t="shared" si="282"/>
        <v>24</v>
      </c>
      <c r="BF453">
        <f t="shared" si="316"/>
        <v>5000</v>
      </c>
      <c r="BU453"/>
      <c r="DW453" s="89"/>
      <c r="DX453" s="89"/>
      <c r="FD453"/>
      <c r="FE453"/>
    </row>
    <row r="454" spans="1:161" x14ac:dyDescent="0.25">
      <c r="A454" s="7">
        <f t="shared" si="302"/>
        <v>56918</v>
      </c>
      <c r="B454">
        <f t="shared" si="283"/>
        <v>443</v>
      </c>
      <c r="C454">
        <f t="shared" si="333"/>
        <v>36.833333333333336</v>
      </c>
      <c r="D454">
        <f t="shared" si="334"/>
        <v>0</v>
      </c>
      <c r="E454">
        <f t="shared" si="286"/>
        <v>88</v>
      </c>
      <c r="F454">
        <f>IF(C454&gt;=$T$2,0,VLOOKUP($E454,EKM_F05!$A$3:$C$128,2,TRUE))</f>
        <v>0.12475974358974358</v>
      </c>
      <c r="G454">
        <f>F454*'Real assumptions'!$B$3</f>
        <v>5.2062240999999995E-2</v>
      </c>
      <c r="H454">
        <f t="shared" si="335"/>
        <v>4.4456249862347974E-3</v>
      </c>
      <c r="I454">
        <f t="shared" si="336"/>
        <v>5.0786983390196689E-4</v>
      </c>
      <c r="J454">
        <f>IF(B454&gt;$AJ$2,0,HLOOKUP(C454,'Real assumptions'!$B$5:$L$8,4,TRUE))</f>
        <v>3.7900000000000003E-2</v>
      </c>
      <c r="K454">
        <f t="shared" si="273"/>
        <v>1</v>
      </c>
      <c r="L454">
        <f t="shared" si="305"/>
        <v>8.3333333333333329E-2</v>
      </c>
      <c r="M454">
        <f t="shared" si="337"/>
        <v>3.2145624959929453E-3</v>
      </c>
      <c r="N454">
        <f t="shared" si="338"/>
        <v>3.6700639496455636E-4</v>
      </c>
      <c r="O454" s="8">
        <f t="shared" si="287"/>
        <v>0.11354940365455084</v>
      </c>
      <c r="P454">
        <f t="shared" si="288"/>
        <v>2.7461827172020166</v>
      </c>
      <c r="Q454">
        <f t="shared" si="308"/>
        <v>2.5393491695098342</v>
      </c>
      <c r="R454" s="89">
        <f t="shared" si="274"/>
        <v>5000</v>
      </c>
      <c r="S454">
        <f t="shared" si="275"/>
        <v>8.3333333333335702E-2</v>
      </c>
      <c r="U454">
        <f>O453*AV453*'Real assumptions'!$B$33/12+AX454*'Real assumptions'!$B$34</f>
        <v>1.8568821469381029</v>
      </c>
      <c r="V454">
        <f>IF(P454=0,0,IF(E454&lt;=$C$7,$AN$5*O453,0))*'Real assumptions'!$D$28</f>
        <v>0</v>
      </c>
      <c r="X454" s="94">
        <f t="shared" si="289"/>
        <v>0</v>
      </c>
      <c r="Y454">
        <f t="shared" si="276"/>
        <v>24</v>
      </c>
      <c r="Z454">
        <f t="shared" si="309"/>
        <v>62</v>
      </c>
      <c r="AA454">
        <f t="shared" si="277"/>
        <v>62.083333333333336</v>
      </c>
      <c r="AB454">
        <f t="shared" si="290"/>
        <v>50.505050505050505</v>
      </c>
      <c r="AC454">
        <f t="shared" si="339"/>
        <v>3135.5218855218855</v>
      </c>
      <c r="AD454">
        <f t="shared" si="291"/>
        <v>80.505050505050505</v>
      </c>
      <c r="AE454">
        <f t="shared" si="292"/>
        <v>249.90109427609428</v>
      </c>
      <c r="AF454" s="94">
        <f t="shared" si="293"/>
        <v>1614.5770202020203</v>
      </c>
      <c r="AG454">
        <f t="shared" si="311"/>
        <v>0.5925600915769591</v>
      </c>
      <c r="AH454">
        <f t="shared" si="294"/>
        <v>183.3342577982811</v>
      </c>
      <c r="AI454">
        <f>HLOOKUP(AW454,'Real assumptions'!$A$21:$AK$24,2,TRUE)</f>
        <v>0</v>
      </c>
      <c r="AJ454" s="123">
        <f t="shared" si="340"/>
        <v>0</v>
      </c>
      <c r="AK454" s="122">
        <f>(1+HLOOKUP(YEAR(A454),'Real assumptions'!$A$21:$AK$24,2,TRUE)/100)^(1/12)-1</f>
        <v>0</v>
      </c>
      <c r="AL454">
        <f t="shared" si="313"/>
        <v>1.8568821469381029</v>
      </c>
      <c r="AM454">
        <f>('Real assumptions'!$B$33/12)*O453*AV453</f>
        <v>1.806282231464317</v>
      </c>
      <c r="AN454">
        <f t="shared" si="295"/>
        <v>185.1161475351883</v>
      </c>
      <c r="AO454">
        <f t="shared" si="341"/>
        <v>0</v>
      </c>
      <c r="AP454" s="121">
        <f t="shared" si="296"/>
        <v>0</v>
      </c>
      <c r="AQ454">
        <f t="shared" si="297"/>
        <v>0</v>
      </c>
      <c r="AR454">
        <v>0</v>
      </c>
      <c r="AS454">
        <f t="shared" si="278"/>
        <v>0</v>
      </c>
      <c r="AT454">
        <f t="shared" si="298"/>
        <v>0</v>
      </c>
      <c r="AU454">
        <f>IFERROR(HLOOKUP(B454,'Real assumptions'!$B$43:$AL$44,2,TRUE)*($W$3/$U$2),0)</f>
        <v>0</v>
      </c>
      <c r="AV454">
        <f>AV453*(1+'Real assumptions'!$B$35)^(1/12)</f>
        <v>1.5802180122341485</v>
      </c>
      <c r="AW454">
        <f t="shared" si="279"/>
        <v>2055</v>
      </c>
      <c r="AX454">
        <f t="shared" si="314"/>
        <v>184.70843063446739</v>
      </c>
      <c r="AY454">
        <f t="shared" si="315"/>
        <v>0.4815836695430023</v>
      </c>
      <c r="AZ454">
        <f t="shared" si="280"/>
        <v>410.50983856081507</v>
      </c>
      <c r="BA454">
        <f t="shared" si="299"/>
        <v>3.1319092610867934</v>
      </c>
      <c r="BB454">
        <f t="shared" si="300"/>
        <v>62.083333333333336</v>
      </c>
      <c r="BC454">
        <f t="shared" si="281"/>
        <v>37.25</v>
      </c>
      <c r="BD454">
        <f t="shared" si="301"/>
        <v>0</v>
      </c>
      <c r="BE454">
        <f t="shared" si="282"/>
        <v>24</v>
      </c>
      <c r="BF454">
        <f t="shared" si="316"/>
        <v>5000</v>
      </c>
      <c r="BU454"/>
      <c r="DW454" s="89"/>
      <c r="DX454" s="89"/>
      <c r="FD454"/>
      <c r="FE454"/>
    </row>
    <row r="455" spans="1:161" x14ac:dyDescent="0.25">
      <c r="A455" s="7">
        <f t="shared" si="302"/>
        <v>56948</v>
      </c>
      <c r="B455">
        <f t="shared" si="283"/>
        <v>444</v>
      </c>
      <c r="C455">
        <f t="shared" si="333"/>
        <v>36.916666666666664</v>
      </c>
      <c r="D455">
        <f t="shared" si="334"/>
        <v>0</v>
      </c>
      <c r="E455">
        <f t="shared" si="286"/>
        <v>88</v>
      </c>
      <c r="F455">
        <f>IF(C455&gt;=$T$2,0,VLOOKUP($E455,EKM_F05!$A$3:$C$128,2,TRUE))</f>
        <v>0.12475974358974358</v>
      </c>
      <c r="G455">
        <f>F455*'Real assumptions'!$B$3</f>
        <v>5.2062240999999995E-2</v>
      </c>
      <c r="H455">
        <f t="shared" si="335"/>
        <v>4.4456249862347974E-3</v>
      </c>
      <c r="I455">
        <f t="shared" si="336"/>
        <v>5.0398671359313098E-4</v>
      </c>
      <c r="J455">
        <f>IF(B455&gt;$AJ$2,0,HLOOKUP(C455,'Real assumptions'!$B$5:$L$8,4,TRUE))</f>
        <v>3.7900000000000003E-2</v>
      </c>
      <c r="K455">
        <f t="shared" si="273"/>
        <v>1</v>
      </c>
      <c r="L455">
        <f t="shared" si="305"/>
        <v>8.3333333333333329E-2</v>
      </c>
      <c r="M455">
        <f t="shared" si="337"/>
        <v>3.2145624959929453E-3</v>
      </c>
      <c r="N455">
        <f t="shared" si="338"/>
        <v>3.6420030196468233E-4</v>
      </c>
      <c r="O455" s="8">
        <f t="shared" si="287"/>
        <v>0.11268121663899303</v>
      </c>
      <c r="P455">
        <f t="shared" si="288"/>
        <v>2.72518568770922</v>
      </c>
      <c r="Q455">
        <f t="shared" si="308"/>
        <v>2.5199335679656549</v>
      </c>
      <c r="R455" s="89">
        <f t="shared" si="274"/>
        <v>5000</v>
      </c>
      <c r="S455">
        <f t="shared" si="275"/>
        <v>1</v>
      </c>
      <c r="U455">
        <f>O454*AV454*'Real assumptions'!$B$33/12+AX455*'Real assumptions'!$B$34</f>
        <v>1.844682515937164</v>
      </c>
      <c r="V455">
        <f>IF(P455=0,0,IF(E455&lt;=$C$7,$AN$5*O454,0))*'Real assumptions'!$D$28</f>
        <v>0</v>
      </c>
      <c r="X455" s="94">
        <f t="shared" si="289"/>
        <v>0</v>
      </c>
      <c r="Y455">
        <f t="shared" si="276"/>
        <v>24</v>
      </c>
      <c r="Z455">
        <f t="shared" si="309"/>
        <v>62</v>
      </c>
      <c r="AA455">
        <f t="shared" si="277"/>
        <v>62</v>
      </c>
      <c r="AB455">
        <f t="shared" si="290"/>
        <v>50.505050505050505</v>
      </c>
      <c r="AC455">
        <f t="shared" si="339"/>
        <v>3131.3131313131312</v>
      </c>
      <c r="AD455">
        <f t="shared" si="291"/>
        <v>80.505050505050505</v>
      </c>
      <c r="AE455">
        <f t="shared" si="292"/>
        <v>249.56565656565655</v>
      </c>
      <c r="AF455" s="94">
        <f t="shared" si="293"/>
        <v>1619.1212121212122</v>
      </c>
      <c r="AG455">
        <f t="shared" si="311"/>
        <v>0.58968443437196794</v>
      </c>
      <c r="AH455">
        <f t="shared" si="294"/>
        <v>182.44454806781928</v>
      </c>
      <c r="AI455">
        <f>HLOOKUP(AW455,'Real assumptions'!$A$21:$AK$24,2,TRUE)</f>
        <v>0</v>
      </c>
      <c r="AJ455" s="123">
        <f t="shared" si="340"/>
        <v>0</v>
      </c>
      <c r="AK455" s="122">
        <f>(1+HLOOKUP(YEAR(A455),'Real assumptions'!$A$21:$AK$24,2,TRUE)/100)^(1/12)-1</f>
        <v>0</v>
      </c>
      <c r="AL455">
        <f t="shared" si="313"/>
        <v>1.844682515937164</v>
      </c>
      <c r="AM455">
        <f>('Real assumptions'!$B$33/12)*O454*AV454</f>
        <v>1.7943281293336728</v>
      </c>
      <c r="AN455">
        <f t="shared" si="295"/>
        <v>184.21476097005316</v>
      </c>
      <c r="AO455">
        <f t="shared" si="341"/>
        <v>0</v>
      </c>
      <c r="AP455" s="121">
        <f t="shared" si="296"/>
        <v>0</v>
      </c>
      <c r="AQ455">
        <f t="shared" si="297"/>
        <v>0</v>
      </c>
      <c r="AR455">
        <v>0</v>
      </c>
      <c r="AS455">
        <f t="shared" si="278"/>
        <v>0</v>
      </c>
      <c r="AT455">
        <f t="shared" si="298"/>
        <v>0</v>
      </c>
      <c r="AU455">
        <f>IFERROR(HLOOKUP(B455,'Real assumptions'!$B$43:$AL$44,2,TRUE)*($W$3/$U$2),0)</f>
        <v>0</v>
      </c>
      <c r="AV455">
        <f>AV454*(1+'Real assumptions'!$B$35)^(1/12)</f>
        <v>1.5818547167426746</v>
      </c>
      <c r="AW455">
        <f t="shared" si="279"/>
        <v>2055</v>
      </c>
      <c r="AX455">
        <f t="shared" si="314"/>
        <v>183.81215932881372</v>
      </c>
      <c r="AY455">
        <f t="shared" si="315"/>
        <v>0.47790153053262135</v>
      </c>
      <c r="AZ455">
        <f t="shared" si="280"/>
        <v>408.28072373024946</v>
      </c>
      <c r="BA455">
        <f t="shared" si="299"/>
        <v>3.1096180023376228</v>
      </c>
      <c r="BB455">
        <f t="shared" si="300"/>
        <v>62</v>
      </c>
      <c r="BC455">
        <f t="shared" si="281"/>
        <v>37.200000000000003</v>
      </c>
      <c r="BD455">
        <f t="shared" si="301"/>
        <v>0</v>
      </c>
      <c r="BE455">
        <f t="shared" si="282"/>
        <v>24</v>
      </c>
      <c r="BF455">
        <f t="shared" si="316"/>
        <v>5000</v>
      </c>
      <c r="BU455"/>
      <c r="DW455" s="89"/>
      <c r="DX455" s="89"/>
      <c r="FD455"/>
      <c r="FE455"/>
    </row>
    <row r="456" spans="1:161" x14ac:dyDescent="0.25">
      <c r="A456" s="7">
        <f t="shared" si="302"/>
        <v>56979</v>
      </c>
      <c r="B456">
        <f t="shared" si="283"/>
        <v>445</v>
      </c>
      <c r="C456">
        <f t="shared" si="333"/>
        <v>37</v>
      </c>
      <c r="D456">
        <f t="shared" si="334"/>
        <v>1</v>
      </c>
      <c r="E456">
        <f t="shared" si="286"/>
        <v>89</v>
      </c>
      <c r="F456">
        <f>IF(C456&gt;=$T$2,0,VLOOKUP($E456,EKM_F05!$A$3:$C$128,2,TRUE))</f>
        <v>0.13693730769230766</v>
      </c>
      <c r="G456">
        <f>F456*'Real assumptions'!$B$3</f>
        <v>5.7143938499999991E-2</v>
      </c>
      <c r="H456">
        <f t="shared" si="335"/>
        <v>4.8914681904096424E-3</v>
      </c>
      <c r="I456">
        <f t="shared" si="336"/>
        <v>5.5029069105391932E-4</v>
      </c>
      <c r="J456">
        <f>IF(B456&gt;$AJ$2,0,HLOOKUP(C456,'Real assumptions'!$B$5:$L$8,4,TRUE))</f>
        <v>3.7900000000000003E-2</v>
      </c>
      <c r="K456">
        <f t="shared" si="273"/>
        <v>1</v>
      </c>
      <c r="L456">
        <f t="shared" si="305"/>
        <v>8.3333333333333329E-2</v>
      </c>
      <c r="M456">
        <f t="shared" si="337"/>
        <v>3.2145624959929453E-3</v>
      </c>
      <c r="N456">
        <f t="shared" si="338"/>
        <v>3.6133491721819044E-4</v>
      </c>
      <c r="O456" s="8">
        <f t="shared" si="287"/>
        <v>0.11176959103072091</v>
      </c>
      <c r="P456">
        <f t="shared" si="288"/>
        <v>2.7043491993358328</v>
      </c>
      <c r="Q456">
        <f t="shared" si="308"/>
        <v>2.7514534552695964</v>
      </c>
      <c r="R456" s="89">
        <f t="shared" si="274"/>
        <v>5000</v>
      </c>
      <c r="S456">
        <f t="shared" si="275"/>
        <v>0.9166666666666643</v>
      </c>
      <c r="U456">
        <f>O455*AV455*'Real assumptions'!$B$33/12+AX456*'Real assumptions'!$B$34</f>
        <v>1.8325627945391672</v>
      </c>
      <c r="V456">
        <f>IF(P456=0,0,IF(E456&lt;=$C$7,$AN$5*O455,0))*'Real assumptions'!$D$28</f>
        <v>0</v>
      </c>
      <c r="X456" s="94">
        <f t="shared" si="289"/>
        <v>0</v>
      </c>
      <c r="Y456">
        <f t="shared" si="276"/>
        <v>24</v>
      </c>
      <c r="Z456">
        <f t="shared" si="309"/>
        <v>62</v>
      </c>
      <c r="AA456">
        <f t="shared" si="277"/>
        <v>61.916666666666664</v>
      </c>
      <c r="AB456">
        <f t="shared" si="290"/>
        <v>50.505050505050505</v>
      </c>
      <c r="AC456">
        <f t="shared" si="339"/>
        <v>3127.1043771043769</v>
      </c>
      <c r="AD456">
        <f t="shared" si="291"/>
        <v>80.505050505050505</v>
      </c>
      <c r="AE456">
        <f t="shared" si="292"/>
        <v>249.23021885521882</v>
      </c>
      <c r="AF456" s="94">
        <f t="shared" si="293"/>
        <v>1623.6654040404042</v>
      </c>
      <c r="AG456">
        <f t="shared" si="311"/>
        <v>0.58668700435897914</v>
      </c>
      <c r="AH456">
        <f t="shared" si="294"/>
        <v>181.47641818032619</v>
      </c>
      <c r="AI456">
        <f>HLOOKUP(AW456,'Real assumptions'!$A$21:$AK$24,2,TRUE)</f>
        <v>0</v>
      </c>
      <c r="AJ456" s="123">
        <f t="shared" si="340"/>
        <v>0</v>
      </c>
      <c r="AK456" s="122">
        <f>(1+HLOOKUP(YEAR(A456),'Real assumptions'!$A$21:$AK$24,2,TRUE)/100)^(1/12)-1</f>
        <v>0</v>
      </c>
      <c r="AL456">
        <f t="shared" si="313"/>
        <v>1.8325627945391672</v>
      </c>
      <c r="AM456">
        <f>('Real assumptions'!$B$33/12)*O455*AV455</f>
        <v>1.7824531402869426</v>
      </c>
      <c r="AN456">
        <f t="shared" si="295"/>
        <v>183.31633447261595</v>
      </c>
      <c r="AO456">
        <f t="shared" si="341"/>
        <v>0</v>
      </c>
      <c r="AP456" s="121">
        <f t="shared" si="296"/>
        <v>0</v>
      </c>
      <c r="AQ456">
        <f t="shared" si="297"/>
        <v>0</v>
      </c>
      <c r="AR456">
        <v>0</v>
      </c>
      <c r="AS456">
        <f t="shared" si="278"/>
        <v>0</v>
      </c>
      <c r="AT456">
        <f t="shared" si="298"/>
        <v>0</v>
      </c>
      <c r="AU456">
        <f>IFERROR(HLOOKUP(B456,'Real assumptions'!$B$43:$AL$44,2,TRUE)*($W$3/$U$2),0)</f>
        <v>0</v>
      </c>
      <c r="AV456">
        <f>AV455*(1+'Real assumptions'!$B$35)^(1/12)</f>
        <v>1.5834931164613726</v>
      </c>
      <c r="AW456">
        <f t="shared" si="279"/>
        <v>2055</v>
      </c>
      <c r="AX456">
        <f t="shared" si="314"/>
        <v>182.9187956125962</v>
      </c>
      <c r="AY456">
        <f t="shared" si="315"/>
        <v>0.47424754477690662</v>
      </c>
      <c r="AZ456">
        <f t="shared" si="280"/>
        <v>405.81436967541754</v>
      </c>
      <c r="BA456">
        <f t="shared" si="299"/>
        <v>3.3381404596285753</v>
      </c>
      <c r="BB456">
        <f t="shared" si="300"/>
        <v>61.916666666666664</v>
      </c>
      <c r="BC456">
        <f t="shared" si="281"/>
        <v>37.15</v>
      </c>
      <c r="BD456">
        <f t="shared" si="301"/>
        <v>0</v>
      </c>
      <c r="BE456">
        <f t="shared" si="282"/>
        <v>24</v>
      </c>
      <c r="BF456">
        <f t="shared" si="316"/>
        <v>5000</v>
      </c>
      <c r="BU456"/>
      <c r="DW456" s="89"/>
      <c r="DX456" s="89"/>
      <c r="FD456"/>
      <c r="FE456"/>
    </row>
    <row r="457" spans="1:161" x14ac:dyDescent="0.25">
      <c r="A457" s="7">
        <f t="shared" si="302"/>
        <v>57010</v>
      </c>
      <c r="B457">
        <f t="shared" si="283"/>
        <v>446</v>
      </c>
      <c r="C457">
        <f t="shared" si="333"/>
        <v>37.083333333333336</v>
      </c>
      <c r="D457">
        <f t="shared" si="334"/>
        <v>0</v>
      </c>
      <c r="E457">
        <f t="shared" si="286"/>
        <v>89</v>
      </c>
      <c r="F457">
        <f>IF(C457&gt;=$T$2,0,VLOOKUP($E457,EKM_F05!$A$3:$C$128,2,TRUE))</f>
        <v>0.13693730769230766</v>
      </c>
      <c r="G457">
        <f>F457*'Real assumptions'!$B$3</f>
        <v>5.7143938499999991E-2</v>
      </c>
      <c r="H457">
        <f t="shared" si="335"/>
        <v>4.8914681904096424E-3</v>
      </c>
      <c r="I457">
        <f t="shared" si="336"/>
        <v>5.458386705582078E-4</v>
      </c>
      <c r="J457">
        <f>IF(B457&gt;$AJ$2,0,HLOOKUP(C457,'Real assumptions'!$B$5:$L$8,4,TRUE))</f>
        <v>3.7900000000000003E-2</v>
      </c>
      <c r="K457">
        <f t="shared" si="273"/>
        <v>1</v>
      </c>
      <c r="L457">
        <f t="shared" si="305"/>
        <v>8.3333333333333329E-2</v>
      </c>
      <c r="M457">
        <f t="shared" si="337"/>
        <v>3.2145624959929453E-3</v>
      </c>
      <c r="N457">
        <f t="shared" si="338"/>
        <v>3.5841160689616651E-4</v>
      </c>
      <c r="O457" s="8">
        <f t="shared" si="287"/>
        <v>0.11086534075326654</v>
      </c>
      <c r="P457">
        <f t="shared" si="288"/>
        <v>2.6824701847373018</v>
      </c>
      <c r="Q457">
        <f t="shared" si="308"/>
        <v>2.729193352791039</v>
      </c>
      <c r="R457" s="89">
        <f t="shared" si="274"/>
        <v>5000</v>
      </c>
      <c r="S457">
        <f t="shared" si="275"/>
        <v>0.8333333333333357</v>
      </c>
      <c r="U457">
        <f>O456*AV456*'Real assumptions'!$B$33/12+AX457*'Real assumptions'!$B$34</f>
        <v>1.8197071692913929</v>
      </c>
      <c r="V457">
        <f>IF(P457=0,0,IF(E457&lt;=$C$7,$AN$5*O456,0))*'Real assumptions'!$D$28</f>
        <v>0</v>
      </c>
      <c r="X457" s="94">
        <f t="shared" si="289"/>
        <v>0</v>
      </c>
      <c r="Y457">
        <f t="shared" si="276"/>
        <v>24</v>
      </c>
      <c r="Z457">
        <f t="shared" si="309"/>
        <v>61</v>
      </c>
      <c r="AA457">
        <f t="shared" si="277"/>
        <v>61.833333333333336</v>
      </c>
      <c r="AB457">
        <f t="shared" si="290"/>
        <v>50.505050505050505</v>
      </c>
      <c r="AC457">
        <f t="shared" si="339"/>
        <v>3122.8956228956231</v>
      </c>
      <c r="AD457">
        <f t="shared" si="291"/>
        <v>80.505050505050505</v>
      </c>
      <c r="AE457">
        <f t="shared" si="292"/>
        <v>248.89478114478115</v>
      </c>
      <c r="AF457" s="94">
        <f t="shared" si="293"/>
        <v>1628.2095959595958</v>
      </c>
      <c r="AG457">
        <f t="shared" si="311"/>
        <v>0.58356921765163672</v>
      </c>
      <c r="AH457">
        <f t="shared" si="294"/>
        <v>180.51201167379904</v>
      </c>
      <c r="AI457">
        <f>HLOOKUP(AW457,'Real assumptions'!$A$21:$AK$24,2,TRUE)</f>
        <v>0</v>
      </c>
      <c r="AJ457" s="123">
        <f t="shared" si="340"/>
        <v>0</v>
      </c>
      <c r="AK457" s="122">
        <f>(1+HLOOKUP(YEAR(A457),'Real assumptions'!$A$21:$AK$24,2,TRUE)/100)^(1/12)-1</f>
        <v>0</v>
      </c>
      <c r="AL457">
        <f t="shared" si="313"/>
        <v>1.8197071692913929</v>
      </c>
      <c r="AM457">
        <f>('Real assumptions'!$B$33/12)*O456*AV456</f>
        <v>1.7698637802684933</v>
      </c>
      <c r="AN457">
        <f t="shared" si="295"/>
        <v>182.33918119577208</v>
      </c>
      <c r="AO457">
        <f t="shared" si="341"/>
        <v>0</v>
      </c>
      <c r="AP457" s="121">
        <f t="shared" si="296"/>
        <v>0</v>
      </c>
      <c r="AQ457">
        <f t="shared" si="297"/>
        <v>0</v>
      </c>
      <c r="AR457">
        <v>0</v>
      </c>
      <c r="AS457">
        <f t="shared" si="278"/>
        <v>0</v>
      </c>
      <c r="AT457">
        <f t="shared" si="298"/>
        <v>0</v>
      </c>
      <c r="AU457">
        <f>IFERROR(HLOOKUP(B457,'Real assumptions'!$B$43:$AL$44,2,TRUE)*($W$3/$U$2),0)</f>
        <v>0</v>
      </c>
      <c r="AV457">
        <f>AV456*(1+'Real assumptions'!$B$35)^(1/12)</f>
        <v>1.5851332131460498</v>
      </c>
      <c r="AW457">
        <f t="shared" si="279"/>
        <v>2056</v>
      </c>
      <c r="AX457">
        <f t="shared" si="314"/>
        <v>181.94682891698747</v>
      </c>
      <c r="AY457">
        <f t="shared" si="315"/>
        <v>0.47041073666128325</v>
      </c>
      <c r="AZ457">
        <f t="shared" si="280"/>
        <v>403.3643701204208</v>
      </c>
      <c r="BA457">
        <f t="shared" si="299"/>
        <v>3.3127625704426755</v>
      </c>
      <c r="BB457">
        <f t="shared" si="300"/>
        <v>61.833333333333336</v>
      </c>
      <c r="BC457">
        <f t="shared" si="281"/>
        <v>37.1</v>
      </c>
      <c r="BD457">
        <f t="shared" si="301"/>
        <v>0</v>
      </c>
      <c r="BE457">
        <f t="shared" si="282"/>
        <v>24</v>
      </c>
      <c r="BF457">
        <f t="shared" si="316"/>
        <v>5000</v>
      </c>
      <c r="BU457"/>
      <c r="DW457" s="89"/>
      <c r="DX457" s="89"/>
      <c r="FD457"/>
      <c r="FE457"/>
    </row>
    <row r="458" spans="1:161" x14ac:dyDescent="0.25">
      <c r="A458" s="7">
        <f t="shared" si="302"/>
        <v>57039</v>
      </c>
      <c r="B458">
        <f t="shared" si="283"/>
        <v>447</v>
      </c>
      <c r="C458">
        <f t="shared" si="333"/>
        <v>37.166666666666664</v>
      </c>
      <c r="D458">
        <f t="shared" si="334"/>
        <v>0</v>
      </c>
      <c r="E458">
        <f t="shared" si="286"/>
        <v>89</v>
      </c>
      <c r="F458">
        <f>IF(C458&gt;=$T$2,0,VLOOKUP($E458,EKM_F05!$A$3:$C$128,2,TRUE))</f>
        <v>0.13693730769230766</v>
      </c>
      <c r="G458">
        <f>F458*'Real assumptions'!$B$3</f>
        <v>5.7143938499999991E-2</v>
      </c>
      <c r="H458">
        <f t="shared" si="335"/>
        <v>4.8914681904096424E-3</v>
      </c>
      <c r="I458">
        <f t="shared" si="336"/>
        <v>5.4142266827399144E-4</v>
      </c>
      <c r="J458">
        <f>IF(B458&gt;$AJ$2,0,HLOOKUP(C458,'Real assumptions'!$B$5:$L$8,4,TRUE))</f>
        <v>3.7900000000000003E-2</v>
      </c>
      <c r="K458">
        <f t="shared" si="273"/>
        <v>1</v>
      </c>
      <c r="L458">
        <f t="shared" si="305"/>
        <v>8.3333333333333329E-2</v>
      </c>
      <c r="M458">
        <f t="shared" si="337"/>
        <v>3.2145624959929453E-3</v>
      </c>
      <c r="N458">
        <f t="shared" si="338"/>
        <v>3.5551194705139128E-4</v>
      </c>
      <c r="O458" s="8">
        <f t="shared" si="287"/>
        <v>0.10996840613794116</v>
      </c>
      <c r="P458">
        <f t="shared" si="288"/>
        <v>2.6607681780783969</v>
      </c>
      <c r="Q458">
        <f t="shared" si="308"/>
        <v>2.7071133413699573</v>
      </c>
      <c r="R458" s="89">
        <f t="shared" si="274"/>
        <v>5000</v>
      </c>
      <c r="S458">
        <f t="shared" si="275"/>
        <v>0.75</v>
      </c>
      <c r="U458">
        <f>O457*AV457*'Real assumptions'!$B$33/12+AX458*'Real assumptions'!$B$34</f>
        <v>1.8069414904455359</v>
      </c>
      <c r="V458">
        <f>IF(P458=0,0,IF(E458&lt;=$C$7,$AN$5*O457,0))*'Real assumptions'!$D$28</f>
        <v>0</v>
      </c>
      <c r="X458" s="94">
        <f t="shared" si="289"/>
        <v>0</v>
      </c>
      <c r="Y458">
        <f t="shared" si="276"/>
        <v>24</v>
      </c>
      <c r="Z458">
        <f t="shared" si="309"/>
        <v>61</v>
      </c>
      <c r="AA458">
        <f t="shared" si="277"/>
        <v>61.75</v>
      </c>
      <c r="AB458">
        <f t="shared" si="290"/>
        <v>50.505050505050505</v>
      </c>
      <c r="AC458">
        <f t="shared" si="339"/>
        <v>3118.6868686868688</v>
      </c>
      <c r="AD458">
        <f t="shared" si="291"/>
        <v>80.505050505050505</v>
      </c>
      <c r="AE458">
        <f t="shared" si="292"/>
        <v>248.55934343434342</v>
      </c>
      <c r="AF458" s="94">
        <f t="shared" si="293"/>
        <v>1632.7537878787878</v>
      </c>
      <c r="AG458">
        <f t="shared" si="311"/>
        <v>0.58046347818432209</v>
      </c>
      <c r="AH458">
        <f t="shared" si="294"/>
        <v>179.55133166871636</v>
      </c>
      <c r="AI458">
        <f>HLOOKUP(AW458,'Real assumptions'!$A$21:$AK$24,2,TRUE)</f>
        <v>0</v>
      </c>
      <c r="AJ458" s="123">
        <f t="shared" si="340"/>
        <v>0</v>
      </c>
      <c r="AK458" s="122">
        <f>(1+HLOOKUP(YEAR(A458),'Real assumptions'!$A$21:$AK$24,2,TRUE)/100)^(1/12)-1</f>
        <v>0</v>
      </c>
      <c r="AL458">
        <f t="shared" si="313"/>
        <v>1.8069414904455359</v>
      </c>
      <c r="AM458">
        <f>('Real assumptions'!$B$33/12)*O457*AV457</f>
        <v>1.7573633381475708</v>
      </c>
      <c r="AN458">
        <f t="shared" si="295"/>
        <v>181.36583836143191</v>
      </c>
      <c r="AO458">
        <f t="shared" si="341"/>
        <v>0</v>
      </c>
      <c r="AP458" s="121">
        <f t="shared" si="296"/>
        <v>0</v>
      </c>
      <c r="AQ458">
        <f t="shared" si="297"/>
        <v>0</v>
      </c>
      <c r="AR458">
        <v>0</v>
      </c>
      <c r="AS458">
        <f t="shared" si="278"/>
        <v>0</v>
      </c>
      <c r="AT458">
        <f t="shared" si="298"/>
        <v>0</v>
      </c>
      <c r="AU458">
        <f>IFERROR(HLOOKUP(B458,'Real assumptions'!$B$43:$AL$44,2,TRUE)*($W$3/$U$2),0)</f>
        <v>0</v>
      </c>
      <c r="AV458">
        <f>AV457*(1+'Real assumptions'!$B$35)^(1/12)</f>
        <v>1.586775008554332</v>
      </c>
      <c r="AW458">
        <f t="shared" si="279"/>
        <v>2056</v>
      </c>
      <c r="AX458">
        <f t="shared" si="314"/>
        <v>180.97861664329932</v>
      </c>
      <c r="AY458">
        <f t="shared" si="315"/>
        <v>0.46660496950028002</v>
      </c>
      <c r="AZ458">
        <f t="shared" si="280"/>
        <v>400.93061998849942</v>
      </c>
      <c r="BA458">
        <f t="shared" si="299"/>
        <v>3.2875768195542792</v>
      </c>
      <c r="BB458">
        <f t="shared" si="300"/>
        <v>61.75</v>
      </c>
      <c r="BC458">
        <f t="shared" si="281"/>
        <v>37.049999999999997</v>
      </c>
      <c r="BD458">
        <f t="shared" si="301"/>
        <v>0</v>
      </c>
      <c r="BE458">
        <f t="shared" si="282"/>
        <v>24</v>
      </c>
      <c r="BF458">
        <f t="shared" si="316"/>
        <v>5000</v>
      </c>
      <c r="BU458"/>
      <c r="DW458" s="89"/>
      <c r="DX458" s="89"/>
      <c r="FD458"/>
      <c r="FE458"/>
    </row>
    <row r="459" spans="1:161" x14ac:dyDescent="0.25">
      <c r="A459" s="7">
        <f t="shared" si="302"/>
        <v>57070</v>
      </c>
      <c r="B459">
        <f t="shared" si="283"/>
        <v>448</v>
      </c>
      <c r="C459">
        <f t="shared" si="333"/>
        <v>37.25</v>
      </c>
      <c r="D459">
        <f t="shared" si="334"/>
        <v>0</v>
      </c>
      <c r="E459">
        <f t="shared" si="286"/>
        <v>89</v>
      </c>
      <c r="F459">
        <f>IF(C459&gt;=$T$2,0,VLOOKUP($E459,EKM_F05!$A$3:$C$128,2,TRUE))</f>
        <v>0.13693730769230766</v>
      </c>
      <c r="G459">
        <f>F459*'Real assumptions'!$B$3</f>
        <v>5.7143938499999991E-2</v>
      </c>
      <c r="H459">
        <f t="shared" si="335"/>
        <v>4.8914681904096424E-3</v>
      </c>
      <c r="I459">
        <f t="shared" si="336"/>
        <v>5.3704239280289064E-4</v>
      </c>
      <c r="J459">
        <f>IF(B459&gt;$AJ$2,0,HLOOKUP(C459,'Real assumptions'!$B$5:$L$8,4,TRUE))</f>
        <v>3.7900000000000003E-2</v>
      </c>
      <c r="K459">
        <f t="shared" si="273"/>
        <v>1</v>
      </c>
      <c r="L459">
        <f t="shared" si="305"/>
        <v>8.3333333333333329E-2</v>
      </c>
      <c r="M459">
        <f t="shared" si="337"/>
        <v>3.2145624959929453E-3</v>
      </c>
      <c r="N459">
        <f t="shared" si="338"/>
        <v>3.5263574634424906E-4</v>
      </c>
      <c r="O459" s="8">
        <f t="shared" si="287"/>
        <v>0.10907872799879402</v>
      </c>
      <c r="P459">
        <f t="shared" si="288"/>
        <v>2.6392417473105878</v>
      </c>
      <c r="Q459">
        <f t="shared" si="308"/>
        <v>2.6852119640144534</v>
      </c>
      <c r="R459" s="89">
        <f t="shared" si="274"/>
        <v>5000</v>
      </c>
      <c r="S459">
        <f t="shared" si="275"/>
        <v>0.6666666666666643</v>
      </c>
      <c r="U459">
        <f>O458*AV458*'Real assumptions'!$B$33/12+AX459*'Real assumptions'!$B$34</f>
        <v>1.7942651307658417</v>
      </c>
      <c r="V459">
        <f>IF(P459=0,0,IF(E459&lt;=$C$7,$AN$5*O458,0))*'Real assumptions'!$D$28</f>
        <v>0</v>
      </c>
      <c r="X459" s="94">
        <f t="shared" si="289"/>
        <v>0</v>
      </c>
      <c r="Y459">
        <f t="shared" si="276"/>
        <v>24</v>
      </c>
      <c r="Z459">
        <f t="shared" si="309"/>
        <v>61</v>
      </c>
      <c r="AA459">
        <f t="shared" si="277"/>
        <v>61.666666666666664</v>
      </c>
      <c r="AB459">
        <f t="shared" si="290"/>
        <v>50.505050505050505</v>
      </c>
      <c r="AC459">
        <f t="shared" si="339"/>
        <v>3114.4781144781145</v>
      </c>
      <c r="AD459">
        <f t="shared" si="291"/>
        <v>80.505050505050505</v>
      </c>
      <c r="AE459">
        <f t="shared" si="292"/>
        <v>248.22390572390572</v>
      </c>
      <c r="AF459" s="94">
        <f t="shared" si="293"/>
        <v>1637.2979797979797</v>
      </c>
      <c r="AG459">
        <f t="shared" si="311"/>
        <v>0.57736979509399178</v>
      </c>
      <c r="AH459">
        <f t="shared" si="294"/>
        <v>178.59438099135878</v>
      </c>
      <c r="AI459">
        <f>HLOOKUP(AW459,'Real assumptions'!$A$21:$AK$24,2,TRUE)</f>
        <v>0</v>
      </c>
      <c r="AJ459" s="123">
        <f t="shared" si="340"/>
        <v>0</v>
      </c>
      <c r="AK459" s="122">
        <f>(1+HLOOKUP(YEAR(A459),'Real assumptions'!$A$21:$AK$24,2,TRUE)/100)^(1/12)-1</f>
        <v>0</v>
      </c>
      <c r="AL459">
        <f t="shared" si="313"/>
        <v>1.7942651307658417</v>
      </c>
      <c r="AM459">
        <f>('Real assumptions'!$B$33/12)*O458*AV458</f>
        <v>1.7449511859023785</v>
      </c>
      <c r="AN459">
        <f t="shared" si="295"/>
        <v>180.39630828526111</v>
      </c>
      <c r="AO459">
        <f t="shared" si="341"/>
        <v>0</v>
      </c>
      <c r="AP459" s="121">
        <f t="shared" si="296"/>
        <v>0</v>
      </c>
      <c r="AQ459">
        <f t="shared" si="297"/>
        <v>0</v>
      </c>
      <c r="AR459">
        <v>0</v>
      </c>
      <c r="AS459">
        <f t="shared" si="278"/>
        <v>0</v>
      </c>
      <c r="AT459">
        <f t="shared" si="298"/>
        <v>0</v>
      </c>
      <c r="AU459">
        <f>IFERROR(HLOOKUP(B459,'Real assumptions'!$B$43:$AL$44,2,TRUE)*($W$3/$U$2),0)</f>
        <v>0</v>
      </c>
      <c r="AV459">
        <f>AV458*(1+'Real assumptions'!$B$35)^(1/12)</f>
        <v>1.5884185044456651</v>
      </c>
      <c r="AW459">
        <f t="shared" si="279"/>
        <v>2056</v>
      </c>
      <c r="AX459">
        <f t="shared" si="314"/>
        <v>180.01416166087941</v>
      </c>
      <c r="AY459">
        <f t="shared" si="315"/>
        <v>0.46282999216305198</v>
      </c>
      <c r="AZ459">
        <f t="shared" si="280"/>
        <v>398.51301484593569</v>
      </c>
      <c r="BA459">
        <f t="shared" si="299"/>
        <v>3.2625817591084454</v>
      </c>
      <c r="BB459">
        <f t="shared" si="300"/>
        <v>61.666666666666664</v>
      </c>
      <c r="BC459">
        <f t="shared" si="281"/>
        <v>37</v>
      </c>
      <c r="BD459">
        <f t="shared" si="301"/>
        <v>0</v>
      </c>
      <c r="BE459">
        <f t="shared" si="282"/>
        <v>24</v>
      </c>
      <c r="BF459">
        <f t="shared" si="316"/>
        <v>5000</v>
      </c>
      <c r="BU459"/>
      <c r="DW459" s="89"/>
      <c r="DX459" s="89"/>
      <c r="FD459"/>
      <c r="FE459"/>
    </row>
    <row r="460" spans="1:161" x14ac:dyDescent="0.25">
      <c r="A460" s="7">
        <f t="shared" si="302"/>
        <v>57100</v>
      </c>
      <c r="B460">
        <f t="shared" si="283"/>
        <v>449</v>
      </c>
      <c r="C460">
        <f t="shared" si="333"/>
        <v>37.333333333333336</v>
      </c>
      <c r="D460">
        <f t="shared" si="334"/>
        <v>0</v>
      </c>
      <c r="E460">
        <f t="shared" si="286"/>
        <v>89</v>
      </c>
      <c r="F460">
        <f>IF(C460&gt;=$T$2,0,VLOOKUP($E460,EKM_F05!$A$3:$C$128,2,TRUE))</f>
        <v>0.13693730769230766</v>
      </c>
      <c r="G460">
        <f>F460*'Real assumptions'!$B$3</f>
        <v>5.7143938499999991E-2</v>
      </c>
      <c r="H460">
        <f t="shared" si="335"/>
        <v>4.8914681904096424E-3</v>
      </c>
      <c r="I460">
        <f t="shared" si="336"/>
        <v>5.3269755510402768E-4</v>
      </c>
      <c r="J460">
        <f>IF(B460&gt;$AJ$2,0,HLOOKUP(C460,'Real assumptions'!$B$5:$L$8,4,TRUE))</f>
        <v>3.7900000000000003E-2</v>
      </c>
      <c r="K460">
        <f t="shared" ref="K460:K523" si="342">IF(B460&gt;$AJ$2,0,IF(($U$2*(B460+11))/12-INT(($U$2*(B460+11))/12)=0,1,0))</f>
        <v>1</v>
      </c>
      <c r="L460">
        <f t="shared" si="305"/>
        <v>8.3333333333333329E-2</v>
      </c>
      <c r="M460">
        <f t="shared" si="337"/>
        <v>3.2145624959929453E-3</v>
      </c>
      <c r="N460">
        <f t="shared" si="338"/>
        <v>3.4978281498311992E-4</v>
      </c>
      <c r="O460" s="8">
        <f t="shared" si="287"/>
        <v>0.10819624762870687</v>
      </c>
      <c r="P460">
        <f t="shared" si="288"/>
        <v>2.6178894719710564</v>
      </c>
      <c r="Q460">
        <f t="shared" si="308"/>
        <v>2.6634877755201383</v>
      </c>
      <c r="R460" s="89">
        <f t="shared" ref="R460:R523" si="343">$AI$2</f>
        <v>5000</v>
      </c>
      <c r="S460">
        <f t="shared" ref="S460:S523" si="344">INT(B460/12)+1-B460/12</f>
        <v>0.5833333333333357</v>
      </c>
      <c r="U460">
        <f>O459*AV459*'Real assumptions'!$B$33/12+AX460*'Real assumptions'!$B$34</f>
        <v>1.7816774673721998</v>
      </c>
      <c r="V460">
        <f>IF(P460=0,0,IF(E460&lt;=$C$7,$AN$5*O459,0))*'Real assumptions'!$D$28</f>
        <v>0</v>
      </c>
      <c r="X460" s="94">
        <f t="shared" si="289"/>
        <v>0</v>
      </c>
      <c r="Y460">
        <f t="shared" ref="Y460:Y523" si="345">IF(P460=0,0,$AN$5)</f>
        <v>24</v>
      </c>
      <c r="Z460">
        <f t="shared" si="309"/>
        <v>61</v>
      </c>
      <c r="AA460">
        <f t="shared" ref="AA460:AA523" si="346">99-(B460/12)</f>
        <v>61.583333333333336</v>
      </c>
      <c r="AB460">
        <f t="shared" si="290"/>
        <v>50.505050505050505</v>
      </c>
      <c r="AC460">
        <f t="shared" si="339"/>
        <v>3110.2693602693603</v>
      </c>
      <c r="AD460">
        <f t="shared" si="291"/>
        <v>80.505050505050505</v>
      </c>
      <c r="AE460">
        <f t="shared" si="292"/>
        <v>247.88846801346801</v>
      </c>
      <c r="AF460" s="94">
        <f t="shared" si="293"/>
        <v>1641.8421717171718</v>
      </c>
      <c r="AG460">
        <f t="shared" si="311"/>
        <v>0.57428817658123132</v>
      </c>
      <c r="AH460">
        <f t="shared" si="294"/>
        <v>177.64116217836499</v>
      </c>
      <c r="AI460">
        <f>HLOOKUP(AW460,'Real assumptions'!$A$21:$AK$24,2,TRUE)</f>
        <v>0</v>
      </c>
      <c r="AJ460" s="123">
        <f t="shared" si="340"/>
        <v>0</v>
      </c>
      <c r="AK460" s="122">
        <f>(1+HLOOKUP(YEAR(A460),'Real assumptions'!$A$21:$AK$24,2,TRUE)/100)^(1/12)-1</f>
        <v>0</v>
      </c>
      <c r="AL460">
        <f t="shared" si="313"/>
        <v>1.7816774673721998</v>
      </c>
      <c r="AM460">
        <f>('Real assumptions'!$B$33/12)*O459*AV459</f>
        <v>1.7326266999467987</v>
      </c>
      <c r="AN460">
        <f t="shared" si="295"/>
        <v>179.43059299595765</v>
      </c>
      <c r="AO460">
        <f t="shared" si="341"/>
        <v>0</v>
      </c>
      <c r="AP460" s="121">
        <f t="shared" si="296"/>
        <v>0</v>
      </c>
      <c r="AQ460">
        <f t="shared" si="297"/>
        <v>0</v>
      </c>
      <c r="AR460">
        <v>0</v>
      </c>
      <c r="AS460">
        <f t="shared" ref="AS460:AS523" si="347">IF(B460&gt;$B$12,IF(B460&lt;=$AJ$2,AT460,0),0)</f>
        <v>0</v>
      </c>
      <c r="AT460">
        <f t="shared" si="298"/>
        <v>0</v>
      </c>
      <c r="AU460">
        <f>IFERROR(HLOOKUP(B460,'Real assumptions'!$B$43:$AL$44,2,TRUE)*($W$3/$U$2),0)</f>
        <v>0</v>
      </c>
      <c r="AV460">
        <f>AV459*(1+'Real assumptions'!$B$35)^(1/12)</f>
        <v>1.5900637025813178</v>
      </c>
      <c r="AW460">
        <f t="shared" ref="AW460:AW523" si="348">YEAR(A460)</f>
        <v>2056</v>
      </c>
      <c r="AX460">
        <f t="shared" si="314"/>
        <v>179.05346654690925</v>
      </c>
      <c r="AY460">
        <f t="shared" si="315"/>
        <v>0.45908555555047986</v>
      </c>
      <c r="AZ460">
        <f t="shared" ref="AZ460:AZ523" si="349">(AZ461+BA461-P461+U461+AQ461)/((1+AJ461))</f>
        <v>396.11145089843319</v>
      </c>
      <c r="BA460">
        <f t="shared" si="299"/>
        <v>3.2377759521013694</v>
      </c>
      <c r="BB460">
        <f t="shared" si="300"/>
        <v>61.583333333333336</v>
      </c>
      <c r="BC460">
        <f t="shared" ref="BC460:BC523" si="350">$AQ$5*BB460+IF($W$3=0,0,$AP$5*AA460)</f>
        <v>36.950000000000003</v>
      </c>
      <c r="BD460">
        <f t="shared" si="301"/>
        <v>0</v>
      </c>
      <c r="BE460">
        <f t="shared" ref="BE460:BE523" si="351">IF(B460=1,$AR$5,IF(P460=0,0,$W$3/$U$2))</f>
        <v>24</v>
      </c>
      <c r="BF460">
        <f t="shared" si="316"/>
        <v>5000</v>
      </c>
      <c r="BU460"/>
      <c r="DW460" s="89"/>
      <c r="DX460" s="89"/>
      <c r="FD460"/>
      <c r="FE460"/>
    </row>
    <row r="461" spans="1:161" x14ac:dyDescent="0.25">
      <c r="A461" s="7">
        <f t="shared" si="302"/>
        <v>57131</v>
      </c>
      <c r="B461">
        <f t="shared" ref="B461:B524" si="352">B460+1</f>
        <v>450</v>
      </c>
      <c r="C461">
        <f t="shared" si="333"/>
        <v>37.416666666666664</v>
      </c>
      <c r="D461">
        <f t="shared" si="334"/>
        <v>0</v>
      </c>
      <c r="E461">
        <f t="shared" ref="E461:E524" si="353">$C$2+INT($C461)</f>
        <v>89</v>
      </c>
      <c r="F461">
        <f>IF(C461&gt;=$T$2,0,VLOOKUP($E461,EKM_F05!$A$3:$C$128,2,TRUE))</f>
        <v>0.13693730769230766</v>
      </c>
      <c r="G461">
        <f>F461*'Real assumptions'!$B$3</f>
        <v>5.7143938499999991E-2</v>
      </c>
      <c r="H461">
        <f t="shared" si="335"/>
        <v>4.8914681904096424E-3</v>
      </c>
      <c r="I461">
        <f t="shared" si="336"/>
        <v>5.2838786847495445E-4</v>
      </c>
      <c r="J461">
        <f>IF(B461&gt;$AJ$2,0,HLOOKUP(C461,'Real assumptions'!$B$5:$L$8,4,TRUE))</f>
        <v>3.7900000000000003E-2</v>
      </c>
      <c r="K461">
        <f t="shared" si="342"/>
        <v>1</v>
      </c>
      <c r="L461">
        <f t="shared" si="305"/>
        <v>8.3333333333333329E-2</v>
      </c>
      <c r="M461">
        <f t="shared" si="337"/>
        <v>3.2145624959929453E-3</v>
      </c>
      <c r="N461">
        <f t="shared" si="338"/>
        <v>3.4695296471185677E-4</v>
      </c>
      <c r="O461" s="8">
        <f t="shared" ref="O461:O524" si="354">IF(E462&gt;$C$5,0,IF(B461&gt;$AJ$2,0,O460-I461-N461))</f>
        <v>0.10732090679552006</v>
      </c>
      <c r="P461">
        <f t="shared" ref="P461:P524" si="355">IF($U$2=0,0,$W$3/$U$2*K461*O460)</f>
        <v>2.5967099430889649</v>
      </c>
      <c r="Q461">
        <f t="shared" si="308"/>
        <v>2.6419393423747723</v>
      </c>
      <c r="R461" s="89">
        <f t="shared" si="343"/>
        <v>5000</v>
      </c>
      <c r="S461">
        <f t="shared" si="344"/>
        <v>0.5</v>
      </c>
      <c r="U461">
        <f>O460*AV460*'Real assumptions'!$B$33/12+AX461*'Real assumptions'!$B$34</f>
        <v>1.7691778817100563</v>
      </c>
      <c r="V461">
        <f>IF(P461=0,0,IF(E461&lt;=$C$7,$AN$5*O460,0))*'Real assumptions'!$D$28</f>
        <v>0</v>
      </c>
      <c r="X461" s="94">
        <f t="shared" ref="X461:X524" si="356">IF($U$2=12,0,IF($AM$2&lt;&gt;0,0,X460+Y461-($AN$5*($U$2/12))))</f>
        <v>0</v>
      </c>
      <c r="Y461">
        <f t="shared" si="345"/>
        <v>24</v>
      </c>
      <c r="Z461">
        <f t="shared" si="309"/>
        <v>61</v>
      </c>
      <c r="AA461">
        <f t="shared" si="346"/>
        <v>61.5</v>
      </c>
      <c r="AB461">
        <f t="shared" ref="AB461:AB524" si="357">IF($AM$2&lt;&gt;0,0,R461/99)</f>
        <v>50.505050505050505</v>
      </c>
      <c r="AC461">
        <f t="shared" si="339"/>
        <v>3106.060606060606</v>
      </c>
      <c r="AD461">
        <f t="shared" ref="AD461:AD524" si="358">IF($AM$2&lt;&gt;0,0,AB461+$Q$4*$AI$2+$Q$5*$AI$2)</f>
        <v>80.505050505050505</v>
      </c>
      <c r="AE461">
        <f t="shared" ref="AE461:AE524" si="359">MIN($C$6*AD461*AA461,$AI$2-AC461+BD461)</f>
        <v>247.55303030303028</v>
      </c>
      <c r="AF461" s="94">
        <f t="shared" ref="AF461:AF524" si="360">MAX(($AI$2+$Y$2-AC461-AE461+X461+BD461),0)</f>
        <v>1646.3863636363637</v>
      </c>
      <c r="AG461">
        <f t="shared" si="311"/>
        <v>0.57121862992480954</v>
      </c>
      <c r="AH461">
        <f t="shared" ref="AH461:AH524" si="361">AF461*O461</f>
        <v>176.6916774812334</v>
      </c>
      <c r="AI461">
        <f>HLOOKUP(AW461,'Real assumptions'!$A$21:$AK$24,2,TRUE)</f>
        <v>0</v>
      </c>
      <c r="AJ461" s="123">
        <f t="shared" si="340"/>
        <v>0</v>
      </c>
      <c r="AK461" s="122">
        <f>(1+HLOOKUP(YEAR(A461),'Real assumptions'!$A$21:$AK$24,2,TRUE)/100)^(1/12)-1</f>
        <v>0</v>
      </c>
      <c r="AL461">
        <f t="shared" si="313"/>
        <v>1.7691778817100563</v>
      </c>
      <c r="AM461">
        <f>('Real assumptions'!$B$33/12)*O460*AV460</f>
        <v>1.7203892610990679</v>
      </c>
      <c r="AN461">
        <f t="shared" ref="AN461:AN524" si="362">AP460+P461+AH460-V461-AL461</f>
        <v>178.46869423974391</v>
      </c>
      <c r="AO461">
        <f t="shared" si="341"/>
        <v>0</v>
      </c>
      <c r="AP461" s="121">
        <f t="shared" ref="AP461:AP524" si="363">IF(MONTH(A461)=12,0,AP460+AO461)</f>
        <v>0</v>
      </c>
      <c r="AQ461">
        <f t="shared" ref="AQ461:AQ524" si="364">IF(P461=0,0,AR461+AS461)</f>
        <v>0</v>
      </c>
      <c r="AR461">
        <v>0</v>
      </c>
      <c r="AS461">
        <f t="shared" si="347"/>
        <v>0</v>
      </c>
      <c r="AT461">
        <f t="shared" ref="AT461:AT524" si="365">IF(OR(B461&lt;=$B$12,B461&gt;$AJ$2),0,AU461*O460)</f>
        <v>0</v>
      </c>
      <c r="AU461">
        <f>IFERROR(HLOOKUP(B461,'Real assumptions'!$B$43:$AL$44,2,TRUE)*($W$3/$U$2),0)</f>
        <v>0</v>
      </c>
      <c r="AV461">
        <f>AV460*(1+'Real assumptions'!$B$35)^(1/12)</f>
        <v>1.591710604724383</v>
      </c>
      <c r="AW461">
        <f t="shared" si="348"/>
        <v>2056</v>
      </c>
      <c r="AX461">
        <f t="shared" si="314"/>
        <v>178.09653359094372</v>
      </c>
      <c r="AY461">
        <f t="shared" si="315"/>
        <v>0.45537141257873259</v>
      </c>
      <c r="AZ461">
        <f t="shared" si="349"/>
        <v>393.72582498751251</v>
      </c>
      <c r="BA461">
        <f t="shared" ref="BA461:BA524" si="366">AG461+V461+Q461</f>
        <v>3.213157972299582</v>
      </c>
      <c r="BB461">
        <f t="shared" ref="BB461:BB524" si="367">Z462+IF(S461=1,0,S461)</f>
        <v>61.5</v>
      </c>
      <c r="BC461">
        <f t="shared" si="350"/>
        <v>36.9</v>
      </c>
      <c r="BD461">
        <f t="shared" ref="BD461:BD524" si="368">(BC461/100)*($AI$2+$Y$2)-AA461*(AD461-AB461)</f>
        <v>0</v>
      </c>
      <c r="BE461">
        <f t="shared" si="351"/>
        <v>24</v>
      </c>
      <c r="BF461">
        <f t="shared" si="316"/>
        <v>5000</v>
      </c>
      <c r="BU461"/>
      <c r="DW461" s="89"/>
      <c r="DX461" s="89"/>
      <c r="FD461"/>
      <c r="FE461"/>
    </row>
    <row r="462" spans="1:161" x14ac:dyDescent="0.25">
      <c r="A462" s="7">
        <f t="shared" ref="A462:A525" si="369">DATE(YEAR(A461),MONTH(A461)+2,1)-1</f>
        <v>57161</v>
      </c>
      <c r="B462">
        <f t="shared" si="352"/>
        <v>451</v>
      </c>
      <c r="C462">
        <f t="shared" si="333"/>
        <v>37.5</v>
      </c>
      <c r="D462">
        <f t="shared" si="334"/>
        <v>0</v>
      </c>
      <c r="E462">
        <f t="shared" si="353"/>
        <v>89</v>
      </c>
      <c r="F462">
        <f>IF(C462&gt;=$T$2,0,VLOOKUP($E462,EKM_F05!$A$3:$C$128,2,TRUE))</f>
        <v>0.13693730769230766</v>
      </c>
      <c r="G462">
        <f>F462*'Real assumptions'!$B$3</f>
        <v>5.7143938499999991E-2</v>
      </c>
      <c r="H462">
        <f t="shared" si="335"/>
        <v>4.8914681904096424E-3</v>
      </c>
      <c r="I462">
        <f t="shared" si="336"/>
        <v>5.2411304853273348E-4</v>
      </c>
      <c r="J462">
        <f>IF(B462&gt;$AJ$2,0,HLOOKUP(C462,'Real assumptions'!$B$5:$L$8,4,TRUE))</f>
        <v>3.7900000000000003E-2</v>
      </c>
      <c r="K462">
        <f t="shared" si="342"/>
        <v>1</v>
      </c>
      <c r="L462">
        <f t="shared" ref="L462:L525" si="370">IF(B462&gt;$AJ$2,0,1/12)</f>
        <v>8.3333333333333329E-2</v>
      </c>
      <c r="M462">
        <f t="shared" si="337"/>
        <v>3.2145624959929453E-3</v>
      </c>
      <c r="N462">
        <f t="shared" si="338"/>
        <v>3.4414600879736229E-4</v>
      </c>
      <c r="O462" s="8">
        <f t="shared" si="354"/>
        <v>0.10645264773818995</v>
      </c>
      <c r="P462">
        <f t="shared" si="355"/>
        <v>2.5757017630924812</v>
      </c>
      <c r="Q462">
        <f t="shared" ref="Q462:Q525" si="371">BF462*I462</f>
        <v>2.6205652426636674</v>
      </c>
      <c r="R462" s="89">
        <f t="shared" si="343"/>
        <v>5000</v>
      </c>
      <c r="S462">
        <f t="shared" si="344"/>
        <v>0.4166666666666643</v>
      </c>
      <c r="U462">
        <f>O461*AV461*'Real assumptions'!$B$33/12+AX462*'Real assumptions'!$B$34</f>
        <v>1.7567657595205368</v>
      </c>
      <c r="V462">
        <f>IF(P462=0,0,IF(E462&lt;=$C$7,$AN$5*O461,0))*'Real assumptions'!$D$28</f>
        <v>0</v>
      </c>
      <c r="X462" s="94">
        <f t="shared" si="356"/>
        <v>0</v>
      </c>
      <c r="Y462">
        <f t="shared" si="345"/>
        <v>24</v>
      </c>
      <c r="Z462">
        <f t="shared" ref="Z462:Z525" si="372">IF(S460=1,Z461-1,Z461)</f>
        <v>61</v>
      </c>
      <c r="AA462">
        <f t="shared" si="346"/>
        <v>61.416666666666664</v>
      </c>
      <c r="AB462">
        <f t="shared" si="357"/>
        <v>50.505050505050505</v>
      </c>
      <c r="AC462">
        <f t="shared" si="339"/>
        <v>3101.8518518518517</v>
      </c>
      <c r="AD462">
        <f t="shared" si="358"/>
        <v>80.505050505050505</v>
      </c>
      <c r="AE462">
        <f t="shared" si="359"/>
        <v>247.21759259259258</v>
      </c>
      <c r="AF462" s="94">
        <f t="shared" si="360"/>
        <v>1650.9305555555557</v>
      </c>
      <c r="AG462">
        <f t="shared" ref="AG462:AG525" si="373">IF(B462&lt;=$C$8,0,AF462*N462)</f>
        <v>0.56816116149605644</v>
      </c>
      <c r="AH462">
        <f t="shared" si="361"/>
        <v>175.7459288707698</v>
      </c>
      <c r="AI462">
        <f>HLOOKUP(AW462,'Real assumptions'!$A$21:$AK$24,2,TRUE)</f>
        <v>0</v>
      </c>
      <c r="AJ462" s="123">
        <f t="shared" si="340"/>
        <v>0</v>
      </c>
      <c r="AK462" s="122">
        <f>(1+HLOOKUP(YEAR(A462),'Real assumptions'!$A$21:$AK$24,2,TRUE)/100)^(1/12)-1</f>
        <v>0</v>
      </c>
      <c r="AL462">
        <f t="shared" ref="AL462:AL525" si="374">AQ462+U462</f>
        <v>1.7567657595205368</v>
      </c>
      <c r="AM462">
        <f>('Real assumptions'!$B$33/12)*O461*AV461</f>
        <v>1.7082382545506638</v>
      </c>
      <c r="AN462">
        <f t="shared" si="362"/>
        <v>177.51061348480533</v>
      </c>
      <c r="AO462">
        <f t="shared" si="341"/>
        <v>0</v>
      </c>
      <c r="AP462" s="121">
        <f t="shared" si="363"/>
        <v>0</v>
      </c>
      <c r="AQ462">
        <f t="shared" si="364"/>
        <v>0</v>
      </c>
      <c r="AR462">
        <v>0</v>
      </c>
      <c r="AS462">
        <f t="shared" si="347"/>
        <v>0</v>
      </c>
      <c r="AT462">
        <f t="shared" si="365"/>
        <v>0</v>
      </c>
      <c r="AU462">
        <f>IFERROR(HLOOKUP(B462,'Real assumptions'!$B$43:$AL$44,2,TRUE)*($W$3/$U$2),0)</f>
        <v>0</v>
      </c>
      <c r="AV462">
        <f>AV461*(1+'Real assumptions'!$B$35)^(1/12)</f>
        <v>1.5933592126397793</v>
      </c>
      <c r="AW462">
        <f t="shared" si="348"/>
        <v>2056</v>
      </c>
      <c r="AX462">
        <f t="shared" ref="AX462:AX525" si="375">MAX(0,AH461+AP461-V462+AY462)</f>
        <v>177.14336479939635</v>
      </c>
      <c r="AY462">
        <f t="shared" ref="AY462:AY525" si="376">IF(P462=0,0,(AB462/$U$2)*O461)</f>
        <v>0.4516873181629632</v>
      </c>
      <c r="AZ462">
        <f t="shared" si="349"/>
        <v>391.35603458692469</v>
      </c>
      <c r="BA462">
        <f t="shared" si="366"/>
        <v>3.1887264041597239</v>
      </c>
      <c r="BB462">
        <f t="shared" si="367"/>
        <v>61.416666666666664</v>
      </c>
      <c r="BC462">
        <f t="shared" si="350"/>
        <v>36.849999999999994</v>
      </c>
      <c r="BD462">
        <f t="shared" si="368"/>
        <v>0</v>
      </c>
      <c r="BE462">
        <f t="shared" si="351"/>
        <v>24</v>
      </c>
      <c r="BF462">
        <f t="shared" ref="BF462:BF525" si="377">((IF(B462&lt;13,BF461+BE462,$AI$2+$Y$2)))</f>
        <v>5000</v>
      </c>
      <c r="BU462"/>
      <c r="DW462" s="89"/>
      <c r="DX462" s="89"/>
      <c r="FD462"/>
      <c r="FE462"/>
    </row>
    <row r="463" spans="1:161" x14ac:dyDescent="0.25">
      <c r="A463" s="7">
        <f t="shared" si="369"/>
        <v>57192</v>
      </c>
      <c r="B463">
        <f t="shared" si="352"/>
        <v>452</v>
      </c>
      <c r="C463">
        <f t="shared" si="333"/>
        <v>37.583333333333336</v>
      </c>
      <c r="D463">
        <f t="shared" si="334"/>
        <v>0</v>
      </c>
      <c r="E463">
        <f t="shared" si="353"/>
        <v>89</v>
      </c>
      <c r="F463">
        <f>IF(C463&gt;=$T$2,0,VLOOKUP($E463,EKM_F05!$A$3:$C$128,2,TRUE))</f>
        <v>0.13693730769230766</v>
      </c>
      <c r="G463">
        <f>F463*'Real assumptions'!$B$3</f>
        <v>5.7143938499999991E-2</v>
      </c>
      <c r="H463">
        <f t="shared" si="335"/>
        <v>4.8914681904096424E-3</v>
      </c>
      <c r="I463">
        <f t="shared" si="336"/>
        <v>5.1987281319517255E-4</v>
      </c>
      <c r="J463">
        <f>IF(B463&gt;$AJ$2,0,HLOOKUP(C463,'Real assumptions'!$B$5:$L$8,4,TRUE))</f>
        <v>3.7900000000000003E-2</v>
      </c>
      <c r="K463">
        <f t="shared" si="342"/>
        <v>1</v>
      </c>
      <c r="L463">
        <f t="shared" si="370"/>
        <v>8.3333333333333329E-2</v>
      </c>
      <c r="M463">
        <f t="shared" si="337"/>
        <v>3.2145624959929453E-3</v>
      </c>
      <c r="N463">
        <f t="shared" si="338"/>
        <v>3.4136176201726709E-4</v>
      </c>
      <c r="O463" s="8">
        <f t="shared" si="354"/>
        <v>0.10559141316297752</v>
      </c>
      <c r="P463">
        <f t="shared" si="355"/>
        <v>2.5548635457165587</v>
      </c>
      <c r="Q463">
        <f t="shared" si="371"/>
        <v>2.5993640659758626</v>
      </c>
      <c r="R463" s="89">
        <f t="shared" si="343"/>
        <v>5000</v>
      </c>
      <c r="S463">
        <f t="shared" si="344"/>
        <v>0.3333333333333357</v>
      </c>
      <c r="U463">
        <f>O462*AV462*'Real assumptions'!$B$33/12+AX463*'Real assumptions'!$B$34</f>
        <v>1.7444404908107711</v>
      </c>
      <c r="V463">
        <f>IF(P463=0,0,IF(E463&lt;=$C$7,$AN$5*O462,0))*'Real assumptions'!$D$28</f>
        <v>0</v>
      </c>
      <c r="X463" s="94">
        <f t="shared" si="356"/>
        <v>0</v>
      </c>
      <c r="Y463">
        <f t="shared" si="345"/>
        <v>24</v>
      </c>
      <c r="Z463">
        <f t="shared" si="372"/>
        <v>61</v>
      </c>
      <c r="AA463">
        <f t="shared" si="346"/>
        <v>61.333333333333336</v>
      </c>
      <c r="AB463">
        <f t="shared" si="357"/>
        <v>50.505050505050505</v>
      </c>
      <c r="AC463">
        <f t="shared" si="339"/>
        <v>3097.6430976430979</v>
      </c>
      <c r="AD463">
        <f t="shared" si="358"/>
        <v>80.505050505050505</v>
      </c>
      <c r="AE463">
        <f t="shared" si="359"/>
        <v>246.88215488215488</v>
      </c>
      <c r="AF463" s="94">
        <f t="shared" si="360"/>
        <v>1655.4747474747471</v>
      </c>
      <c r="AG463">
        <f t="shared" si="373"/>
        <v>0.56511577677307001</v>
      </c>
      <c r="AH463">
        <f t="shared" si="361"/>
        <v>174.80391804148189</v>
      </c>
      <c r="AI463">
        <f>HLOOKUP(AW463,'Real assumptions'!$A$21:$AK$24,2,TRUE)</f>
        <v>0</v>
      </c>
      <c r="AJ463" s="123">
        <f t="shared" si="340"/>
        <v>0</v>
      </c>
      <c r="AK463" s="122">
        <f>(1+HLOOKUP(YEAR(A463),'Real assumptions'!$A$21:$AK$24,2,TRUE)/100)^(1/12)-1</f>
        <v>0</v>
      </c>
      <c r="AL463">
        <f t="shared" si="374"/>
        <v>1.7444404908107711</v>
      </c>
      <c r="AM463">
        <f>('Real assumptions'!$B$33/12)*O462*AV462</f>
        <v>1.6961730698354212</v>
      </c>
      <c r="AN463">
        <f t="shared" si="362"/>
        <v>176.55635192567559</v>
      </c>
      <c r="AO463">
        <f t="shared" si="341"/>
        <v>0</v>
      </c>
      <c r="AP463" s="121">
        <f t="shared" si="363"/>
        <v>0</v>
      </c>
      <c r="AQ463">
        <f t="shared" si="364"/>
        <v>0</v>
      </c>
      <c r="AR463">
        <v>0</v>
      </c>
      <c r="AS463">
        <f t="shared" si="347"/>
        <v>0</v>
      </c>
      <c r="AT463">
        <f t="shared" si="365"/>
        <v>0</v>
      </c>
      <c r="AU463">
        <f>IFERROR(HLOOKUP(B463,'Real assumptions'!$B$43:$AL$44,2,TRUE)*($W$3/$U$2),0)</f>
        <v>0</v>
      </c>
      <c r="AV463">
        <f>AV462*(1+'Real assumptions'!$B$35)^(1/12)</f>
        <v>1.5950095280942538</v>
      </c>
      <c r="AW463">
        <f t="shared" si="348"/>
        <v>2056</v>
      </c>
      <c r="AX463">
        <f t="shared" si="375"/>
        <v>176.19396189997093</v>
      </c>
      <c r="AY463">
        <f t="shared" si="376"/>
        <v>0.44803302920113613</v>
      </c>
      <c r="AZ463">
        <f t="shared" si="349"/>
        <v>389.00197779908154</v>
      </c>
      <c r="BA463">
        <f t="shared" si="366"/>
        <v>3.1644798427489325</v>
      </c>
      <c r="BB463">
        <f t="shared" si="367"/>
        <v>61.333333333333336</v>
      </c>
      <c r="BC463">
        <f t="shared" si="350"/>
        <v>36.799999999999997</v>
      </c>
      <c r="BD463">
        <f t="shared" si="368"/>
        <v>0</v>
      </c>
      <c r="BE463">
        <f t="shared" si="351"/>
        <v>24</v>
      </c>
      <c r="BF463">
        <f t="shared" si="377"/>
        <v>5000</v>
      </c>
      <c r="BU463"/>
      <c r="DW463" s="89"/>
      <c r="DX463" s="89"/>
      <c r="FD463"/>
      <c r="FE463"/>
    </row>
    <row r="464" spans="1:161" x14ac:dyDescent="0.25">
      <c r="A464" s="7">
        <f t="shared" si="369"/>
        <v>57223</v>
      </c>
      <c r="B464">
        <f t="shared" si="352"/>
        <v>453</v>
      </c>
      <c r="C464">
        <f t="shared" si="333"/>
        <v>37.666666666666664</v>
      </c>
      <c r="D464">
        <f t="shared" si="334"/>
        <v>0</v>
      </c>
      <c r="E464">
        <f t="shared" si="353"/>
        <v>89</v>
      </c>
      <c r="F464">
        <f>IF(C464&gt;=$T$2,0,VLOOKUP($E464,EKM_F05!$A$3:$C$128,2,TRUE))</f>
        <v>0.13693730769230766</v>
      </c>
      <c r="G464">
        <f>F464*'Real assumptions'!$B$3</f>
        <v>5.7143938499999991E-2</v>
      </c>
      <c r="H464">
        <f t="shared" si="335"/>
        <v>4.8914681904096424E-3</v>
      </c>
      <c r="I464">
        <f t="shared" si="336"/>
        <v>5.1566688266221114E-4</v>
      </c>
      <c r="J464">
        <f>IF(B464&gt;$AJ$2,0,HLOOKUP(C464,'Real assumptions'!$B$5:$L$8,4,TRUE))</f>
        <v>3.7900000000000003E-2</v>
      </c>
      <c r="K464">
        <f t="shared" si="342"/>
        <v>1</v>
      </c>
      <c r="L464">
        <f t="shared" si="370"/>
        <v>8.3333333333333329E-2</v>
      </c>
      <c r="M464">
        <f t="shared" si="337"/>
        <v>3.2145624959929453E-3</v>
      </c>
      <c r="N464">
        <f t="shared" si="338"/>
        <v>3.3860004064770795E-4</v>
      </c>
      <c r="O464" s="8">
        <f t="shared" si="354"/>
        <v>0.10473714623966761</v>
      </c>
      <c r="P464">
        <f t="shared" si="355"/>
        <v>2.5341939159114606</v>
      </c>
      <c r="Q464">
        <f t="shared" si="371"/>
        <v>2.5783344133110555</v>
      </c>
      <c r="R464" s="89">
        <f t="shared" si="343"/>
        <v>5000</v>
      </c>
      <c r="S464">
        <f t="shared" si="344"/>
        <v>0.25</v>
      </c>
      <c r="U464">
        <f>O463*AV463*'Real assumptions'!$B$33/12+AX464*'Real assumptions'!$B$34</f>
        <v>1.7322014698244244</v>
      </c>
      <c r="V464">
        <f>IF(P464=0,0,IF(E464&lt;=$C$7,$AN$5*O463,0))*'Real assumptions'!$D$28</f>
        <v>0</v>
      </c>
      <c r="X464" s="94">
        <f t="shared" si="356"/>
        <v>0</v>
      </c>
      <c r="Y464">
        <f t="shared" si="345"/>
        <v>24</v>
      </c>
      <c r="Z464">
        <f t="shared" si="372"/>
        <v>61</v>
      </c>
      <c r="AA464">
        <f t="shared" si="346"/>
        <v>61.25</v>
      </c>
      <c r="AB464">
        <f t="shared" si="357"/>
        <v>50.505050505050505</v>
      </c>
      <c r="AC464">
        <f t="shared" si="339"/>
        <v>3093.4343434343436</v>
      </c>
      <c r="AD464">
        <f t="shared" si="358"/>
        <v>80.505050505050505</v>
      </c>
      <c r="AE464">
        <f t="shared" si="359"/>
        <v>246.54671717171715</v>
      </c>
      <c r="AF464" s="94">
        <f t="shared" si="360"/>
        <v>1660.0189393939393</v>
      </c>
      <c r="AG464">
        <f t="shared" si="373"/>
        <v>0.56208248035475283</v>
      </c>
      <c r="AH464">
        <f t="shared" si="361"/>
        <v>173.86564641592093</v>
      </c>
      <c r="AI464">
        <f>HLOOKUP(AW464,'Real assumptions'!$A$21:$AK$24,2,TRUE)</f>
        <v>0</v>
      </c>
      <c r="AJ464" s="123">
        <f t="shared" si="340"/>
        <v>0</v>
      </c>
      <c r="AK464" s="122">
        <f>(1+HLOOKUP(YEAR(A464),'Real assumptions'!$A$21:$AK$24,2,TRUE)/100)^(1/12)-1</f>
        <v>0</v>
      </c>
      <c r="AL464">
        <f t="shared" si="374"/>
        <v>1.7322014698244244</v>
      </c>
      <c r="AM464">
        <f>('Real assumptions'!$B$33/12)*O463*AV463</f>
        <v>1.6841931007988613</v>
      </c>
      <c r="AN464">
        <f t="shared" si="362"/>
        <v>175.60591048756893</v>
      </c>
      <c r="AO464">
        <f t="shared" si="341"/>
        <v>0</v>
      </c>
      <c r="AP464" s="121">
        <f t="shared" si="363"/>
        <v>0</v>
      </c>
      <c r="AQ464">
        <f t="shared" si="364"/>
        <v>0</v>
      </c>
      <c r="AR464">
        <v>0</v>
      </c>
      <c r="AS464">
        <f t="shared" si="347"/>
        <v>0</v>
      </c>
      <c r="AT464">
        <f t="shared" si="365"/>
        <v>0</v>
      </c>
      <c r="AU464">
        <f>IFERROR(HLOOKUP(B464,'Real assumptions'!$B$43:$AL$44,2,TRUE)*($W$3/$U$2),0)</f>
        <v>0</v>
      </c>
      <c r="AV464">
        <f>AV463*(1+'Real assumptions'!$B$35)^(1/12)</f>
        <v>1.5966615528563832</v>
      </c>
      <c r="AW464">
        <f t="shared" si="348"/>
        <v>2056</v>
      </c>
      <c r="AX464">
        <f t="shared" si="375"/>
        <v>175.24832634603987</v>
      </c>
      <c r="AY464">
        <f t="shared" si="376"/>
        <v>0.44440830455798613</v>
      </c>
      <c r="AZ464">
        <f t="shared" si="349"/>
        <v>386.6635533515028</v>
      </c>
      <c r="BA464">
        <f t="shared" si="366"/>
        <v>3.1404168936658081</v>
      </c>
      <c r="BB464">
        <f t="shared" si="367"/>
        <v>61.25</v>
      </c>
      <c r="BC464">
        <f t="shared" si="350"/>
        <v>36.75</v>
      </c>
      <c r="BD464">
        <f t="shared" si="368"/>
        <v>0</v>
      </c>
      <c r="BE464">
        <f t="shared" si="351"/>
        <v>24</v>
      </c>
      <c r="BF464">
        <f t="shared" si="377"/>
        <v>5000</v>
      </c>
      <c r="BU464"/>
      <c r="DW464" s="89"/>
      <c r="DX464" s="89"/>
      <c r="FD464"/>
      <c r="FE464"/>
    </row>
    <row r="465" spans="1:161" x14ac:dyDescent="0.25">
      <c r="A465" s="7">
        <f t="shared" si="369"/>
        <v>57253</v>
      </c>
      <c r="B465">
        <f t="shared" si="352"/>
        <v>454</v>
      </c>
      <c r="C465">
        <f t="shared" si="333"/>
        <v>37.75</v>
      </c>
      <c r="D465">
        <f t="shared" si="334"/>
        <v>0</v>
      </c>
      <c r="E465">
        <f t="shared" si="353"/>
        <v>89</v>
      </c>
      <c r="F465">
        <f>IF(C465&gt;=$T$2,0,VLOOKUP($E465,EKM_F05!$A$3:$C$128,2,TRUE))</f>
        <v>0.13693730769230766</v>
      </c>
      <c r="G465">
        <f>F465*'Real assumptions'!$B$3</f>
        <v>5.7143938499999991E-2</v>
      </c>
      <c r="H465">
        <f t="shared" si="335"/>
        <v>4.8914681904096424E-3</v>
      </c>
      <c r="I465">
        <f t="shared" si="336"/>
        <v>5.1149497939745672E-4</v>
      </c>
      <c r="J465">
        <f>IF(B465&gt;$AJ$2,0,HLOOKUP(C465,'Real assumptions'!$B$5:$L$8,4,TRUE))</f>
        <v>3.7900000000000003E-2</v>
      </c>
      <c r="K465">
        <f t="shared" si="342"/>
        <v>1</v>
      </c>
      <c r="L465">
        <f t="shared" si="370"/>
        <v>8.3333333333333329E-2</v>
      </c>
      <c r="M465">
        <f t="shared" si="337"/>
        <v>3.2145624959929453E-3</v>
      </c>
      <c r="N465">
        <f t="shared" si="338"/>
        <v>3.3586066245120376E-4</v>
      </c>
      <c r="O465" s="8">
        <f t="shared" si="354"/>
        <v>0.10388979059781896</v>
      </c>
      <c r="P465">
        <f t="shared" si="355"/>
        <v>2.5136915097520225</v>
      </c>
      <c r="Q465">
        <f t="shared" si="371"/>
        <v>2.5574748969872836</v>
      </c>
      <c r="R465" s="89">
        <f t="shared" si="343"/>
        <v>5000</v>
      </c>
      <c r="S465">
        <f t="shared" si="344"/>
        <v>0.1666666666666643</v>
      </c>
      <c r="U465">
        <f>O464*AV464*'Real assumptions'!$B$33/12+AX465*'Real assumptions'!$B$34</f>
        <v>1.7200480950124277</v>
      </c>
      <c r="V465">
        <f>IF(P465=0,0,IF(E465&lt;=$C$7,$AN$5*O464,0))*'Real assumptions'!$D$28</f>
        <v>0</v>
      </c>
      <c r="X465" s="94">
        <f t="shared" si="356"/>
        <v>0</v>
      </c>
      <c r="Y465">
        <f t="shared" si="345"/>
        <v>24</v>
      </c>
      <c r="Z465">
        <f t="shared" si="372"/>
        <v>61</v>
      </c>
      <c r="AA465">
        <f t="shared" si="346"/>
        <v>61.166666666666664</v>
      </c>
      <c r="AB465">
        <f t="shared" si="357"/>
        <v>50.505050505050505</v>
      </c>
      <c r="AC465">
        <f t="shared" si="339"/>
        <v>3089.2255892255889</v>
      </c>
      <c r="AD465">
        <f t="shared" si="358"/>
        <v>80.505050505050505</v>
      </c>
      <c r="AE465">
        <f t="shared" si="359"/>
        <v>246.21127946127945</v>
      </c>
      <c r="AF465" s="94">
        <f t="shared" si="360"/>
        <v>1664.5631313131316</v>
      </c>
      <c r="AG465">
        <f t="shared" si="373"/>
        <v>0.55906127597467847</v>
      </c>
      <c r="AH465">
        <f t="shared" si="361"/>
        <v>172.93111514897106</v>
      </c>
      <c r="AI465">
        <f>HLOOKUP(AW465,'Real assumptions'!$A$21:$AK$24,2,TRUE)</f>
        <v>0</v>
      </c>
      <c r="AJ465" s="123">
        <f t="shared" si="340"/>
        <v>0</v>
      </c>
      <c r="AK465" s="122">
        <f>(1+HLOOKUP(YEAR(A465),'Real assumptions'!$A$21:$AK$24,2,TRUE)/100)^(1/12)-1</f>
        <v>0</v>
      </c>
      <c r="AL465">
        <f t="shared" si="374"/>
        <v>1.7200480950124277</v>
      </c>
      <c r="AM465">
        <f>('Real assumptions'!$B$33/12)*O464*AV464</f>
        <v>1.6722977455677379</v>
      </c>
      <c r="AN465">
        <f t="shared" si="362"/>
        <v>174.65928983066053</v>
      </c>
      <c r="AO465">
        <f t="shared" si="341"/>
        <v>0</v>
      </c>
      <c r="AP465" s="121">
        <f t="shared" si="363"/>
        <v>0</v>
      </c>
      <c r="AQ465">
        <f t="shared" si="364"/>
        <v>0</v>
      </c>
      <c r="AR465">
        <v>0</v>
      </c>
      <c r="AS465">
        <f t="shared" si="347"/>
        <v>0</v>
      </c>
      <c r="AT465">
        <f t="shared" si="365"/>
        <v>0</v>
      </c>
      <c r="AU465">
        <f>IFERROR(HLOOKUP(B465,'Real assumptions'!$B$43:$AL$44,2,TRUE)*($W$3/$U$2),0)</f>
        <v>0</v>
      </c>
      <c r="AV465">
        <f>AV464*(1+'Real assumptions'!$B$35)^(1/12)</f>
        <v>1.5983152886965764</v>
      </c>
      <c r="AW465">
        <f t="shared" si="348"/>
        <v>2056</v>
      </c>
      <c r="AX465">
        <f t="shared" si="375"/>
        <v>174.30645932097005</v>
      </c>
      <c r="AY465">
        <f t="shared" si="376"/>
        <v>0.44081290504910609</v>
      </c>
      <c r="AZ465">
        <f t="shared" si="349"/>
        <v>384.34066059328046</v>
      </c>
      <c r="BA465">
        <f t="shared" si="366"/>
        <v>3.1165361729619621</v>
      </c>
      <c r="BB465">
        <f t="shared" si="367"/>
        <v>61.166666666666664</v>
      </c>
      <c r="BC465">
        <f t="shared" si="350"/>
        <v>36.699999999999996</v>
      </c>
      <c r="BD465">
        <f t="shared" si="368"/>
        <v>0</v>
      </c>
      <c r="BE465">
        <f t="shared" si="351"/>
        <v>24</v>
      </c>
      <c r="BF465">
        <f t="shared" si="377"/>
        <v>5000</v>
      </c>
      <c r="BU465"/>
      <c r="DW465" s="89"/>
      <c r="DX465" s="89"/>
      <c r="FD465"/>
      <c r="FE465"/>
    </row>
    <row r="466" spans="1:161" x14ac:dyDescent="0.25">
      <c r="A466" s="7">
        <f t="shared" si="369"/>
        <v>57284</v>
      </c>
      <c r="B466">
        <f t="shared" si="352"/>
        <v>455</v>
      </c>
      <c r="C466">
        <f t="shared" si="333"/>
        <v>37.833333333333336</v>
      </c>
      <c r="D466">
        <f t="shared" si="334"/>
        <v>0</v>
      </c>
      <c r="E466">
        <f t="shared" si="353"/>
        <v>89</v>
      </c>
      <c r="F466">
        <f>IF(C466&gt;=$T$2,0,VLOOKUP($E466,EKM_F05!$A$3:$C$128,2,TRUE))</f>
        <v>0.13693730769230766</v>
      </c>
      <c r="G466">
        <f>F466*'Real assumptions'!$B$3</f>
        <v>5.7143938499999991E-2</v>
      </c>
      <c r="H466">
        <f t="shared" si="335"/>
        <v>4.8914681904096424E-3</v>
      </c>
      <c r="I466">
        <f t="shared" si="336"/>
        <v>5.0735682810987141E-4</v>
      </c>
      <c r="J466">
        <f>IF(B466&gt;$AJ$2,0,HLOOKUP(C466,'Real assumptions'!$B$5:$L$8,4,TRUE))</f>
        <v>3.7900000000000003E-2</v>
      </c>
      <c r="K466">
        <f t="shared" si="342"/>
        <v>1</v>
      </c>
      <c r="L466">
        <f t="shared" si="370"/>
        <v>8.3333333333333329E-2</v>
      </c>
      <c r="M466">
        <f t="shared" si="337"/>
        <v>3.2145624959929453E-3</v>
      </c>
      <c r="N466">
        <f t="shared" si="338"/>
        <v>3.3314344666463057E-4</v>
      </c>
      <c r="O466" s="8">
        <f t="shared" si="354"/>
        <v>0.10304929032304445</v>
      </c>
      <c r="P466">
        <f t="shared" si="355"/>
        <v>2.4933549743476551</v>
      </c>
      <c r="Q466">
        <f t="shared" si="371"/>
        <v>2.536784140549357</v>
      </c>
      <c r="R466" s="89">
        <f t="shared" si="343"/>
        <v>5000</v>
      </c>
      <c r="S466">
        <f t="shared" si="344"/>
        <v>8.3333333333335702E-2</v>
      </c>
      <c r="U466">
        <f>O465*AV465*'Real assumptions'!$B$33/12+AX466*'Real assumptions'!$B$34</f>
        <v>1.7079797690039098</v>
      </c>
      <c r="V466">
        <f>IF(P466=0,0,IF(E466&lt;=$C$7,$AN$5*O465,0))*'Real assumptions'!$D$28</f>
        <v>0</v>
      </c>
      <c r="X466" s="94">
        <f t="shared" si="356"/>
        <v>0</v>
      </c>
      <c r="Y466">
        <f t="shared" si="345"/>
        <v>24</v>
      </c>
      <c r="Z466">
        <f t="shared" si="372"/>
        <v>61</v>
      </c>
      <c r="AA466">
        <f t="shared" si="346"/>
        <v>61.083333333333336</v>
      </c>
      <c r="AB466">
        <f t="shared" si="357"/>
        <v>50.505050505050505</v>
      </c>
      <c r="AC466">
        <f t="shared" si="339"/>
        <v>3085.0168350168351</v>
      </c>
      <c r="AD466">
        <f t="shared" si="358"/>
        <v>80.505050505050505</v>
      </c>
      <c r="AE466">
        <f t="shared" si="359"/>
        <v>245.87584175084174</v>
      </c>
      <c r="AF466" s="94">
        <f t="shared" si="360"/>
        <v>1669.1073232323231</v>
      </c>
      <c r="AG466">
        <f t="shared" si="373"/>
        <v>0.55605216651479172</v>
      </c>
      <c r="AH466">
        <f t="shared" si="361"/>
        <v>172.00032513208726</v>
      </c>
      <c r="AI466">
        <f>HLOOKUP(AW466,'Real assumptions'!$A$21:$AK$24,2,TRUE)</f>
        <v>0</v>
      </c>
      <c r="AJ466" s="123">
        <f t="shared" si="340"/>
        <v>0</v>
      </c>
      <c r="AK466" s="122">
        <f>(1+HLOOKUP(YEAR(A466),'Real assumptions'!$A$21:$AK$24,2,TRUE)/100)^(1/12)-1</f>
        <v>0</v>
      </c>
      <c r="AL466">
        <f t="shared" si="374"/>
        <v>1.7079797690039098</v>
      </c>
      <c r="AM466">
        <f>('Real assumptions'!$B$33/12)*O465*AV465</f>
        <v>1.6604864065197986</v>
      </c>
      <c r="AN466">
        <f t="shared" si="362"/>
        <v>173.7164903543148</v>
      </c>
      <c r="AO466">
        <f t="shared" si="341"/>
        <v>0</v>
      </c>
      <c r="AP466" s="121">
        <f t="shared" si="363"/>
        <v>0</v>
      </c>
      <c r="AQ466">
        <f t="shared" si="364"/>
        <v>0</v>
      </c>
      <c r="AR466">
        <v>0</v>
      </c>
      <c r="AS466">
        <f t="shared" si="347"/>
        <v>0</v>
      </c>
      <c r="AT466">
        <f t="shared" si="365"/>
        <v>0</v>
      </c>
      <c r="AU466">
        <f>IFERROR(HLOOKUP(B466,'Real assumptions'!$B$43:$AL$44,2,TRUE)*($W$3/$U$2),0)</f>
        <v>0</v>
      </c>
      <c r="AV466">
        <f>AV465*(1+'Real assumptions'!$B$35)^(1/12)</f>
        <v>1.5999707373870753</v>
      </c>
      <c r="AW466">
        <f t="shared" si="348"/>
        <v>2056</v>
      </c>
      <c r="AX466">
        <f t="shared" si="375"/>
        <v>173.36836174239622</v>
      </c>
      <c r="AY466">
        <f t="shared" si="376"/>
        <v>0.43724659342516392</v>
      </c>
      <c r="AZ466">
        <f t="shared" si="349"/>
        <v>382.03319949156008</v>
      </c>
      <c r="BA466">
        <f t="shared" si="366"/>
        <v>3.0928363070641485</v>
      </c>
      <c r="BB466">
        <f t="shared" si="367"/>
        <v>61.083333333333336</v>
      </c>
      <c r="BC466">
        <f t="shared" si="350"/>
        <v>36.65</v>
      </c>
      <c r="BD466">
        <f t="shared" si="368"/>
        <v>0</v>
      </c>
      <c r="BE466">
        <f t="shared" si="351"/>
        <v>24</v>
      </c>
      <c r="BF466">
        <f t="shared" si="377"/>
        <v>5000</v>
      </c>
      <c r="BU466"/>
      <c r="DW466" s="89"/>
      <c r="DX466" s="89"/>
      <c r="FD466"/>
      <c r="FE466"/>
    </row>
    <row r="467" spans="1:161" x14ac:dyDescent="0.25">
      <c r="A467" s="7">
        <f t="shared" si="369"/>
        <v>57314</v>
      </c>
      <c r="B467">
        <f t="shared" si="352"/>
        <v>456</v>
      </c>
      <c r="C467">
        <f t="shared" si="333"/>
        <v>37.916666666666664</v>
      </c>
      <c r="D467">
        <f t="shared" si="334"/>
        <v>0</v>
      </c>
      <c r="E467">
        <f t="shared" si="353"/>
        <v>89</v>
      </c>
      <c r="F467">
        <f>IF(C467&gt;=$T$2,0,VLOOKUP($E467,EKM_F05!$A$3:$C$128,2,TRUE))</f>
        <v>0.13693730769230766</v>
      </c>
      <c r="G467">
        <f>F467*'Real assumptions'!$B$3</f>
        <v>5.7143938499999991E-2</v>
      </c>
      <c r="H467">
        <f t="shared" si="335"/>
        <v>4.8914681904096424E-3</v>
      </c>
      <c r="I467">
        <f t="shared" si="336"/>
        <v>5.032521557356062E-4</v>
      </c>
      <c r="J467">
        <f>IF(B467&gt;$AJ$2,0,HLOOKUP(C467,'Real assumptions'!$B$5:$L$8,4,TRUE))</f>
        <v>3.7900000000000003E-2</v>
      </c>
      <c r="K467">
        <f t="shared" si="342"/>
        <v>1</v>
      </c>
      <c r="L467">
        <f t="shared" si="370"/>
        <v>8.3333333333333329E-2</v>
      </c>
      <c r="M467">
        <f t="shared" si="337"/>
        <v>3.2145624959929453E-3</v>
      </c>
      <c r="N467">
        <f t="shared" si="338"/>
        <v>3.3044821398729349E-4</v>
      </c>
      <c r="O467" s="8">
        <f t="shared" si="354"/>
        <v>0.10221558995332156</v>
      </c>
      <c r="P467">
        <f t="shared" si="355"/>
        <v>2.473182967753067</v>
      </c>
      <c r="Q467">
        <f t="shared" si="371"/>
        <v>2.5162607786780309</v>
      </c>
      <c r="R467" s="89">
        <f t="shared" si="343"/>
        <v>5000</v>
      </c>
      <c r="S467">
        <f t="shared" si="344"/>
        <v>1</v>
      </c>
      <c r="U467">
        <f>O466*AV466*'Real assumptions'!$B$33/12+AX467*'Real assumptions'!$B$34</f>
        <v>1.695995898577332</v>
      </c>
      <c r="V467">
        <f>IF(P467=0,0,IF(E467&lt;=$C$7,$AN$5*O466,0))*'Real assumptions'!$D$28</f>
        <v>0</v>
      </c>
      <c r="X467" s="94">
        <f t="shared" si="356"/>
        <v>0</v>
      </c>
      <c r="Y467">
        <f t="shared" si="345"/>
        <v>24</v>
      </c>
      <c r="Z467">
        <f t="shared" si="372"/>
        <v>61</v>
      </c>
      <c r="AA467">
        <f t="shared" si="346"/>
        <v>61</v>
      </c>
      <c r="AB467">
        <f t="shared" si="357"/>
        <v>50.505050505050505</v>
      </c>
      <c r="AC467">
        <f t="shared" si="339"/>
        <v>3080.8080808080808</v>
      </c>
      <c r="AD467">
        <f t="shared" si="358"/>
        <v>80.505050505050505</v>
      </c>
      <c r="AE467">
        <f t="shared" si="359"/>
        <v>245.54040404040404</v>
      </c>
      <c r="AF467" s="94">
        <f t="shared" si="360"/>
        <v>1673.651515151515</v>
      </c>
      <c r="AG467">
        <f t="shared" si="373"/>
        <v>0.55305515401894578</v>
      </c>
      <c r="AH467">
        <f t="shared" si="361"/>
        <v>171.07327699748259</v>
      </c>
      <c r="AI467">
        <f>HLOOKUP(AW467,'Real assumptions'!$A$21:$AK$24,2,TRUE)</f>
        <v>0</v>
      </c>
      <c r="AJ467" s="123">
        <f t="shared" si="340"/>
        <v>0</v>
      </c>
      <c r="AK467" s="122">
        <f>(1+HLOOKUP(YEAR(A467),'Real assumptions'!$A$21:$AK$24,2,TRUE)/100)^(1/12)-1</f>
        <v>0</v>
      </c>
      <c r="AL467">
        <f t="shared" si="374"/>
        <v>1.695995898577332</v>
      </c>
      <c r="AM467">
        <f>('Real assumptions'!$B$33/12)*O466*AV466</f>
        <v>1.6487584902537624</v>
      </c>
      <c r="AN467">
        <f t="shared" si="362"/>
        <v>172.77751220126299</v>
      </c>
      <c r="AO467">
        <f t="shared" si="341"/>
        <v>0</v>
      </c>
      <c r="AP467" s="121">
        <f t="shared" si="363"/>
        <v>0</v>
      </c>
      <c r="AQ467">
        <f t="shared" si="364"/>
        <v>0</v>
      </c>
      <c r="AR467">
        <v>0</v>
      </c>
      <c r="AS467">
        <f t="shared" si="347"/>
        <v>0</v>
      </c>
      <c r="AT467">
        <f t="shared" si="365"/>
        <v>0</v>
      </c>
      <c r="AU467">
        <f>IFERROR(HLOOKUP(B467,'Real assumptions'!$B$43:$AL$44,2,TRUE)*($W$3/$U$2),0)</f>
        <v>0</v>
      </c>
      <c r="AV467">
        <f>AV466*(1+'Real assumptions'!$B$35)^(1/12)</f>
        <v>1.601627900701958</v>
      </c>
      <c r="AW467">
        <f t="shared" si="348"/>
        <v>2056</v>
      </c>
      <c r="AX467">
        <f t="shared" si="375"/>
        <v>172.43403426644349</v>
      </c>
      <c r="AY467">
        <f t="shared" si="376"/>
        <v>0.43370913435624769</v>
      </c>
      <c r="AZ467">
        <f t="shared" si="349"/>
        <v>379.74107062803887</v>
      </c>
      <c r="BA467">
        <f t="shared" si="366"/>
        <v>3.0693159326969766</v>
      </c>
      <c r="BB467">
        <f t="shared" si="367"/>
        <v>61</v>
      </c>
      <c r="BC467">
        <f t="shared" si="350"/>
        <v>36.599999999999994</v>
      </c>
      <c r="BD467">
        <f t="shared" si="368"/>
        <v>0</v>
      </c>
      <c r="BE467">
        <f t="shared" si="351"/>
        <v>24</v>
      </c>
      <c r="BF467">
        <f t="shared" si="377"/>
        <v>5000</v>
      </c>
      <c r="BU467"/>
      <c r="DW467" s="89"/>
      <c r="DX467" s="89"/>
      <c r="FD467"/>
      <c r="FE467"/>
    </row>
    <row r="468" spans="1:161" x14ac:dyDescent="0.25">
      <c r="A468" s="7">
        <f t="shared" si="369"/>
        <v>57345</v>
      </c>
      <c r="B468">
        <f t="shared" si="352"/>
        <v>457</v>
      </c>
      <c r="C468">
        <f t="shared" si="333"/>
        <v>38</v>
      </c>
      <c r="D468">
        <f t="shared" si="334"/>
        <v>1</v>
      </c>
      <c r="E468">
        <f t="shared" si="353"/>
        <v>90</v>
      </c>
      <c r="F468">
        <f>IF(C468&gt;=$T$2,0,VLOOKUP($E468,EKM_F05!$A$3:$C$128,2,TRUE))</f>
        <v>0.15042012820512818</v>
      </c>
      <c r="G468">
        <f>F468*'Real assumptions'!$B$3</f>
        <v>6.2770319499999991E-2</v>
      </c>
      <c r="H468">
        <f t="shared" si="335"/>
        <v>5.3876760918037947E-3</v>
      </c>
      <c r="I468">
        <f t="shared" si="336"/>
        <v>5.4981935320084303E-4</v>
      </c>
      <c r="J468">
        <f>IF(B468&gt;$AJ$2,0,HLOOKUP(C468,'Real assumptions'!$B$5:$L$8,4,TRUE))</f>
        <v>3.7900000000000003E-2</v>
      </c>
      <c r="K468">
        <f t="shared" si="342"/>
        <v>1</v>
      </c>
      <c r="L468">
        <f t="shared" si="370"/>
        <v>8.3333333333333329E-2</v>
      </c>
      <c r="M468">
        <f t="shared" si="337"/>
        <v>3.2145624959929453E-3</v>
      </c>
      <c r="N468">
        <f t="shared" si="338"/>
        <v>3.2769326496945306E-4</v>
      </c>
      <c r="O468" s="8">
        <f t="shared" si="354"/>
        <v>0.10133807733515127</v>
      </c>
      <c r="P468">
        <f t="shared" si="355"/>
        <v>2.4531741588797171</v>
      </c>
      <c r="Q468">
        <f t="shared" si="371"/>
        <v>2.7490967660042154</v>
      </c>
      <c r="R468" s="89">
        <f t="shared" si="343"/>
        <v>5000</v>
      </c>
      <c r="S468">
        <f t="shared" si="344"/>
        <v>0.9166666666666643</v>
      </c>
      <c r="U468">
        <f>O467*AV467*'Real assumptions'!$B$33/12+AX468*'Real assumptions'!$B$34</f>
        <v>1.6840958946318154</v>
      </c>
      <c r="V468">
        <f>IF(P468=0,0,IF(E468&lt;=$C$7,$AN$5*O467,0))*'Real assumptions'!$D$28</f>
        <v>0</v>
      </c>
      <c r="X468" s="94">
        <f t="shared" si="356"/>
        <v>0</v>
      </c>
      <c r="Y468">
        <f t="shared" si="345"/>
        <v>24</v>
      </c>
      <c r="Z468">
        <f t="shared" si="372"/>
        <v>61</v>
      </c>
      <c r="AA468">
        <f t="shared" si="346"/>
        <v>60.916666666666664</v>
      </c>
      <c r="AB468">
        <f t="shared" si="357"/>
        <v>50.505050505050505</v>
      </c>
      <c r="AC468">
        <f t="shared" si="339"/>
        <v>3076.5993265993266</v>
      </c>
      <c r="AD468">
        <f t="shared" si="358"/>
        <v>80.505050505050505</v>
      </c>
      <c r="AE468">
        <f t="shared" si="359"/>
        <v>245.20496632996631</v>
      </c>
      <c r="AF468" s="94">
        <f t="shared" si="360"/>
        <v>1678.1957070707072</v>
      </c>
      <c r="AG468">
        <f t="shared" si="373"/>
        <v>0.54993343050771981</v>
      </c>
      <c r="AH468">
        <f t="shared" si="361"/>
        <v>170.06512634665017</v>
      </c>
      <c r="AI468">
        <f>HLOOKUP(AW468,'Real assumptions'!$A$21:$AK$24,2,TRUE)</f>
        <v>0</v>
      </c>
      <c r="AJ468" s="123">
        <f t="shared" si="340"/>
        <v>0</v>
      </c>
      <c r="AK468" s="122">
        <f>(1+HLOOKUP(YEAR(A468),'Real assumptions'!$A$21:$AK$24,2,TRUE)/100)^(1/12)-1</f>
        <v>0</v>
      </c>
      <c r="AL468">
        <f t="shared" si="374"/>
        <v>1.6840958946318154</v>
      </c>
      <c r="AM468">
        <f>('Real assumptions'!$B$33/12)*O467*AV467</f>
        <v>1.6371134075595057</v>
      </c>
      <c r="AN468">
        <f t="shared" si="362"/>
        <v>171.84235526173049</v>
      </c>
      <c r="AO468">
        <f t="shared" si="341"/>
        <v>0</v>
      </c>
      <c r="AP468" s="121">
        <f t="shared" si="363"/>
        <v>0</v>
      </c>
      <c r="AQ468">
        <f t="shared" si="364"/>
        <v>0</v>
      </c>
      <c r="AR468">
        <v>0</v>
      </c>
      <c r="AS468">
        <f t="shared" si="347"/>
        <v>0</v>
      </c>
      <c r="AT468">
        <f t="shared" si="365"/>
        <v>0</v>
      </c>
      <c r="AU468">
        <f>IFERROR(HLOOKUP(B468,'Real assumptions'!$B$43:$AL$44,2,TRUE)*($W$3/$U$2),0)</f>
        <v>0</v>
      </c>
      <c r="AV468">
        <f>AV467*(1+'Real assumptions'!$B$35)^(1/12)</f>
        <v>1.6032867804171398</v>
      </c>
      <c r="AW468">
        <f t="shared" si="348"/>
        <v>2056</v>
      </c>
      <c r="AX468">
        <f t="shared" si="375"/>
        <v>171.50347729189892</v>
      </c>
      <c r="AY468">
        <f t="shared" si="376"/>
        <v>0.4302002944163365</v>
      </c>
      <c r="AZ468">
        <f t="shared" si="349"/>
        <v>377.21111869577487</v>
      </c>
      <c r="BA468">
        <f t="shared" si="366"/>
        <v>3.2990301965119353</v>
      </c>
      <c r="BB468">
        <f t="shared" si="367"/>
        <v>60.916666666666664</v>
      </c>
      <c r="BC468">
        <f t="shared" si="350"/>
        <v>36.549999999999997</v>
      </c>
      <c r="BD468">
        <f t="shared" si="368"/>
        <v>0</v>
      </c>
      <c r="BE468">
        <f t="shared" si="351"/>
        <v>24</v>
      </c>
      <c r="BF468">
        <f t="shared" si="377"/>
        <v>5000</v>
      </c>
      <c r="BU468"/>
      <c r="DW468" s="89"/>
      <c r="DX468" s="89"/>
      <c r="FD468"/>
      <c r="FE468"/>
    </row>
    <row r="469" spans="1:161" x14ac:dyDescent="0.25">
      <c r="A469" s="7">
        <f t="shared" si="369"/>
        <v>57376</v>
      </c>
      <c r="B469">
        <f t="shared" si="352"/>
        <v>458</v>
      </c>
      <c r="C469">
        <f t="shared" si="333"/>
        <v>38.083333333333336</v>
      </c>
      <c r="D469">
        <f t="shared" si="334"/>
        <v>0</v>
      </c>
      <c r="E469">
        <f t="shared" si="353"/>
        <v>90</v>
      </c>
      <c r="F469">
        <f>IF(C469&gt;=$T$2,0,VLOOKUP($E469,EKM_F05!$A$3:$C$128,2,TRUE))</f>
        <v>0.15042012820512818</v>
      </c>
      <c r="G469">
        <f>F469*'Real assumptions'!$B$3</f>
        <v>6.2770319499999991E-2</v>
      </c>
      <c r="H469">
        <f t="shared" si="335"/>
        <v>5.3876760918037947E-3</v>
      </c>
      <c r="I469">
        <f t="shared" si="336"/>
        <v>5.4509919827762333E-4</v>
      </c>
      <c r="J469">
        <f>IF(B469&gt;$AJ$2,0,HLOOKUP(C469,'Real assumptions'!$B$5:$L$8,4,TRUE))</f>
        <v>3.7900000000000003E-2</v>
      </c>
      <c r="K469">
        <f t="shared" si="342"/>
        <v>1</v>
      </c>
      <c r="L469">
        <f t="shared" si="370"/>
        <v>8.3333333333333329E-2</v>
      </c>
      <c r="M469">
        <f t="shared" si="337"/>
        <v>3.2145624959929453E-3</v>
      </c>
      <c r="N469">
        <f t="shared" si="338"/>
        <v>3.2488004464727486E-4</v>
      </c>
      <c r="O469" s="8">
        <f t="shared" si="354"/>
        <v>0.10046809809222637</v>
      </c>
      <c r="P469">
        <f t="shared" si="355"/>
        <v>2.4321138560436304</v>
      </c>
      <c r="Q469">
        <f t="shared" si="371"/>
        <v>2.7254959913881165</v>
      </c>
      <c r="R469" s="89">
        <f t="shared" si="343"/>
        <v>5000</v>
      </c>
      <c r="S469">
        <f t="shared" si="344"/>
        <v>0.8333333333333357</v>
      </c>
      <c r="U469">
        <f>O468*AV468*'Real assumptions'!$B$33/12+AX469*'Real assumptions'!$B$34</f>
        <v>1.6714452951371839</v>
      </c>
      <c r="V469">
        <f>IF(P469=0,0,IF(E469&lt;=$C$7,$AN$5*O468,0))*'Real assumptions'!$D$28</f>
        <v>0</v>
      </c>
      <c r="X469" s="94">
        <f t="shared" si="356"/>
        <v>0</v>
      </c>
      <c r="Y469">
        <f t="shared" si="345"/>
        <v>24</v>
      </c>
      <c r="Z469">
        <f t="shared" si="372"/>
        <v>60</v>
      </c>
      <c r="AA469">
        <f t="shared" si="346"/>
        <v>60.833333333333336</v>
      </c>
      <c r="AB469">
        <f t="shared" si="357"/>
        <v>50.505050505050505</v>
      </c>
      <c r="AC469">
        <f t="shared" si="339"/>
        <v>3072.3905723905727</v>
      </c>
      <c r="AD469">
        <f t="shared" si="358"/>
        <v>80.505050505050505</v>
      </c>
      <c r="AE469">
        <f t="shared" si="359"/>
        <v>244.86952861952861</v>
      </c>
      <c r="AF469" s="94">
        <f t="shared" si="360"/>
        <v>1682.7398989898986</v>
      </c>
      <c r="AG469">
        <f t="shared" si="373"/>
        <v>0.54668861351358899</v>
      </c>
      <c r="AH469">
        <f t="shared" si="361"/>
        <v>169.06167723542023</v>
      </c>
      <c r="AI469">
        <f>HLOOKUP(AW469,'Real assumptions'!$A$21:$AK$24,2,TRUE)</f>
        <v>0</v>
      </c>
      <c r="AJ469" s="123">
        <f t="shared" si="340"/>
        <v>0</v>
      </c>
      <c r="AK469" s="122">
        <f>(1+HLOOKUP(YEAR(A469),'Real assumptions'!$A$21:$AK$24,2,TRUE)/100)^(1/12)-1</f>
        <v>0</v>
      </c>
      <c r="AL469">
        <f t="shared" si="374"/>
        <v>1.6714452951371839</v>
      </c>
      <c r="AM469">
        <f>('Real assumptions'!$B$33/12)*O468*AV468</f>
        <v>1.6247399974433783</v>
      </c>
      <c r="AN469">
        <f t="shared" si="362"/>
        <v>170.82579490755663</v>
      </c>
      <c r="AO469">
        <f t="shared" si="341"/>
        <v>0</v>
      </c>
      <c r="AP469" s="121">
        <f t="shared" si="363"/>
        <v>0</v>
      </c>
      <c r="AQ469">
        <f t="shared" si="364"/>
        <v>0</v>
      </c>
      <c r="AR469">
        <v>0</v>
      </c>
      <c r="AS469">
        <f t="shared" si="347"/>
        <v>0</v>
      </c>
      <c r="AT469">
        <f t="shared" si="365"/>
        <v>0</v>
      </c>
      <c r="AU469">
        <f>IFERROR(HLOOKUP(B469,'Real assumptions'!$B$43:$AL$44,2,TRUE)*($W$3/$U$2),0)</f>
        <v>0</v>
      </c>
      <c r="AV469">
        <f>AV468*(1+'Real assumptions'!$B$35)^(1/12)</f>
        <v>1.6049473783103754</v>
      </c>
      <c r="AW469">
        <f t="shared" si="348"/>
        <v>2057</v>
      </c>
      <c r="AX469">
        <f t="shared" si="375"/>
        <v>170.49163340614155</v>
      </c>
      <c r="AY469">
        <f t="shared" si="376"/>
        <v>0.42650705949137735</v>
      </c>
      <c r="AZ469">
        <f t="shared" si="349"/>
        <v>374.69960265177963</v>
      </c>
      <c r="BA469">
        <f t="shared" si="366"/>
        <v>3.2721846049017054</v>
      </c>
      <c r="BB469">
        <f t="shared" si="367"/>
        <v>60.833333333333336</v>
      </c>
      <c r="BC469">
        <f t="shared" si="350"/>
        <v>36.5</v>
      </c>
      <c r="BD469">
        <f t="shared" si="368"/>
        <v>0</v>
      </c>
      <c r="BE469">
        <f t="shared" si="351"/>
        <v>24</v>
      </c>
      <c r="BF469">
        <f t="shared" si="377"/>
        <v>5000</v>
      </c>
      <c r="BU469"/>
      <c r="DW469" s="89"/>
      <c r="DX469" s="89"/>
      <c r="FD469"/>
      <c r="FE469"/>
    </row>
    <row r="470" spans="1:161" x14ac:dyDescent="0.25">
      <c r="A470" s="7">
        <f t="shared" si="369"/>
        <v>57404</v>
      </c>
      <c r="B470">
        <f t="shared" si="352"/>
        <v>459</v>
      </c>
      <c r="C470">
        <f t="shared" si="333"/>
        <v>38.166666666666664</v>
      </c>
      <c r="D470">
        <f t="shared" si="334"/>
        <v>0</v>
      </c>
      <c r="E470">
        <f t="shared" si="353"/>
        <v>90</v>
      </c>
      <c r="F470">
        <f>IF(C470&gt;=$T$2,0,VLOOKUP($E470,EKM_F05!$A$3:$C$128,2,TRUE))</f>
        <v>0.15042012820512818</v>
      </c>
      <c r="G470">
        <f>F470*'Real assumptions'!$B$3</f>
        <v>6.2770319499999991E-2</v>
      </c>
      <c r="H470">
        <f t="shared" si="335"/>
        <v>5.3876760918037947E-3</v>
      </c>
      <c r="I470">
        <f t="shared" si="336"/>
        <v>5.4041956550475998E-4</v>
      </c>
      <c r="J470">
        <f>IF(B470&gt;$AJ$2,0,HLOOKUP(C470,'Real assumptions'!$B$5:$L$8,4,TRUE))</f>
        <v>3.7900000000000003E-2</v>
      </c>
      <c r="K470">
        <f t="shared" si="342"/>
        <v>1</v>
      </c>
      <c r="L470">
        <f t="shared" si="370"/>
        <v>8.3333333333333329E-2</v>
      </c>
      <c r="M470">
        <f t="shared" si="337"/>
        <v>3.2145624959929453E-3</v>
      </c>
      <c r="N470">
        <f t="shared" si="338"/>
        <v>3.2209097559528482E-4</v>
      </c>
      <c r="O470" s="8">
        <f t="shared" si="354"/>
        <v>9.9605587551126334E-2</v>
      </c>
      <c r="P470">
        <f t="shared" si="355"/>
        <v>2.4112343542134331</v>
      </c>
      <c r="Q470">
        <f t="shared" si="371"/>
        <v>2.7020978275237999</v>
      </c>
      <c r="R470" s="89">
        <f t="shared" si="343"/>
        <v>5000</v>
      </c>
      <c r="S470">
        <f t="shared" si="344"/>
        <v>0.75</v>
      </c>
      <c r="U470">
        <f>O469*AV469*'Real assumptions'!$B$33/12+AX470*'Real assumptions'!$B$34</f>
        <v>1.6588895113328752</v>
      </c>
      <c r="V470">
        <f>IF(P470=0,0,IF(E470&lt;=$C$7,$AN$5*O469,0))*'Real assumptions'!$D$28</f>
        <v>0</v>
      </c>
      <c r="X470" s="94">
        <f t="shared" si="356"/>
        <v>0</v>
      </c>
      <c r="Y470">
        <f t="shared" si="345"/>
        <v>24</v>
      </c>
      <c r="Z470">
        <f t="shared" si="372"/>
        <v>60</v>
      </c>
      <c r="AA470">
        <f t="shared" si="346"/>
        <v>60.75</v>
      </c>
      <c r="AB470">
        <f t="shared" si="357"/>
        <v>50.505050505050505</v>
      </c>
      <c r="AC470">
        <f t="shared" si="339"/>
        <v>3068.181818181818</v>
      </c>
      <c r="AD470">
        <f t="shared" si="358"/>
        <v>80.505050505050505</v>
      </c>
      <c r="AE470">
        <f t="shared" si="359"/>
        <v>244.53409090909091</v>
      </c>
      <c r="AF470" s="94">
        <f t="shared" si="360"/>
        <v>1687.284090909091</v>
      </c>
      <c r="AG470">
        <f t="shared" si="373"/>
        <v>0.54345897894731232</v>
      </c>
      <c r="AH470">
        <f t="shared" si="361"/>
        <v>168.06292324066806</v>
      </c>
      <c r="AI470">
        <f>HLOOKUP(AW470,'Real assumptions'!$A$21:$AK$24,2,TRUE)</f>
        <v>0</v>
      </c>
      <c r="AJ470" s="123">
        <f t="shared" si="340"/>
        <v>0</v>
      </c>
      <c r="AK470" s="122">
        <f>(1+HLOOKUP(YEAR(A470),'Real assumptions'!$A$21:$AK$24,2,TRUE)/100)^(1/12)-1</f>
        <v>0</v>
      </c>
      <c r="AL470">
        <f t="shared" si="374"/>
        <v>1.6588895113328752</v>
      </c>
      <c r="AM470">
        <f>('Real assumptions'!$B$33/12)*O469*AV469</f>
        <v>1.6124601063694832</v>
      </c>
      <c r="AN470">
        <f t="shared" si="362"/>
        <v>169.81402207830078</v>
      </c>
      <c r="AO470">
        <f t="shared" si="341"/>
        <v>0</v>
      </c>
      <c r="AP470" s="121">
        <f t="shared" si="363"/>
        <v>0</v>
      </c>
      <c r="AQ470">
        <f t="shared" si="364"/>
        <v>0</v>
      </c>
      <c r="AR470">
        <v>0</v>
      </c>
      <c r="AS470">
        <f t="shared" si="347"/>
        <v>0</v>
      </c>
      <c r="AT470">
        <f t="shared" si="365"/>
        <v>0</v>
      </c>
      <c r="AU470">
        <f>IFERROR(HLOOKUP(B470,'Real assumptions'!$B$43:$AL$44,2,TRUE)*($W$3/$U$2),0)</f>
        <v>0</v>
      </c>
      <c r="AV470">
        <f>AV469*(1+'Real assumptions'!$B$35)^(1/12)</f>
        <v>1.6066096961612608</v>
      </c>
      <c r="AW470">
        <f t="shared" si="348"/>
        <v>2057</v>
      </c>
      <c r="AX470">
        <f t="shared" si="375"/>
        <v>169.48452276611141</v>
      </c>
      <c r="AY470">
        <f t="shared" si="376"/>
        <v>0.42284553069118841</v>
      </c>
      <c r="AZ470">
        <f t="shared" si="349"/>
        <v>372.20639068818912</v>
      </c>
      <c r="BA470">
        <f t="shared" si="366"/>
        <v>3.2455568064711122</v>
      </c>
      <c r="BB470">
        <f t="shared" si="367"/>
        <v>60.75</v>
      </c>
      <c r="BC470">
        <f t="shared" si="350"/>
        <v>36.450000000000003</v>
      </c>
      <c r="BD470">
        <f t="shared" si="368"/>
        <v>0</v>
      </c>
      <c r="BE470">
        <f t="shared" si="351"/>
        <v>24</v>
      </c>
      <c r="BF470">
        <f t="shared" si="377"/>
        <v>5000</v>
      </c>
      <c r="BU470"/>
      <c r="DW470" s="89"/>
      <c r="DX470" s="89"/>
      <c r="FD470"/>
      <c r="FE470"/>
    </row>
    <row r="471" spans="1:161" x14ac:dyDescent="0.25">
      <c r="A471" s="7">
        <f t="shared" si="369"/>
        <v>57435</v>
      </c>
      <c r="B471">
        <f t="shared" si="352"/>
        <v>460</v>
      </c>
      <c r="C471">
        <f t="shared" si="333"/>
        <v>38.25</v>
      </c>
      <c r="D471">
        <f t="shared" si="334"/>
        <v>0</v>
      </c>
      <c r="E471">
        <f t="shared" si="353"/>
        <v>90</v>
      </c>
      <c r="F471">
        <f>IF(C471&gt;=$T$2,0,VLOOKUP($E471,EKM_F05!$A$3:$C$128,2,TRUE))</f>
        <v>0.15042012820512818</v>
      </c>
      <c r="G471">
        <f>F471*'Real assumptions'!$B$3</f>
        <v>6.2770319499999991E-2</v>
      </c>
      <c r="H471">
        <f t="shared" si="335"/>
        <v>5.3876760918037947E-3</v>
      </c>
      <c r="I471">
        <f t="shared" si="336"/>
        <v>5.3578010700285159E-4</v>
      </c>
      <c r="J471">
        <f>IF(B471&gt;$AJ$2,0,HLOOKUP(C471,'Real assumptions'!$B$5:$L$8,4,TRUE))</f>
        <v>3.7900000000000003E-2</v>
      </c>
      <c r="K471">
        <f t="shared" si="342"/>
        <v>1</v>
      </c>
      <c r="L471">
        <f t="shared" si="370"/>
        <v>8.3333333333333329E-2</v>
      </c>
      <c r="M471">
        <f t="shared" si="337"/>
        <v>3.2145624959929453E-3</v>
      </c>
      <c r="N471">
        <f t="shared" si="338"/>
        <v>3.1932585047677101E-4</v>
      </c>
      <c r="O471" s="8">
        <f t="shared" si="354"/>
        <v>9.8750481593646716E-2</v>
      </c>
      <c r="P471">
        <f t="shared" si="355"/>
        <v>2.3905341012270318</v>
      </c>
      <c r="Q471">
        <f t="shared" si="371"/>
        <v>2.6789005350142578</v>
      </c>
      <c r="R471" s="89">
        <f t="shared" si="343"/>
        <v>5000</v>
      </c>
      <c r="S471">
        <f t="shared" si="344"/>
        <v>0.6666666666666643</v>
      </c>
      <c r="U471">
        <f>O470*AV470*'Real assumptions'!$B$33/12+AX471*'Real assumptions'!$B$34</f>
        <v>1.6464278345617085</v>
      </c>
      <c r="V471">
        <f>IF(P471=0,0,IF(E471&lt;=$C$7,$AN$5*O470,0))*'Real assumptions'!$D$28</f>
        <v>0</v>
      </c>
      <c r="X471" s="94">
        <f t="shared" si="356"/>
        <v>0</v>
      </c>
      <c r="Y471">
        <f t="shared" si="345"/>
        <v>24</v>
      </c>
      <c r="Z471">
        <f t="shared" si="372"/>
        <v>60</v>
      </c>
      <c r="AA471">
        <f t="shared" si="346"/>
        <v>60.666666666666664</v>
      </c>
      <c r="AB471">
        <f t="shared" si="357"/>
        <v>50.505050505050505</v>
      </c>
      <c r="AC471">
        <f t="shared" si="339"/>
        <v>3063.9730639730637</v>
      </c>
      <c r="AD471">
        <f t="shared" si="358"/>
        <v>80.505050505050505</v>
      </c>
      <c r="AE471">
        <f t="shared" si="359"/>
        <v>244.19865319865318</v>
      </c>
      <c r="AF471" s="94">
        <f t="shared" si="360"/>
        <v>1691.8282828282831</v>
      </c>
      <c r="AG471">
        <f t="shared" si="373"/>
        <v>0.54024450527479662</v>
      </c>
      <c r="AH471">
        <f t="shared" si="361"/>
        <v>167.0688577030453</v>
      </c>
      <c r="AI471">
        <f>HLOOKUP(AW471,'Real assumptions'!$A$21:$AK$24,2,TRUE)</f>
        <v>0</v>
      </c>
      <c r="AJ471" s="123">
        <f t="shared" si="340"/>
        <v>0</v>
      </c>
      <c r="AK471" s="122">
        <f>(1+HLOOKUP(YEAR(A471),'Real assumptions'!$A$21:$AK$24,2,TRUE)/100)^(1/12)-1</f>
        <v>0</v>
      </c>
      <c r="AL471">
        <f t="shared" si="374"/>
        <v>1.6464278345617085</v>
      </c>
      <c r="AM471">
        <f>('Real assumptions'!$B$33/12)*O470*AV470</f>
        <v>1.6002730275147896</v>
      </c>
      <c r="AN471">
        <f t="shared" si="362"/>
        <v>168.80702950733337</v>
      </c>
      <c r="AO471">
        <f t="shared" si="341"/>
        <v>0</v>
      </c>
      <c r="AP471" s="121">
        <f t="shared" si="363"/>
        <v>0</v>
      </c>
      <c r="AQ471">
        <f t="shared" si="364"/>
        <v>0</v>
      </c>
      <c r="AR471">
        <v>0</v>
      </c>
      <c r="AS471">
        <f t="shared" si="347"/>
        <v>0</v>
      </c>
      <c r="AT471">
        <f t="shared" si="365"/>
        <v>0</v>
      </c>
      <c r="AU471">
        <f>IFERROR(HLOOKUP(B471,'Real assumptions'!$B$43:$AL$44,2,TRUE)*($W$3/$U$2),0)</f>
        <v>0</v>
      </c>
      <c r="AV471">
        <f>AV470*(1+'Real assumptions'!$B$35)^(1/12)</f>
        <v>1.6082737357512356</v>
      </c>
      <c r="AW471">
        <f t="shared" si="348"/>
        <v>2057</v>
      </c>
      <c r="AX471">
        <f t="shared" si="375"/>
        <v>168.48213867648928</v>
      </c>
      <c r="AY471">
        <f t="shared" si="376"/>
        <v>0.41921543582123877</v>
      </c>
      <c r="AZ471">
        <f t="shared" si="349"/>
        <v>369.73135191456538</v>
      </c>
      <c r="BA471">
        <f t="shared" si="366"/>
        <v>3.2191450402890545</v>
      </c>
      <c r="BB471">
        <f t="shared" si="367"/>
        <v>60.666666666666664</v>
      </c>
      <c r="BC471">
        <f t="shared" si="350"/>
        <v>36.4</v>
      </c>
      <c r="BD471">
        <f t="shared" si="368"/>
        <v>0</v>
      </c>
      <c r="BE471">
        <f t="shared" si="351"/>
        <v>24</v>
      </c>
      <c r="BF471">
        <f t="shared" si="377"/>
        <v>5000</v>
      </c>
      <c r="BU471"/>
      <c r="DW471" s="89"/>
      <c r="DX471" s="89"/>
      <c r="FD471"/>
      <c r="FE471"/>
    </row>
    <row r="472" spans="1:161" x14ac:dyDescent="0.25">
      <c r="A472" s="7">
        <f t="shared" si="369"/>
        <v>57465</v>
      </c>
      <c r="B472">
        <f t="shared" si="352"/>
        <v>461</v>
      </c>
      <c r="C472">
        <f t="shared" si="333"/>
        <v>38.333333333333336</v>
      </c>
      <c r="D472">
        <f t="shared" si="334"/>
        <v>0</v>
      </c>
      <c r="E472">
        <f t="shared" si="353"/>
        <v>90</v>
      </c>
      <c r="F472">
        <f>IF(C472&gt;=$T$2,0,VLOOKUP($E472,EKM_F05!$A$3:$C$128,2,TRUE))</f>
        <v>0.15042012820512818</v>
      </c>
      <c r="G472">
        <f>F472*'Real assumptions'!$B$3</f>
        <v>6.2770319499999991E-2</v>
      </c>
      <c r="H472">
        <f t="shared" si="335"/>
        <v>5.3876760918037947E-3</v>
      </c>
      <c r="I472">
        <f t="shared" si="336"/>
        <v>5.3118047787901307E-4</v>
      </c>
      <c r="J472">
        <f>IF(B472&gt;$AJ$2,0,HLOOKUP(C472,'Real assumptions'!$B$5:$L$8,4,TRUE))</f>
        <v>3.7900000000000003E-2</v>
      </c>
      <c r="K472">
        <f t="shared" si="342"/>
        <v>1</v>
      </c>
      <c r="L472">
        <f t="shared" si="370"/>
        <v>8.3333333333333329E-2</v>
      </c>
      <c r="M472">
        <f t="shared" si="337"/>
        <v>3.2145624959929453E-3</v>
      </c>
      <c r="N472">
        <f t="shared" si="338"/>
        <v>3.1658446373499031E-4</v>
      </c>
      <c r="O472" s="8">
        <f t="shared" si="354"/>
        <v>9.790271665203272E-2</v>
      </c>
      <c r="P472">
        <f t="shared" si="355"/>
        <v>2.370011558247521</v>
      </c>
      <c r="Q472">
        <f t="shared" si="371"/>
        <v>2.6559023893950653</v>
      </c>
      <c r="R472" s="89">
        <f t="shared" si="343"/>
        <v>5000</v>
      </c>
      <c r="S472">
        <f t="shared" si="344"/>
        <v>0.5833333333333357</v>
      </c>
      <c r="U472">
        <f>O471*AV471*'Real assumptions'!$B$33/12+AX472*'Real assumptions'!$B$34</f>
        <v>1.6340595614446465</v>
      </c>
      <c r="V472">
        <f>IF(P472=0,0,IF(E472&lt;=$C$7,$AN$5*O471,0))*'Real assumptions'!$D$28</f>
        <v>0</v>
      </c>
      <c r="X472" s="94">
        <f t="shared" si="356"/>
        <v>0</v>
      </c>
      <c r="Y472">
        <f t="shared" si="345"/>
        <v>24</v>
      </c>
      <c r="Z472">
        <f t="shared" si="372"/>
        <v>60</v>
      </c>
      <c r="AA472">
        <f t="shared" si="346"/>
        <v>60.583333333333336</v>
      </c>
      <c r="AB472">
        <f t="shared" si="357"/>
        <v>50.505050505050505</v>
      </c>
      <c r="AC472">
        <f t="shared" si="339"/>
        <v>3059.7643097643099</v>
      </c>
      <c r="AD472">
        <f t="shared" si="358"/>
        <v>80.505050505050505</v>
      </c>
      <c r="AE472">
        <f t="shared" si="359"/>
        <v>243.86321548821547</v>
      </c>
      <c r="AF472" s="94">
        <f t="shared" si="360"/>
        <v>1696.3724747474746</v>
      </c>
      <c r="AG472">
        <f t="shared" si="373"/>
        <v>0.53704517021272768</v>
      </c>
      <c r="AH472">
        <f t="shared" si="361"/>
        <v>166.07947373150952</v>
      </c>
      <c r="AI472">
        <f>HLOOKUP(AW472,'Real assumptions'!$A$21:$AK$24,2,TRUE)</f>
        <v>0</v>
      </c>
      <c r="AJ472" s="123">
        <f t="shared" si="340"/>
        <v>0</v>
      </c>
      <c r="AK472" s="122">
        <f>(1+HLOOKUP(YEAR(A472),'Real assumptions'!$A$21:$AK$24,2,TRUE)/100)^(1/12)-1</f>
        <v>0</v>
      </c>
      <c r="AL472">
        <f t="shared" si="374"/>
        <v>1.6340595614446465</v>
      </c>
      <c r="AM472">
        <f>('Real assumptions'!$B$33/12)*O471*AV471</f>
        <v>1.5881780593984784</v>
      </c>
      <c r="AN472">
        <f t="shared" si="362"/>
        <v>167.80480969984816</v>
      </c>
      <c r="AO472">
        <f t="shared" si="341"/>
        <v>0</v>
      </c>
      <c r="AP472" s="121">
        <f t="shared" si="363"/>
        <v>0</v>
      </c>
      <c r="AQ472">
        <f t="shared" si="364"/>
        <v>0</v>
      </c>
      <c r="AR472">
        <v>0</v>
      </c>
      <c r="AS472">
        <f t="shared" si="347"/>
        <v>0</v>
      </c>
      <c r="AT472">
        <f t="shared" si="365"/>
        <v>0</v>
      </c>
      <c r="AU472">
        <f>IFERROR(HLOOKUP(B472,'Real assumptions'!$B$43:$AL$44,2,TRUE)*($W$3/$U$2),0)</f>
        <v>0</v>
      </c>
      <c r="AV472">
        <f>AV471*(1+'Real assumptions'!$B$35)^(1/12)</f>
        <v>1.609939498863584</v>
      </c>
      <c r="AW472">
        <f t="shared" si="348"/>
        <v>2057</v>
      </c>
      <c r="AX472">
        <f t="shared" si="375"/>
        <v>167.48447420806906</v>
      </c>
      <c r="AY472">
        <f t="shared" si="376"/>
        <v>0.41561650502376563</v>
      </c>
      <c r="AZ472">
        <f t="shared" si="349"/>
        <v>367.2743563517605</v>
      </c>
      <c r="BA472">
        <f t="shared" si="366"/>
        <v>3.1929475596077932</v>
      </c>
      <c r="BB472">
        <f t="shared" si="367"/>
        <v>60.583333333333336</v>
      </c>
      <c r="BC472">
        <f t="shared" si="350"/>
        <v>36.35</v>
      </c>
      <c r="BD472">
        <f t="shared" si="368"/>
        <v>0</v>
      </c>
      <c r="BE472">
        <f t="shared" si="351"/>
        <v>24</v>
      </c>
      <c r="BF472">
        <f t="shared" si="377"/>
        <v>5000</v>
      </c>
      <c r="BU472"/>
      <c r="DW472" s="89"/>
      <c r="DX472" s="89"/>
      <c r="FD472"/>
      <c r="FE472"/>
    </row>
    <row r="473" spans="1:161" x14ac:dyDescent="0.25">
      <c r="A473" s="7">
        <f t="shared" si="369"/>
        <v>57496</v>
      </c>
      <c r="B473">
        <f t="shared" si="352"/>
        <v>462</v>
      </c>
      <c r="C473">
        <f t="shared" si="333"/>
        <v>38.416666666666664</v>
      </c>
      <c r="D473">
        <f t="shared" si="334"/>
        <v>0</v>
      </c>
      <c r="E473">
        <f t="shared" si="353"/>
        <v>90</v>
      </c>
      <c r="F473">
        <f>IF(C473&gt;=$T$2,0,VLOOKUP($E473,EKM_F05!$A$3:$C$128,2,TRUE))</f>
        <v>0.15042012820512818</v>
      </c>
      <c r="G473">
        <f>F473*'Real assumptions'!$B$3</f>
        <v>6.2770319499999991E-2</v>
      </c>
      <c r="H473">
        <f t="shared" si="335"/>
        <v>5.3876760918037947E-3</v>
      </c>
      <c r="I473">
        <f t="shared" si="336"/>
        <v>5.2662033620123742E-4</v>
      </c>
      <c r="J473">
        <f>IF(B473&gt;$AJ$2,0,HLOOKUP(C473,'Real assumptions'!$B$5:$L$8,4,TRUE))</f>
        <v>3.7900000000000003E-2</v>
      </c>
      <c r="K473">
        <f t="shared" si="342"/>
        <v>1</v>
      </c>
      <c r="L473">
        <f t="shared" si="370"/>
        <v>8.3333333333333329E-2</v>
      </c>
      <c r="M473">
        <f t="shared" si="337"/>
        <v>3.2145624959929453E-3</v>
      </c>
      <c r="N473">
        <f t="shared" si="338"/>
        <v>3.1386661157788793E-4</v>
      </c>
      <c r="O473" s="8">
        <f t="shared" si="354"/>
        <v>9.70622297042536E-2</v>
      </c>
      <c r="P473">
        <f t="shared" si="355"/>
        <v>2.3496651996487854</v>
      </c>
      <c r="Q473">
        <f t="shared" si="371"/>
        <v>2.6331016810061869</v>
      </c>
      <c r="R473" s="89">
        <f t="shared" si="343"/>
        <v>5000</v>
      </c>
      <c r="S473">
        <f t="shared" si="344"/>
        <v>0.5</v>
      </c>
      <c r="U473">
        <f>O472*AV472*'Real assumptions'!$B$33/12+AX473*'Real assumptions'!$B$34</f>
        <v>1.6217839938416523</v>
      </c>
      <c r="V473">
        <f>IF(P473=0,0,IF(E473&lt;=$C$7,$AN$5*O472,0))*'Real assumptions'!$D$28</f>
        <v>0</v>
      </c>
      <c r="X473" s="94">
        <f t="shared" si="356"/>
        <v>0</v>
      </c>
      <c r="Y473">
        <f t="shared" si="345"/>
        <v>24</v>
      </c>
      <c r="Z473">
        <f t="shared" si="372"/>
        <v>60</v>
      </c>
      <c r="AA473">
        <f t="shared" si="346"/>
        <v>60.5</v>
      </c>
      <c r="AB473">
        <f t="shared" si="357"/>
        <v>50.505050505050505</v>
      </c>
      <c r="AC473">
        <f t="shared" si="339"/>
        <v>3055.5555555555557</v>
      </c>
      <c r="AD473">
        <f t="shared" si="358"/>
        <v>80.505050505050505</v>
      </c>
      <c r="AE473">
        <f t="shared" si="359"/>
        <v>243.52777777777777</v>
      </c>
      <c r="AF473" s="94">
        <f t="shared" si="360"/>
        <v>1700.9166666666665</v>
      </c>
      <c r="AG473">
        <f t="shared" si="373"/>
        <v>0.53386095074302253</v>
      </c>
      <c r="AH473">
        <f t="shared" si="361"/>
        <v>165.09476420779333</v>
      </c>
      <c r="AI473">
        <f>HLOOKUP(AW473,'Real assumptions'!$A$21:$AK$24,2,TRUE)</f>
        <v>0</v>
      </c>
      <c r="AJ473" s="123">
        <f t="shared" si="340"/>
        <v>0</v>
      </c>
      <c r="AK473" s="122">
        <f>(1+HLOOKUP(YEAR(A473),'Real assumptions'!$A$21:$AK$24,2,TRUE)/100)^(1/12)-1</f>
        <v>0</v>
      </c>
      <c r="AL473">
        <f t="shared" si="374"/>
        <v>1.6217839938416523</v>
      </c>
      <c r="AM473">
        <f>('Real assumptions'!$B$33/12)*O472*AV472</f>
        <v>1.5761745058415702</v>
      </c>
      <c r="AN473">
        <f t="shared" si="362"/>
        <v>166.80735493731666</v>
      </c>
      <c r="AO473">
        <f t="shared" si="341"/>
        <v>0</v>
      </c>
      <c r="AP473" s="121">
        <f t="shared" si="363"/>
        <v>0</v>
      </c>
      <c r="AQ473">
        <f t="shared" si="364"/>
        <v>0</v>
      </c>
      <c r="AR473">
        <v>0</v>
      </c>
      <c r="AS473">
        <f t="shared" si="347"/>
        <v>0</v>
      </c>
      <c r="AT473">
        <f t="shared" si="365"/>
        <v>0</v>
      </c>
      <c r="AU473">
        <f>IFERROR(HLOOKUP(B473,'Real assumptions'!$B$43:$AL$44,2,TRUE)*($W$3/$U$2),0)</f>
        <v>0</v>
      </c>
      <c r="AV473">
        <f>AV472*(1+'Real assumptions'!$B$35)^(1/12)</f>
        <v>1.6116069872834375</v>
      </c>
      <c r="AW473">
        <f t="shared" si="348"/>
        <v>2057</v>
      </c>
      <c r="AX473">
        <f t="shared" si="375"/>
        <v>166.49152220226725</v>
      </c>
      <c r="AY473">
        <f t="shared" si="376"/>
        <v>0.41204847075771345</v>
      </c>
      <c r="AZ473">
        <f t="shared" si="349"/>
        <v>364.83527492581845</v>
      </c>
      <c r="BA473">
        <f t="shared" si="366"/>
        <v>3.1669626317492092</v>
      </c>
      <c r="BB473">
        <f t="shared" si="367"/>
        <v>60.5</v>
      </c>
      <c r="BC473">
        <f t="shared" si="350"/>
        <v>36.299999999999997</v>
      </c>
      <c r="BD473">
        <f t="shared" si="368"/>
        <v>0</v>
      </c>
      <c r="BE473">
        <f t="shared" si="351"/>
        <v>24</v>
      </c>
      <c r="BF473">
        <f t="shared" si="377"/>
        <v>5000</v>
      </c>
      <c r="BU473"/>
      <c r="DW473" s="89"/>
      <c r="DX473" s="89"/>
      <c r="FD473"/>
      <c r="FE473"/>
    </row>
    <row r="474" spans="1:161" x14ac:dyDescent="0.25">
      <c r="A474" s="7">
        <f t="shared" si="369"/>
        <v>57526</v>
      </c>
      <c r="B474">
        <f t="shared" si="352"/>
        <v>463</v>
      </c>
      <c r="C474">
        <f t="shared" si="333"/>
        <v>38.5</v>
      </c>
      <c r="D474">
        <f t="shared" si="334"/>
        <v>0</v>
      </c>
      <c r="E474">
        <f t="shared" si="353"/>
        <v>90</v>
      </c>
      <c r="F474">
        <f>IF(C474&gt;=$T$2,0,VLOOKUP($E474,EKM_F05!$A$3:$C$128,2,TRUE))</f>
        <v>0.15042012820512818</v>
      </c>
      <c r="G474">
        <f>F474*'Real assumptions'!$B$3</f>
        <v>6.2770319499999991E-2</v>
      </c>
      <c r="H474">
        <f t="shared" si="335"/>
        <v>5.3876760918037947E-3</v>
      </c>
      <c r="I474">
        <f t="shared" si="336"/>
        <v>5.2209934297297656E-4</v>
      </c>
      <c r="J474">
        <f>IF(B474&gt;$AJ$2,0,HLOOKUP(C474,'Real assumptions'!$B$5:$L$8,4,TRUE))</f>
        <v>3.7900000000000003E-2</v>
      </c>
      <c r="K474">
        <f t="shared" si="342"/>
        <v>1</v>
      </c>
      <c r="L474">
        <f t="shared" si="370"/>
        <v>8.3333333333333329E-2</v>
      </c>
      <c r="M474">
        <f t="shared" si="337"/>
        <v>3.2145624959929453E-3</v>
      </c>
      <c r="N474">
        <f t="shared" si="338"/>
        <v>3.1117209196294732E-4</v>
      </c>
      <c r="O474" s="8">
        <f t="shared" si="354"/>
        <v>9.6228958269317669E-2</v>
      </c>
      <c r="P474">
        <f t="shared" si="355"/>
        <v>2.3294935129020864</v>
      </c>
      <c r="Q474">
        <f t="shared" si="371"/>
        <v>2.6104967148648828</v>
      </c>
      <c r="R474" s="89">
        <f t="shared" si="343"/>
        <v>5000</v>
      </c>
      <c r="S474">
        <f t="shared" si="344"/>
        <v>0.4166666666666643</v>
      </c>
      <c r="U474">
        <f>O473*AV473*'Real assumptions'!$B$33/12+AX474*'Real assumptions'!$B$34</f>
        <v>1.6096004388128373</v>
      </c>
      <c r="V474">
        <f>IF(P474=0,0,IF(E474&lt;=$C$7,$AN$5*O473,0))*'Real assumptions'!$D$28</f>
        <v>0</v>
      </c>
      <c r="X474" s="94">
        <f t="shared" si="356"/>
        <v>0</v>
      </c>
      <c r="Y474">
        <f t="shared" si="345"/>
        <v>24</v>
      </c>
      <c r="Z474">
        <f t="shared" si="372"/>
        <v>60</v>
      </c>
      <c r="AA474">
        <f t="shared" si="346"/>
        <v>60.416666666666664</v>
      </c>
      <c r="AB474">
        <f t="shared" si="357"/>
        <v>50.505050505050505</v>
      </c>
      <c r="AC474">
        <f t="shared" si="339"/>
        <v>3051.3468013468014</v>
      </c>
      <c r="AD474">
        <f t="shared" si="358"/>
        <v>80.505050505050505</v>
      </c>
      <c r="AE474">
        <f t="shared" si="359"/>
        <v>243.19234006734004</v>
      </c>
      <c r="AF474" s="94">
        <f t="shared" si="360"/>
        <v>1705.4608585858587</v>
      </c>
      <c r="AG474">
        <f t="shared" si="373"/>
        <v>0.53069182312708585</v>
      </c>
      <c r="AH474">
        <f t="shared" si="361"/>
        <v>164.11472179081326</v>
      </c>
      <c r="AI474">
        <f>HLOOKUP(AW474,'Real assumptions'!$A$21:$AK$24,2,TRUE)</f>
        <v>0</v>
      </c>
      <c r="AJ474" s="123">
        <f t="shared" si="340"/>
        <v>0</v>
      </c>
      <c r="AK474" s="122">
        <f>(1+HLOOKUP(YEAR(A474),'Real assumptions'!$A$21:$AK$24,2,TRUE)/100)^(1/12)-1</f>
        <v>0</v>
      </c>
      <c r="AL474">
        <f t="shared" si="374"/>
        <v>1.6096004388128373</v>
      </c>
      <c r="AM474">
        <f>('Real assumptions'!$B$33/12)*O473*AV473</f>
        <v>1.5642616759268513</v>
      </c>
      <c r="AN474">
        <f t="shared" si="362"/>
        <v>165.81465728188257</v>
      </c>
      <c r="AO474">
        <f t="shared" si="341"/>
        <v>0</v>
      </c>
      <c r="AP474" s="121">
        <f t="shared" si="363"/>
        <v>0</v>
      </c>
      <c r="AQ474">
        <f t="shared" si="364"/>
        <v>0</v>
      </c>
      <c r="AR474">
        <v>0</v>
      </c>
      <c r="AS474">
        <f t="shared" si="347"/>
        <v>0</v>
      </c>
      <c r="AT474">
        <f t="shared" si="365"/>
        <v>0</v>
      </c>
      <c r="AU474">
        <f>IFERROR(HLOOKUP(B474,'Real assumptions'!$B$43:$AL$44,2,TRUE)*($W$3/$U$2),0)</f>
        <v>0</v>
      </c>
      <c r="AV474">
        <f>AV473*(1+'Real assumptions'!$B$35)^(1/12)</f>
        <v>1.6132762027977763</v>
      </c>
      <c r="AW474">
        <f t="shared" si="348"/>
        <v>2057</v>
      </c>
      <c r="AX474">
        <f t="shared" si="375"/>
        <v>165.50327527557218</v>
      </c>
      <c r="AY474">
        <f t="shared" si="376"/>
        <v>0.40851106777884511</v>
      </c>
      <c r="AZ474">
        <f t="shared" si="349"/>
        <v>362.41397946191574</v>
      </c>
      <c r="BA474">
        <f t="shared" si="366"/>
        <v>3.1411885379919688</v>
      </c>
      <c r="BB474">
        <f t="shared" si="367"/>
        <v>60.416666666666664</v>
      </c>
      <c r="BC474">
        <f t="shared" si="350"/>
        <v>36.25</v>
      </c>
      <c r="BD474">
        <f t="shared" si="368"/>
        <v>0</v>
      </c>
      <c r="BE474">
        <f t="shared" si="351"/>
        <v>24</v>
      </c>
      <c r="BF474">
        <f t="shared" si="377"/>
        <v>5000</v>
      </c>
      <c r="BU474"/>
      <c r="DW474" s="89"/>
      <c r="DX474" s="89"/>
      <c r="FD474"/>
      <c r="FE474"/>
    </row>
    <row r="475" spans="1:161" x14ac:dyDescent="0.25">
      <c r="A475" s="7">
        <f t="shared" si="369"/>
        <v>57557</v>
      </c>
      <c r="B475">
        <f t="shared" si="352"/>
        <v>464</v>
      </c>
      <c r="C475">
        <f t="shared" si="333"/>
        <v>38.583333333333336</v>
      </c>
      <c r="D475">
        <f t="shared" si="334"/>
        <v>0</v>
      </c>
      <c r="E475">
        <f t="shared" si="353"/>
        <v>90</v>
      </c>
      <c r="F475">
        <f>IF(C475&gt;=$T$2,0,VLOOKUP($E475,EKM_F05!$A$3:$C$128,2,TRUE))</f>
        <v>0.15042012820512818</v>
      </c>
      <c r="G475">
        <f>F475*'Real assumptions'!$B$3</f>
        <v>6.2770319499999991E-2</v>
      </c>
      <c r="H475">
        <f t="shared" si="335"/>
        <v>5.3876760918037947E-3</v>
      </c>
      <c r="I475">
        <f t="shared" si="336"/>
        <v>5.1761716210793987E-4</v>
      </c>
      <c r="J475">
        <f>IF(B475&gt;$AJ$2,0,HLOOKUP(C475,'Real assumptions'!$B$5:$L$8,4,TRUE))</f>
        <v>3.7900000000000003E-2</v>
      </c>
      <c r="K475">
        <f t="shared" si="342"/>
        <v>1</v>
      </c>
      <c r="L475">
        <f t="shared" si="370"/>
        <v>8.3333333333333329E-2</v>
      </c>
      <c r="M475">
        <f t="shared" si="337"/>
        <v>3.2145624959929453E-3</v>
      </c>
      <c r="N475">
        <f t="shared" si="338"/>
        <v>3.0850070458217078E-4</v>
      </c>
      <c r="O475" s="8">
        <f t="shared" si="354"/>
        <v>9.5402840402627559E-2</v>
      </c>
      <c r="P475">
        <f t="shared" si="355"/>
        <v>2.3094949984636242</v>
      </c>
      <c r="Q475">
        <f t="shared" si="371"/>
        <v>2.5880858105396993</v>
      </c>
      <c r="R475" s="89">
        <f t="shared" si="343"/>
        <v>5000</v>
      </c>
      <c r="S475">
        <f t="shared" si="344"/>
        <v>0.3333333333333357</v>
      </c>
      <c r="U475">
        <f>O474*AV474*'Real assumptions'!$B$33/12+AX475*'Real assumptions'!$B$34</f>
        <v>1.5975082085798951</v>
      </c>
      <c r="V475">
        <f>IF(P475=0,0,IF(E475&lt;=$C$7,$AN$5*O474,0))*'Real assumptions'!$D$28</f>
        <v>0</v>
      </c>
      <c r="X475" s="94">
        <f t="shared" si="356"/>
        <v>0</v>
      </c>
      <c r="Y475">
        <f t="shared" si="345"/>
        <v>24</v>
      </c>
      <c r="Z475">
        <f t="shared" si="372"/>
        <v>60</v>
      </c>
      <c r="AA475">
        <f t="shared" si="346"/>
        <v>60.333333333333336</v>
      </c>
      <c r="AB475">
        <f t="shared" si="357"/>
        <v>50.505050505050505</v>
      </c>
      <c r="AC475">
        <f t="shared" si="339"/>
        <v>3047.1380471380471</v>
      </c>
      <c r="AD475">
        <f t="shared" si="358"/>
        <v>80.505050505050505</v>
      </c>
      <c r="AE475">
        <f t="shared" si="359"/>
        <v>242.85690235690237</v>
      </c>
      <c r="AF475" s="94">
        <f t="shared" si="360"/>
        <v>1710.0050505050506</v>
      </c>
      <c r="AG475">
        <f t="shared" si="373"/>
        <v>0.52753776291987864</v>
      </c>
      <c r="AH475">
        <f t="shared" si="361"/>
        <v>163.13933892102042</v>
      </c>
      <c r="AI475">
        <f>HLOOKUP(AW475,'Real assumptions'!$A$21:$AK$24,2,TRUE)</f>
        <v>0</v>
      </c>
      <c r="AJ475" s="123">
        <f t="shared" si="340"/>
        <v>0</v>
      </c>
      <c r="AK475" s="122">
        <f>(1+HLOOKUP(YEAR(A475),'Real assumptions'!$A$21:$AK$24,2,TRUE)/100)^(1/12)-1</f>
        <v>0</v>
      </c>
      <c r="AL475">
        <f t="shared" si="374"/>
        <v>1.5975082085798951</v>
      </c>
      <c r="AM475">
        <f>('Real assumptions'!$B$33/12)*O474*AV474</f>
        <v>1.5524388839591048</v>
      </c>
      <c r="AN475">
        <f t="shared" si="362"/>
        <v>164.82670858069702</v>
      </c>
      <c r="AO475">
        <f t="shared" si="341"/>
        <v>0</v>
      </c>
      <c r="AP475" s="121">
        <f t="shared" si="363"/>
        <v>0</v>
      </c>
      <c r="AQ475">
        <f t="shared" si="364"/>
        <v>0</v>
      </c>
      <c r="AR475">
        <v>0</v>
      </c>
      <c r="AS475">
        <f t="shared" si="347"/>
        <v>0</v>
      </c>
      <c r="AT475">
        <f t="shared" si="365"/>
        <v>0</v>
      </c>
      <c r="AU475">
        <f>IFERROR(HLOOKUP(B475,'Real assumptions'!$B$43:$AL$44,2,TRUE)*($W$3/$U$2),0)</f>
        <v>0</v>
      </c>
      <c r="AV475">
        <f>AV474*(1+'Real assumptions'!$B$35)^(1/12)</f>
        <v>1.6149471471954318</v>
      </c>
      <c r="AW475">
        <f t="shared" si="348"/>
        <v>2057</v>
      </c>
      <c r="AX475">
        <f t="shared" si="375"/>
        <v>164.5197258239333</v>
      </c>
      <c r="AY475">
        <f t="shared" si="376"/>
        <v>0.40500403312002381</v>
      </c>
      <c r="AZ475">
        <f t="shared" si="349"/>
        <v>360.0103426783399</v>
      </c>
      <c r="BA475">
        <f t="shared" si="366"/>
        <v>3.1156235734595779</v>
      </c>
      <c r="BB475">
        <f t="shared" si="367"/>
        <v>60.333333333333336</v>
      </c>
      <c r="BC475">
        <f t="shared" si="350"/>
        <v>36.200000000000003</v>
      </c>
      <c r="BD475">
        <f t="shared" si="368"/>
        <v>0</v>
      </c>
      <c r="BE475">
        <f t="shared" si="351"/>
        <v>24</v>
      </c>
      <c r="BF475">
        <f t="shared" si="377"/>
        <v>5000</v>
      </c>
      <c r="BU475"/>
      <c r="DW475" s="89"/>
      <c r="DX475" s="89"/>
      <c r="FD475"/>
      <c r="FE475"/>
    </row>
    <row r="476" spans="1:161" x14ac:dyDescent="0.25">
      <c r="A476" s="7">
        <f t="shared" si="369"/>
        <v>57588</v>
      </c>
      <c r="B476">
        <f t="shared" si="352"/>
        <v>465</v>
      </c>
      <c r="C476">
        <f t="shared" si="333"/>
        <v>38.666666666666664</v>
      </c>
      <c r="D476">
        <f t="shared" si="334"/>
        <v>0</v>
      </c>
      <c r="E476">
        <f t="shared" si="353"/>
        <v>90</v>
      </c>
      <c r="F476">
        <f>IF(C476&gt;=$T$2,0,VLOOKUP($E476,EKM_F05!$A$3:$C$128,2,TRUE))</f>
        <v>0.15042012820512818</v>
      </c>
      <c r="G476">
        <f>F476*'Real assumptions'!$B$3</f>
        <v>6.2770319499999991E-2</v>
      </c>
      <c r="H476">
        <f t="shared" si="335"/>
        <v>5.3876760918037947E-3</v>
      </c>
      <c r="I476">
        <f t="shared" si="336"/>
        <v>5.1317346040511119E-4</v>
      </c>
      <c r="J476">
        <f>IF(B476&gt;$AJ$2,0,HLOOKUP(C476,'Real assumptions'!$B$5:$L$8,4,TRUE))</f>
        <v>3.7900000000000003E-2</v>
      </c>
      <c r="K476">
        <f t="shared" si="342"/>
        <v>1</v>
      </c>
      <c r="L476">
        <f t="shared" si="370"/>
        <v>8.3333333333333329E-2</v>
      </c>
      <c r="M476">
        <f t="shared" si="337"/>
        <v>3.2145624959929453E-3</v>
      </c>
      <c r="N476">
        <f t="shared" si="338"/>
        <v>3.0585225084718857E-4</v>
      </c>
      <c r="O476" s="8">
        <f t="shared" si="354"/>
        <v>9.4583814691375265E-2</v>
      </c>
      <c r="P476">
        <f t="shared" si="355"/>
        <v>2.2896681696630612</v>
      </c>
      <c r="Q476">
        <f t="shared" si="371"/>
        <v>2.565867302025556</v>
      </c>
      <c r="R476" s="89">
        <f t="shared" si="343"/>
        <v>5000</v>
      </c>
      <c r="S476">
        <f t="shared" si="344"/>
        <v>0.25</v>
      </c>
      <c r="U476">
        <f>O475*AV475*'Real assumptions'!$B$33/12+AX476*'Real assumptions'!$B$34</f>
        <v>1.5855066204878194</v>
      </c>
      <c r="V476">
        <f>IF(P476=0,0,IF(E476&lt;=$C$7,$AN$5*O475,0))*'Real assumptions'!$D$28</f>
        <v>0</v>
      </c>
      <c r="X476" s="94">
        <f t="shared" si="356"/>
        <v>0</v>
      </c>
      <c r="Y476">
        <f t="shared" si="345"/>
        <v>24</v>
      </c>
      <c r="Z476">
        <f t="shared" si="372"/>
        <v>60</v>
      </c>
      <c r="AA476">
        <f t="shared" si="346"/>
        <v>60.25</v>
      </c>
      <c r="AB476">
        <f t="shared" si="357"/>
        <v>50.505050505050505</v>
      </c>
      <c r="AC476">
        <f t="shared" si="339"/>
        <v>3042.9292929292928</v>
      </c>
      <c r="AD476">
        <f t="shared" si="358"/>
        <v>80.505050505050505</v>
      </c>
      <c r="AE476">
        <f t="shared" si="359"/>
        <v>242.52146464646464</v>
      </c>
      <c r="AF476" s="94">
        <f t="shared" si="360"/>
        <v>1714.5492424242425</v>
      </c>
      <c r="AG476">
        <f t="shared" si="373"/>
        <v>0.52439874498379657</v>
      </c>
      <c r="AH476">
        <f t="shared" si="361"/>
        <v>162.1686078246924</v>
      </c>
      <c r="AI476">
        <f>HLOOKUP(AW476,'Real assumptions'!$A$21:$AK$24,2,TRUE)</f>
        <v>0</v>
      </c>
      <c r="AJ476" s="123">
        <f t="shared" si="340"/>
        <v>0</v>
      </c>
      <c r="AK476" s="122">
        <f>(1+HLOOKUP(YEAR(A476),'Real assumptions'!$A$21:$AK$24,2,TRUE)/100)^(1/12)-1</f>
        <v>0</v>
      </c>
      <c r="AL476">
        <f t="shared" si="374"/>
        <v>1.5855066204878194</v>
      </c>
      <c r="AM476">
        <f>('Real assumptions'!$B$33/12)*O475*AV475</f>
        <v>1.5407054494256447</v>
      </c>
      <c r="AN476">
        <f t="shared" si="362"/>
        <v>163.84350047019566</v>
      </c>
      <c r="AO476">
        <f t="shared" si="341"/>
        <v>0</v>
      </c>
      <c r="AP476" s="121">
        <f t="shared" si="363"/>
        <v>0</v>
      </c>
      <c r="AQ476">
        <f t="shared" si="364"/>
        <v>0</v>
      </c>
      <c r="AR476">
        <v>0</v>
      </c>
      <c r="AS476">
        <f t="shared" si="347"/>
        <v>0</v>
      </c>
      <c r="AT476">
        <f t="shared" si="365"/>
        <v>0</v>
      </c>
      <c r="AU476">
        <f>IFERROR(HLOOKUP(B476,'Real assumptions'!$B$43:$AL$44,2,TRUE)*($W$3/$U$2),0)</f>
        <v>0</v>
      </c>
      <c r="AV476">
        <f>AV475*(1+'Real assumptions'!$B$35)^(1/12)</f>
        <v>1.616619822267088</v>
      </c>
      <c r="AW476">
        <f t="shared" si="348"/>
        <v>2057</v>
      </c>
      <c r="AX476">
        <f t="shared" si="375"/>
        <v>163.54086602709208</v>
      </c>
      <c r="AY476">
        <f t="shared" si="376"/>
        <v>0.40152710607166481</v>
      </c>
      <c r="AZ476">
        <f t="shared" si="349"/>
        <v>357.62423818050576</v>
      </c>
      <c r="BA476">
        <f t="shared" si="366"/>
        <v>3.0902660470093526</v>
      </c>
      <c r="BB476">
        <f t="shared" si="367"/>
        <v>60.25</v>
      </c>
      <c r="BC476">
        <f t="shared" si="350"/>
        <v>36.15</v>
      </c>
      <c r="BD476">
        <f t="shared" si="368"/>
        <v>0</v>
      </c>
      <c r="BE476">
        <f t="shared" si="351"/>
        <v>24</v>
      </c>
      <c r="BF476">
        <f t="shared" si="377"/>
        <v>5000</v>
      </c>
      <c r="BU476"/>
      <c r="DW476" s="89"/>
      <c r="DX476" s="89"/>
      <c r="FD476"/>
      <c r="FE476"/>
    </row>
    <row r="477" spans="1:161" x14ac:dyDescent="0.25">
      <c r="A477" s="7">
        <f t="shared" si="369"/>
        <v>57618</v>
      </c>
      <c r="B477">
        <f t="shared" si="352"/>
        <v>466</v>
      </c>
      <c r="C477">
        <f t="shared" si="333"/>
        <v>38.75</v>
      </c>
      <c r="D477">
        <f t="shared" si="334"/>
        <v>0</v>
      </c>
      <c r="E477">
        <f t="shared" si="353"/>
        <v>90</v>
      </c>
      <c r="F477">
        <f>IF(C477&gt;=$T$2,0,VLOOKUP($E477,EKM_F05!$A$3:$C$128,2,TRUE))</f>
        <v>0.15042012820512818</v>
      </c>
      <c r="G477">
        <f>F477*'Real assumptions'!$B$3</f>
        <v>6.2770319499999991E-2</v>
      </c>
      <c r="H477">
        <f t="shared" si="335"/>
        <v>5.3876760918037947E-3</v>
      </c>
      <c r="I477">
        <f t="shared" si="336"/>
        <v>5.0876790752397787E-4</v>
      </c>
      <c r="J477">
        <f>IF(B477&gt;$AJ$2,0,HLOOKUP(C477,'Real assumptions'!$B$5:$L$8,4,TRUE))</f>
        <v>3.7900000000000003E-2</v>
      </c>
      <c r="K477">
        <f t="shared" si="342"/>
        <v>1</v>
      </c>
      <c r="L477">
        <f t="shared" si="370"/>
        <v>8.3333333333333329E-2</v>
      </c>
      <c r="M477">
        <f t="shared" si="337"/>
        <v>3.2145624959929453E-3</v>
      </c>
      <c r="N477">
        <f t="shared" si="338"/>
        <v>3.0322653387449629E-4</v>
      </c>
      <c r="O477" s="8">
        <f t="shared" si="354"/>
        <v>9.3771820249976795E-2</v>
      </c>
      <c r="P477">
        <f t="shared" si="355"/>
        <v>2.2700115525930062</v>
      </c>
      <c r="Q477">
        <f t="shared" si="371"/>
        <v>2.5438395376198892</v>
      </c>
      <c r="R477" s="89">
        <f t="shared" si="343"/>
        <v>5000</v>
      </c>
      <c r="S477">
        <f t="shared" si="344"/>
        <v>0.1666666666666643</v>
      </c>
      <c r="U477">
        <f>O476*AV476*'Real assumptions'!$B$33/12+AX477*'Real assumptions'!$B$34</f>
        <v>1.5735949969669056</v>
      </c>
      <c r="V477">
        <f>IF(P477=0,0,IF(E477&lt;=$C$7,$AN$5*O476,0))*'Real assumptions'!$D$28</f>
        <v>0</v>
      </c>
      <c r="X477" s="94">
        <f t="shared" si="356"/>
        <v>0</v>
      </c>
      <c r="Y477">
        <f t="shared" si="345"/>
        <v>24</v>
      </c>
      <c r="Z477">
        <f t="shared" si="372"/>
        <v>60</v>
      </c>
      <c r="AA477">
        <f t="shared" si="346"/>
        <v>60.166666666666664</v>
      </c>
      <c r="AB477">
        <f t="shared" si="357"/>
        <v>50.505050505050505</v>
      </c>
      <c r="AC477">
        <f t="shared" si="339"/>
        <v>3038.7205387205386</v>
      </c>
      <c r="AD477">
        <f t="shared" si="358"/>
        <v>80.505050505050505</v>
      </c>
      <c r="AE477">
        <f t="shared" si="359"/>
        <v>242.18602693602691</v>
      </c>
      <c r="AF477" s="94">
        <f t="shared" si="360"/>
        <v>1719.0934343434346</v>
      </c>
      <c r="AG477">
        <f t="shared" si="373"/>
        <v>0.52127474350236369</v>
      </c>
      <c r="AH477">
        <f t="shared" si="361"/>
        <v>161.20252051816783</v>
      </c>
      <c r="AI477">
        <f>HLOOKUP(AW477,'Real assumptions'!$A$21:$AK$24,2,TRUE)</f>
        <v>0</v>
      </c>
      <c r="AJ477" s="123">
        <f t="shared" si="340"/>
        <v>0</v>
      </c>
      <c r="AK477" s="122">
        <f>(1+HLOOKUP(YEAR(A477),'Real assumptions'!$A$21:$AK$24,2,TRUE)/100)^(1/12)-1</f>
        <v>0</v>
      </c>
      <c r="AL477">
        <f t="shared" si="374"/>
        <v>1.5735949969669056</v>
      </c>
      <c r="AM477">
        <f>('Real assumptions'!$B$33/12)*O476*AV476</f>
        <v>1.5290606969571428</v>
      </c>
      <c r="AN477">
        <f t="shared" si="362"/>
        <v>162.86502438031852</v>
      </c>
      <c r="AO477">
        <f t="shared" si="341"/>
        <v>0</v>
      </c>
      <c r="AP477" s="121">
        <f t="shared" si="363"/>
        <v>0</v>
      </c>
      <c r="AQ477">
        <f t="shared" si="364"/>
        <v>0</v>
      </c>
      <c r="AR477">
        <v>0</v>
      </c>
      <c r="AS477">
        <f t="shared" si="347"/>
        <v>0</v>
      </c>
      <c r="AT477">
        <f t="shared" si="365"/>
        <v>0</v>
      </c>
      <c r="AU477">
        <f>IFERROR(HLOOKUP(B477,'Real assumptions'!$B$43:$AL$44,2,TRUE)*($W$3/$U$2),0)</f>
        <v>0</v>
      </c>
      <c r="AV477">
        <f>AV476*(1+'Real assumptions'!$B$35)^(1/12)</f>
        <v>1.6182942298052836</v>
      </c>
      <c r="AW477">
        <f t="shared" si="348"/>
        <v>2057</v>
      </c>
      <c r="AX477">
        <f t="shared" si="375"/>
        <v>162.56668785285476</v>
      </c>
      <c r="AY477">
        <f t="shared" si="376"/>
        <v>0.39808002816235377</v>
      </c>
      <c r="AZ477">
        <f t="shared" si="349"/>
        <v>355.25554045500962</v>
      </c>
      <c r="BA477">
        <f t="shared" si="366"/>
        <v>3.0651142811222529</v>
      </c>
      <c r="BB477">
        <f t="shared" si="367"/>
        <v>60.166666666666664</v>
      </c>
      <c r="BC477">
        <f t="shared" si="350"/>
        <v>36.099999999999994</v>
      </c>
      <c r="BD477">
        <f t="shared" si="368"/>
        <v>0</v>
      </c>
      <c r="BE477">
        <f t="shared" si="351"/>
        <v>24</v>
      </c>
      <c r="BF477">
        <f t="shared" si="377"/>
        <v>5000</v>
      </c>
      <c r="BU477"/>
      <c r="DW477" s="89"/>
      <c r="DX477" s="89"/>
      <c r="FD477"/>
      <c r="FE477"/>
    </row>
    <row r="478" spans="1:161" x14ac:dyDescent="0.25">
      <c r="A478" s="7">
        <f t="shared" si="369"/>
        <v>57649</v>
      </c>
      <c r="B478">
        <f t="shared" si="352"/>
        <v>467</v>
      </c>
      <c r="C478">
        <f t="shared" si="333"/>
        <v>38.833333333333336</v>
      </c>
      <c r="D478">
        <f t="shared" si="334"/>
        <v>0</v>
      </c>
      <c r="E478">
        <f t="shared" si="353"/>
        <v>90</v>
      </c>
      <c r="F478">
        <f>IF(C478&gt;=$T$2,0,VLOOKUP($E478,EKM_F05!$A$3:$C$128,2,TRUE))</f>
        <v>0.15042012820512818</v>
      </c>
      <c r="G478">
        <f>F478*'Real assumptions'!$B$3</f>
        <v>6.2770319499999991E-2</v>
      </c>
      <c r="H478">
        <f t="shared" si="335"/>
        <v>5.3876760918037947E-3</v>
      </c>
      <c r="I478">
        <f t="shared" si="336"/>
        <v>5.0440017595997414E-4</v>
      </c>
      <c r="J478">
        <f>IF(B478&gt;$AJ$2,0,HLOOKUP(C478,'Real assumptions'!$B$5:$L$8,4,TRUE))</f>
        <v>3.7900000000000003E-2</v>
      </c>
      <c r="K478">
        <f t="shared" si="342"/>
        <v>1</v>
      </c>
      <c r="L478">
        <f t="shared" si="370"/>
        <v>8.3333333333333329E-2</v>
      </c>
      <c r="M478">
        <f t="shared" si="337"/>
        <v>3.2145624959929453E-3</v>
      </c>
      <c r="N478">
        <f t="shared" si="338"/>
        <v>3.0062335847081838E-4</v>
      </c>
      <c r="O478" s="8">
        <f t="shared" si="354"/>
        <v>9.2966796715546002E-2</v>
      </c>
      <c r="P478">
        <f t="shared" si="355"/>
        <v>2.2505236859994433</v>
      </c>
      <c r="Q478">
        <f t="shared" si="371"/>
        <v>2.5220008797998705</v>
      </c>
      <c r="R478" s="89">
        <f t="shared" si="343"/>
        <v>5000</v>
      </c>
      <c r="S478">
        <f t="shared" si="344"/>
        <v>8.3333333333335702E-2</v>
      </c>
      <c r="U478">
        <f>O477*AV477*'Real assumptions'!$B$33/12+AX478*'Real assumptions'!$B$34</f>
        <v>1.561772665495029</v>
      </c>
      <c r="V478">
        <f>IF(P478=0,0,IF(E478&lt;=$C$7,$AN$5*O477,0))*'Real assumptions'!$D$28</f>
        <v>0</v>
      </c>
      <c r="X478" s="94">
        <f t="shared" si="356"/>
        <v>0</v>
      </c>
      <c r="Y478">
        <f t="shared" si="345"/>
        <v>24</v>
      </c>
      <c r="Z478">
        <f t="shared" si="372"/>
        <v>60</v>
      </c>
      <c r="AA478">
        <f t="shared" si="346"/>
        <v>60.083333333333336</v>
      </c>
      <c r="AB478">
        <f t="shared" si="357"/>
        <v>50.505050505050505</v>
      </c>
      <c r="AC478">
        <f t="shared" si="339"/>
        <v>3034.5117845117848</v>
      </c>
      <c r="AD478">
        <f t="shared" si="358"/>
        <v>80.505050505050505</v>
      </c>
      <c r="AE478">
        <f t="shared" si="359"/>
        <v>241.85058922558923</v>
      </c>
      <c r="AF478" s="94">
        <f t="shared" si="360"/>
        <v>1723.6376262626261</v>
      </c>
      <c r="AG478">
        <f t="shared" si="373"/>
        <v>0.51816573199373994</v>
      </c>
      <c r="AH478">
        <f t="shared" si="361"/>
        <v>160.24106881202383</v>
      </c>
      <c r="AI478">
        <f>HLOOKUP(AW478,'Real assumptions'!$A$21:$AK$24,2,TRUE)</f>
        <v>0</v>
      </c>
      <c r="AJ478" s="123">
        <f t="shared" si="340"/>
        <v>0</v>
      </c>
      <c r="AK478" s="122">
        <f>(1+HLOOKUP(YEAR(A478),'Real assumptions'!$A$21:$AK$24,2,TRUE)/100)^(1/12)-1</f>
        <v>0</v>
      </c>
      <c r="AL478">
        <f t="shared" si="374"/>
        <v>1.561772665495029</v>
      </c>
      <c r="AM478">
        <f>('Real assumptions'!$B$33/12)*O477*AV477</f>
        <v>1.5175039562887569</v>
      </c>
      <c r="AN478">
        <f t="shared" si="362"/>
        <v>161.89127153867224</v>
      </c>
      <c r="AO478">
        <f t="shared" si="341"/>
        <v>0</v>
      </c>
      <c r="AP478" s="121">
        <f t="shared" si="363"/>
        <v>0</v>
      </c>
      <c r="AQ478">
        <f t="shared" si="364"/>
        <v>0</v>
      </c>
      <c r="AR478">
        <v>0</v>
      </c>
      <c r="AS478">
        <f t="shared" si="347"/>
        <v>0</v>
      </c>
      <c r="AT478">
        <f t="shared" si="365"/>
        <v>0</v>
      </c>
      <c r="AU478">
        <f>IFERROR(HLOOKUP(B478,'Real assumptions'!$B$43:$AL$44,2,TRUE)*($W$3/$U$2),0)</f>
        <v>0</v>
      </c>
      <c r="AV478">
        <f>AV477*(1+'Real assumptions'!$B$35)^(1/12)</f>
        <v>1.6199703716044138</v>
      </c>
      <c r="AW478">
        <f t="shared" si="348"/>
        <v>2057</v>
      </c>
      <c r="AX478">
        <f t="shared" si="375"/>
        <v>161.59718306130748</v>
      </c>
      <c r="AY478">
        <f t="shared" si="376"/>
        <v>0.39466254313963295</v>
      </c>
      <c r="AZ478">
        <f t="shared" si="349"/>
        <v>352.90412486372043</v>
      </c>
      <c r="BA478">
        <f t="shared" si="366"/>
        <v>3.0401666117936106</v>
      </c>
      <c r="BB478">
        <f t="shared" si="367"/>
        <v>60.083333333333336</v>
      </c>
      <c r="BC478">
        <f t="shared" si="350"/>
        <v>36.049999999999997</v>
      </c>
      <c r="BD478">
        <f t="shared" si="368"/>
        <v>0</v>
      </c>
      <c r="BE478">
        <f t="shared" si="351"/>
        <v>24</v>
      </c>
      <c r="BF478">
        <f t="shared" si="377"/>
        <v>5000</v>
      </c>
      <c r="BU478"/>
      <c r="DW478" s="89"/>
      <c r="DX478" s="89"/>
      <c r="FD478"/>
      <c r="FE478"/>
    </row>
    <row r="479" spans="1:161" x14ac:dyDescent="0.25">
      <c r="A479" s="7">
        <f t="shared" si="369"/>
        <v>57679</v>
      </c>
      <c r="B479">
        <f t="shared" si="352"/>
        <v>468</v>
      </c>
      <c r="C479">
        <f t="shared" si="333"/>
        <v>38.916666666666664</v>
      </c>
      <c r="D479">
        <f t="shared" si="334"/>
        <v>0</v>
      </c>
      <c r="E479">
        <f t="shared" si="353"/>
        <v>90</v>
      </c>
      <c r="F479">
        <f>IF(C479&gt;=$T$2,0,VLOOKUP($E479,EKM_F05!$A$3:$C$128,2,TRUE))</f>
        <v>0.15042012820512818</v>
      </c>
      <c r="G479">
        <f>F479*'Real assumptions'!$B$3</f>
        <v>6.2770319499999991E-2</v>
      </c>
      <c r="H479">
        <f t="shared" si="335"/>
        <v>5.3876760918037947E-3</v>
      </c>
      <c r="I479">
        <f t="shared" si="336"/>
        <v>5.0006994102013444E-4</v>
      </c>
      <c r="J479">
        <f>IF(B479&gt;$AJ$2,0,HLOOKUP(C479,'Real assumptions'!$B$5:$L$8,4,TRUE))</f>
        <v>3.7900000000000003E-2</v>
      </c>
      <c r="K479">
        <f t="shared" si="342"/>
        <v>1</v>
      </c>
      <c r="L479">
        <f t="shared" si="370"/>
        <v>8.3333333333333329E-2</v>
      </c>
      <c r="M479">
        <f t="shared" si="337"/>
        <v>3.2145624959929453E-3</v>
      </c>
      <c r="N479">
        <f t="shared" si="338"/>
        <v>2.9804253111859804E-4</v>
      </c>
      <c r="O479" s="8">
        <f t="shared" si="354"/>
        <v>9.2168684243407281E-2</v>
      </c>
      <c r="P479">
        <f t="shared" si="355"/>
        <v>2.2312031211731043</v>
      </c>
      <c r="Q479">
        <f t="shared" si="371"/>
        <v>2.500349705100672</v>
      </c>
      <c r="R479" s="89">
        <f t="shared" si="343"/>
        <v>5000</v>
      </c>
      <c r="S479">
        <f t="shared" si="344"/>
        <v>1</v>
      </c>
      <c r="U479">
        <f>O478*AV478*'Real assumptions'!$B$33/12+AX479*'Real assumptions'!$B$34</f>
        <v>1.550038958560207</v>
      </c>
      <c r="V479">
        <f>IF(P479=0,0,IF(E479&lt;=$C$7,$AN$5*O478,0))*'Real assumptions'!$D$28</f>
        <v>0</v>
      </c>
      <c r="X479" s="94">
        <f t="shared" si="356"/>
        <v>0</v>
      </c>
      <c r="Y479">
        <f t="shared" si="345"/>
        <v>24</v>
      </c>
      <c r="Z479">
        <f t="shared" si="372"/>
        <v>60</v>
      </c>
      <c r="AA479">
        <f t="shared" si="346"/>
        <v>60</v>
      </c>
      <c r="AB479">
        <f t="shared" si="357"/>
        <v>50.505050505050505</v>
      </c>
      <c r="AC479">
        <f t="shared" si="339"/>
        <v>3030.3030303030305</v>
      </c>
      <c r="AD479">
        <f t="shared" si="358"/>
        <v>80.505050505050505</v>
      </c>
      <c r="AE479">
        <f t="shared" si="359"/>
        <v>241.5151515151515</v>
      </c>
      <c r="AF479" s="94">
        <f t="shared" si="360"/>
        <v>1728.181818181818</v>
      </c>
      <c r="AG479">
        <f t="shared" si="373"/>
        <v>0.51507168332404984</v>
      </c>
      <c r="AH479">
        <f t="shared" si="361"/>
        <v>159.28424431519747</v>
      </c>
      <c r="AI479">
        <f>HLOOKUP(AW479,'Real assumptions'!$A$21:$AK$24,2,TRUE)</f>
        <v>0</v>
      </c>
      <c r="AJ479" s="123">
        <f t="shared" si="340"/>
        <v>0</v>
      </c>
      <c r="AK479" s="122">
        <f>(1+HLOOKUP(YEAR(A479),'Real assumptions'!$A$21:$AK$24,2,TRUE)/100)^(1/12)-1</f>
        <v>0</v>
      </c>
      <c r="AL479">
        <f t="shared" si="374"/>
        <v>1.550038958560207</v>
      </c>
      <c r="AM479">
        <f>('Real assumptions'!$B$33/12)*O478*AV478</f>
        <v>1.5060345622215505</v>
      </c>
      <c r="AN479">
        <f t="shared" si="362"/>
        <v>160.92223297463673</v>
      </c>
      <c r="AO479">
        <f t="shared" si="341"/>
        <v>0</v>
      </c>
      <c r="AP479" s="121">
        <f t="shared" si="363"/>
        <v>0</v>
      </c>
      <c r="AQ479">
        <f t="shared" si="364"/>
        <v>0</v>
      </c>
      <c r="AR479">
        <v>0</v>
      </c>
      <c r="AS479">
        <f t="shared" si="347"/>
        <v>0</v>
      </c>
      <c r="AT479">
        <f t="shared" si="365"/>
        <v>0</v>
      </c>
      <c r="AU479">
        <f>IFERROR(HLOOKUP(B479,'Real assumptions'!$B$43:$AL$44,2,TRUE)*($W$3/$U$2),0)</f>
        <v>0</v>
      </c>
      <c r="AV479">
        <f>AV478*(1+'Real assumptions'!$B$35)^(1/12)</f>
        <v>1.6216482494607325</v>
      </c>
      <c r="AW479">
        <f t="shared" si="348"/>
        <v>2057</v>
      </c>
      <c r="AX479">
        <f t="shared" si="375"/>
        <v>160.63234320897479</v>
      </c>
      <c r="AY479">
        <f t="shared" si="376"/>
        <v>0.39127439695095118</v>
      </c>
      <c r="AZ479">
        <f t="shared" si="349"/>
        <v>350.5698676379086</v>
      </c>
      <c r="BA479">
        <f t="shared" si="366"/>
        <v>3.0154213884247216</v>
      </c>
      <c r="BB479">
        <f t="shared" si="367"/>
        <v>60</v>
      </c>
      <c r="BC479">
        <f t="shared" si="350"/>
        <v>36</v>
      </c>
      <c r="BD479">
        <f t="shared" si="368"/>
        <v>0</v>
      </c>
      <c r="BE479">
        <f t="shared" si="351"/>
        <v>24</v>
      </c>
      <c r="BF479">
        <f t="shared" si="377"/>
        <v>5000</v>
      </c>
      <c r="BU479"/>
      <c r="DW479" s="89"/>
      <c r="DX479" s="89"/>
      <c r="FD479"/>
      <c r="FE479"/>
    </row>
    <row r="480" spans="1:161" x14ac:dyDescent="0.25">
      <c r="A480" s="7">
        <f t="shared" si="369"/>
        <v>57710</v>
      </c>
      <c r="B480">
        <f t="shared" si="352"/>
        <v>469</v>
      </c>
      <c r="C480">
        <f t="shared" si="333"/>
        <v>39</v>
      </c>
      <c r="D480">
        <f t="shared" si="334"/>
        <v>1</v>
      </c>
      <c r="E480">
        <f t="shared" si="353"/>
        <v>91</v>
      </c>
      <c r="F480">
        <f>IF(C480&gt;=$T$2,0,VLOOKUP($E480,EKM_F05!$A$3:$C$128,2,TRUE))</f>
        <v>0.16537012820512817</v>
      </c>
      <c r="G480">
        <f>F480*'Real assumptions'!$B$3</f>
        <v>6.9008954499999983E-2</v>
      </c>
      <c r="H480">
        <f t="shared" si="335"/>
        <v>5.9410832110911027E-3</v>
      </c>
      <c r="I480">
        <f t="shared" si="336"/>
        <v>5.4670170455174076E-4</v>
      </c>
      <c r="J480">
        <f>IF(B480&gt;$AJ$2,0,HLOOKUP(C480,'Real assumptions'!$B$5:$L$8,4,TRUE))</f>
        <v>3.7900000000000003E-2</v>
      </c>
      <c r="K480">
        <f t="shared" si="342"/>
        <v>1</v>
      </c>
      <c r="L480">
        <f t="shared" si="370"/>
        <v>8.3333333333333329E-2</v>
      </c>
      <c r="M480">
        <f t="shared" si="337"/>
        <v>3.2145624959929453E-3</v>
      </c>
      <c r="N480">
        <f t="shared" si="338"/>
        <v>2.9540187767874965E-4</v>
      </c>
      <c r="O480" s="8">
        <f t="shared" si="354"/>
        <v>9.1326580661176784E-2</v>
      </c>
      <c r="P480">
        <f t="shared" si="355"/>
        <v>2.2120484218417746</v>
      </c>
      <c r="Q480">
        <f t="shared" si="371"/>
        <v>2.7335085227587039</v>
      </c>
      <c r="R480" s="89">
        <f t="shared" si="343"/>
        <v>5000</v>
      </c>
      <c r="S480">
        <f t="shared" si="344"/>
        <v>0.9166666666666643</v>
      </c>
      <c r="U480">
        <f>O479*AV479*'Real assumptions'!$B$33/12+AX480*'Real assumptions'!$B$34</f>
        <v>1.5383932136234333</v>
      </c>
      <c r="V480">
        <f>IF(P480=0,0,IF(E480&lt;=$C$7,$AN$5*O479,0))*'Real assumptions'!$D$28</f>
        <v>0</v>
      </c>
      <c r="X480" s="94">
        <f t="shared" si="356"/>
        <v>0</v>
      </c>
      <c r="Y480">
        <f t="shared" si="345"/>
        <v>24</v>
      </c>
      <c r="Z480">
        <f t="shared" si="372"/>
        <v>60</v>
      </c>
      <c r="AA480">
        <f t="shared" si="346"/>
        <v>59.916666666666664</v>
      </c>
      <c r="AB480">
        <f t="shared" si="357"/>
        <v>50.505050505050505</v>
      </c>
      <c r="AC480">
        <f t="shared" si="339"/>
        <v>3026.0942760942762</v>
      </c>
      <c r="AD480">
        <f t="shared" si="358"/>
        <v>80.505050505050505</v>
      </c>
      <c r="AE480">
        <f t="shared" si="359"/>
        <v>241.1797138047138</v>
      </c>
      <c r="AF480" s="94">
        <f t="shared" si="360"/>
        <v>1732.7260101010099</v>
      </c>
      <c r="AG480">
        <f t="shared" si="373"/>
        <v>0.51185051688664651</v>
      </c>
      <c r="AH480">
        <f t="shared" si="361"/>
        <v>158.24394172520891</v>
      </c>
      <c r="AI480">
        <f>HLOOKUP(AW480,'Real assumptions'!$A$21:$AK$24,2,TRUE)</f>
        <v>0</v>
      </c>
      <c r="AJ480" s="123">
        <f t="shared" si="340"/>
        <v>0</v>
      </c>
      <c r="AK480" s="122">
        <f>(1+HLOOKUP(YEAR(A480),'Real assumptions'!$A$21:$AK$24,2,TRUE)/100)^(1/12)-1</f>
        <v>0</v>
      </c>
      <c r="AL480">
        <f t="shared" si="374"/>
        <v>1.5383932136234333</v>
      </c>
      <c r="AM480">
        <f>('Real assumptions'!$B$33/12)*O479*AV479</f>
        <v>1.4946518545842042</v>
      </c>
      <c r="AN480">
        <f t="shared" si="362"/>
        <v>159.95789952341582</v>
      </c>
      <c r="AO480">
        <f t="shared" si="341"/>
        <v>0</v>
      </c>
      <c r="AP480" s="121">
        <f t="shared" si="363"/>
        <v>0</v>
      </c>
      <c r="AQ480">
        <f t="shared" si="364"/>
        <v>0</v>
      </c>
      <c r="AR480">
        <v>0</v>
      </c>
      <c r="AS480">
        <f t="shared" si="347"/>
        <v>0</v>
      </c>
      <c r="AT480">
        <f t="shared" si="365"/>
        <v>0</v>
      </c>
      <c r="AU480">
        <f>IFERROR(HLOOKUP(B480,'Real assumptions'!$B$43:$AL$44,2,TRUE)*($W$3/$U$2),0)</f>
        <v>0</v>
      </c>
      <c r="AV480">
        <f>AV479*(1+'Real assumptions'!$B$35)^(1/12)</f>
        <v>1.6233278651723539</v>
      </c>
      <c r="AW480">
        <f t="shared" si="348"/>
        <v>2057</v>
      </c>
      <c r="AX480">
        <f t="shared" si="375"/>
        <v>159.67215965292226</v>
      </c>
      <c r="AY480">
        <f t="shared" si="376"/>
        <v>0.3879153377247781</v>
      </c>
      <c r="AZ480">
        <f t="shared" si="349"/>
        <v>347.99816380648161</v>
      </c>
      <c r="BA480">
        <f t="shared" si="366"/>
        <v>3.2453590396453507</v>
      </c>
      <c r="BB480">
        <f t="shared" si="367"/>
        <v>59.916666666666664</v>
      </c>
      <c r="BC480">
        <f t="shared" si="350"/>
        <v>35.949999999999996</v>
      </c>
      <c r="BD480">
        <f t="shared" si="368"/>
        <v>0</v>
      </c>
      <c r="BE480">
        <f t="shared" si="351"/>
        <v>24</v>
      </c>
      <c r="BF480">
        <f t="shared" si="377"/>
        <v>5000</v>
      </c>
      <c r="BU480"/>
      <c r="DW480" s="89"/>
      <c r="DX480" s="89"/>
      <c r="FD480"/>
      <c r="FE480"/>
    </row>
    <row r="481" spans="1:161" x14ac:dyDescent="0.25">
      <c r="A481" s="7">
        <f t="shared" si="369"/>
        <v>57741</v>
      </c>
      <c r="B481">
        <f t="shared" si="352"/>
        <v>470</v>
      </c>
      <c r="C481">
        <f t="shared" si="333"/>
        <v>39.083333333333336</v>
      </c>
      <c r="D481">
        <f t="shared" si="334"/>
        <v>0</v>
      </c>
      <c r="E481">
        <f t="shared" si="353"/>
        <v>91</v>
      </c>
      <c r="F481">
        <f>IF(C481&gt;=$T$2,0,VLOOKUP($E481,EKM_F05!$A$3:$C$128,2,TRUE))</f>
        <v>0.16537012820512817</v>
      </c>
      <c r="G481">
        <f>F481*'Real assumptions'!$B$3</f>
        <v>6.9008954499999983E-2</v>
      </c>
      <c r="H481">
        <f t="shared" si="335"/>
        <v>5.9410832110911027E-3</v>
      </c>
      <c r="I481">
        <f t="shared" si="336"/>
        <v>5.4170673833741647E-4</v>
      </c>
      <c r="J481">
        <f>IF(B481&gt;$AJ$2,0,HLOOKUP(C481,'Real assumptions'!$B$5:$L$8,4,TRUE))</f>
        <v>3.7900000000000003E-2</v>
      </c>
      <c r="K481">
        <f t="shared" si="342"/>
        <v>1</v>
      </c>
      <c r="L481">
        <f t="shared" si="370"/>
        <v>8.3333333333333329E-2</v>
      </c>
      <c r="M481">
        <f t="shared" si="337"/>
        <v>3.2145624959929453E-3</v>
      </c>
      <c r="N481">
        <f t="shared" si="338"/>
        <v>2.9270292432563523E-4</v>
      </c>
      <c r="O481" s="8">
        <f t="shared" si="354"/>
        <v>9.0492170998513727E-2</v>
      </c>
      <c r="P481">
        <f t="shared" si="355"/>
        <v>2.1918379358682429</v>
      </c>
      <c r="Q481">
        <f t="shared" si="371"/>
        <v>2.7085336916870824</v>
      </c>
      <c r="R481" s="89">
        <f t="shared" si="343"/>
        <v>5000</v>
      </c>
      <c r="S481">
        <f t="shared" si="344"/>
        <v>0.8333333333333357</v>
      </c>
      <c r="U481">
        <f>O480*AV480*'Real assumptions'!$B$33/12+AX481*'Real assumptions'!$B$34</f>
        <v>1.5259852348113585</v>
      </c>
      <c r="V481">
        <f>IF(P481=0,0,IF(E481&lt;=$C$7,$AN$5*O480,0))*'Real assumptions'!$D$28</f>
        <v>0</v>
      </c>
      <c r="X481" s="94">
        <f t="shared" si="356"/>
        <v>0</v>
      </c>
      <c r="Y481">
        <f t="shared" si="345"/>
        <v>24</v>
      </c>
      <c r="Z481">
        <f t="shared" si="372"/>
        <v>59</v>
      </c>
      <c r="AA481">
        <f t="shared" si="346"/>
        <v>59.833333333333336</v>
      </c>
      <c r="AB481">
        <f t="shared" si="357"/>
        <v>50.505050505050505</v>
      </c>
      <c r="AC481">
        <f t="shared" si="339"/>
        <v>3021.8855218855219</v>
      </c>
      <c r="AD481">
        <f t="shared" si="358"/>
        <v>80.505050505050505</v>
      </c>
      <c r="AE481">
        <f t="shared" si="359"/>
        <v>240.8442760942761</v>
      </c>
      <c r="AF481" s="94">
        <f t="shared" si="360"/>
        <v>1737.2702020202019</v>
      </c>
      <c r="AG481">
        <f t="shared" si="373"/>
        <v>0.50850406847510021</v>
      </c>
      <c r="AH481">
        <f t="shared" si="361"/>
        <v>157.2093521918346</v>
      </c>
      <c r="AI481">
        <f>HLOOKUP(AW481,'Real assumptions'!$A$21:$AK$24,2,TRUE)</f>
        <v>0</v>
      </c>
      <c r="AJ481" s="123">
        <f t="shared" si="340"/>
        <v>0</v>
      </c>
      <c r="AK481" s="122">
        <f>(1+HLOOKUP(YEAR(A481),'Real assumptions'!$A$21:$AK$24,2,TRUE)/100)^(1/12)-1</f>
        <v>0</v>
      </c>
      <c r="AL481">
        <f t="shared" si="374"/>
        <v>1.5259852348113585</v>
      </c>
      <c r="AM481">
        <f>('Real assumptions'!$B$33/12)*O480*AV480</f>
        <v>1.4825298321819889</v>
      </c>
      <c r="AN481">
        <f t="shared" si="362"/>
        <v>158.90979442626579</v>
      </c>
      <c r="AO481">
        <f t="shared" si="341"/>
        <v>0</v>
      </c>
      <c r="AP481" s="121">
        <f t="shared" si="363"/>
        <v>0</v>
      </c>
      <c r="AQ481">
        <f t="shared" si="364"/>
        <v>0</v>
      </c>
      <c r="AR481">
        <v>0</v>
      </c>
      <c r="AS481">
        <f t="shared" si="347"/>
        <v>0</v>
      </c>
      <c r="AT481">
        <f t="shared" si="365"/>
        <v>0</v>
      </c>
      <c r="AU481">
        <f>IFERROR(HLOOKUP(B481,'Real assumptions'!$B$43:$AL$44,2,TRUE)*($W$3/$U$2),0)</f>
        <v>0</v>
      </c>
      <c r="AV481">
        <f>AV480*(1+'Real assumptions'!$B$35)^(1/12)</f>
        <v>1.625009220539255</v>
      </c>
      <c r="AW481">
        <f t="shared" si="348"/>
        <v>2058</v>
      </c>
      <c r="AX481">
        <f t="shared" si="375"/>
        <v>158.62831285593776</v>
      </c>
      <c r="AY481">
        <f t="shared" si="376"/>
        <v>0.38437113072885848</v>
      </c>
      <c r="AZ481">
        <f t="shared" si="349"/>
        <v>345.44697874737636</v>
      </c>
      <c r="BA481">
        <f t="shared" si="366"/>
        <v>3.2170377601621825</v>
      </c>
      <c r="BB481">
        <f t="shared" si="367"/>
        <v>59.833333333333336</v>
      </c>
      <c r="BC481">
        <f t="shared" si="350"/>
        <v>35.9</v>
      </c>
      <c r="BD481">
        <f t="shared" si="368"/>
        <v>0</v>
      </c>
      <c r="BE481">
        <f t="shared" si="351"/>
        <v>24</v>
      </c>
      <c r="BF481">
        <f t="shared" si="377"/>
        <v>5000</v>
      </c>
      <c r="BU481"/>
      <c r="DW481" s="89"/>
      <c r="DX481" s="89"/>
      <c r="FD481"/>
      <c r="FE481"/>
    </row>
    <row r="482" spans="1:161" x14ac:dyDescent="0.25">
      <c r="A482" s="7">
        <f t="shared" si="369"/>
        <v>57769</v>
      </c>
      <c r="B482">
        <f t="shared" si="352"/>
        <v>471</v>
      </c>
      <c r="C482">
        <f t="shared" si="333"/>
        <v>39.166666666666664</v>
      </c>
      <c r="D482">
        <f t="shared" si="334"/>
        <v>0</v>
      </c>
      <c r="E482">
        <f t="shared" si="353"/>
        <v>91</v>
      </c>
      <c r="F482">
        <f>IF(C482&gt;=$T$2,0,VLOOKUP($E482,EKM_F05!$A$3:$C$128,2,TRUE))</f>
        <v>0.16537012820512817</v>
      </c>
      <c r="G482">
        <f>F482*'Real assumptions'!$B$3</f>
        <v>6.9008954499999983E-2</v>
      </c>
      <c r="H482">
        <f t="shared" si="335"/>
        <v>5.9410832110911027E-3</v>
      </c>
      <c r="I482">
        <f t="shared" si="336"/>
        <v>5.3675740887028822E-4</v>
      </c>
      <c r="J482">
        <f>IF(B482&gt;$AJ$2,0,HLOOKUP(C482,'Real assumptions'!$B$5:$L$8,4,TRUE))</f>
        <v>3.7900000000000003E-2</v>
      </c>
      <c r="K482">
        <f t="shared" si="342"/>
        <v>1</v>
      </c>
      <c r="L482">
        <f t="shared" si="370"/>
        <v>8.3333333333333329E-2</v>
      </c>
      <c r="M482">
        <f t="shared" si="337"/>
        <v>3.2145624959929453E-3</v>
      </c>
      <c r="N482">
        <f t="shared" si="338"/>
        <v>2.9002863008863584E-4</v>
      </c>
      <c r="O482" s="8">
        <f t="shared" si="354"/>
        <v>8.9665384959554811E-2</v>
      </c>
      <c r="P482">
        <f t="shared" si="355"/>
        <v>2.1718121039643297</v>
      </c>
      <c r="Q482">
        <f t="shared" si="371"/>
        <v>2.6837870443514413</v>
      </c>
      <c r="R482" s="89">
        <f t="shared" si="343"/>
        <v>5000</v>
      </c>
      <c r="S482">
        <f t="shared" si="344"/>
        <v>0.75</v>
      </c>
      <c r="U482">
        <f>O481*AV481*'Real assumptions'!$B$33/12+AX482*'Real assumptions'!$B$34</f>
        <v>1.5136771427445326</v>
      </c>
      <c r="V482">
        <f>IF(P482=0,0,IF(E482&lt;=$C$7,$AN$5*O481,0))*'Real assumptions'!$D$28</f>
        <v>0</v>
      </c>
      <c r="X482" s="94">
        <f t="shared" si="356"/>
        <v>0</v>
      </c>
      <c r="Y482">
        <f t="shared" si="345"/>
        <v>24</v>
      </c>
      <c r="Z482">
        <f t="shared" si="372"/>
        <v>59</v>
      </c>
      <c r="AA482">
        <f t="shared" si="346"/>
        <v>59.75</v>
      </c>
      <c r="AB482">
        <f t="shared" si="357"/>
        <v>50.505050505050505</v>
      </c>
      <c r="AC482">
        <f t="shared" si="339"/>
        <v>3017.6767676767677</v>
      </c>
      <c r="AD482">
        <f t="shared" si="358"/>
        <v>80.505050505050505</v>
      </c>
      <c r="AE482">
        <f t="shared" si="359"/>
        <v>240.50883838383837</v>
      </c>
      <c r="AF482" s="94">
        <f t="shared" si="360"/>
        <v>1741.814393939394</v>
      </c>
      <c r="AG482">
        <f t="shared" si="373"/>
        <v>0.50517604254290993</v>
      </c>
      <c r="AH482">
        <f t="shared" si="361"/>
        <v>156.18045816066942</v>
      </c>
      <c r="AI482">
        <f>HLOOKUP(AW482,'Real assumptions'!$A$21:$AK$24,2,TRUE)</f>
        <v>0</v>
      </c>
      <c r="AJ482" s="123">
        <f t="shared" si="340"/>
        <v>0</v>
      </c>
      <c r="AK482" s="122">
        <f>(1+HLOOKUP(YEAR(A482),'Real assumptions'!$A$21:$AK$24,2,TRUE)/100)^(1/12)-1</f>
        <v>0</v>
      </c>
      <c r="AL482">
        <f t="shared" si="374"/>
        <v>1.5136771427445326</v>
      </c>
      <c r="AM482">
        <f>('Real assumptions'!$B$33/12)*O481*AV481</f>
        <v>1.4705061225919975</v>
      </c>
      <c r="AN482">
        <f t="shared" si="362"/>
        <v>157.86748715305438</v>
      </c>
      <c r="AO482">
        <f t="shared" si="341"/>
        <v>0</v>
      </c>
      <c r="AP482" s="121">
        <f t="shared" si="363"/>
        <v>0</v>
      </c>
      <c r="AQ482">
        <f t="shared" si="364"/>
        <v>0</v>
      </c>
      <c r="AR482">
        <v>0</v>
      </c>
      <c r="AS482">
        <f t="shared" si="347"/>
        <v>0</v>
      </c>
      <c r="AT482">
        <f t="shared" si="365"/>
        <v>0</v>
      </c>
      <c r="AU482">
        <f>IFERROR(HLOOKUP(B482,'Real assumptions'!$B$43:$AL$44,2,TRUE)*($W$3/$U$2),0)</f>
        <v>0</v>
      </c>
      <c r="AV482">
        <f>AV481*(1+'Real assumptions'!$B$35)^(1/12)</f>
        <v>1.6266923173632766</v>
      </c>
      <c r="AW482">
        <f t="shared" si="348"/>
        <v>2058</v>
      </c>
      <c r="AX482">
        <f t="shared" si="375"/>
        <v>157.5902114973839</v>
      </c>
      <c r="AY482">
        <f t="shared" si="376"/>
        <v>0.3808593055493002</v>
      </c>
      <c r="AZ482">
        <f t="shared" si="349"/>
        <v>342.91615062170177</v>
      </c>
      <c r="BA482">
        <f t="shared" si="366"/>
        <v>3.1889630868943515</v>
      </c>
      <c r="BB482">
        <f t="shared" si="367"/>
        <v>59.75</v>
      </c>
      <c r="BC482">
        <f t="shared" si="350"/>
        <v>35.849999999999994</v>
      </c>
      <c r="BD482">
        <f t="shared" si="368"/>
        <v>0</v>
      </c>
      <c r="BE482">
        <f t="shared" si="351"/>
        <v>24</v>
      </c>
      <c r="BF482">
        <f t="shared" si="377"/>
        <v>5000</v>
      </c>
      <c r="BU482"/>
      <c r="DW482" s="89"/>
      <c r="DX482" s="89"/>
      <c r="FD482"/>
      <c r="FE482"/>
    </row>
    <row r="483" spans="1:161" x14ac:dyDescent="0.25">
      <c r="A483" s="7">
        <f t="shared" si="369"/>
        <v>57800</v>
      </c>
      <c r="B483">
        <f t="shared" si="352"/>
        <v>472</v>
      </c>
      <c r="C483">
        <f t="shared" si="333"/>
        <v>39.25</v>
      </c>
      <c r="D483">
        <f t="shared" si="334"/>
        <v>0</v>
      </c>
      <c r="E483">
        <f t="shared" si="353"/>
        <v>91</v>
      </c>
      <c r="F483">
        <f>IF(C483&gt;=$T$2,0,VLOOKUP($E483,EKM_F05!$A$3:$C$128,2,TRUE))</f>
        <v>0.16537012820512817</v>
      </c>
      <c r="G483">
        <f>F483*'Real assumptions'!$B$3</f>
        <v>6.9008954499999983E-2</v>
      </c>
      <c r="H483">
        <f t="shared" si="335"/>
        <v>5.9410832110911027E-3</v>
      </c>
      <c r="I483">
        <f t="shared" si="336"/>
        <v>5.3185329918803729E-4</v>
      </c>
      <c r="J483">
        <f>IF(B483&gt;$AJ$2,0,HLOOKUP(C483,'Real assumptions'!$B$5:$L$8,4,TRUE))</f>
        <v>3.7900000000000003E-2</v>
      </c>
      <c r="K483">
        <f t="shared" si="342"/>
        <v>1</v>
      </c>
      <c r="L483">
        <f t="shared" si="370"/>
        <v>8.3333333333333329E-2</v>
      </c>
      <c r="M483">
        <f t="shared" si="337"/>
        <v>3.2145624959929453E-3</v>
      </c>
      <c r="N483">
        <f t="shared" si="338"/>
        <v>2.8737876966856036E-4</v>
      </c>
      <c r="O483" s="8">
        <f t="shared" si="354"/>
        <v>8.8846152890698221E-2</v>
      </c>
      <c r="P483">
        <f t="shared" si="355"/>
        <v>2.1519692390293157</v>
      </c>
      <c r="Q483">
        <f t="shared" si="371"/>
        <v>2.6592664959401864</v>
      </c>
      <c r="R483" s="89">
        <f t="shared" si="343"/>
        <v>5000</v>
      </c>
      <c r="S483">
        <f t="shared" si="344"/>
        <v>0.6666666666666643</v>
      </c>
      <c r="U483">
        <f>O482*AV482*'Real assumptions'!$B$33/12+AX483*'Real assumptions'!$B$34</f>
        <v>1.5014681351900236</v>
      </c>
      <c r="V483">
        <f>IF(P483=0,0,IF(E483&lt;=$C$7,$AN$5*O482,0))*'Real assumptions'!$D$28</f>
        <v>0</v>
      </c>
      <c r="X483" s="94">
        <f t="shared" si="356"/>
        <v>0</v>
      </c>
      <c r="Y483">
        <f t="shared" si="345"/>
        <v>24</v>
      </c>
      <c r="Z483">
        <f t="shared" si="372"/>
        <v>59</v>
      </c>
      <c r="AA483">
        <f t="shared" si="346"/>
        <v>59.666666666666664</v>
      </c>
      <c r="AB483">
        <f t="shared" si="357"/>
        <v>50.505050505050505</v>
      </c>
      <c r="AC483">
        <f t="shared" si="339"/>
        <v>3013.4680134680134</v>
      </c>
      <c r="AD483">
        <f t="shared" si="358"/>
        <v>80.505050505050505</v>
      </c>
      <c r="AE483">
        <f t="shared" si="359"/>
        <v>240.17340067340066</v>
      </c>
      <c r="AF483" s="94">
        <f t="shared" si="360"/>
        <v>1746.3585858585859</v>
      </c>
      <c r="AG483">
        <f t="shared" si="373"/>
        <v>0.50186638180416732</v>
      </c>
      <c r="AH483">
        <f t="shared" si="361"/>
        <v>155.15724192117545</v>
      </c>
      <c r="AI483">
        <f>HLOOKUP(AW483,'Real assumptions'!$A$21:$AK$24,2,TRUE)</f>
        <v>0</v>
      </c>
      <c r="AJ483" s="123">
        <f t="shared" si="340"/>
        <v>0</v>
      </c>
      <c r="AK483" s="122">
        <f>(1+HLOOKUP(YEAR(A483),'Real assumptions'!$A$21:$AK$24,2,TRUE)/100)^(1/12)-1</f>
        <v>0</v>
      </c>
      <c r="AL483">
        <f t="shared" si="374"/>
        <v>1.5014681351900236</v>
      </c>
      <c r="AM483">
        <f>('Real assumptions'!$B$33/12)*O482*AV482</f>
        <v>1.4585799284712848</v>
      </c>
      <c r="AN483">
        <f t="shared" si="362"/>
        <v>156.83095926450869</v>
      </c>
      <c r="AO483">
        <f t="shared" si="341"/>
        <v>0</v>
      </c>
      <c r="AP483" s="121">
        <f t="shared" si="363"/>
        <v>0</v>
      </c>
      <c r="AQ483">
        <f t="shared" si="364"/>
        <v>0</v>
      </c>
      <c r="AR483">
        <v>0</v>
      </c>
      <c r="AS483">
        <f t="shared" si="347"/>
        <v>0</v>
      </c>
      <c r="AT483">
        <f t="shared" si="365"/>
        <v>0</v>
      </c>
      <c r="AU483">
        <f>IFERROR(HLOOKUP(B483,'Real assumptions'!$B$43:$AL$44,2,TRUE)*($W$3/$U$2),0)</f>
        <v>0</v>
      </c>
      <c r="AV483">
        <f>AV482*(1+'Real assumptions'!$B$35)^(1/12)</f>
        <v>1.6283771574481261</v>
      </c>
      <c r="AW483">
        <f t="shared" si="348"/>
        <v>2058</v>
      </c>
      <c r="AX483">
        <f t="shared" si="375"/>
        <v>156.55783772699752</v>
      </c>
      <c r="AY483">
        <f t="shared" si="376"/>
        <v>0.37737956632809261</v>
      </c>
      <c r="AZ483">
        <f t="shared" si="349"/>
        <v>340.40551884779671</v>
      </c>
      <c r="BA483">
        <f t="shared" si="366"/>
        <v>3.1611328777443539</v>
      </c>
      <c r="BB483">
        <f t="shared" si="367"/>
        <v>59.666666666666664</v>
      </c>
      <c r="BC483">
        <f t="shared" si="350"/>
        <v>35.799999999999997</v>
      </c>
      <c r="BD483">
        <f t="shared" si="368"/>
        <v>0</v>
      </c>
      <c r="BE483">
        <f t="shared" si="351"/>
        <v>24</v>
      </c>
      <c r="BF483">
        <f t="shared" si="377"/>
        <v>5000</v>
      </c>
      <c r="BU483"/>
      <c r="DW483" s="89"/>
      <c r="DX483" s="89"/>
      <c r="FD483"/>
      <c r="FE483"/>
    </row>
    <row r="484" spans="1:161" x14ac:dyDescent="0.25">
      <c r="A484" s="7">
        <f t="shared" si="369"/>
        <v>57830</v>
      </c>
      <c r="B484">
        <f t="shared" si="352"/>
        <v>473</v>
      </c>
      <c r="C484">
        <f t="shared" si="333"/>
        <v>39.333333333333336</v>
      </c>
      <c r="D484">
        <f t="shared" si="334"/>
        <v>0</v>
      </c>
      <c r="E484">
        <f t="shared" si="353"/>
        <v>91</v>
      </c>
      <c r="F484">
        <f>IF(C484&gt;=$T$2,0,VLOOKUP($E484,EKM_F05!$A$3:$C$128,2,TRUE))</f>
        <v>0.16537012820512817</v>
      </c>
      <c r="G484">
        <f>F484*'Real assumptions'!$B$3</f>
        <v>6.9008954499999983E-2</v>
      </c>
      <c r="H484">
        <f t="shared" si="335"/>
        <v>5.9410832110911027E-3</v>
      </c>
      <c r="I484">
        <f t="shared" si="336"/>
        <v>5.2699399613794103E-4</v>
      </c>
      <c r="J484">
        <f>IF(B484&gt;$AJ$2,0,HLOOKUP(C484,'Real assumptions'!$B$5:$L$8,4,TRUE))</f>
        <v>3.7900000000000003E-2</v>
      </c>
      <c r="K484">
        <f t="shared" si="342"/>
        <v>1</v>
      </c>
      <c r="L484">
        <f t="shared" si="370"/>
        <v>8.3333333333333329E-2</v>
      </c>
      <c r="M484">
        <f t="shared" si="337"/>
        <v>3.2145624959929453E-3</v>
      </c>
      <c r="N484">
        <f t="shared" si="338"/>
        <v>2.8475311982467433E-4</v>
      </c>
      <c r="O484" s="8">
        <f t="shared" si="354"/>
        <v>8.8034405774735605E-2</v>
      </c>
      <c r="P484">
        <f t="shared" si="355"/>
        <v>2.1323076693767575</v>
      </c>
      <c r="Q484">
        <f t="shared" si="371"/>
        <v>2.6349699806897053</v>
      </c>
      <c r="R484" s="89">
        <f t="shared" si="343"/>
        <v>5000</v>
      </c>
      <c r="S484">
        <f t="shared" si="344"/>
        <v>0.5833333333333357</v>
      </c>
      <c r="U484">
        <f>O483*AV483*'Real assumptions'!$B$33/12+AX484*'Real assumptions'!$B$34</f>
        <v>1.4893574163395298</v>
      </c>
      <c r="V484">
        <f>IF(P484=0,0,IF(E484&lt;=$C$7,$AN$5*O483,0))*'Real assumptions'!$D$28</f>
        <v>0</v>
      </c>
      <c r="X484" s="94">
        <f t="shared" si="356"/>
        <v>0</v>
      </c>
      <c r="Y484">
        <f t="shared" si="345"/>
        <v>24</v>
      </c>
      <c r="Z484">
        <f t="shared" si="372"/>
        <v>59</v>
      </c>
      <c r="AA484">
        <f t="shared" si="346"/>
        <v>59.583333333333336</v>
      </c>
      <c r="AB484">
        <f t="shared" si="357"/>
        <v>50.505050505050505</v>
      </c>
      <c r="AC484">
        <f t="shared" si="339"/>
        <v>3009.2592592592596</v>
      </c>
      <c r="AD484">
        <f t="shared" si="358"/>
        <v>80.505050505050505</v>
      </c>
      <c r="AE484">
        <f t="shared" si="359"/>
        <v>239.83796296296296</v>
      </c>
      <c r="AF484" s="94">
        <f t="shared" si="360"/>
        <v>1750.9027777777774</v>
      </c>
      <c r="AG484">
        <f t="shared" si="373"/>
        <v>0.49857502848191054</v>
      </c>
      <c r="AH484">
        <f t="shared" si="361"/>
        <v>154.13968561100057</v>
      </c>
      <c r="AI484">
        <f>HLOOKUP(AW484,'Real assumptions'!$A$21:$AK$24,2,TRUE)</f>
        <v>0</v>
      </c>
      <c r="AJ484" s="123">
        <f t="shared" si="340"/>
        <v>0</v>
      </c>
      <c r="AK484" s="122">
        <f>(1+HLOOKUP(YEAR(A484),'Real assumptions'!$A$21:$AK$24,2,TRUE)/100)^(1/12)-1</f>
        <v>0</v>
      </c>
      <c r="AL484">
        <f t="shared" si="374"/>
        <v>1.4893574163395298</v>
      </c>
      <c r="AM484">
        <f>('Real assumptions'!$B$33/12)*O483*AV483</f>
        <v>1.4467504589435676</v>
      </c>
      <c r="AN484">
        <f t="shared" si="362"/>
        <v>155.8001921742127</v>
      </c>
      <c r="AO484">
        <f t="shared" si="341"/>
        <v>0</v>
      </c>
      <c r="AP484" s="121">
        <f t="shared" si="363"/>
        <v>0</v>
      </c>
      <c r="AQ484">
        <f t="shared" si="364"/>
        <v>0</v>
      </c>
      <c r="AR484">
        <v>0</v>
      </c>
      <c r="AS484">
        <f t="shared" si="347"/>
        <v>0</v>
      </c>
      <c r="AT484">
        <f t="shared" si="365"/>
        <v>0</v>
      </c>
      <c r="AU484">
        <f>IFERROR(HLOOKUP(B484,'Real assumptions'!$B$43:$AL$44,2,TRUE)*($W$3/$U$2),0)</f>
        <v>0</v>
      </c>
      <c r="AV484">
        <f>AV483*(1+'Real assumptions'!$B$35)^(1/12)</f>
        <v>1.6300637425993787</v>
      </c>
      <c r="AW484">
        <f t="shared" si="348"/>
        <v>2058</v>
      </c>
      <c r="AX484">
        <f t="shared" si="375"/>
        <v>155.53117354108579</v>
      </c>
      <c r="AY484">
        <f t="shared" si="376"/>
        <v>0.37393161991034601</v>
      </c>
      <c r="AZ484">
        <f t="shared" si="349"/>
        <v>337.91492409166233</v>
      </c>
      <c r="BA484">
        <f t="shared" si="366"/>
        <v>3.1335450091716157</v>
      </c>
      <c r="BB484">
        <f t="shared" si="367"/>
        <v>59.583333333333336</v>
      </c>
      <c r="BC484">
        <f t="shared" si="350"/>
        <v>35.75</v>
      </c>
      <c r="BD484">
        <f t="shared" si="368"/>
        <v>0</v>
      </c>
      <c r="BE484">
        <f t="shared" si="351"/>
        <v>24</v>
      </c>
      <c r="BF484">
        <f t="shared" si="377"/>
        <v>5000</v>
      </c>
      <c r="BU484"/>
      <c r="DW484" s="89"/>
      <c r="DX484" s="89"/>
      <c r="FD484"/>
      <c r="FE484"/>
    </row>
    <row r="485" spans="1:161" x14ac:dyDescent="0.25">
      <c r="A485" s="7">
        <f t="shared" si="369"/>
        <v>57861</v>
      </c>
      <c r="B485">
        <f t="shared" si="352"/>
        <v>474</v>
      </c>
      <c r="C485">
        <f t="shared" si="333"/>
        <v>39.416666666666664</v>
      </c>
      <c r="D485">
        <f t="shared" si="334"/>
        <v>0</v>
      </c>
      <c r="E485">
        <f t="shared" si="353"/>
        <v>91</v>
      </c>
      <c r="F485">
        <f>IF(C485&gt;=$T$2,0,VLOOKUP($E485,EKM_F05!$A$3:$C$128,2,TRUE))</f>
        <v>0.16537012820512817</v>
      </c>
      <c r="G485">
        <f>F485*'Real assumptions'!$B$3</f>
        <v>6.9008954499999983E-2</v>
      </c>
      <c r="H485">
        <f t="shared" si="335"/>
        <v>5.9410832110911027E-3</v>
      </c>
      <c r="I485">
        <f t="shared" si="336"/>
        <v>5.221790903420664E-4</v>
      </c>
      <c r="J485">
        <f>IF(B485&gt;$AJ$2,0,HLOOKUP(C485,'Real assumptions'!$B$5:$L$8,4,TRUE))</f>
        <v>3.7900000000000003E-2</v>
      </c>
      <c r="K485">
        <f t="shared" si="342"/>
        <v>1</v>
      </c>
      <c r="L485">
        <f t="shared" si="370"/>
        <v>8.3333333333333329E-2</v>
      </c>
      <c r="M485">
        <f t="shared" si="337"/>
        <v>3.2145624959929453E-3</v>
      </c>
      <c r="N485">
        <f t="shared" si="338"/>
        <v>2.8215145935589297E-4</v>
      </c>
      <c r="O485" s="8">
        <f t="shared" si="354"/>
        <v>8.7230075225037645E-2</v>
      </c>
      <c r="P485">
        <f t="shared" si="355"/>
        <v>2.1128257385936546</v>
      </c>
      <c r="Q485">
        <f t="shared" si="371"/>
        <v>2.610895451710332</v>
      </c>
      <c r="R485" s="89">
        <f t="shared" si="343"/>
        <v>5000</v>
      </c>
      <c r="S485">
        <f t="shared" si="344"/>
        <v>0.5</v>
      </c>
      <c r="U485">
        <f>O484*AV484*'Real assumptions'!$B$33/12+AX485*'Real assumptions'!$B$34</f>
        <v>1.4773441967581107</v>
      </c>
      <c r="V485">
        <f>IF(P485=0,0,IF(E485&lt;=$C$7,$AN$5*O484,0))*'Real assumptions'!$D$28</f>
        <v>0</v>
      </c>
      <c r="X485" s="94">
        <f t="shared" si="356"/>
        <v>0</v>
      </c>
      <c r="Y485">
        <f t="shared" si="345"/>
        <v>24</v>
      </c>
      <c r="Z485">
        <f t="shared" si="372"/>
        <v>59</v>
      </c>
      <c r="AA485">
        <f t="shared" si="346"/>
        <v>59.5</v>
      </c>
      <c r="AB485">
        <f t="shared" si="357"/>
        <v>50.505050505050505</v>
      </c>
      <c r="AC485">
        <f t="shared" si="339"/>
        <v>3005.0505050505049</v>
      </c>
      <c r="AD485">
        <f t="shared" si="358"/>
        <v>80.505050505050505</v>
      </c>
      <c r="AE485">
        <f t="shared" si="359"/>
        <v>239.50252525252523</v>
      </c>
      <c r="AF485" s="94">
        <f t="shared" si="360"/>
        <v>1755.44696969697</v>
      </c>
      <c r="AG485">
        <f t="shared" si="373"/>
        <v>0.49530192432188008</v>
      </c>
      <c r="AH485">
        <f t="shared" si="361"/>
        <v>153.12777122023107</v>
      </c>
      <c r="AI485">
        <f>HLOOKUP(AW485,'Real assumptions'!$A$21:$AK$24,2,TRUE)</f>
        <v>0</v>
      </c>
      <c r="AJ485" s="123">
        <f t="shared" si="340"/>
        <v>0</v>
      </c>
      <c r="AK485" s="122">
        <f>(1+HLOOKUP(YEAR(A485),'Real assumptions'!$A$21:$AK$24,2,TRUE)/100)^(1/12)-1</f>
        <v>0</v>
      </c>
      <c r="AL485">
        <f t="shared" si="374"/>
        <v>1.4773441967581107</v>
      </c>
      <c r="AM485">
        <f>('Real assumptions'!$B$33/12)*O484*AV484</f>
        <v>1.4350169295467787</v>
      </c>
      <c r="AN485">
        <f t="shared" si="362"/>
        <v>154.7751671528361</v>
      </c>
      <c r="AO485">
        <f t="shared" si="341"/>
        <v>0</v>
      </c>
      <c r="AP485" s="121">
        <f t="shared" si="363"/>
        <v>0</v>
      </c>
      <c r="AQ485">
        <f t="shared" si="364"/>
        <v>0</v>
      </c>
      <c r="AR485">
        <v>0</v>
      </c>
      <c r="AS485">
        <f t="shared" si="347"/>
        <v>0</v>
      </c>
      <c r="AT485">
        <f t="shared" si="365"/>
        <v>0</v>
      </c>
      <c r="AU485">
        <f>IFERROR(HLOOKUP(B485,'Real assumptions'!$B$43:$AL$44,2,TRUE)*($W$3/$U$2),0)</f>
        <v>0</v>
      </c>
      <c r="AV485">
        <f>AV484*(1+'Real assumptions'!$B$35)^(1/12)</f>
        <v>1.6317520746244802</v>
      </c>
      <c r="AW485">
        <f t="shared" si="348"/>
        <v>2058</v>
      </c>
      <c r="AX485">
        <f t="shared" si="375"/>
        <v>154.51020078682018</v>
      </c>
      <c r="AY485">
        <f t="shared" si="376"/>
        <v>0.37051517581959426</v>
      </c>
      <c r="AZ485">
        <f t="shared" si="349"/>
        <v>335.44420825746568</v>
      </c>
      <c r="BA485">
        <f t="shared" si="366"/>
        <v>3.1061973760322119</v>
      </c>
      <c r="BB485">
        <f t="shared" si="367"/>
        <v>59.5</v>
      </c>
      <c r="BC485">
        <f t="shared" si="350"/>
        <v>35.700000000000003</v>
      </c>
      <c r="BD485">
        <f t="shared" si="368"/>
        <v>0</v>
      </c>
      <c r="BE485">
        <f t="shared" si="351"/>
        <v>24</v>
      </c>
      <c r="BF485">
        <f t="shared" si="377"/>
        <v>5000</v>
      </c>
      <c r="BU485"/>
      <c r="DW485" s="89"/>
      <c r="DX485" s="89"/>
      <c r="FD485"/>
      <c r="FE485"/>
    </row>
    <row r="486" spans="1:161" x14ac:dyDescent="0.25">
      <c r="A486" s="7">
        <f t="shared" si="369"/>
        <v>57891</v>
      </c>
      <c r="B486">
        <f t="shared" si="352"/>
        <v>475</v>
      </c>
      <c r="C486">
        <f t="shared" ref="C486:C549" si="378">(B486+11)/12-1</f>
        <v>39.5</v>
      </c>
      <c r="D486">
        <f t="shared" ref="D486:D549" si="379">IF(C486-INT(C486)=0,1,0)</f>
        <v>0</v>
      </c>
      <c r="E486">
        <f t="shared" si="353"/>
        <v>91</v>
      </c>
      <c r="F486">
        <f>IF(C486&gt;=$T$2,0,VLOOKUP($E486,EKM_F05!$A$3:$C$128,2,TRUE))</f>
        <v>0.16537012820512817</v>
      </c>
      <c r="G486">
        <f>F486*'Real assumptions'!$B$3</f>
        <v>6.9008954499999983E-2</v>
      </c>
      <c r="H486">
        <f t="shared" ref="H486:H549" si="380">(1-(1-G486)^(1/12))</f>
        <v>5.9410832110911027E-3</v>
      </c>
      <c r="I486">
        <f t="shared" ref="I486:I549" si="381">H486*O485*(1-M486/2)</f>
        <v>5.1740817616278143E-4</v>
      </c>
      <c r="J486">
        <f>IF(B486&gt;$AJ$2,0,HLOOKUP(C486,'Real assumptions'!$B$5:$L$8,4,TRUE))</f>
        <v>3.7900000000000003E-2</v>
      </c>
      <c r="K486">
        <f t="shared" si="342"/>
        <v>1</v>
      </c>
      <c r="L486">
        <f t="shared" si="370"/>
        <v>8.3333333333333329E-2</v>
      </c>
      <c r="M486">
        <f t="shared" ref="M486:M549" si="382">(1-(1-J486)^L486)</f>
        <v>3.2145624959929453E-3</v>
      </c>
      <c r="N486">
        <f t="shared" ref="N486:N549" si="383">M486*O485*(1-H486/2)</f>
        <v>2.7957356908214569E-4</v>
      </c>
      <c r="O486" s="8">
        <f t="shared" si="354"/>
        <v>8.6433093479792722E-2</v>
      </c>
      <c r="P486">
        <f t="shared" si="355"/>
        <v>2.0935218054009033</v>
      </c>
      <c r="Q486">
        <f t="shared" si="371"/>
        <v>2.5870408808139072</v>
      </c>
      <c r="R486" s="89">
        <f t="shared" si="343"/>
        <v>5000</v>
      </c>
      <c r="S486">
        <f t="shared" si="344"/>
        <v>0.4166666666666643</v>
      </c>
      <c r="U486">
        <f>O485*AV485*'Real assumptions'!$B$33/12+AX486*'Real assumptions'!$B$34</f>
        <v>1.465427693333325</v>
      </c>
      <c r="V486">
        <f>IF(P486=0,0,IF(E486&lt;=$C$7,$AN$5*O485,0))*'Real assumptions'!$D$28</f>
        <v>0</v>
      </c>
      <c r="X486" s="94">
        <f t="shared" si="356"/>
        <v>0</v>
      </c>
      <c r="Y486">
        <f t="shared" si="345"/>
        <v>24</v>
      </c>
      <c r="Z486">
        <f t="shared" si="372"/>
        <v>59</v>
      </c>
      <c r="AA486">
        <f t="shared" si="346"/>
        <v>59.416666666666664</v>
      </c>
      <c r="AB486">
        <f t="shared" si="357"/>
        <v>50.505050505050505</v>
      </c>
      <c r="AC486">
        <f t="shared" ref="AC486:AC549" si="384">AB486*AA486</f>
        <v>3000.8417508417506</v>
      </c>
      <c r="AD486">
        <f t="shared" si="358"/>
        <v>80.505050505050505</v>
      </c>
      <c r="AE486">
        <f t="shared" si="359"/>
        <v>239.16708754208753</v>
      </c>
      <c r="AF486" s="94">
        <f t="shared" si="360"/>
        <v>1759.9911616161619</v>
      </c>
      <c r="AG486">
        <f t="shared" si="373"/>
        <v>0.49204701060606187</v>
      </c>
      <c r="AH486">
        <f t="shared" si="361"/>
        <v>152.1214805955787</v>
      </c>
      <c r="AI486">
        <f>HLOOKUP(AW486,'Real assumptions'!$A$21:$AK$24,2,TRUE)</f>
        <v>0</v>
      </c>
      <c r="AJ486" s="123">
        <f t="shared" ref="AJ486:AJ549" si="385">((1+AI486/100)^(1/12))-1</f>
        <v>0</v>
      </c>
      <c r="AK486" s="122">
        <f>(1+HLOOKUP(YEAR(A486),'Real assumptions'!$A$21:$AK$24,2,TRUE)/100)^(1/12)-1</f>
        <v>0</v>
      </c>
      <c r="AL486">
        <f t="shared" si="374"/>
        <v>1.465427693333325</v>
      </c>
      <c r="AM486">
        <f>('Real assumptions'!$B$33/12)*O485*AV485</f>
        <v>1.4233785621810466</v>
      </c>
      <c r="AN486">
        <f t="shared" si="362"/>
        <v>153.75586533229864</v>
      </c>
      <c r="AO486">
        <f t="shared" ref="AO486:AO549" si="386">AN486*AJ486</f>
        <v>0</v>
      </c>
      <c r="AP486" s="121">
        <f t="shared" si="363"/>
        <v>0</v>
      </c>
      <c r="AQ486">
        <f t="shared" si="364"/>
        <v>0</v>
      </c>
      <c r="AR486">
        <v>0</v>
      </c>
      <c r="AS486">
        <f t="shared" si="347"/>
        <v>0</v>
      </c>
      <c r="AT486">
        <f t="shared" si="365"/>
        <v>0</v>
      </c>
      <c r="AU486">
        <f>IFERROR(HLOOKUP(B486,'Real assumptions'!$B$43:$AL$44,2,TRUE)*($W$3/$U$2),0)</f>
        <v>0</v>
      </c>
      <c r="AV486">
        <f>AV485*(1+'Real assumptions'!$B$35)^(1/12)</f>
        <v>1.6334421553327483</v>
      </c>
      <c r="AW486">
        <f t="shared" si="348"/>
        <v>2058</v>
      </c>
      <c r="AX486">
        <f t="shared" si="375"/>
        <v>153.49490116646439</v>
      </c>
      <c r="AY486">
        <f t="shared" si="376"/>
        <v>0.3671299462333234</v>
      </c>
      <c r="AZ486">
        <f t="shared" si="349"/>
        <v>332.99321447811326</v>
      </c>
      <c r="BA486">
        <f t="shared" si="366"/>
        <v>3.0790878914199689</v>
      </c>
      <c r="BB486">
        <f t="shared" si="367"/>
        <v>59.416666666666664</v>
      </c>
      <c r="BC486">
        <f t="shared" si="350"/>
        <v>35.65</v>
      </c>
      <c r="BD486">
        <f t="shared" si="368"/>
        <v>0</v>
      </c>
      <c r="BE486">
        <f t="shared" si="351"/>
        <v>24</v>
      </c>
      <c r="BF486">
        <f t="shared" si="377"/>
        <v>5000</v>
      </c>
      <c r="BU486"/>
      <c r="DW486" s="89"/>
      <c r="DX486" s="89"/>
      <c r="FD486"/>
      <c r="FE486"/>
    </row>
    <row r="487" spans="1:161" x14ac:dyDescent="0.25">
      <c r="A487" s="7">
        <f t="shared" si="369"/>
        <v>57922</v>
      </c>
      <c r="B487">
        <f t="shared" si="352"/>
        <v>476</v>
      </c>
      <c r="C487">
        <f t="shared" si="378"/>
        <v>39.583333333333336</v>
      </c>
      <c r="D487">
        <f t="shared" si="379"/>
        <v>0</v>
      </c>
      <c r="E487">
        <f t="shared" si="353"/>
        <v>91</v>
      </c>
      <c r="F487">
        <f>IF(C487&gt;=$T$2,0,VLOOKUP($E487,EKM_F05!$A$3:$C$128,2,TRUE))</f>
        <v>0.16537012820512817</v>
      </c>
      <c r="G487">
        <f>F487*'Real assumptions'!$B$3</f>
        <v>6.9008954499999983E-2</v>
      </c>
      <c r="H487">
        <f t="shared" si="380"/>
        <v>5.9410832110911027E-3</v>
      </c>
      <c r="I487">
        <f t="shared" si="381"/>
        <v>5.1268085166858175E-4</v>
      </c>
      <c r="J487">
        <f>IF(B487&gt;$AJ$2,0,HLOOKUP(C487,'Real assumptions'!$B$5:$L$8,4,TRUE))</f>
        <v>3.7900000000000003E-2</v>
      </c>
      <c r="K487">
        <f t="shared" si="342"/>
        <v>1</v>
      </c>
      <c r="L487">
        <f t="shared" si="370"/>
        <v>8.3333333333333329E-2</v>
      </c>
      <c r="M487">
        <f t="shared" si="382"/>
        <v>3.2145624959929453E-3</v>
      </c>
      <c r="N487">
        <f t="shared" si="383"/>
        <v>2.7701923182591137E-4</v>
      </c>
      <c r="O487" s="8">
        <f t="shared" si="354"/>
        <v>8.5643393396298229E-2</v>
      </c>
      <c r="P487">
        <f t="shared" si="355"/>
        <v>2.0743942435150253</v>
      </c>
      <c r="Q487">
        <f t="shared" si="371"/>
        <v>2.5634042583429086</v>
      </c>
      <c r="R487" s="89">
        <f t="shared" si="343"/>
        <v>5000</v>
      </c>
      <c r="S487">
        <f t="shared" si="344"/>
        <v>0.3333333333333357</v>
      </c>
      <c r="U487">
        <f>O486*AV486*'Real assumptions'!$B$33/12+AX487*'Real assumptions'!$B$34</f>
        <v>1.4536071292247714</v>
      </c>
      <c r="V487">
        <f>IF(P487=0,0,IF(E487&lt;=$C$7,$AN$5*O486,0))*'Real assumptions'!$D$28</f>
        <v>0</v>
      </c>
      <c r="X487" s="94">
        <f t="shared" si="356"/>
        <v>0</v>
      </c>
      <c r="Y487">
        <f t="shared" si="345"/>
        <v>24</v>
      </c>
      <c r="Z487">
        <f t="shared" si="372"/>
        <v>59</v>
      </c>
      <c r="AA487">
        <f t="shared" si="346"/>
        <v>59.333333333333336</v>
      </c>
      <c r="AB487">
        <f t="shared" si="357"/>
        <v>50.505050505050505</v>
      </c>
      <c r="AC487">
        <f t="shared" si="384"/>
        <v>2996.6329966329968</v>
      </c>
      <c r="AD487">
        <f t="shared" si="358"/>
        <v>80.505050505050505</v>
      </c>
      <c r="AE487">
        <f t="shared" si="359"/>
        <v>238.83164983164983</v>
      </c>
      <c r="AF487" s="94">
        <f t="shared" si="360"/>
        <v>1764.5353535353534</v>
      </c>
      <c r="AG487">
        <f t="shared" si="373"/>
        <v>0.48881022816602654</v>
      </c>
      <c r="AH487">
        <f t="shared" si="361"/>
        <v>151.12079544450444</v>
      </c>
      <c r="AI487">
        <f>HLOOKUP(AW487,'Real assumptions'!$A$21:$AK$24,2,TRUE)</f>
        <v>0</v>
      </c>
      <c r="AJ487" s="123">
        <f t="shared" si="385"/>
        <v>0</v>
      </c>
      <c r="AK487" s="122">
        <f>(1+HLOOKUP(YEAR(A487),'Real assumptions'!$A$21:$AK$24,2,TRUE)/100)^(1/12)-1</f>
        <v>0</v>
      </c>
      <c r="AL487">
        <f t="shared" si="374"/>
        <v>1.4536071292247714</v>
      </c>
      <c r="AM487">
        <f>('Real assumptions'!$B$33/12)*O486*AV486</f>
        <v>1.4118345850570952</v>
      </c>
      <c r="AN487">
        <f t="shared" si="362"/>
        <v>152.74226770986897</v>
      </c>
      <c r="AO487">
        <f t="shared" si="386"/>
        <v>0</v>
      </c>
      <c r="AP487" s="121">
        <f t="shared" si="363"/>
        <v>0</v>
      </c>
      <c r="AQ487">
        <f t="shared" si="364"/>
        <v>0</v>
      </c>
      <c r="AR487">
        <v>0</v>
      </c>
      <c r="AS487">
        <f t="shared" si="347"/>
        <v>0</v>
      </c>
      <c r="AT487">
        <f t="shared" si="365"/>
        <v>0</v>
      </c>
      <c r="AU487">
        <f>IFERROR(HLOOKUP(B487,'Real assumptions'!$B$43:$AL$44,2,TRUE)*($W$3/$U$2),0)</f>
        <v>0</v>
      </c>
      <c r="AV487">
        <f>AV486*(1+'Real assumptions'!$B$35)^(1/12)</f>
        <v>1.6351339865353745</v>
      </c>
      <c r="AW487">
        <f t="shared" si="348"/>
        <v>2058</v>
      </c>
      <c r="AX487">
        <f t="shared" si="375"/>
        <v>152.48525624153743</v>
      </c>
      <c r="AY487">
        <f t="shared" si="376"/>
        <v>0.36377564595872353</v>
      </c>
      <c r="AZ487">
        <f t="shared" si="349"/>
        <v>330.56178710589455</v>
      </c>
      <c r="BA487">
        <f t="shared" si="366"/>
        <v>3.0522144865089351</v>
      </c>
      <c r="BB487">
        <f t="shared" si="367"/>
        <v>59.333333333333336</v>
      </c>
      <c r="BC487">
        <f t="shared" si="350"/>
        <v>35.6</v>
      </c>
      <c r="BD487">
        <f t="shared" si="368"/>
        <v>0</v>
      </c>
      <c r="BE487">
        <f t="shared" si="351"/>
        <v>24</v>
      </c>
      <c r="BF487">
        <f t="shared" si="377"/>
        <v>5000</v>
      </c>
      <c r="BU487"/>
      <c r="DW487" s="89"/>
      <c r="DX487" s="89"/>
      <c r="FD487"/>
      <c r="FE487"/>
    </row>
    <row r="488" spans="1:161" x14ac:dyDescent="0.25">
      <c r="A488" s="7">
        <f t="shared" si="369"/>
        <v>57953</v>
      </c>
      <c r="B488">
        <f t="shared" si="352"/>
        <v>477</v>
      </c>
      <c r="C488">
        <f t="shared" si="378"/>
        <v>39.666666666666664</v>
      </c>
      <c r="D488">
        <f t="shared" si="379"/>
        <v>0</v>
      </c>
      <c r="E488">
        <f t="shared" si="353"/>
        <v>91</v>
      </c>
      <c r="F488">
        <f>IF(C488&gt;=$T$2,0,VLOOKUP($E488,EKM_F05!$A$3:$C$128,2,TRUE))</f>
        <v>0.16537012820512817</v>
      </c>
      <c r="G488">
        <f>F488*'Real assumptions'!$B$3</f>
        <v>6.9008954499999983E-2</v>
      </c>
      <c r="H488">
        <f t="shared" si="380"/>
        <v>5.9410832110911027E-3</v>
      </c>
      <c r="I488">
        <f t="shared" si="381"/>
        <v>5.0799671860022905E-4</v>
      </c>
      <c r="J488">
        <f>IF(B488&gt;$AJ$2,0,HLOOKUP(C488,'Real assumptions'!$B$5:$L$8,4,TRUE))</f>
        <v>3.7900000000000003E-2</v>
      </c>
      <c r="K488">
        <f t="shared" si="342"/>
        <v>1</v>
      </c>
      <c r="L488">
        <f t="shared" si="370"/>
        <v>8.3333333333333329E-2</v>
      </c>
      <c r="M488">
        <f t="shared" si="382"/>
        <v>3.2145624959929453E-3</v>
      </c>
      <c r="N488">
        <f t="shared" si="383"/>
        <v>2.744882323939212E-4</v>
      </c>
      <c r="O488" s="8">
        <f t="shared" si="354"/>
        <v>8.486090844530407E-2</v>
      </c>
      <c r="P488">
        <f t="shared" si="355"/>
        <v>2.0554414415111575</v>
      </c>
      <c r="Q488">
        <f t="shared" si="371"/>
        <v>2.5399835930011454</v>
      </c>
      <c r="R488" s="89">
        <f t="shared" si="343"/>
        <v>5000</v>
      </c>
      <c r="S488">
        <f t="shared" si="344"/>
        <v>0.25</v>
      </c>
      <c r="U488">
        <f>O487*AV487*'Real assumptions'!$B$33/12+AX488*'Real assumptions'!$B$34</f>
        <v>1.44188173381403</v>
      </c>
      <c r="V488">
        <f>IF(P488=0,0,IF(E488&lt;=$C$7,$AN$5*O487,0))*'Real assumptions'!$D$28</f>
        <v>0</v>
      </c>
      <c r="X488" s="94">
        <f t="shared" si="356"/>
        <v>0</v>
      </c>
      <c r="Y488">
        <f t="shared" si="345"/>
        <v>24</v>
      </c>
      <c r="Z488">
        <f t="shared" si="372"/>
        <v>59</v>
      </c>
      <c r="AA488">
        <f t="shared" si="346"/>
        <v>59.25</v>
      </c>
      <c r="AB488">
        <f t="shared" si="357"/>
        <v>50.505050505050505</v>
      </c>
      <c r="AC488">
        <f t="shared" si="384"/>
        <v>2992.4242424242425</v>
      </c>
      <c r="AD488">
        <f t="shared" si="358"/>
        <v>80.505050505050505</v>
      </c>
      <c r="AE488">
        <f t="shared" si="359"/>
        <v>238.49621212121212</v>
      </c>
      <c r="AF488" s="94">
        <f t="shared" si="360"/>
        <v>1769.0795454545455</v>
      </c>
      <c r="AG488">
        <f t="shared" si="373"/>
        <v>0.48559151739605977</v>
      </c>
      <c r="AH488">
        <f t="shared" si="361"/>
        <v>150.12569733927833</v>
      </c>
      <c r="AI488">
        <f>HLOOKUP(AW488,'Real assumptions'!$A$21:$AK$24,2,TRUE)</f>
        <v>0</v>
      </c>
      <c r="AJ488" s="123">
        <f t="shared" si="385"/>
        <v>0</v>
      </c>
      <c r="AK488" s="122">
        <f>(1+HLOOKUP(YEAR(A488),'Real assumptions'!$A$21:$AK$24,2,TRUE)/100)^(1/12)-1</f>
        <v>0</v>
      </c>
      <c r="AL488">
        <f t="shared" si="374"/>
        <v>1.44188173381403</v>
      </c>
      <c r="AM488">
        <f>('Real assumptions'!$B$33/12)*O487*AV487</f>
        <v>1.4003842326450648</v>
      </c>
      <c r="AN488">
        <f t="shared" si="362"/>
        <v>151.73435515220157</v>
      </c>
      <c r="AO488">
        <f t="shared" si="386"/>
        <v>0</v>
      </c>
      <c r="AP488" s="121">
        <f t="shared" si="363"/>
        <v>0</v>
      </c>
      <c r="AQ488">
        <f t="shared" si="364"/>
        <v>0</v>
      </c>
      <c r="AR488">
        <v>0</v>
      </c>
      <c r="AS488">
        <f t="shared" si="347"/>
        <v>0</v>
      </c>
      <c r="AT488">
        <f t="shared" si="365"/>
        <v>0</v>
      </c>
      <c r="AU488">
        <f>IFERROR(HLOOKUP(B488,'Real assumptions'!$B$43:$AL$44,2,TRUE)*($W$3/$U$2),0)</f>
        <v>0</v>
      </c>
      <c r="AV488">
        <f>AV487*(1+'Real assumptions'!$B$35)^(1/12)</f>
        <v>1.6368275700454262</v>
      </c>
      <c r="AW488">
        <f t="shared" si="348"/>
        <v>2058</v>
      </c>
      <c r="AX488">
        <f t="shared" si="375"/>
        <v>151.48124743691309</v>
      </c>
      <c r="AY488">
        <f t="shared" si="376"/>
        <v>0.36045199240866255</v>
      </c>
      <c r="AZ488">
        <f t="shared" si="349"/>
        <v>328.14977170319446</v>
      </c>
      <c r="BA488">
        <f t="shared" si="366"/>
        <v>3.0255751103972051</v>
      </c>
      <c r="BB488">
        <f t="shared" si="367"/>
        <v>59.25</v>
      </c>
      <c r="BC488">
        <f t="shared" si="350"/>
        <v>35.549999999999997</v>
      </c>
      <c r="BD488">
        <f t="shared" si="368"/>
        <v>0</v>
      </c>
      <c r="BE488">
        <f t="shared" si="351"/>
        <v>24</v>
      </c>
      <c r="BF488">
        <f t="shared" si="377"/>
        <v>5000</v>
      </c>
      <c r="BU488"/>
      <c r="DW488" s="89"/>
      <c r="DX488" s="89"/>
      <c r="FD488"/>
      <c r="FE488"/>
    </row>
    <row r="489" spans="1:161" x14ac:dyDescent="0.25">
      <c r="A489" s="7">
        <f t="shared" si="369"/>
        <v>57983</v>
      </c>
      <c r="B489">
        <f t="shared" si="352"/>
        <v>478</v>
      </c>
      <c r="C489">
        <f t="shared" si="378"/>
        <v>39.75</v>
      </c>
      <c r="D489">
        <f t="shared" si="379"/>
        <v>0</v>
      </c>
      <c r="E489">
        <f t="shared" si="353"/>
        <v>91</v>
      </c>
      <c r="F489">
        <f>IF(C489&gt;=$T$2,0,VLOOKUP($E489,EKM_F05!$A$3:$C$128,2,TRUE))</f>
        <v>0.16537012820512817</v>
      </c>
      <c r="G489">
        <f>F489*'Real assumptions'!$B$3</f>
        <v>6.9008954499999983E-2</v>
      </c>
      <c r="H489">
        <f t="shared" si="380"/>
        <v>5.9410832110911027E-3</v>
      </c>
      <c r="I489">
        <f t="shared" si="381"/>
        <v>5.0335538233720013E-4</v>
      </c>
      <c r="J489">
        <f>IF(B489&gt;$AJ$2,0,HLOOKUP(C489,'Real assumptions'!$B$5:$L$8,4,TRUE))</f>
        <v>3.7900000000000003E-2</v>
      </c>
      <c r="K489">
        <f t="shared" si="342"/>
        <v>1</v>
      </c>
      <c r="L489">
        <f t="shared" si="370"/>
        <v>8.3333333333333329E-2</v>
      </c>
      <c r="M489">
        <f t="shared" si="382"/>
        <v>3.2145624959929453E-3</v>
      </c>
      <c r="N489">
        <f t="shared" si="383"/>
        <v>2.7198035755903041E-4</v>
      </c>
      <c r="O489" s="8">
        <f t="shared" si="354"/>
        <v>8.4085572705407841E-2</v>
      </c>
      <c r="P489">
        <f t="shared" si="355"/>
        <v>2.0366618026872976</v>
      </c>
      <c r="Q489">
        <f t="shared" si="371"/>
        <v>2.5167769116860006</v>
      </c>
      <c r="R489" s="89">
        <f t="shared" si="343"/>
        <v>5000</v>
      </c>
      <c r="S489">
        <f t="shared" si="344"/>
        <v>0.1666666666666643</v>
      </c>
      <c r="U489">
        <f>O488*AV488*'Real assumptions'!$B$33/12+AX489*'Real assumptions'!$B$34</f>
        <v>1.4302507426550031</v>
      </c>
      <c r="V489">
        <f>IF(P489=0,0,IF(E489&lt;=$C$7,$AN$5*O488,0))*'Real assumptions'!$D$28</f>
        <v>0</v>
      </c>
      <c r="X489" s="94">
        <f t="shared" si="356"/>
        <v>0</v>
      </c>
      <c r="Y489">
        <f t="shared" si="345"/>
        <v>24</v>
      </c>
      <c r="Z489">
        <f t="shared" si="372"/>
        <v>59</v>
      </c>
      <c r="AA489">
        <f t="shared" si="346"/>
        <v>59.166666666666664</v>
      </c>
      <c r="AB489">
        <f t="shared" si="357"/>
        <v>50.505050505050505</v>
      </c>
      <c r="AC489">
        <f t="shared" si="384"/>
        <v>2988.2154882154882</v>
      </c>
      <c r="AD489">
        <f t="shared" si="358"/>
        <v>80.505050505050505</v>
      </c>
      <c r="AE489">
        <f t="shared" si="359"/>
        <v>238.16077441077439</v>
      </c>
      <c r="AF489" s="94">
        <f t="shared" si="360"/>
        <v>1773.6237373737374</v>
      </c>
      <c r="AG489">
        <f t="shared" si="373"/>
        <v>0.48239081826609292</v>
      </c>
      <c r="AH489">
        <f t="shared" si="361"/>
        <v>149.13616772097657</v>
      </c>
      <c r="AI489">
        <f>HLOOKUP(AW489,'Real assumptions'!$A$21:$AK$24,2,TRUE)</f>
        <v>0</v>
      </c>
      <c r="AJ489" s="123">
        <f t="shared" si="385"/>
        <v>0</v>
      </c>
      <c r="AK489" s="122">
        <f>(1+HLOOKUP(YEAR(A489),'Real assumptions'!$A$21:$AK$24,2,TRUE)/100)^(1/12)-1</f>
        <v>0</v>
      </c>
      <c r="AL489">
        <f t="shared" si="374"/>
        <v>1.4302507426550031</v>
      </c>
      <c r="AM489">
        <f>('Real assumptions'!$B$33/12)*O488*AV488</f>
        <v>1.3890267456237446</v>
      </c>
      <c r="AN489">
        <f t="shared" si="362"/>
        <v>150.73210839931062</v>
      </c>
      <c r="AO489">
        <f t="shared" si="386"/>
        <v>0</v>
      </c>
      <c r="AP489" s="121">
        <f t="shared" si="363"/>
        <v>0</v>
      </c>
      <c r="AQ489">
        <f t="shared" si="364"/>
        <v>0</v>
      </c>
      <c r="AR489">
        <v>0</v>
      </c>
      <c r="AS489">
        <f t="shared" si="347"/>
        <v>0</v>
      </c>
      <c r="AT489">
        <f t="shared" si="365"/>
        <v>0</v>
      </c>
      <c r="AU489">
        <f>IFERROR(HLOOKUP(B489,'Real assumptions'!$B$43:$AL$44,2,TRUE)*($W$3/$U$2),0)</f>
        <v>0</v>
      </c>
      <c r="AV489">
        <f>AV488*(1+'Real assumptions'!$B$35)^(1/12)</f>
        <v>1.6385229076778491</v>
      </c>
      <c r="AW489">
        <f t="shared" si="348"/>
        <v>2058</v>
      </c>
      <c r="AX489">
        <f t="shared" si="375"/>
        <v>150.48285604485622</v>
      </c>
      <c r="AY489">
        <f t="shared" si="376"/>
        <v>0.35715870557787904</v>
      </c>
      <c r="AZ489">
        <f t="shared" si="349"/>
        <v>325.75701503327468</v>
      </c>
      <c r="BA489">
        <f t="shared" si="366"/>
        <v>2.9991677299520934</v>
      </c>
      <c r="BB489">
        <f t="shared" si="367"/>
        <v>59.166666666666664</v>
      </c>
      <c r="BC489">
        <f t="shared" si="350"/>
        <v>35.5</v>
      </c>
      <c r="BD489">
        <f t="shared" si="368"/>
        <v>0</v>
      </c>
      <c r="BE489">
        <f t="shared" si="351"/>
        <v>24</v>
      </c>
      <c r="BF489">
        <f t="shared" si="377"/>
        <v>5000</v>
      </c>
      <c r="BU489"/>
      <c r="DW489" s="89"/>
      <c r="DX489" s="89"/>
      <c r="FD489"/>
      <c r="FE489"/>
    </row>
    <row r="490" spans="1:161" x14ac:dyDescent="0.25">
      <c r="A490" s="7">
        <f t="shared" si="369"/>
        <v>58014</v>
      </c>
      <c r="B490">
        <f t="shared" si="352"/>
        <v>479</v>
      </c>
      <c r="C490">
        <f t="shared" si="378"/>
        <v>39.833333333333336</v>
      </c>
      <c r="D490">
        <f t="shared" si="379"/>
        <v>0</v>
      </c>
      <c r="E490">
        <f t="shared" si="353"/>
        <v>91</v>
      </c>
      <c r="F490">
        <f>IF(C490&gt;=$T$2,0,VLOOKUP($E490,EKM_F05!$A$3:$C$128,2,TRUE))</f>
        <v>0.16537012820512817</v>
      </c>
      <c r="G490">
        <f>F490*'Real assumptions'!$B$3</f>
        <v>6.9008954499999983E-2</v>
      </c>
      <c r="H490">
        <f t="shared" si="380"/>
        <v>5.9410832110911027E-3</v>
      </c>
      <c r="I490">
        <f t="shared" si="381"/>
        <v>4.9875645186444066E-4</v>
      </c>
      <c r="J490">
        <f>IF(B490&gt;$AJ$2,0,HLOOKUP(C490,'Real assumptions'!$B$5:$L$8,4,TRUE))</f>
        <v>3.7900000000000003E-2</v>
      </c>
      <c r="K490">
        <f t="shared" si="342"/>
        <v>1</v>
      </c>
      <c r="L490">
        <f t="shared" si="370"/>
        <v>8.3333333333333329E-2</v>
      </c>
      <c r="M490">
        <f t="shared" si="382"/>
        <v>3.2145624959929453E-3</v>
      </c>
      <c r="N490">
        <f t="shared" si="383"/>
        <v>2.6949539604225397E-4</v>
      </c>
      <c r="O490" s="8">
        <f t="shared" si="354"/>
        <v>8.3317320857501154E-2</v>
      </c>
      <c r="P490">
        <f t="shared" si="355"/>
        <v>2.0180537449297882</v>
      </c>
      <c r="Q490">
        <f t="shared" si="371"/>
        <v>2.4937822593222032</v>
      </c>
      <c r="R490" s="89">
        <f t="shared" si="343"/>
        <v>5000</v>
      </c>
      <c r="S490">
        <f t="shared" si="344"/>
        <v>8.3333333333335702E-2</v>
      </c>
      <c r="U490">
        <f>O489*AV489*'Real assumptions'!$B$33/12+AX490*'Real assumptions'!$B$34</f>
        <v>1.4187133974246506</v>
      </c>
      <c r="V490">
        <f>IF(P490=0,0,IF(E490&lt;=$C$7,$AN$5*O489,0))*'Real assumptions'!$D$28</f>
        <v>0</v>
      </c>
      <c r="X490" s="94">
        <f t="shared" si="356"/>
        <v>0</v>
      </c>
      <c r="Y490">
        <f t="shared" si="345"/>
        <v>24</v>
      </c>
      <c r="Z490">
        <f t="shared" si="372"/>
        <v>59</v>
      </c>
      <c r="AA490">
        <f t="shared" si="346"/>
        <v>59.083333333333336</v>
      </c>
      <c r="AB490">
        <f t="shared" si="357"/>
        <v>50.505050505050505</v>
      </c>
      <c r="AC490">
        <f t="shared" si="384"/>
        <v>2984.006734006734</v>
      </c>
      <c r="AD490">
        <f t="shared" si="358"/>
        <v>80.505050505050505</v>
      </c>
      <c r="AE490">
        <f t="shared" si="359"/>
        <v>237.82533670033669</v>
      </c>
      <c r="AF490" s="94">
        <f t="shared" si="360"/>
        <v>1778.1679292929293</v>
      </c>
      <c r="AG490">
        <f t="shared" si="373"/>
        <v>0.47920807033443263</v>
      </c>
      <c r="AH490">
        <f t="shared" si="361"/>
        <v>148.15218790341743</v>
      </c>
      <c r="AI490">
        <f>HLOOKUP(AW490,'Real assumptions'!$A$21:$AK$24,2,TRUE)</f>
        <v>0</v>
      </c>
      <c r="AJ490" s="123">
        <f t="shared" si="385"/>
        <v>0</v>
      </c>
      <c r="AK490" s="122">
        <f>(1+HLOOKUP(YEAR(A490),'Real assumptions'!$A$21:$AK$24,2,TRUE)/100)^(1/12)-1</f>
        <v>0</v>
      </c>
      <c r="AL490">
        <f t="shared" si="374"/>
        <v>1.4187133974246506</v>
      </c>
      <c r="AM490">
        <f>('Real assumptions'!$B$33/12)*O489*AV489</f>
        <v>1.3777613708302203</v>
      </c>
      <c r="AN490">
        <f t="shared" si="362"/>
        <v>149.73550806848172</v>
      </c>
      <c r="AO490">
        <f t="shared" si="386"/>
        <v>0</v>
      </c>
      <c r="AP490" s="121">
        <f t="shared" si="363"/>
        <v>0</v>
      </c>
      <c r="AQ490">
        <f t="shared" si="364"/>
        <v>0</v>
      </c>
      <c r="AR490">
        <v>0</v>
      </c>
      <c r="AS490">
        <f t="shared" si="347"/>
        <v>0</v>
      </c>
      <c r="AT490">
        <f t="shared" si="365"/>
        <v>0</v>
      </c>
      <c r="AU490">
        <f>IFERROR(HLOOKUP(B490,'Real assumptions'!$B$43:$AL$44,2,TRUE)*($W$3/$U$2),0)</f>
        <v>0</v>
      </c>
      <c r="AV490">
        <f>AV489*(1+'Real assumptions'!$B$35)^(1/12)</f>
        <v>1.6402200012494685</v>
      </c>
      <c r="AW490">
        <f t="shared" si="348"/>
        <v>2058</v>
      </c>
      <c r="AX490">
        <f t="shared" si="375"/>
        <v>149.49006322899598</v>
      </c>
      <c r="AY490">
        <f t="shared" si="376"/>
        <v>0.35389550801939323</v>
      </c>
      <c r="AZ490">
        <f t="shared" si="349"/>
        <v>323.38336505112318</v>
      </c>
      <c r="BA490">
        <f t="shared" si="366"/>
        <v>2.972990329656636</v>
      </c>
      <c r="BB490">
        <f t="shared" si="367"/>
        <v>59.083333333333336</v>
      </c>
      <c r="BC490">
        <f t="shared" si="350"/>
        <v>35.450000000000003</v>
      </c>
      <c r="BD490">
        <f t="shared" si="368"/>
        <v>0</v>
      </c>
      <c r="BE490">
        <f t="shared" si="351"/>
        <v>24</v>
      </c>
      <c r="BF490">
        <f t="shared" si="377"/>
        <v>5000</v>
      </c>
      <c r="BU490"/>
      <c r="DW490" s="89"/>
      <c r="DX490" s="89"/>
      <c r="FD490"/>
      <c r="FE490"/>
    </row>
    <row r="491" spans="1:161" x14ac:dyDescent="0.25">
      <c r="A491" s="7">
        <f t="shared" si="369"/>
        <v>58044</v>
      </c>
      <c r="B491">
        <f t="shared" si="352"/>
        <v>480</v>
      </c>
      <c r="C491">
        <f t="shared" si="378"/>
        <v>39.916666666666664</v>
      </c>
      <c r="D491">
        <f t="shared" si="379"/>
        <v>0</v>
      </c>
      <c r="E491">
        <f t="shared" si="353"/>
        <v>91</v>
      </c>
      <c r="F491">
        <f>IF(C491&gt;=$T$2,0,VLOOKUP($E491,EKM_F05!$A$3:$C$128,2,TRUE))</f>
        <v>0.16537012820512817</v>
      </c>
      <c r="G491">
        <f>F491*'Real assumptions'!$B$3</f>
        <v>6.9008954499999983E-2</v>
      </c>
      <c r="H491">
        <f t="shared" si="380"/>
        <v>5.9410832110911027E-3</v>
      </c>
      <c r="I491">
        <f t="shared" si="381"/>
        <v>4.9419953973942402E-4</v>
      </c>
      <c r="J491">
        <f>IF(B491&gt;$AJ$2,0,HLOOKUP(C491,'Real assumptions'!$B$5:$L$8,4,TRUE))</f>
        <v>3.7900000000000003E-2</v>
      </c>
      <c r="K491">
        <f t="shared" si="342"/>
        <v>1</v>
      </c>
      <c r="L491">
        <f t="shared" si="370"/>
        <v>8.3333333333333329E-2</v>
      </c>
      <c r="M491">
        <f t="shared" si="382"/>
        <v>3.2145624959929453E-3</v>
      </c>
      <c r="N491">
        <f t="shared" si="383"/>
        <v>2.6703313849496741E-4</v>
      </c>
      <c r="O491" s="8">
        <f t="shared" si="354"/>
        <v>8.2556088179266768E-2</v>
      </c>
      <c r="P491">
        <f t="shared" si="355"/>
        <v>1.9996157005800277</v>
      </c>
      <c r="Q491">
        <f t="shared" si="371"/>
        <v>2.4709976986971203</v>
      </c>
      <c r="R491" s="89">
        <f t="shared" si="343"/>
        <v>5000</v>
      </c>
      <c r="S491">
        <f t="shared" si="344"/>
        <v>1</v>
      </c>
      <c r="U491">
        <f>O490*AV490*'Real assumptions'!$B$33/12+AX491*'Real assumptions'!$B$34</f>
        <v>1.4072689458741166</v>
      </c>
      <c r="V491">
        <f>IF(P491=0,0,IF(E491&lt;=$C$7,$AN$5*O490,0))*'Real assumptions'!$D$28</f>
        <v>0</v>
      </c>
      <c r="X491" s="94">
        <f t="shared" si="356"/>
        <v>0</v>
      </c>
      <c r="Y491">
        <f t="shared" si="345"/>
        <v>24</v>
      </c>
      <c r="Z491">
        <f t="shared" si="372"/>
        <v>59</v>
      </c>
      <c r="AA491">
        <f t="shared" si="346"/>
        <v>59</v>
      </c>
      <c r="AB491">
        <f t="shared" si="357"/>
        <v>50.505050505050505</v>
      </c>
      <c r="AC491">
        <f t="shared" si="384"/>
        <v>2979.7979797979797</v>
      </c>
      <c r="AD491">
        <f t="shared" si="358"/>
        <v>80.505050505050505</v>
      </c>
      <c r="AE491">
        <f t="shared" si="359"/>
        <v>237.48989898989899</v>
      </c>
      <c r="AF491" s="94">
        <f t="shared" si="360"/>
        <v>1782.7121212121212</v>
      </c>
      <c r="AG491">
        <f t="shared" si="373"/>
        <v>0.47604321276029349</v>
      </c>
      <c r="AH491">
        <f t="shared" si="361"/>
        <v>147.17373907703558</v>
      </c>
      <c r="AI491">
        <f>HLOOKUP(AW491,'Real assumptions'!$A$21:$AK$24,2,TRUE)</f>
        <v>0</v>
      </c>
      <c r="AJ491" s="123">
        <f t="shared" si="385"/>
        <v>0</v>
      </c>
      <c r="AK491" s="122">
        <f>(1+HLOOKUP(YEAR(A491),'Real assumptions'!$A$21:$AK$24,2,TRUE)/100)^(1/12)-1</f>
        <v>0</v>
      </c>
      <c r="AL491">
        <f t="shared" si="374"/>
        <v>1.4072689458741166</v>
      </c>
      <c r="AM491">
        <f>('Real assumptions'!$B$33/12)*O490*AV490</f>
        <v>1.3665873612099291</v>
      </c>
      <c r="AN491">
        <f t="shared" si="362"/>
        <v>148.74453465812334</v>
      </c>
      <c r="AO491">
        <f t="shared" si="386"/>
        <v>0</v>
      </c>
      <c r="AP491" s="121">
        <f t="shared" si="363"/>
        <v>0</v>
      </c>
      <c r="AQ491">
        <f t="shared" si="364"/>
        <v>0</v>
      </c>
      <c r="AR491">
        <v>0</v>
      </c>
      <c r="AS491">
        <f t="shared" si="347"/>
        <v>0</v>
      </c>
      <c r="AT491">
        <f t="shared" si="365"/>
        <v>0</v>
      </c>
      <c r="AU491">
        <f>IFERROR(HLOOKUP(B491,'Real assumptions'!$B$43:$AL$44,2,TRUE)*($W$3/$U$2),0)</f>
        <v>0</v>
      </c>
      <c r="AV491">
        <f>AV490*(1+'Real assumptions'!$B$35)^(1/12)</f>
        <v>1.6419188525789912</v>
      </c>
      <c r="AW491">
        <f t="shared" si="348"/>
        <v>2058</v>
      </c>
      <c r="AX491">
        <f t="shared" si="375"/>
        <v>148.50285002823856</v>
      </c>
      <c r="AY491">
        <f t="shared" si="376"/>
        <v>0.35066212482113279</v>
      </c>
      <c r="AZ491">
        <f t="shared" si="349"/>
        <v>321.02867089437166</v>
      </c>
      <c r="BA491">
        <f t="shared" si="366"/>
        <v>2.9470409114574139</v>
      </c>
      <c r="BB491">
        <f t="shared" si="367"/>
        <v>59</v>
      </c>
      <c r="BC491">
        <f t="shared" si="350"/>
        <v>35.4</v>
      </c>
      <c r="BD491">
        <f t="shared" si="368"/>
        <v>0</v>
      </c>
      <c r="BE491">
        <f t="shared" si="351"/>
        <v>24</v>
      </c>
      <c r="BF491">
        <f t="shared" si="377"/>
        <v>5000</v>
      </c>
      <c r="BU491"/>
      <c r="DW491" s="89"/>
      <c r="DX491" s="89"/>
      <c r="FD491"/>
      <c r="FE491"/>
    </row>
    <row r="492" spans="1:161" x14ac:dyDescent="0.25">
      <c r="A492" s="7">
        <f t="shared" si="369"/>
        <v>58075</v>
      </c>
      <c r="B492">
        <f t="shared" si="352"/>
        <v>481</v>
      </c>
      <c r="C492">
        <f t="shared" si="378"/>
        <v>40</v>
      </c>
      <c r="D492">
        <f t="shared" si="379"/>
        <v>1</v>
      </c>
      <c r="E492">
        <f t="shared" si="353"/>
        <v>92</v>
      </c>
      <c r="F492">
        <f>IF(C492&gt;=$T$2,0,VLOOKUP($E492,EKM_F05!$A$3:$C$128,2,TRUE))</f>
        <v>0.18195397435897434</v>
      </c>
      <c r="G492">
        <f>F492*'Real assumptions'!$B$3</f>
        <v>7.5929393499999998E-2</v>
      </c>
      <c r="H492">
        <f t="shared" si="380"/>
        <v>6.5589618473855804E-3</v>
      </c>
      <c r="I492">
        <f t="shared" si="381"/>
        <v>5.4061191839856941E-4</v>
      </c>
      <c r="J492">
        <f>IF(B492&gt;$AJ$2,0,HLOOKUP(C492,'Real assumptions'!$B$5:$L$8,4,TRUE))</f>
        <v>3.7900000000000003E-2</v>
      </c>
      <c r="K492">
        <f t="shared" si="342"/>
        <v>1</v>
      </c>
      <c r="L492">
        <f t="shared" si="370"/>
        <v>8.3333333333333329E-2</v>
      </c>
      <c r="M492">
        <f t="shared" si="382"/>
        <v>3.2145624959929453E-3</v>
      </c>
      <c r="N492">
        <f t="shared" si="383"/>
        <v>2.6451139063831639E-4</v>
      </c>
      <c r="O492" s="8">
        <f t="shared" si="354"/>
        <v>8.175096487022987E-2</v>
      </c>
      <c r="P492">
        <f t="shared" si="355"/>
        <v>1.9813461163024024</v>
      </c>
      <c r="Q492">
        <f t="shared" si="371"/>
        <v>2.7030595919928468</v>
      </c>
      <c r="R492" s="89">
        <f t="shared" si="343"/>
        <v>5000</v>
      </c>
      <c r="S492">
        <f t="shared" si="344"/>
        <v>0.9166666666666643</v>
      </c>
      <c r="U492">
        <f>O491*AV491*'Real assumptions'!$B$33/12+AX492*'Real assumptions'!$B$34</f>
        <v>1.3959166417802409</v>
      </c>
      <c r="V492">
        <f>IF(P492=0,0,IF(E492&lt;=$C$7,$AN$5*O491,0))*'Real assumptions'!$D$28</f>
        <v>0</v>
      </c>
      <c r="X492" s="94">
        <f t="shared" si="356"/>
        <v>0</v>
      </c>
      <c r="Y492">
        <f t="shared" si="345"/>
        <v>24</v>
      </c>
      <c r="Z492">
        <f t="shared" si="372"/>
        <v>59</v>
      </c>
      <c r="AA492">
        <f t="shared" si="346"/>
        <v>58.916666666666664</v>
      </c>
      <c r="AB492">
        <f t="shared" si="357"/>
        <v>50.505050505050505</v>
      </c>
      <c r="AC492">
        <f t="shared" si="384"/>
        <v>2975.5892255892254</v>
      </c>
      <c r="AD492">
        <f t="shared" si="358"/>
        <v>80.505050505050505</v>
      </c>
      <c r="AE492">
        <f t="shared" si="359"/>
        <v>237.15446127946126</v>
      </c>
      <c r="AF492" s="94">
        <f t="shared" si="360"/>
        <v>1787.2563131313134</v>
      </c>
      <c r="AG492">
        <f t="shared" si="373"/>
        <v>0.47274965281347398</v>
      </c>
      <c r="AH492">
        <f t="shared" si="361"/>
        <v>146.10992806889456</v>
      </c>
      <c r="AI492">
        <f>HLOOKUP(AW492,'Real assumptions'!$A$21:$AK$24,2,TRUE)</f>
        <v>0</v>
      </c>
      <c r="AJ492" s="123">
        <f t="shared" si="385"/>
        <v>0</v>
      </c>
      <c r="AK492" s="122">
        <f>(1+HLOOKUP(YEAR(A492),'Real assumptions'!$A$21:$AK$24,2,TRUE)/100)^(1/12)-1</f>
        <v>0</v>
      </c>
      <c r="AL492">
        <f t="shared" si="374"/>
        <v>1.3959166417802409</v>
      </c>
      <c r="AM492">
        <f>('Real assumptions'!$B$33/12)*O491*AV491</f>
        <v>1.355503975767117</v>
      </c>
      <c r="AN492">
        <f t="shared" si="362"/>
        <v>147.75916855155774</v>
      </c>
      <c r="AO492">
        <f t="shared" si="386"/>
        <v>0</v>
      </c>
      <c r="AP492" s="121">
        <f t="shared" si="363"/>
        <v>0</v>
      </c>
      <c r="AQ492">
        <f t="shared" si="364"/>
        <v>0</v>
      </c>
      <c r="AR492">
        <v>0</v>
      </c>
      <c r="AS492">
        <f t="shared" si="347"/>
        <v>0</v>
      </c>
      <c r="AT492">
        <f t="shared" si="365"/>
        <v>0</v>
      </c>
      <c r="AU492">
        <f>IFERROR(HLOOKUP(B492,'Real assumptions'!$B$43:$AL$44,2,TRUE)*($W$3/$U$2),0)</f>
        <v>0</v>
      </c>
      <c r="AV492">
        <f>AV491*(1+'Real assumptions'!$B$35)^(1/12)</f>
        <v>1.643619463487008</v>
      </c>
      <c r="AW492">
        <f t="shared" si="348"/>
        <v>2058</v>
      </c>
      <c r="AX492">
        <f t="shared" si="375"/>
        <v>147.52119736061834</v>
      </c>
      <c r="AY492">
        <f t="shared" si="376"/>
        <v>0.34745828358277259</v>
      </c>
      <c r="AZ492">
        <f t="shared" si="349"/>
        <v>318.43829112408753</v>
      </c>
      <c r="BA492">
        <f t="shared" si="366"/>
        <v>3.1758092448063207</v>
      </c>
      <c r="BB492">
        <f t="shared" si="367"/>
        <v>58.916666666666664</v>
      </c>
      <c r="BC492">
        <f t="shared" si="350"/>
        <v>35.349999999999994</v>
      </c>
      <c r="BD492">
        <f t="shared" si="368"/>
        <v>0</v>
      </c>
      <c r="BE492">
        <f t="shared" si="351"/>
        <v>24</v>
      </c>
      <c r="BF492">
        <f t="shared" si="377"/>
        <v>5000</v>
      </c>
      <c r="BU492"/>
      <c r="DW492" s="89"/>
      <c r="DX492" s="89"/>
      <c r="FD492"/>
      <c r="FE492"/>
    </row>
    <row r="493" spans="1:161" x14ac:dyDescent="0.25">
      <c r="A493" s="7">
        <f t="shared" si="369"/>
        <v>58106</v>
      </c>
      <c r="B493">
        <f t="shared" si="352"/>
        <v>482</v>
      </c>
      <c r="C493">
        <f t="shared" si="378"/>
        <v>40.083333333333336</v>
      </c>
      <c r="D493">
        <f t="shared" si="379"/>
        <v>0</v>
      </c>
      <c r="E493">
        <f t="shared" si="353"/>
        <v>92</v>
      </c>
      <c r="F493">
        <f>IF(C493&gt;=$T$2,0,VLOOKUP($E493,EKM_F05!$A$3:$C$128,2,TRUE))</f>
        <v>0.18195397435897434</v>
      </c>
      <c r="G493">
        <f>F493*'Real assumptions'!$B$3</f>
        <v>7.5929393499999998E-2</v>
      </c>
      <c r="H493">
        <f t="shared" si="380"/>
        <v>6.5589618473855804E-3</v>
      </c>
      <c r="I493">
        <f t="shared" si="381"/>
        <v>5.353396330196801E-4</v>
      </c>
      <c r="J493">
        <f>IF(B493&gt;$AJ$2,0,HLOOKUP(C493,'Real assumptions'!$B$5:$L$8,4,TRUE))</f>
        <v>3.7900000000000003E-2</v>
      </c>
      <c r="K493">
        <f t="shared" si="342"/>
        <v>1</v>
      </c>
      <c r="L493">
        <f t="shared" si="370"/>
        <v>8.3333333333333329E-2</v>
      </c>
      <c r="M493">
        <f t="shared" si="382"/>
        <v>3.2145624959929453E-3</v>
      </c>
      <c r="N493">
        <f t="shared" si="383"/>
        <v>2.6193175913196125E-4</v>
      </c>
      <c r="O493" s="8">
        <f t="shared" si="354"/>
        <v>8.0953693478078237E-2</v>
      </c>
      <c r="P493">
        <f t="shared" si="355"/>
        <v>1.9620231568855169</v>
      </c>
      <c r="Q493">
        <f t="shared" si="371"/>
        <v>2.6766981650984003</v>
      </c>
      <c r="R493" s="89">
        <f t="shared" si="343"/>
        <v>5000</v>
      </c>
      <c r="S493">
        <f t="shared" si="344"/>
        <v>0.8333333333333357</v>
      </c>
      <c r="U493">
        <f>O492*AV492*'Real assumptions'!$B$33/12+AX493*'Real assumptions'!$B$34</f>
        <v>1.3837950824267149</v>
      </c>
      <c r="V493">
        <f>IF(P493=0,0,IF(E493&lt;=$C$7,$AN$5*O492,0))*'Real assumptions'!$D$28</f>
        <v>0</v>
      </c>
      <c r="X493" s="94">
        <f t="shared" si="356"/>
        <v>0</v>
      </c>
      <c r="Y493">
        <f t="shared" si="345"/>
        <v>24</v>
      </c>
      <c r="Z493">
        <f t="shared" si="372"/>
        <v>58</v>
      </c>
      <c r="AA493">
        <f t="shared" si="346"/>
        <v>58.833333333333336</v>
      </c>
      <c r="AB493">
        <f t="shared" si="357"/>
        <v>50.505050505050505</v>
      </c>
      <c r="AC493">
        <f t="shared" si="384"/>
        <v>2971.3804713804716</v>
      </c>
      <c r="AD493">
        <f t="shared" si="358"/>
        <v>80.505050505050505</v>
      </c>
      <c r="AE493">
        <f t="shared" si="359"/>
        <v>236.81902356902356</v>
      </c>
      <c r="AF493" s="94">
        <f t="shared" si="360"/>
        <v>1791.8005050505049</v>
      </c>
      <c r="AG493">
        <f t="shared" si="373"/>
        <v>0.46932945830141537</v>
      </c>
      <c r="AH493">
        <f t="shared" si="361"/>
        <v>145.05286885972436</v>
      </c>
      <c r="AI493">
        <f>HLOOKUP(AW493,'Real assumptions'!$A$21:$AK$24,2,TRUE)</f>
        <v>0</v>
      </c>
      <c r="AJ493" s="123">
        <f t="shared" si="385"/>
        <v>0</v>
      </c>
      <c r="AK493" s="122">
        <f>(1+HLOOKUP(YEAR(A493),'Real assumptions'!$A$21:$AK$24,2,TRUE)/100)^(1/12)-1</f>
        <v>0</v>
      </c>
      <c r="AL493">
        <f t="shared" si="374"/>
        <v>1.3837950824267149</v>
      </c>
      <c r="AM493">
        <f>('Real assumptions'!$B$33/12)*O492*AV492</f>
        <v>1.3436747701955245</v>
      </c>
      <c r="AN493">
        <f t="shared" si="362"/>
        <v>146.68815614335338</v>
      </c>
      <c r="AO493">
        <f t="shared" si="386"/>
        <v>0</v>
      </c>
      <c r="AP493" s="121">
        <f t="shared" si="363"/>
        <v>0</v>
      </c>
      <c r="AQ493">
        <f t="shared" si="364"/>
        <v>0</v>
      </c>
      <c r="AR493">
        <v>0</v>
      </c>
      <c r="AS493">
        <f t="shared" si="347"/>
        <v>0</v>
      </c>
      <c r="AT493">
        <f t="shared" si="365"/>
        <v>0</v>
      </c>
      <c r="AU493">
        <f>IFERROR(HLOOKUP(B493,'Real assumptions'!$B$43:$AL$44,2,TRUE)*($W$3/$U$2),0)</f>
        <v>0</v>
      </c>
      <c r="AV493">
        <f>AV492*(1+'Real assumptions'!$B$35)^(1/12)</f>
        <v>1.6453218357959953</v>
      </c>
      <c r="AW493">
        <f t="shared" si="348"/>
        <v>2059</v>
      </c>
      <c r="AX493">
        <f t="shared" si="375"/>
        <v>146.45399778636187</v>
      </c>
      <c r="AY493">
        <f t="shared" si="376"/>
        <v>0.34406971746729742</v>
      </c>
      <c r="AZ493">
        <f t="shared" si="349"/>
        <v>315.8704915751465</v>
      </c>
      <c r="BA493">
        <f t="shared" si="366"/>
        <v>3.1460276233998155</v>
      </c>
      <c r="BB493">
        <f t="shared" si="367"/>
        <v>58.833333333333336</v>
      </c>
      <c r="BC493">
        <f t="shared" si="350"/>
        <v>35.299999999999997</v>
      </c>
      <c r="BD493">
        <f t="shared" si="368"/>
        <v>0</v>
      </c>
      <c r="BE493">
        <f t="shared" si="351"/>
        <v>24</v>
      </c>
      <c r="BF493">
        <f t="shared" si="377"/>
        <v>5000</v>
      </c>
      <c r="BU493"/>
      <c r="DW493" s="89"/>
      <c r="DX493" s="89"/>
      <c r="FD493"/>
      <c r="FE493"/>
    </row>
    <row r="494" spans="1:161" x14ac:dyDescent="0.25">
      <c r="A494" s="7">
        <f t="shared" si="369"/>
        <v>58134</v>
      </c>
      <c r="B494">
        <f t="shared" si="352"/>
        <v>483</v>
      </c>
      <c r="C494">
        <f t="shared" si="378"/>
        <v>40.166666666666664</v>
      </c>
      <c r="D494">
        <f t="shared" si="379"/>
        <v>0</v>
      </c>
      <c r="E494">
        <f t="shared" si="353"/>
        <v>92</v>
      </c>
      <c r="F494">
        <f>IF(C494&gt;=$T$2,0,VLOOKUP($E494,EKM_F05!$A$3:$C$128,2,TRUE))</f>
        <v>0.18195397435897434</v>
      </c>
      <c r="G494">
        <f>F494*'Real assumptions'!$B$3</f>
        <v>7.5929393499999998E-2</v>
      </c>
      <c r="H494">
        <f t="shared" si="380"/>
        <v>6.5589618473855804E-3</v>
      </c>
      <c r="I494">
        <f t="shared" si="381"/>
        <v>5.3011876528840556E-4</v>
      </c>
      <c r="J494">
        <f>IF(B494&gt;$AJ$2,0,HLOOKUP(C494,'Real assumptions'!$B$5:$L$8,4,TRUE))</f>
        <v>3.7900000000000003E-2</v>
      </c>
      <c r="K494">
        <f t="shared" si="342"/>
        <v>1</v>
      </c>
      <c r="L494">
        <f t="shared" si="370"/>
        <v>8.3333333333333329E-2</v>
      </c>
      <c r="M494">
        <f t="shared" si="382"/>
        <v>3.2145624959929453E-3</v>
      </c>
      <c r="N494">
        <f t="shared" si="383"/>
        <v>2.5937728532748249E-4</v>
      </c>
      <c r="O494" s="8">
        <f t="shared" si="354"/>
        <v>8.0164197427462336E-2</v>
      </c>
      <c r="P494">
        <f t="shared" si="355"/>
        <v>1.9428886434738777</v>
      </c>
      <c r="Q494">
        <f t="shared" si="371"/>
        <v>2.6505938264420279</v>
      </c>
      <c r="R494" s="89">
        <f t="shared" si="343"/>
        <v>5000</v>
      </c>
      <c r="S494">
        <f t="shared" si="344"/>
        <v>0.75</v>
      </c>
      <c r="U494">
        <f>O493*AV493*'Real assumptions'!$B$33/12+AX494*'Real assumptions'!$B$34</f>
        <v>1.3717786128007017</v>
      </c>
      <c r="V494">
        <f>IF(P494=0,0,IF(E494&lt;=$C$7,$AN$5*O493,0))*'Real assumptions'!$D$28</f>
        <v>0</v>
      </c>
      <c r="X494" s="94">
        <f t="shared" si="356"/>
        <v>0</v>
      </c>
      <c r="Y494">
        <f t="shared" si="345"/>
        <v>24</v>
      </c>
      <c r="Z494">
        <f t="shared" si="372"/>
        <v>58</v>
      </c>
      <c r="AA494">
        <f t="shared" si="346"/>
        <v>58.75</v>
      </c>
      <c r="AB494">
        <f t="shared" si="357"/>
        <v>50.505050505050505</v>
      </c>
      <c r="AC494">
        <f t="shared" si="384"/>
        <v>2967.1717171717173</v>
      </c>
      <c r="AD494">
        <f t="shared" si="358"/>
        <v>80.505050505050505</v>
      </c>
      <c r="AE494">
        <f t="shared" si="359"/>
        <v>236.48358585858585</v>
      </c>
      <c r="AF494" s="94">
        <f t="shared" si="360"/>
        <v>1796.3446969696968</v>
      </c>
      <c r="AG494">
        <f t="shared" si="373"/>
        <v>0.46593101101241913</v>
      </c>
      <c r="AH494">
        <f t="shared" si="361"/>
        <v>144.00253093565377</v>
      </c>
      <c r="AI494">
        <f>HLOOKUP(AW494,'Real assumptions'!$A$21:$AK$24,2,TRUE)</f>
        <v>0</v>
      </c>
      <c r="AJ494" s="123">
        <f t="shared" si="385"/>
        <v>0</v>
      </c>
      <c r="AK494" s="122">
        <f>(1+HLOOKUP(YEAR(A494),'Real assumptions'!$A$21:$AK$24,2,TRUE)/100)^(1/12)-1</f>
        <v>0</v>
      </c>
      <c r="AL494">
        <f t="shared" si="374"/>
        <v>1.3717786128007017</v>
      </c>
      <c r="AM494">
        <f>('Real assumptions'!$B$33/12)*O493*AV493</f>
        <v>1.3319487956781797</v>
      </c>
      <c r="AN494">
        <f t="shared" si="362"/>
        <v>145.62397889039752</v>
      </c>
      <c r="AO494">
        <f t="shared" si="386"/>
        <v>0</v>
      </c>
      <c r="AP494" s="121">
        <f t="shared" si="363"/>
        <v>0</v>
      </c>
      <c r="AQ494">
        <f t="shared" si="364"/>
        <v>0</v>
      </c>
      <c r="AR494">
        <v>0</v>
      </c>
      <c r="AS494">
        <f t="shared" si="347"/>
        <v>0</v>
      </c>
      <c r="AT494">
        <f t="shared" si="365"/>
        <v>0</v>
      </c>
      <c r="AU494">
        <f>IFERROR(HLOOKUP(B494,'Real assumptions'!$B$43:$AL$44,2,TRUE)*($W$3/$U$2),0)</f>
        <v>0</v>
      </c>
      <c r="AV494">
        <f>AV493*(1+'Real assumptions'!$B$35)^(1/12)</f>
        <v>1.6470259713303173</v>
      </c>
      <c r="AW494">
        <f t="shared" si="348"/>
        <v>2059</v>
      </c>
      <c r="AX494">
        <f t="shared" si="375"/>
        <v>145.39358305786442</v>
      </c>
      <c r="AY494">
        <f t="shared" si="376"/>
        <v>0.34071419814005988</v>
      </c>
      <c r="AZ494">
        <f t="shared" si="349"/>
        <v>313.32507676836519</v>
      </c>
      <c r="BA494">
        <f t="shared" si="366"/>
        <v>3.1165248374544472</v>
      </c>
      <c r="BB494">
        <f t="shared" si="367"/>
        <v>58.75</v>
      </c>
      <c r="BC494">
        <f t="shared" si="350"/>
        <v>35.25</v>
      </c>
      <c r="BD494">
        <f t="shared" si="368"/>
        <v>0</v>
      </c>
      <c r="BE494">
        <f t="shared" si="351"/>
        <v>24</v>
      </c>
      <c r="BF494">
        <f t="shared" si="377"/>
        <v>5000</v>
      </c>
      <c r="BU494"/>
      <c r="DW494" s="89"/>
      <c r="DX494" s="89"/>
      <c r="FD494"/>
      <c r="FE494"/>
    </row>
    <row r="495" spans="1:161" x14ac:dyDescent="0.25">
      <c r="A495" s="7">
        <f t="shared" si="369"/>
        <v>58165</v>
      </c>
      <c r="B495">
        <f t="shared" si="352"/>
        <v>484</v>
      </c>
      <c r="C495">
        <f t="shared" si="378"/>
        <v>40.25</v>
      </c>
      <c r="D495">
        <f t="shared" si="379"/>
        <v>0</v>
      </c>
      <c r="E495">
        <f t="shared" si="353"/>
        <v>92</v>
      </c>
      <c r="F495">
        <f>IF(C495&gt;=$T$2,0,VLOOKUP($E495,EKM_F05!$A$3:$C$128,2,TRUE))</f>
        <v>0.18195397435897434</v>
      </c>
      <c r="G495">
        <f>F495*'Real assumptions'!$B$3</f>
        <v>7.5929393499999998E-2</v>
      </c>
      <c r="H495">
        <f t="shared" si="380"/>
        <v>6.5589618473855804E-3</v>
      </c>
      <c r="I495">
        <f t="shared" si="381"/>
        <v>5.249488137572143E-4</v>
      </c>
      <c r="J495">
        <f>IF(B495&gt;$AJ$2,0,HLOOKUP(C495,'Real assumptions'!$B$5:$L$8,4,TRUE))</f>
        <v>3.7900000000000003E-2</v>
      </c>
      <c r="K495">
        <f t="shared" si="342"/>
        <v>1</v>
      </c>
      <c r="L495">
        <f t="shared" si="370"/>
        <v>8.3333333333333329E-2</v>
      </c>
      <c r="M495">
        <f t="shared" si="382"/>
        <v>3.2145624959929453E-3</v>
      </c>
      <c r="N495">
        <f t="shared" si="383"/>
        <v>2.5684772387589818E-4</v>
      </c>
      <c r="O495" s="8">
        <f t="shared" si="354"/>
        <v>7.938240088982923E-2</v>
      </c>
      <c r="P495">
        <f t="shared" si="355"/>
        <v>1.9239407382590961</v>
      </c>
      <c r="Q495">
        <f t="shared" si="371"/>
        <v>2.6247440687860717</v>
      </c>
      <c r="R495" s="89">
        <f t="shared" si="343"/>
        <v>5000</v>
      </c>
      <c r="S495">
        <f t="shared" si="344"/>
        <v>0.6666666666666643</v>
      </c>
      <c r="U495">
        <f>O494*AV494*'Real assumptions'!$B$33/12+AX495*'Real assumptions'!$B$34</f>
        <v>1.3598663235785282</v>
      </c>
      <c r="V495">
        <f>IF(P495=0,0,IF(E495&lt;=$C$7,$AN$5*O494,0))*'Real assumptions'!$D$28</f>
        <v>0</v>
      </c>
      <c r="X495" s="94">
        <f t="shared" si="356"/>
        <v>0</v>
      </c>
      <c r="Y495">
        <f t="shared" si="345"/>
        <v>24</v>
      </c>
      <c r="Z495">
        <f t="shared" si="372"/>
        <v>58</v>
      </c>
      <c r="AA495">
        <f t="shared" si="346"/>
        <v>58.666666666666664</v>
      </c>
      <c r="AB495">
        <f t="shared" si="357"/>
        <v>50.505050505050505</v>
      </c>
      <c r="AC495">
        <f t="shared" si="384"/>
        <v>2962.962962962963</v>
      </c>
      <c r="AD495">
        <f t="shared" si="358"/>
        <v>80.505050505050505</v>
      </c>
      <c r="AE495">
        <f t="shared" si="359"/>
        <v>236.14814814814812</v>
      </c>
      <c r="AF495" s="94">
        <f t="shared" si="360"/>
        <v>1800.8888888888889</v>
      </c>
      <c r="AG495">
        <f t="shared" si="373"/>
        <v>0.46255421206450642</v>
      </c>
      <c r="AH495">
        <f t="shared" si="361"/>
        <v>142.9588837358169</v>
      </c>
      <c r="AI495">
        <f>HLOOKUP(AW495,'Real assumptions'!$A$21:$AK$24,2,TRUE)</f>
        <v>0</v>
      </c>
      <c r="AJ495" s="123">
        <f t="shared" si="385"/>
        <v>0</v>
      </c>
      <c r="AK495" s="122">
        <f>(1+HLOOKUP(YEAR(A495),'Real assumptions'!$A$21:$AK$24,2,TRUE)/100)^(1/12)-1</f>
        <v>0</v>
      </c>
      <c r="AL495">
        <f t="shared" si="374"/>
        <v>1.3598663235785282</v>
      </c>
      <c r="AM495">
        <f>('Real assumptions'!$B$33/12)*O494*AV494</f>
        <v>1.3203251513388148</v>
      </c>
      <c r="AN495">
        <f t="shared" si="362"/>
        <v>144.56660535033433</v>
      </c>
      <c r="AO495">
        <f t="shared" si="386"/>
        <v>0</v>
      </c>
      <c r="AP495" s="121">
        <f t="shared" si="363"/>
        <v>0</v>
      </c>
      <c r="AQ495">
        <f t="shared" si="364"/>
        <v>0</v>
      </c>
      <c r="AR495">
        <v>0</v>
      </c>
      <c r="AS495">
        <f t="shared" si="347"/>
        <v>0</v>
      </c>
      <c r="AT495">
        <f t="shared" si="365"/>
        <v>0</v>
      </c>
      <c r="AU495">
        <f>IFERROR(HLOOKUP(B495,'Real assumptions'!$B$43:$AL$44,2,TRUE)*($W$3/$U$2),0)</f>
        <v>0</v>
      </c>
      <c r="AV495">
        <f>AV494*(1+'Real assumptions'!$B$35)^(1/12)</f>
        <v>1.6487318719162274</v>
      </c>
      <c r="AW495">
        <f t="shared" si="348"/>
        <v>2059</v>
      </c>
      <c r="AX495">
        <f t="shared" si="375"/>
        <v>144.33992233896799</v>
      </c>
      <c r="AY495">
        <f t="shared" si="376"/>
        <v>0.33739140331423539</v>
      </c>
      <c r="AZ495">
        <f t="shared" si="349"/>
        <v>310.80185290219521</v>
      </c>
      <c r="BA495">
        <f t="shared" si="366"/>
        <v>3.087298280850578</v>
      </c>
      <c r="BB495">
        <f t="shared" si="367"/>
        <v>58.666666666666664</v>
      </c>
      <c r="BC495">
        <f t="shared" si="350"/>
        <v>35.199999999999996</v>
      </c>
      <c r="BD495">
        <f t="shared" si="368"/>
        <v>0</v>
      </c>
      <c r="BE495">
        <f t="shared" si="351"/>
        <v>24</v>
      </c>
      <c r="BF495">
        <f t="shared" si="377"/>
        <v>5000</v>
      </c>
      <c r="BU495"/>
      <c r="DW495" s="89"/>
      <c r="DX495" s="89"/>
      <c r="FD495"/>
      <c r="FE495"/>
    </row>
    <row r="496" spans="1:161" x14ac:dyDescent="0.25">
      <c r="A496" s="7">
        <f t="shared" si="369"/>
        <v>58195</v>
      </c>
      <c r="B496">
        <f t="shared" si="352"/>
        <v>485</v>
      </c>
      <c r="C496">
        <f t="shared" si="378"/>
        <v>40.333333333333336</v>
      </c>
      <c r="D496">
        <f t="shared" si="379"/>
        <v>0</v>
      </c>
      <c r="E496">
        <f t="shared" si="353"/>
        <v>92</v>
      </c>
      <c r="F496">
        <f>IF(C496&gt;=$T$2,0,VLOOKUP($E496,EKM_F05!$A$3:$C$128,2,TRUE))</f>
        <v>0.18195397435897434</v>
      </c>
      <c r="G496">
        <f>F496*'Real assumptions'!$B$3</f>
        <v>7.5929393499999998E-2</v>
      </c>
      <c r="H496">
        <f t="shared" si="380"/>
        <v>6.5589618473855804E-3</v>
      </c>
      <c r="I496">
        <f t="shared" si="381"/>
        <v>5.1982928186891284E-4</v>
      </c>
      <c r="J496">
        <f>IF(B496&gt;$AJ$2,0,HLOOKUP(C496,'Real assumptions'!$B$5:$L$8,4,TRUE))</f>
        <v>3.7900000000000003E-2</v>
      </c>
      <c r="K496">
        <f t="shared" si="342"/>
        <v>1</v>
      </c>
      <c r="L496">
        <f t="shared" si="370"/>
        <v>8.3333333333333329E-2</v>
      </c>
      <c r="M496">
        <f t="shared" si="382"/>
        <v>3.2145624959929453E-3</v>
      </c>
      <c r="N496">
        <f t="shared" si="383"/>
        <v>2.5434283182097772E-4</v>
      </c>
      <c r="O496" s="8">
        <f t="shared" si="354"/>
        <v>7.8608228776139336E-2</v>
      </c>
      <c r="P496">
        <f t="shared" si="355"/>
        <v>1.9051776213559015</v>
      </c>
      <c r="Q496">
        <f t="shared" si="371"/>
        <v>2.5991464093445642</v>
      </c>
      <c r="R496" s="89">
        <f t="shared" si="343"/>
        <v>5000</v>
      </c>
      <c r="S496">
        <f t="shared" si="344"/>
        <v>0.5833333333333357</v>
      </c>
      <c r="U496">
        <f>O495*AV495*'Real assumptions'!$B$33/12+AX496*'Real assumptions'!$B$34</f>
        <v>1.3480573132862723</v>
      </c>
      <c r="V496">
        <f>IF(P496=0,0,IF(E496&lt;=$C$7,$AN$5*O495,0))*'Real assumptions'!$D$28</f>
        <v>0</v>
      </c>
      <c r="X496" s="94">
        <f t="shared" si="356"/>
        <v>0</v>
      </c>
      <c r="Y496">
        <f t="shared" si="345"/>
        <v>24</v>
      </c>
      <c r="Z496">
        <f t="shared" si="372"/>
        <v>58</v>
      </c>
      <c r="AA496">
        <f t="shared" si="346"/>
        <v>58.583333333333336</v>
      </c>
      <c r="AB496">
        <f t="shared" si="357"/>
        <v>50.505050505050505</v>
      </c>
      <c r="AC496">
        <f t="shared" si="384"/>
        <v>2958.7542087542088</v>
      </c>
      <c r="AD496">
        <f t="shared" si="358"/>
        <v>80.505050505050505</v>
      </c>
      <c r="AE496">
        <f t="shared" si="359"/>
        <v>235.81271043771045</v>
      </c>
      <c r="AF496" s="94">
        <f t="shared" si="360"/>
        <v>1805.4330808080808</v>
      </c>
      <c r="AG496">
        <f t="shared" si="373"/>
        <v>0.45919896243599939</v>
      </c>
      <c r="AH496">
        <f t="shared" si="361"/>
        <v>141.92189665617167</v>
      </c>
      <c r="AI496">
        <f>HLOOKUP(AW496,'Real assumptions'!$A$21:$AK$24,2,TRUE)</f>
        <v>0</v>
      </c>
      <c r="AJ496" s="123">
        <f t="shared" si="385"/>
        <v>0</v>
      </c>
      <c r="AK496" s="122">
        <f>(1+HLOOKUP(YEAR(A496),'Real assumptions'!$A$21:$AK$24,2,TRUE)/100)^(1/12)-1</f>
        <v>0</v>
      </c>
      <c r="AL496">
        <f t="shared" si="374"/>
        <v>1.3480573132862723</v>
      </c>
      <c r="AM496">
        <f>('Real assumptions'!$B$33/12)*O495*AV495</f>
        <v>1.3088029441629254</v>
      </c>
      <c r="AN496">
        <f t="shared" si="362"/>
        <v>143.51600404388654</v>
      </c>
      <c r="AO496">
        <f t="shared" si="386"/>
        <v>0</v>
      </c>
      <c r="AP496" s="121">
        <f t="shared" si="363"/>
        <v>0</v>
      </c>
      <c r="AQ496">
        <f t="shared" si="364"/>
        <v>0</v>
      </c>
      <c r="AR496">
        <v>0</v>
      </c>
      <c r="AS496">
        <f t="shared" si="347"/>
        <v>0</v>
      </c>
      <c r="AT496">
        <f t="shared" si="365"/>
        <v>0</v>
      </c>
      <c r="AU496">
        <f>IFERROR(HLOOKUP(B496,'Real assumptions'!$B$43:$AL$44,2,TRUE)*($W$3/$U$2),0)</f>
        <v>0</v>
      </c>
      <c r="AV496">
        <f>AV495*(1+'Real assumptions'!$B$35)^(1/12)</f>
        <v>1.6504395393818707</v>
      </c>
      <c r="AW496">
        <f t="shared" si="348"/>
        <v>2059</v>
      </c>
      <c r="AX496">
        <f t="shared" si="375"/>
        <v>143.29298474966299</v>
      </c>
      <c r="AY496">
        <f t="shared" si="376"/>
        <v>0.3341010138460826</v>
      </c>
      <c r="AZ496">
        <f t="shared" si="349"/>
        <v>308.30062783848427</v>
      </c>
      <c r="BA496">
        <f t="shared" si="366"/>
        <v>3.0583453717805638</v>
      </c>
      <c r="BB496">
        <f t="shared" si="367"/>
        <v>58.583333333333336</v>
      </c>
      <c r="BC496">
        <f t="shared" si="350"/>
        <v>35.15</v>
      </c>
      <c r="BD496">
        <f t="shared" si="368"/>
        <v>0</v>
      </c>
      <c r="BE496">
        <f t="shared" si="351"/>
        <v>24</v>
      </c>
      <c r="BF496">
        <f t="shared" si="377"/>
        <v>5000</v>
      </c>
      <c r="BU496"/>
      <c r="DW496" s="89"/>
      <c r="DX496" s="89"/>
      <c r="FD496"/>
      <c r="FE496"/>
    </row>
    <row r="497" spans="1:161" x14ac:dyDescent="0.25">
      <c r="A497" s="7">
        <f t="shared" si="369"/>
        <v>58226</v>
      </c>
      <c r="B497">
        <f t="shared" si="352"/>
        <v>486</v>
      </c>
      <c r="C497">
        <f t="shared" si="378"/>
        <v>40.416666666666664</v>
      </c>
      <c r="D497">
        <f t="shared" si="379"/>
        <v>0</v>
      </c>
      <c r="E497">
        <f t="shared" si="353"/>
        <v>92</v>
      </c>
      <c r="F497">
        <f>IF(C497&gt;=$T$2,0,VLOOKUP($E497,EKM_F05!$A$3:$C$128,2,TRUE))</f>
        <v>0.18195397435897434</v>
      </c>
      <c r="G497">
        <f>F497*'Real assumptions'!$B$3</f>
        <v>7.5929393499999998E-2</v>
      </c>
      <c r="H497">
        <f t="shared" si="380"/>
        <v>6.5589618473855804E-3</v>
      </c>
      <c r="I497">
        <f t="shared" si="381"/>
        <v>5.1475967790895092E-4</v>
      </c>
      <c r="J497">
        <f>IF(B497&gt;$AJ$2,0,HLOOKUP(C497,'Real assumptions'!$B$5:$L$8,4,TRUE))</f>
        <v>3.7900000000000003E-2</v>
      </c>
      <c r="K497">
        <f t="shared" si="342"/>
        <v>1</v>
      </c>
      <c r="L497">
        <f t="shared" si="370"/>
        <v>8.3333333333333329E-2</v>
      </c>
      <c r="M497">
        <f t="shared" si="382"/>
        <v>3.2145624959929453E-3</v>
      </c>
      <c r="N497">
        <f t="shared" si="383"/>
        <v>2.5186236857590666E-4</v>
      </c>
      <c r="O497" s="8">
        <f t="shared" si="354"/>
        <v>7.7841606729654469E-2</v>
      </c>
      <c r="P497">
        <f t="shared" si="355"/>
        <v>1.8865974906273442</v>
      </c>
      <c r="Q497">
        <f t="shared" si="371"/>
        <v>2.5737983895447547</v>
      </c>
      <c r="R497" s="89">
        <f t="shared" si="343"/>
        <v>5000</v>
      </c>
      <c r="S497">
        <f t="shared" si="344"/>
        <v>0.5</v>
      </c>
      <c r="U497">
        <f>O496*AV496*'Real assumptions'!$B$33/12+AX497*'Real assumptions'!$B$34</f>
        <v>1.3363506882321896</v>
      </c>
      <c r="V497">
        <f>IF(P497=0,0,IF(E497&lt;=$C$7,$AN$5*O496,0))*'Real assumptions'!$D$28</f>
        <v>0</v>
      </c>
      <c r="X497" s="94">
        <f t="shared" si="356"/>
        <v>0</v>
      </c>
      <c r="Y497">
        <f t="shared" si="345"/>
        <v>24</v>
      </c>
      <c r="Z497">
        <f t="shared" si="372"/>
        <v>58</v>
      </c>
      <c r="AA497">
        <f t="shared" si="346"/>
        <v>58.5</v>
      </c>
      <c r="AB497">
        <f t="shared" si="357"/>
        <v>50.505050505050505</v>
      </c>
      <c r="AC497">
        <f t="shared" si="384"/>
        <v>2954.5454545454545</v>
      </c>
      <c r="AD497">
        <f t="shared" si="358"/>
        <v>80.505050505050505</v>
      </c>
      <c r="AE497">
        <f t="shared" si="359"/>
        <v>235.47727272727272</v>
      </c>
      <c r="AF497" s="94">
        <f t="shared" si="360"/>
        <v>1809.9772727272727</v>
      </c>
      <c r="AG497">
        <f t="shared" si="373"/>
        <v>0.45586516297765067</v>
      </c>
      <c r="AH497">
        <f t="shared" si="361"/>
        <v>140.89153905324892</v>
      </c>
      <c r="AI497">
        <f>HLOOKUP(AW497,'Real assumptions'!$A$21:$AK$24,2,TRUE)</f>
        <v>0</v>
      </c>
      <c r="AJ497" s="123">
        <f t="shared" si="385"/>
        <v>0</v>
      </c>
      <c r="AK497" s="122">
        <f>(1+HLOOKUP(YEAR(A497),'Real assumptions'!$A$21:$AK$24,2,TRUE)/100)^(1/12)-1</f>
        <v>0</v>
      </c>
      <c r="AL497">
        <f t="shared" si="374"/>
        <v>1.3363506882321896</v>
      </c>
      <c r="AM497">
        <f>('Real assumptions'!$B$33/12)*O496*AV496</f>
        <v>1.2973812889291612</v>
      </c>
      <c r="AN497">
        <f t="shared" si="362"/>
        <v>142.47214345856682</v>
      </c>
      <c r="AO497">
        <f t="shared" si="386"/>
        <v>0</v>
      </c>
      <c r="AP497" s="121">
        <f t="shared" si="363"/>
        <v>0</v>
      </c>
      <c r="AQ497">
        <f t="shared" si="364"/>
        <v>0</v>
      </c>
      <c r="AR497">
        <v>0</v>
      </c>
      <c r="AS497">
        <f t="shared" si="347"/>
        <v>0</v>
      </c>
      <c r="AT497">
        <f t="shared" si="365"/>
        <v>0</v>
      </c>
      <c r="AU497">
        <f>IFERROR(HLOOKUP(B497,'Real assumptions'!$B$43:$AL$44,2,TRUE)*($W$3/$U$2),0)</f>
        <v>0</v>
      </c>
      <c r="AV497">
        <f>AV496*(1+'Real assumptions'!$B$35)^(1/12)</f>
        <v>1.652148975557286</v>
      </c>
      <c r="AW497">
        <f t="shared" si="348"/>
        <v>2059</v>
      </c>
      <c r="AX497">
        <f t="shared" si="375"/>
        <v>142.25273936987597</v>
      </c>
      <c r="AY497">
        <f t="shared" si="376"/>
        <v>0.33084271370429014</v>
      </c>
      <c r="AZ497">
        <f t="shared" si="349"/>
        <v>305.82121108835707</v>
      </c>
      <c r="BA497">
        <f t="shared" si="366"/>
        <v>3.0296635525224054</v>
      </c>
      <c r="BB497">
        <f t="shared" si="367"/>
        <v>58.5</v>
      </c>
      <c r="BC497">
        <f t="shared" si="350"/>
        <v>35.099999999999994</v>
      </c>
      <c r="BD497">
        <f t="shared" si="368"/>
        <v>0</v>
      </c>
      <c r="BE497">
        <f t="shared" si="351"/>
        <v>24</v>
      </c>
      <c r="BF497">
        <f t="shared" si="377"/>
        <v>5000</v>
      </c>
      <c r="BU497"/>
      <c r="DW497" s="89"/>
      <c r="DX497" s="89"/>
      <c r="FD497"/>
      <c r="FE497"/>
    </row>
    <row r="498" spans="1:161" x14ac:dyDescent="0.25">
      <c r="A498" s="7">
        <f t="shared" si="369"/>
        <v>58256</v>
      </c>
      <c r="B498">
        <f t="shared" si="352"/>
        <v>487</v>
      </c>
      <c r="C498">
        <f t="shared" si="378"/>
        <v>40.5</v>
      </c>
      <c r="D498">
        <f t="shared" si="379"/>
        <v>0</v>
      </c>
      <c r="E498">
        <f t="shared" si="353"/>
        <v>92</v>
      </c>
      <c r="F498">
        <f>IF(C498&gt;=$T$2,0,VLOOKUP($E498,EKM_F05!$A$3:$C$128,2,TRUE))</f>
        <v>0.18195397435897434</v>
      </c>
      <c r="G498">
        <f>F498*'Real assumptions'!$B$3</f>
        <v>7.5929393499999998E-2</v>
      </c>
      <c r="H498">
        <f t="shared" si="380"/>
        <v>6.5589618473855804E-3</v>
      </c>
      <c r="I498">
        <f t="shared" si="381"/>
        <v>5.0973951495819592E-4</v>
      </c>
      <c r="J498">
        <f>IF(B498&gt;$AJ$2,0,HLOOKUP(C498,'Real assumptions'!$B$5:$L$8,4,TRUE))</f>
        <v>3.7900000000000003E-2</v>
      </c>
      <c r="K498">
        <f t="shared" si="342"/>
        <v>1</v>
      </c>
      <c r="L498">
        <f t="shared" si="370"/>
        <v>8.3333333333333329E-2</v>
      </c>
      <c r="M498">
        <f t="shared" si="382"/>
        <v>3.2145624959929453E-3</v>
      </c>
      <c r="N498">
        <f t="shared" si="383"/>
        <v>2.4940609590017889E-4</v>
      </c>
      <c r="O498" s="8">
        <f t="shared" si="354"/>
        <v>7.7082461118796089E-2</v>
      </c>
      <c r="P498">
        <f t="shared" si="355"/>
        <v>1.8681985615117074</v>
      </c>
      <c r="Q498">
        <f t="shared" si="371"/>
        <v>2.5486975747909795</v>
      </c>
      <c r="R498" s="89">
        <f t="shared" si="343"/>
        <v>5000</v>
      </c>
      <c r="S498">
        <f t="shared" si="344"/>
        <v>0.4166666666666643</v>
      </c>
      <c r="U498">
        <f>O497*AV497*'Real assumptions'!$B$33/12+AX498*'Real assumptions'!$B$34</f>
        <v>1.3247455624397255</v>
      </c>
      <c r="V498">
        <f>IF(P498=0,0,IF(E498&lt;=$C$7,$AN$5*O497,0))*'Real assumptions'!$D$28</f>
        <v>0</v>
      </c>
      <c r="X498" s="94">
        <f t="shared" si="356"/>
        <v>0</v>
      </c>
      <c r="Y498">
        <f t="shared" si="345"/>
        <v>24</v>
      </c>
      <c r="Z498">
        <f t="shared" si="372"/>
        <v>58</v>
      </c>
      <c r="AA498">
        <f t="shared" si="346"/>
        <v>58.416666666666664</v>
      </c>
      <c r="AB498">
        <f t="shared" si="357"/>
        <v>50.505050505050505</v>
      </c>
      <c r="AC498">
        <f t="shared" si="384"/>
        <v>2950.3367003367002</v>
      </c>
      <c r="AD498">
        <f t="shared" si="358"/>
        <v>80.505050505050505</v>
      </c>
      <c r="AE498">
        <f t="shared" si="359"/>
        <v>235.14183501683499</v>
      </c>
      <c r="AF498" s="94">
        <f t="shared" si="360"/>
        <v>1814.5214646464647</v>
      </c>
      <c r="AG498">
        <f t="shared" si="373"/>
        <v>0.4525527144245492</v>
      </c>
      <c r="AH498">
        <f t="shared" si="361"/>
        <v>139.86778024783206</v>
      </c>
      <c r="AI498">
        <f>HLOOKUP(AW498,'Real assumptions'!$A$21:$AK$24,2,TRUE)</f>
        <v>0</v>
      </c>
      <c r="AJ498" s="123">
        <f t="shared" si="385"/>
        <v>0</v>
      </c>
      <c r="AK498" s="122">
        <f>(1+HLOOKUP(YEAR(A498),'Real assumptions'!$A$21:$AK$24,2,TRUE)/100)^(1/12)-1</f>
        <v>0</v>
      </c>
      <c r="AL498">
        <f t="shared" si="374"/>
        <v>1.3247455624397255</v>
      </c>
      <c r="AM498">
        <f>('Real assumptions'!$B$33/12)*O497*AV497</f>
        <v>1.2860593081413176</v>
      </c>
      <c r="AN498">
        <f t="shared" si="362"/>
        <v>141.43499205232092</v>
      </c>
      <c r="AO498">
        <f t="shared" si="386"/>
        <v>0</v>
      </c>
      <c r="AP498" s="121">
        <f t="shared" si="363"/>
        <v>0</v>
      </c>
      <c r="AQ498">
        <f t="shared" si="364"/>
        <v>0</v>
      </c>
      <c r="AR498">
        <v>0</v>
      </c>
      <c r="AS498">
        <f t="shared" si="347"/>
        <v>0</v>
      </c>
      <c r="AT498">
        <f t="shared" si="365"/>
        <v>0</v>
      </c>
      <c r="AU498">
        <f>IFERROR(HLOOKUP(B498,'Real assumptions'!$B$43:$AL$44,2,TRUE)*($W$3/$U$2),0)</f>
        <v>0</v>
      </c>
      <c r="AV498">
        <f>AV497*(1+'Real assumptions'!$B$35)^(1/12)</f>
        <v>1.6538601822744075</v>
      </c>
      <c r="AW498">
        <f t="shared" si="348"/>
        <v>2059</v>
      </c>
      <c r="AX498">
        <f t="shared" si="375"/>
        <v>141.21915524318854</v>
      </c>
      <c r="AY498">
        <f t="shared" si="376"/>
        <v>0.32761618993962316</v>
      </c>
      <c r="AZ498">
        <f t="shared" si="349"/>
        <v>303.36341379821351</v>
      </c>
      <c r="BA498">
        <f t="shared" si="366"/>
        <v>3.0012502892155286</v>
      </c>
      <c r="BB498">
        <f t="shared" si="367"/>
        <v>58.416666666666664</v>
      </c>
      <c r="BC498">
        <f t="shared" si="350"/>
        <v>35.049999999999997</v>
      </c>
      <c r="BD498">
        <f t="shared" si="368"/>
        <v>0</v>
      </c>
      <c r="BE498">
        <f t="shared" si="351"/>
        <v>24</v>
      </c>
      <c r="BF498">
        <f t="shared" si="377"/>
        <v>5000</v>
      </c>
      <c r="BU498"/>
      <c r="DW498" s="89"/>
      <c r="DX498" s="89"/>
      <c r="FD498"/>
      <c r="FE498"/>
    </row>
    <row r="499" spans="1:161" x14ac:dyDescent="0.25">
      <c r="A499" s="7">
        <f t="shared" si="369"/>
        <v>58287</v>
      </c>
      <c r="B499">
        <f t="shared" si="352"/>
        <v>488</v>
      </c>
      <c r="C499">
        <f t="shared" si="378"/>
        <v>40.583333333333336</v>
      </c>
      <c r="D499">
        <f t="shared" si="379"/>
        <v>0</v>
      </c>
      <c r="E499">
        <f t="shared" si="353"/>
        <v>92</v>
      </c>
      <c r="F499">
        <f>IF(C499&gt;=$T$2,0,VLOOKUP($E499,EKM_F05!$A$3:$C$128,2,TRUE))</f>
        <v>0.18195397435897434</v>
      </c>
      <c r="G499">
        <f>F499*'Real assumptions'!$B$3</f>
        <v>7.5929393499999998E-2</v>
      </c>
      <c r="H499">
        <f t="shared" si="380"/>
        <v>6.5589618473855804E-3</v>
      </c>
      <c r="I499">
        <f t="shared" si="381"/>
        <v>5.047683108461644E-4</v>
      </c>
      <c r="J499">
        <f>IF(B499&gt;$AJ$2,0,HLOOKUP(C499,'Real assumptions'!$B$5:$L$8,4,TRUE))</f>
        <v>3.7900000000000003E-2</v>
      </c>
      <c r="K499">
        <f t="shared" si="342"/>
        <v>1</v>
      </c>
      <c r="L499">
        <f t="shared" si="370"/>
        <v>8.3333333333333329E-2</v>
      </c>
      <c r="M499">
        <f t="shared" si="382"/>
        <v>3.2145624959929453E-3</v>
      </c>
      <c r="N499">
        <f t="shared" si="383"/>
        <v>2.4697377787671475E-4</v>
      </c>
      <c r="O499" s="8">
        <f t="shared" si="354"/>
        <v>7.6330719030073199E-2</v>
      </c>
      <c r="P499">
        <f t="shared" si="355"/>
        <v>1.8499790668511062</v>
      </c>
      <c r="Q499">
        <f t="shared" si="371"/>
        <v>2.5238415542308221</v>
      </c>
      <c r="R499" s="89">
        <f t="shared" si="343"/>
        <v>5000</v>
      </c>
      <c r="S499">
        <f t="shared" si="344"/>
        <v>0.3333333333333357</v>
      </c>
      <c r="U499">
        <f>O498*AV498*'Real assumptions'!$B$33/12+AX499*'Real assumptions'!$B$34</f>
        <v>1.3132410575810991</v>
      </c>
      <c r="V499">
        <f>IF(P499=0,0,IF(E499&lt;=$C$7,$AN$5*O498,0))*'Real assumptions'!$D$28</f>
        <v>0</v>
      </c>
      <c r="X499" s="94">
        <f t="shared" si="356"/>
        <v>0</v>
      </c>
      <c r="Y499">
        <f t="shared" si="345"/>
        <v>24</v>
      </c>
      <c r="Z499">
        <f t="shared" si="372"/>
        <v>58</v>
      </c>
      <c r="AA499">
        <f t="shared" si="346"/>
        <v>58.333333333333336</v>
      </c>
      <c r="AB499">
        <f t="shared" si="357"/>
        <v>50.505050505050505</v>
      </c>
      <c r="AC499">
        <f t="shared" si="384"/>
        <v>2946.1279461279464</v>
      </c>
      <c r="AD499">
        <f t="shared" si="358"/>
        <v>80.505050505050505</v>
      </c>
      <c r="AE499">
        <f t="shared" si="359"/>
        <v>234.80639730639732</v>
      </c>
      <c r="AF499" s="94">
        <f t="shared" si="360"/>
        <v>1819.0656565656564</v>
      </c>
      <c r="AG499">
        <f t="shared" si="373"/>
        <v>0.44926151740780668</v>
      </c>
      <c r="AH499">
        <f t="shared" si="361"/>
        <v>138.85058952856875</v>
      </c>
      <c r="AI499">
        <f>HLOOKUP(AW499,'Real assumptions'!$A$21:$AK$24,2,TRUE)</f>
        <v>0</v>
      </c>
      <c r="AJ499" s="123">
        <f t="shared" si="385"/>
        <v>0</v>
      </c>
      <c r="AK499" s="122">
        <f>(1+HLOOKUP(YEAR(A499),'Real assumptions'!$A$21:$AK$24,2,TRUE)/100)^(1/12)-1</f>
        <v>0</v>
      </c>
      <c r="AL499">
        <f t="shared" si="374"/>
        <v>1.3132410575810991</v>
      </c>
      <c r="AM499">
        <f>('Real assumptions'!$B$33/12)*O498*AV498</f>
        <v>1.2748361319609203</v>
      </c>
      <c r="AN499">
        <f t="shared" si="362"/>
        <v>140.40451825710207</v>
      </c>
      <c r="AO499">
        <f t="shared" si="386"/>
        <v>0</v>
      </c>
      <c r="AP499" s="121">
        <f t="shared" si="363"/>
        <v>0</v>
      </c>
      <c r="AQ499">
        <f t="shared" si="364"/>
        <v>0</v>
      </c>
      <c r="AR499">
        <v>0</v>
      </c>
      <c r="AS499">
        <f t="shared" si="347"/>
        <v>0</v>
      </c>
      <c r="AT499">
        <f t="shared" si="365"/>
        <v>0</v>
      </c>
      <c r="AU499">
        <f>IFERROR(HLOOKUP(B499,'Real assumptions'!$B$43:$AL$44,2,TRUE)*($W$3/$U$2),0)</f>
        <v>0</v>
      </c>
      <c r="AV499">
        <f>AV498*(1+'Real assumptions'!$B$35)^(1/12)</f>
        <v>1.6555731613670666</v>
      </c>
      <c r="AW499">
        <f t="shared" si="348"/>
        <v>2059</v>
      </c>
      <c r="AX499">
        <f t="shared" si="375"/>
        <v>140.19220138048692</v>
      </c>
      <c r="AY499">
        <f t="shared" si="376"/>
        <v>0.32442113265486566</v>
      </c>
      <c r="AZ499">
        <f t="shared" si="349"/>
        <v>300.92704873584495</v>
      </c>
      <c r="BA499">
        <f t="shared" si="366"/>
        <v>2.9731030716386289</v>
      </c>
      <c r="BB499">
        <f t="shared" si="367"/>
        <v>58.333333333333336</v>
      </c>
      <c r="BC499">
        <f t="shared" si="350"/>
        <v>35</v>
      </c>
      <c r="BD499">
        <f t="shared" si="368"/>
        <v>0</v>
      </c>
      <c r="BE499">
        <f t="shared" si="351"/>
        <v>24</v>
      </c>
      <c r="BF499">
        <f t="shared" si="377"/>
        <v>5000</v>
      </c>
      <c r="BU499"/>
      <c r="DW499" s="89"/>
      <c r="DX499" s="89"/>
      <c r="FD499"/>
      <c r="FE499"/>
    </row>
    <row r="500" spans="1:161" x14ac:dyDescent="0.25">
      <c r="A500" s="7">
        <f t="shared" si="369"/>
        <v>58318</v>
      </c>
      <c r="B500">
        <f t="shared" si="352"/>
        <v>489</v>
      </c>
      <c r="C500">
        <f t="shared" si="378"/>
        <v>40.666666666666664</v>
      </c>
      <c r="D500">
        <f t="shared" si="379"/>
        <v>0</v>
      </c>
      <c r="E500">
        <f t="shared" si="353"/>
        <v>92</v>
      </c>
      <c r="F500">
        <f>IF(C500&gt;=$T$2,0,VLOOKUP($E500,EKM_F05!$A$3:$C$128,2,TRUE))</f>
        <v>0.18195397435897434</v>
      </c>
      <c r="G500">
        <f>F500*'Real assumptions'!$B$3</f>
        <v>7.5929393499999998E-2</v>
      </c>
      <c r="H500">
        <f t="shared" si="380"/>
        <v>6.5589618473855804E-3</v>
      </c>
      <c r="I500">
        <f t="shared" si="381"/>
        <v>4.9984558810471202E-4</v>
      </c>
      <c r="J500">
        <f>IF(B500&gt;$AJ$2,0,HLOOKUP(C500,'Real assumptions'!$B$5:$L$8,4,TRUE))</f>
        <v>3.7900000000000003E-2</v>
      </c>
      <c r="K500">
        <f t="shared" si="342"/>
        <v>1</v>
      </c>
      <c r="L500">
        <f t="shared" si="370"/>
        <v>8.3333333333333329E-2</v>
      </c>
      <c r="M500">
        <f t="shared" si="382"/>
        <v>3.2145624959929453E-3</v>
      </c>
      <c r="N500">
        <f t="shared" si="383"/>
        <v>2.445651808892017E-4</v>
      </c>
      <c r="O500" s="8">
        <f t="shared" si="354"/>
        <v>7.5586308261079274E-2</v>
      </c>
      <c r="P500">
        <f t="shared" si="355"/>
        <v>1.8319372567217567</v>
      </c>
      <c r="Q500">
        <f t="shared" si="371"/>
        <v>2.4992279405235602</v>
      </c>
      <c r="R500" s="89">
        <f t="shared" si="343"/>
        <v>5000</v>
      </c>
      <c r="S500">
        <f t="shared" si="344"/>
        <v>0.25</v>
      </c>
      <c r="U500">
        <f>O499*AV499*'Real assumptions'!$B$33/12+AX500*'Real assumptions'!$B$34</f>
        <v>1.3018363029114546</v>
      </c>
      <c r="V500">
        <f>IF(P500=0,0,IF(E500&lt;=$C$7,$AN$5*O499,0))*'Real assumptions'!$D$28</f>
        <v>0</v>
      </c>
      <c r="X500" s="94">
        <f t="shared" si="356"/>
        <v>0</v>
      </c>
      <c r="Y500">
        <f t="shared" si="345"/>
        <v>24</v>
      </c>
      <c r="Z500">
        <f t="shared" si="372"/>
        <v>58</v>
      </c>
      <c r="AA500">
        <f t="shared" si="346"/>
        <v>58.25</v>
      </c>
      <c r="AB500">
        <f t="shared" si="357"/>
        <v>50.505050505050505</v>
      </c>
      <c r="AC500">
        <f t="shared" si="384"/>
        <v>2941.9191919191921</v>
      </c>
      <c r="AD500">
        <f t="shared" si="358"/>
        <v>80.505050505050505</v>
      </c>
      <c r="AE500">
        <f t="shared" si="359"/>
        <v>234.47095959595958</v>
      </c>
      <c r="AF500" s="94">
        <f t="shared" si="360"/>
        <v>1823.6098484848483</v>
      </c>
      <c r="AG500">
        <f t="shared" si="373"/>
        <v>0.44599147246602661</v>
      </c>
      <c r="AH500">
        <f t="shared" si="361"/>
        <v>137.8399361555158</v>
      </c>
      <c r="AI500">
        <f>HLOOKUP(AW500,'Real assumptions'!$A$21:$AK$24,2,TRUE)</f>
        <v>0</v>
      </c>
      <c r="AJ500" s="123">
        <f t="shared" si="385"/>
        <v>0</v>
      </c>
      <c r="AK500" s="122">
        <f>(1+HLOOKUP(YEAR(A500),'Real assumptions'!$A$21:$AK$24,2,TRUE)/100)^(1/12)-1</f>
        <v>0</v>
      </c>
      <c r="AL500">
        <f t="shared" si="374"/>
        <v>1.3018363029114546</v>
      </c>
      <c r="AM500">
        <f>('Real assumptions'!$B$33/12)*O499*AV499</f>
        <v>1.2637108981403959</v>
      </c>
      <c r="AN500">
        <f t="shared" si="362"/>
        <v>139.38069048237904</v>
      </c>
      <c r="AO500">
        <f t="shared" si="386"/>
        <v>0</v>
      </c>
      <c r="AP500" s="121">
        <f t="shared" si="363"/>
        <v>0</v>
      </c>
      <c r="AQ500">
        <f t="shared" si="364"/>
        <v>0</v>
      </c>
      <c r="AR500">
        <v>0</v>
      </c>
      <c r="AS500">
        <f t="shared" si="347"/>
        <v>0</v>
      </c>
      <c r="AT500">
        <f t="shared" si="365"/>
        <v>0</v>
      </c>
      <c r="AU500">
        <f>IFERROR(HLOOKUP(B500,'Real assumptions'!$B$43:$AL$44,2,TRUE)*($W$3/$U$2),0)</f>
        <v>0</v>
      </c>
      <c r="AV500">
        <f>AV499*(1+'Real assumptions'!$B$35)^(1/12)</f>
        <v>1.657287914670994</v>
      </c>
      <c r="AW500">
        <f t="shared" si="348"/>
        <v>2059</v>
      </c>
      <c r="AX500">
        <f t="shared" si="375"/>
        <v>139.17184676354381</v>
      </c>
      <c r="AY500">
        <f t="shared" si="376"/>
        <v>0.32125723497505554</v>
      </c>
      <c r="AZ500">
        <f t="shared" si="349"/>
        <v>298.51193027666568</v>
      </c>
      <c r="BA500">
        <f t="shared" si="366"/>
        <v>2.9452194129895868</v>
      </c>
      <c r="BB500">
        <f t="shared" si="367"/>
        <v>58.25</v>
      </c>
      <c r="BC500">
        <f t="shared" si="350"/>
        <v>34.950000000000003</v>
      </c>
      <c r="BD500">
        <f t="shared" si="368"/>
        <v>0</v>
      </c>
      <c r="BE500">
        <f t="shared" si="351"/>
        <v>24</v>
      </c>
      <c r="BF500">
        <f t="shared" si="377"/>
        <v>5000</v>
      </c>
      <c r="BU500"/>
      <c r="DW500" s="89"/>
      <c r="DX500" s="89"/>
      <c r="FD500"/>
      <c r="FE500"/>
    </row>
    <row r="501" spans="1:161" x14ac:dyDescent="0.25">
      <c r="A501" s="7">
        <f t="shared" si="369"/>
        <v>58348</v>
      </c>
      <c r="B501">
        <f t="shared" si="352"/>
        <v>490</v>
      </c>
      <c r="C501">
        <f t="shared" si="378"/>
        <v>40.75</v>
      </c>
      <c r="D501">
        <f t="shared" si="379"/>
        <v>0</v>
      </c>
      <c r="E501">
        <f t="shared" si="353"/>
        <v>92</v>
      </c>
      <c r="F501">
        <f>IF(C501&gt;=$T$2,0,VLOOKUP($E501,EKM_F05!$A$3:$C$128,2,TRUE))</f>
        <v>0.18195397435897434</v>
      </c>
      <c r="G501">
        <f>F501*'Real assumptions'!$B$3</f>
        <v>7.5929393499999998E-2</v>
      </c>
      <c r="H501">
        <f t="shared" si="380"/>
        <v>6.5589618473855804E-3</v>
      </c>
      <c r="I501">
        <f t="shared" si="381"/>
        <v>4.9497087392217363E-4</v>
      </c>
      <c r="J501">
        <f>IF(B501&gt;$AJ$2,0,HLOOKUP(C501,'Real assumptions'!$B$5:$L$8,4,TRUE))</f>
        <v>3.7900000000000003E-2</v>
      </c>
      <c r="K501">
        <f t="shared" si="342"/>
        <v>1</v>
      </c>
      <c r="L501">
        <f t="shared" si="370"/>
        <v>8.3333333333333329E-2</v>
      </c>
      <c r="M501">
        <f t="shared" si="382"/>
        <v>3.2145624959929453E-3</v>
      </c>
      <c r="N501">
        <f t="shared" si="383"/>
        <v>2.4218007359965633E-4</v>
      </c>
      <c r="O501" s="8">
        <f t="shared" si="354"/>
        <v>7.4849157313557443E-2</v>
      </c>
      <c r="P501">
        <f t="shared" si="355"/>
        <v>1.8140713982659027</v>
      </c>
      <c r="Q501">
        <f t="shared" si="371"/>
        <v>2.4748543696108682</v>
      </c>
      <c r="R501" s="89">
        <f t="shared" si="343"/>
        <v>5000</v>
      </c>
      <c r="S501">
        <f t="shared" si="344"/>
        <v>0.1666666666666643</v>
      </c>
      <c r="U501">
        <f>O500*AV500*'Real assumptions'!$B$33/12+AX501*'Real assumptions'!$B$34</f>
        <v>1.2905304352035825</v>
      </c>
      <c r="V501">
        <f>IF(P501=0,0,IF(E501&lt;=$C$7,$AN$5*O500,0))*'Real assumptions'!$D$28</f>
        <v>0</v>
      </c>
      <c r="X501" s="94">
        <f t="shared" si="356"/>
        <v>0</v>
      </c>
      <c r="Y501">
        <f t="shared" si="345"/>
        <v>24</v>
      </c>
      <c r="Z501">
        <f t="shared" si="372"/>
        <v>58</v>
      </c>
      <c r="AA501">
        <f t="shared" si="346"/>
        <v>58.166666666666664</v>
      </c>
      <c r="AB501">
        <f t="shared" si="357"/>
        <v>50.505050505050505</v>
      </c>
      <c r="AC501">
        <f t="shared" si="384"/>
        <v>2937.7104377104374</v>
      </c>
      <c r="AD501">
        <f t="shared" si="358"/>
        <v>80.505050505050505</v>
      </c>
      <c r="AE501">
        <f t="shared" si="359"/>
        <v>234.13552188552185</v>
      </c>
      <c r="AF501" s="94">
        <f t="shared" si="360"/>
        <v>1828.1540404040406</v>
      </c>
      <c r="AG501">
        <f t="shared" si="373"/>
        <v>0.44274248005655964</v>
      </c>
      <c r="AH501">
        <f t="shared" si="361"/>
        <v>136.83578936361769</v>
      </c>
      <c r="AI501">
        <f>HLOOKUP(AW501,'Real assumptions'!$A$21:$AK$24,2,TRUE)</f>
        <v>0</v>
      </c>
      <c r="AJ501" s="123">
        <f t="shared" si="385"/>
        <v>0</v>
      </c>
      <c r="AK501" s="122">
        <f>(1+HLOOKUP(YEAR(A501),'Real assumptions'!$A$21:$AK$24,2,TRUE)/100)^(1/12)-1</f>
        <v>0</v>
      </c>
      <c r="AL501">
        <f t="shared" si="374"/>
        <v>1.2905304352035825</v>
      </c>
      <c r="AM501">
        <f>('Real assumptions'!$B$33/12)*O500*AV500</f>
        <v>1.25268275195683</v>
      </c>
      <c r="AN501">
        <f t="shared" si="362"/>
        <v>138.36347711857812</v>
      </c>
      <c r="AO501">
        <f t="shared" si="386"/>
        <v>0</v>
      </c>
      <c r="AP501" s="121">
        <f t="shared" si="363"/>
        <v>0</v>
      </c>
      <c r="AQ501">
        <f t="shared" si="364"/>
        <v>0</v>
      </c>
      <c r="AR501">
        <v>0</v>
      </c>
      <c r="AS501">
        <f t="shared" si="347"/>
        <v>0</v>
      </c>
      <c r="AT501">
        <f t="shared" si="365"/>
        <v>0</v>
      </c>
      <c r="AU501">
        <f>IFERROR(HLOOKUP(B501,'Real assumptions'!$B$43:$AL$44,2,TRUE)*($W$3/$U$2),0)</f>
        <v>0</v>
      </c>
      <c r="AV501">
        <f>AV500*(1+'Real assumptions'!$B$35)^(1/12)</f>
        <v>1.6590044440238223</v>
      </c>
      <c r="AW501">
        <f t="shared" si="348"/>
        <v>2059</v>
      </c>
      <c r="AX501">
        <f t="shared" si="375"/>
        <v>138.15806034853381</v>
      </c>
      <c r="AY501">
        <f t="shared" si="376"/>
        <v>0.31812419301801037</v>
      </c>
      <c r="AZ501">
        <f t="shared" si="349"/>
        <v>296.11787439006059</v>
      </c>
      <c r="BA501">
        <f t="shared" si="366"/>
        <v>2.917596849667428</v>
      </c>
      <c r="BB501">
        <f t="shared" si="367"/>
        <v>58.166666666666664</v>
      </c>
      <c r="BC501">
        <f t="shared" si="350"/>
        <v>34.9</v>
      </c>
      <c r="BD501">
        <f t="shared" si="368"/>
        <v>0</v>
      </c>
      <c r="BE501">
        <f t="shared" si="351"/>
        <v>24</v>
      </c>
      <c r="BF501">
        <f t="shared" si="377"/>
        <v>5000</v>
      </c>
      <c r="BU501"/>
      <c r="DW501" s="89"/>
      <c r="DX501" s="89"/>
      <c r="FD501"/>
      <c r="FE501"/>
    </row>
    <row r="502" spans="1:161" x14ac:dyDescent="0.25">
      <c r="A502" s="7">
        <f t="shared" si="369"/>
        <v>58379</v>
      </c>
      <c r="B502">
        <f t="shared" si="352"/>
        <v>491</v>
      </c>
      <c r="C502">
        <f t="shared" si="378"/>
        <v>40.833333333333336</v>
      </c>
      <c r="D502">
        <f t="shared" si="379"/>
        <v>0</v>
      </c>
      <c r="E502">
        <f t="shared" si="353"/>
        <v>92</v>
      </c>
      <c r="F502">
        <f>IF(C502&gt;=$T$2,0,VLOOKUP($E502,EKM_F05!$A$3:$C$128,2,TRUE))</f>
        <v>0.18195397435897434</v>
      </c>
      <c r="G502">
        <f>F502*'Real assumptions'!$B$3</f>
        <v>7.5929393499999998E-2</v>
      </c>
      <c r="H502">
        <f t="shared" si="380"/>
        <v>6.5589618473855804E-3</v>
      </c>
      <c r="I502">
        <f t="shared" si="381"/>
        <v>4.9014370009795179E-4</v>
      </c>
      <c r="J502">
        <f>IF(B502&gt;$AJ$2,0,HLOOKUP(C502,'Real assumptions'!$B$5:$L$8,4,TRUE))</f>
        <v>3.7900000000000003E-2</v>
      </c>
      <c r="K502">
        <f t="shared" si="342"/>
        <v>1</v>
      </c>
      <c r="L502">
        <f t="shared" si="370"/>
        <v>8.3333333333333329E-2</v>
      </c>
      <c r="M502">
        <f t="shared" si="382"/>
        <v>3.2145624959929453E-3</v>
      </c>
      <c r="N502">
        <f t="shared" si="383"/>
        <v>2.3981822692620505E-4</v>
      </c>
      <c r="O502" s="8">
        <f t="shared" si="354"/>
        <v>7.411919538653329E-2</v>
      </c>
      <c r="P502">
        <f t="shared" si="355"/>
        <v>1.7963797755253785</v>
      </c>
      <c r="Q502">
        <f t="shared" si="371"/>
        <v>2.4507185004897591</v>
      </c>
      <c r="R502" s="89">
        <f t="shared" si="343"/>
        <v>5000</v>
      </c>
      <c r="S502">
        <f t="shared" si="344"/>
        <v>8.3333333333335702E-2</v>
      </c>
      <c r="U502">
        <f>O501*AV501*'Real assumptions'!$B$33/12+AX502*'Real assumptions'!$B$34</f>
        <v>1.2793225986831982</v>
      </c>
      <c r="V502">
        <f>IF(P502=0,0,IF(E502&lt;=$C$7,$AN$5*O501,0))*'Real assumptions'!$D$28</f>
        <v>0</v>
      </c>
      <c r="X502" s="94">
        <f t="shared" si="356"/>
        <v>0</v>
      </c>
      <c r="Y502">
        <f t="shared" si="345"/>
        <v>24</v>
      </c>
      <c r="Z502">
        <f t="shared" si="372"/>
        <v>58</v>
      </c>
      <c r="AA502">
        <f t="shared" si="346"/>
        <v>58.083333333333336</v>
      </c>
      <c r="AB502">
        <f t="shared" si="357"/>
        <v>50.505050505050505</v>
      </c>
      <c r="AC502">
        <f t="shared" si="384"/>
        <v>2933.5016835016836</v>
      </c>
      <c r="AD502">
        <f t="shared" si="358"/>
        <v>80.505050505050505</v>
      </c>
      <c r="AE502">
        <f t="shared" si="359"/>
        <v>233.80008417508418</v>
      </c>
      <c r="AF502" s="94">
        <f t="shared" si="360"/>
        <v>1832.6982323232323</v>
      </c>
      <c r="AG502">
        <f t="shared" si="373"/>
        <v>0.43951444056654781</v>
      </c>
      <c r="AH502">
        <f t="shared" si="361"/>
        <v>135.83811836611983</v>
      </c>
      <c r="AI502">
        <f>HLOOKUP(AW502,'Real assumptions'!$A$21:$AK$24,2,TRUE)</f>
        <v>0</v>
      </c>
      <c r="AJ502" s="123">
        <f t="shared" si="385"/>
        <v>0</v>
      </c>
      <c r="AK502" s="122">
        <f>(1+HLOOKUP(YEAR(A502),'Real assumptions'!$A$21:$AK$24,2,TRUE)/100)^(1/12)-1</f>
        <v>0</v>
      </c>
      <c r="AL502">
        <f t="shared" si="374"/>
        <v>1.2793225986831982</v>
      </c>
      <c r="AM502">
        <f>('Real assumptions'!$B$33/12)*O501*AV501</f>
        <v>1.2417508461462998</v>
      </c>
      <c r="AN502">
        <f t="shared" si="362"/>
        <v>137.35284654045986</v>
      </c>
      <c r="AO502">
        <f t="shared" si="386"/>
        <v>0</v>
      </c>
      <c r="AP502" s="121">
        <f t="shared" si="363"/>
        <v>0</v>
      </c>
      <c r="AQ502">
        <f t="shared" si="364"/>
        <v>0</v>
      </c>
      <c r="AR502">
        <v>0</v>
      </c>
      <c r="AS502">
        <f t="shared" si="347"/>
        <v>0</v>
      </c>
      <c r="AT502">
        <f t="shared" si="365"/>
        <v>0</v>
      </c>
      <c r="AU502">
        <f>IFERROR(HLOOKUP(B502,'Real assumptions'!$B$43:$AL$44,2,TRUE)*($W$3/$U$2),0)</f>
        <v>0</v>
      </c>
      <c r="AV502">
        <f>AV501*(1+'Real assumptions'!$B$35)^(1/12)</f>
        <v>1.6607227512650868</v>
      </c>
      <c r="AW502">
        <f t="shared" si="348"/>
        <v>2059</v>
      </c>
      <c r="AX502">
        <f t="shared" si="375"/>
        <v>137.15081106948284</v>
      </c>
      <c r="AY502">
        <f t="shared" si="376"/>
        <v>0.31502170586514072</v>
      </c>
      <c r="AZ502">
        <f t="shared" si="349"/>
        <v>293.74469862584647</v>
      </c>
      <c r="BA502">
        <f t="shared" si="366"/>
        <v>2.8902329410563068</v>
      </c>
      <c r="BB502">
        <f t="shared" si="367"/>
        <v>58.083333333333336</v>
      </c>
      <c r="BC502">
        <f t="shared" si="350"/>
        <v>34.85</v>
      </c>
      <c r="BD502">
        <f t="shared" si="368"/>
        <v>0</v>
      </c>
      <c r="BE502">
        <f t="shared" si="351"/>
        <v>24</v>
      </c>
      <c r="BF502">
        <f t="shared" si="377"/>
        <v>5000</v>
      </c>
      <c r="BU502"/>
      <c r="DW502" s="89"/>
      <c r="DX502" s="89"/>
      <c r="FD502"/>
      <c r="FE502"/>
    </row>
    <row r="503" spans="1:161" x14ac:dyDescent="0.25">
      <c r="A503" s="7">
        <f t="shared" si="369"/>
        <v>58409</v>
      </c>
      <c r="B503">
        <f t="shared" si="352"/>
        <v>492</v>
      </c>
      <c r="C503">
        <f t="shared" si="378"/>
        <v>40.916666666666664</v>
      </c>
      <c r="D503">
        <f t="shared" si="379"/>
        <v>0</v>
      </c>
      <c r="E503">
        <f t="shared" si="353"/>
        <v>92</v>
      </c>
      <c r="F503">
        <f>IF(C503&gt;=$T$2,0,VLOOKUP($E503,EKM_F05!$A$3:$C$128,2,TRUE))</f>
        <v>0.18195397435897434</v>
      </c>
      <c r="G503">
        <f>F503*'Real assumptions'!$B$3</f>
        <v>7.5929393499999998E-2</v>
      </c>
      <c r="H503">
        <f t="shared" si="380"/>
        <v>6.5589618473855804E-3</v>
      </c>
      <c r="I503">
        <f t="shared" si="381"/>
        <v>4.8536360299754745E-4</v>
      </c>
      <c r="J503">
        <f>IF(B503&gt;$AJ$2,0,HLOOKUP(C503,'Real assumptions'!$B$5:$L$8,4,TRUE))</f>
        <v>3.7900000000000003E-2</v>
      </c>
      <c r="K503">
        <f t="shared" si="342"/>
        <v>1</v>
      </c>
      <c r="L503">
        <f t="shared" si="370"/>
        <v>8.3333333333333329E-2</v>
      </c>
      <c r="M503">
        <f t="shared" si="382"/>
        <v>3.2145624959929453E-3</v>
      </c>
      <c r="N503">
        <f t="shared" si="383"/>
        <v>2.3747941402108152E-4</v>
      </c>
      <c r="O503" s="8">
        <f t="shared" si="354"/>
        <v>7.3396352369514667E-2</v>
      </c>
      <c r="P503">
        <f t="shared" si="355"/>
        <v>1.7788606892767991</v>
      </c>
      <c r="Q503">
        <f t="shared" si="371"/>
        <v>2.4268180149877372</v>
      </c>
      <c r="R503" s="89">
        <f t="shared" si="343"/>
        <v>5000</v>
      </c>
      <c r="S503">
        <f t="shared" si="344"/>
        <v>1</v>
      </c>
      <c r="U503">
        <f>O502*AV502*'Real assumptions'!$B$33/12+AX503*'Real assumptions'!$B$34</f>
        <v>1.2682119449647744</v>
      </c>
      <c r="V503">
        <f>IF(P503=0,0,IF(E503&lt;=$C$7,$AN$5*O502,0))*'Real assumptions'!$D$28</f>
        <v>0</v>
      </c>
      <c r="X503" s="94">
        <f t="shared" si="356"/>
        <v>0</v>
      </c>
      <c r="Y503">
        <f t="shared" si="345"/>
        <v>24</v>
      </c>
      <c r="Z503">
        <f t="shared" si="372"/>
        <v>58</v>
      </c>
      <c r="AA503">
        <f t="shared" si="346"/>
        <v>58</v>
      </c>
      <c r="AB503">
        <f t="shared" si="357"/>
        <v>50.505050505050505</v>
      </c>
      <c r="AC503">
        <f t="shared" si="384"/>
        <v>2929.2929292929293</v>
      </c>
      <c r="AD503">
        <f t="shared" si="358"/>
        <v>80.505050505050505</v>
      </c>
      <c r="AE503">
        <f t="shared" si="359"/>
        <v>233.46464646464645</v>
      </c>
      <c r="AF503" s="94">
        <f t="shared" si="360"/>
        <v>1837.2424242424242</v>
      </c>
      <c r="AG503">
        <f t="shared" si="373"/>
        <v>0.43630725432376216</v>
      </c>
      <c r="AH503">
        <f t="shared" si="361"/>
        <v>134.84689235791834</v>
      </c>
      <c r="AI503">
        <f>HLOOKUP(AW503,'Real assumptions'!$A$21:$AK$24,2,TRUE)</f>
        <v>0</v>
      </c>
      <c r="AJ503" s="123">
        <f t="shared" si="385"/>
        <v>0</v>
      </c>
      <c r="AK503" s="122">
        <f>(1+HLOOKUP(YEAR(A503),'Real assumptions'!$A$21:$AK$24,2,TRUE)/100)^(1/12)-1</f>
        <v>0</v>
      </c>
      <c r="AL503">
        <f t="shared" si="374"/>
        <v>1.2682119449647744</v>
      </c>
      <c r="AM503">
        <f>('Real assumptions'!$B$33/12)*O502*AV502</f>
        <v>1.2309143408387808</v>
      </c>
      <c r="AN503">
        <f t="shared" si="362"/>
        <v>136.34876711043185</v>
      </c>
      <c r="AO503">
        <f t="shared" si="386"/>
        <v>0</v>
      </c>
      <c r="AP503" s="121">
        <f t="shared" si="363"/>
        <v>0</v>
      </c>
      <c r="AQ503">
        <f t="shared" si="364"/>
        <v>0</v>
      </c>
      <c r="AR503">
        <v>0</v>
      </c>
      <c r="AS503">
        <f t="shared" si="347"/>
        <v>0</v>
      </c>
      <c r="AT503">
        <f t="shared" si="365"/>
        <v>0</v>
      </c>
      <c r="AU503">
        <f>IFERROR(HLOOKUP(B503,'Real assumptions'!$B$43:$AL$44,2,TRUE)*($W$3/$U$2),0)</f>
        <v>0</v>
      </c>
      <c r="AV503">
        <f>AV502*(1+'Real assumptions'!$B$35)^(1/12)</f>
        <v>1.6624428382362286</v>
      </c>
      <c r="AW503">
        <f t="shared" si="348"/>
        <v>2059</v>
      </c>
      <c r="AX503">
        <f t="shared" si="375"/>
        <v>136.15006784165237</v>
      </c>
      <c r="AY503">
        <f t="shared" si="376"/>
        <v>0.31194947553254748</v>
      </c>
      <c r="AZ503">
        <f t="shared" si="349"/>
        <v>291.39222210084699</v>
      </c>
      <c r="BA503">
        <f t="shared" si="366"/>
        <v>2.8631252693114995</v>
      </c>
      <c r="BB503">
        <f t="shared" si="367"/>
        <v>58</v>
      </c>
      <c r="BC503">
        <f t="shared" si="350"/>
        <v>34.799999999999997</v>
      </c>
      <c r="BD503">
        <f t="shared" si="368"/>
        <v>0</v>
      </c>
      <c r="BE503">
        <f t="shared" si="351"/>
        <v>24</v>
      </c>
      <c r="BF503">
        <f t="shared" si="377"/>
        <v>5000</v>
      </c>
      <c r="BU503"/>
      <c r="DW503" s="89"/>
      <c r="DX503" s="89"/>
      <c r="FD503"/>
      <c r="FE503"/>
    </row>
    <row r="504" spans="1:161" x14ac:dyDescent="0.25">
      <c r="A504" s="7">
        <f t="shared" si="369"/>
        <v>58440</v>
      </c>
      <c r="B504">
        <f t="shared" si="352"/>
        <v>493</v>
      </c>
      <c r="C504">
        <f t="shared" si="378"/>
        <v>41</v>
      </c>
      <c r="D504">
        <f t="shared" si="379"/>
        <v>1</v>
      </c>
      <c r="E504">
        <f t="shared" si="353"/>
        <v>93</v>
      </c>
      <c r="F504">
        <f>IF(C504&gt;=$T$2,0,VLOOKUP($E504,EKM_F05!$A$3:$C$128,2,TRUE))</f>
        <v>0.20034076923076924</v>
      </c>
      <c r="G504">
        <f>F504*'Real assumptions'!$B$3</f>
        <v>8.3602203E-2</v>
      </c>
      <c r="H504">
        <f t="shared" si="380"/>
        <v>7.2489927494185924E-3</v>
      </c>
      <c r="I504">
        <f t="shared" si="381"/>
        <v>5.3119447277325275E-4</v>
      </c>
      <c r="J504">
        <f>IF(B504&gt;$AJ$2,0,HLOOKUP(C504,'Real assumptions'!$B$5:$L$8,4,TRUE))</f>
        <v>3.7900000000000003E-2</v>
      </c>
      <c r="K504">
        <f t="shared" si="342"/>
        <v>1</v>
      </c>
      <c r="L504">
        <f t="shared" si="370"/>
        <v>8.3333333333333329E-2</v>
      </c>
      <c r="M504">
        <f t="shared" si="382"/>
        <v>3.2145624959929453E-3</v>
      </c>
      <c r="N504">
        <f t="shared" si="383"/>
        <v>2.3508200828259367E-4</v>
      </c>
      <c r="O504" s="8">
        <f t="shared" si="354"/>
        <v>7.2630075888458823E-2</v>
      </c>
      <c r="P504">
        <f t="shared" si="355"/>
        <v>1.761512456868352</v>
      </c>
      <c r="Q504">
        <f t="shared" si="371"/>
        <v>2.6559723638662636</v>
      </c>
      <c r="R504" s="89">
        <f t="shared" si="343"/>
        <v>5000</v>
      </c>
      <c r="S504">
        <f t="shared" si="344"/>
        <v>0.9166666666666643</v>
      </c>
      <c r="U504">
        <f>O503*AV503*'Real assumptions'!$B$33/12+AX504*'Real assumptions'!$B$34</f>
        <v>1.2571976329879273</v>
      </c>
      <c r="V504">
        <f>IF(P504=0,0,IF(E504&lt;=$C$7,$AN$5*O503,0))*'Real assumptions'!$D$28</f>
        <v>0</v>
      </c>
      <c r="X504" s="94">
        <f t="shared" si="356"/>
        <v>0</v>
      </c>
      <c r="Y504">
        <f t="shared" si="345"/>
        <v>24</v>
      </c>
      <c r="Z504">
        <f t="shared" si="372"/>
        <v>58</v>
      </c>
      <c r="AA504">
        <f t="shared" si="346"/>
        <v>57.916666666666664</v>
      </c>
      <c r="AB504">
        <f t="shared" si="357"/>
        <v>50.505050505050505</v>
      </c>
      <c r="AC504">
        <f t="shared" si="384"/>
        <v>2925.0841750841751</v>
      </c>
      <c r="AD504">
        <f t="shared" si="358"/>
        <v>80.505050505050505</v>
      </c>
      <c r="AE504">
        <f t="shared" si="359"/>
        <v>233.12920875420875</v>
      </c>
      <c r="AF504" s="94">
        <f t="shared" si="360"/>
        <v>1841.7866161616162</v>
      </c>
      <c r="AG504">
        <f t="shared" si="373"/>
        <v>0.43297089655527521</v>
      </c>
      <c r="AH504">
        <f t="shared" si="361"/>
        <v>133.76910170216595</v>
      </c>
      <c r="AI504">
        <f>HLOOKUP(AW504,'Real assumptions'!$A$21:$AK$24,2,TRUE)</f>
        <v>0</v>
      </c>
      <c r="AJ504" s="123">
        <f t="shared" si="385"/>
        <v>0</v>
      </c>
      <c r="AK504" s="122">
        <f>(1+HLOOKUP(YEAR(A504),'Real assumptions'!$A$21:$AK$24,2,TRUE)/100)^(1/12)-1</f>
        <v>0</v>
      </c>
      <c r="AL504">
        <f t="shared" si="374"/>
        <v>1.2571976329879273</v>
      </c>
      <c r="AM504">
        <f>('Real assumptions'!$B$33/12)*O503*AV503</f>
        <v>1.2201724034936232</v>
      </c>
      <c r="AN504">
        <f t="shared" si="362"/>
        <v>135.35120718179877</v>
      </c>
      <c r="AO504">
        <f t="shared" si="386"/>
        <v>0</v>
      </c>
      <c r="AP504" s="121">
        <f t="shared" si="363"/>
        <v>0</v>
      </c>
      <c r="AQ504">
        <f t="shared" si="364"/>
        <v>0</v>
      </c>
      <c r="AR504">
        <v>0</v>
      </c>
      <c r="AS504">
        <f t="shared" si="347"/>
        <v>0</v>
      </c>
      <c r="AT504">
        <f t="shared" si="365"/>
        <v>0</v>
      </c>
      <c r="AU504">
        <f>IFERROR(HLOOKUP(B504,'Real assumptions'!$B$43:$AL$44,2,TRUE)*($W$3/$U$2),0)</f>
        <v>0</v>
      </c>
      <c r="AV504">
        <f>AV503*(1+'Real assumptions'!$B$35)^(1/12)</f>
        <v>1.6641647067805956</v>
      </c>
      <c r="AW504">
        <f t="shared" si="348"/>
        <v>2059</v>
      </c>
      <c r="AX504">
        <f t="shared" si="375"/>
        <v>135.15579956486073</v>
      </c>
      <c r="AY504">
        <f t="shared" si="376"/>
        <v>0.30890720694240176</v>
      </c>
      <c r="AZ504">
        <f t="shared" si="349"/>
        <v>288.80759366430584</v>
      </c>
      <c r="BA504">
        <f t="shared" si="366"/>
        <v>3.088943260421539</v>
      </c>
      <c r="BB504">
        <f t="shared" si="367"/>
        <v>57.916666666666664</v>
      </c>
      <c r="BC504">
        <f t="shared" si="350"/>
        <v>34.75</v>
      </c>
      <c r="BD504">
        <f t="shared" si="368"/>
        <v>0</v>
      </c>
      <c r="BE504">
        <f t="shared" si="351"/>
        <v>24</v>
      </c>
      <c r="BF504">
        <f t="shared" si="377"/>
        <v>5000</v>
      </c>
      <c r="BU504"/>
      <c r="DW504" s="89"/>
      <c r="DX504" s="89"/>
      <c r="FD504"/>
      <c r="FE504"/>
    </row>
    <row r="505" spans="1:161" x14ac:dyDescent="0.25">
      <c r="A505" s="7">
        <f t="shared" si="369"/>
        <v>58471</v>
      </c>
      <c r="B505">
        <f t="shared" si="352"/>
        <v>494</v>
      </c>
      <c r="C505">
        <f t="shared" si="378"/>
        <v>41.083333333333336</v>
      </c>
      <c r="D505">
        <f t="shared" si="379"/>
        <v>0</v>
      </c>
      <c r="E505">
        <f t="shared" si="353"/>
        <v>93</v>
      </c>
      <c r="F505">
        <f>IF(C505&gt;=$T$2,0,VLOOKUP($E505,EKM_F05!$A$3:$C$128,2,TRUE))</f>
        <v>0.20034076923076924</v>
      </c>
      <c r="G505">
        <f>F505*'Real assumptions'!$B$3</f>
        <v>8.3602203E-2</v>
      </c>
      <c r="H505">
        <f t="shared" si="380"/>
        <v>7.2489927494185924E-3</v>
      </c>
      <c r="I505">
        <f t="shared" si="381"/>
        <v>5.2564866813566342E-4</v>
      </c>
      <c r="J505">
        <f>IF(B505&gt;$AJ$2,0,HLOOKUP(C505,'Real assumptions'!$B$5:$L$8,4,TRUE))</f>
        <v>3.7900000000000003E-2</v>
      </c>
      <c r="K505">
        <f t="shared" si="342"/>
        <v>1</v>
      </c>
      <c r="L505">
        <f t="shared" si="370"/>
        <v>8.3333333333333329E-2</v>
      </c>
      <c r="M505">
        <f t="shared" si="382"/>
        <v>3.2145624959929453E-3</v>
      </c>
      <c r="N505">
        <f t="shared" si="383"/>
        <v>2.3262769266266448E-4</v>
      </c>
      <c r="O505" s="8">
        <f t="shared" si="354"/>
        <v>7.1871799527660499E-2</v>
      </c>
      <c r="P505">
        <f t="shared" si="355"/>
        <v>1.7431218213230117</v>
      </c>
      <c r="Q505">
        <f t="shared" si="371"/>
        <v>2.628243340678317</v>
      </c>
      <c r="R505" s="89">
        <f t="shared" si="343"/>
        <v>5000</v>
      </c>
      <c r="S505">
        <f t="shared" si="344"/>
        <v>0.8333333333333357</v>
      </c>
      <c r="U505">
        <f>O504*AV504*'Real assumptions'!$B$33/12+AX505*'Real assumptions'!$B$34</f>
        <v>1.2454131802932775</v>
      </c>
      <c r="V505">
        <f>IF(P505=0,0,IF(E505&lt;=$C$7,$AN$5*O504,0))*'Real assumptions'!$D$28</f>
        <v>0</v>
      </c>
      <c r="X505" s="94">
        <f t="shared" si="356"/>
        <v>0</v>
      </c>
      <c r="Y505">
        <f t="shared" si="345"/>
        <v>24</v>
      </c>
      <c r="Z505">
        <f t="shared" si="372"/>
        <v>57</v>
      </c>
      <c r="AA505">
        <f t="shared" si="346"/>
        <v>57.833333333333336</v>
      </c>
      <c r="AB505">
        <f t="shared" si="357"/>
        <v>50.505050505050505</v>
      </c>
      <c r="AC505">
        <f t="shared" si="384"/>
        <v>2920.8754208754208</v>
      </c>
      <c r="AD505">
        <f t="shared" si="358"/>
        <v>80.505050505050505</v>
      </c>
      <c r="AE505">
        <f t="shared" si="359"/>
        <v>232.79377104377105</v>
      </c>
      <c r="AF505" s="94">
        <f t="shared" si="360"/>
        <v>1846.3308080808081</v>
      </c>
      <c r="AG505">
        <f t="shared" si="373"/>
        <v>0.42950767577583121</v>
      </c>
      <c r="AH505">
        <f t="shared" si="361"/>
        <v>132.69911770012726</v>
      </c>
      <c r="AI505">
        <f>HLOOKUP(AW505,'Real assumptions'!$A$21:$AK$24,2,TRUE)</f>
        <v>0</v>
      </c>
      <c r="AJ505" s="123">
        <f t="shared" si="385"/>
        <v>0</v>
      </c>
      <c r="AK505" s="122">
        <f>(1+HLOOKUP(YEAR(A505),'Real assumptions'!$A$21:$AK$24,2,TRUE)/100)^(1/12)-1</f>
        <v>0</v>
      </c>
      <c r="AL505">
        <f t="shared" si="374"/>
        <v>1.2454131802932775</v>
      </c>
      <c r="AM505">
        <f>('Real assumptions'!$B$33/12)*O504*AV504</f>
        <v>1.2086840894436948</v>
      </c>
      <c r="AN505">
        <f t="shared" si="362"/>
        <v>134.26681034319569</v>
      </c>
      <c r="AO505">
        <f t="shared" si="386"/>
        <v>0</v>
      </c>
      <c r="AP505" s="121">
        <f t="shared" si="363"/>
        <v>0</v>
      </c>
      <c r="AQ505">
        <f t="shared" si="364"/>
        <v>0</v>
      </c>
      <c r="AR505">
        <v>0</v>
      </c>
      <c r="AS505">
        <f t="shared" si="347"/>
        <v>0</v>
      </c>
      <c r="AT505">
        <f t="shared" si="365"/>
        <v>0</v>
      </c>
      <c r="AU505">
        <f>IFERROR(HLOOKUP(B505,'Real assumptions'!$B$43:$AL$44,2,TRUE)*($W$3/$U$2),0)</f>
        <v>0</v>
      </c>
      <c r="AV505">
        <f>AV504*(1+'Real assumptions'!$B$35)^(1/12)</f>
        <v>1.6658883587434452</v>
      </c>
      <c r="AW505">
        <f t="shared" si="348"/>
        <v>2060</v>
      </c>
      <c r="AX505">
        <f t="shared" si="375"/>
        <v>134.07478383974365</v>
      </c>
      <c r="AY505">
        <f t="shared" si="376"/>
        <v>0.30568213757768864</v>
      </c>
      <c r="AZ505">
        <f t="shared" si="349"/>
        <v>286.24755128888143</v>
      </c>
      <c r="BA505">
        <f t="shared" si="366"/>
        <v>3.0577510164541484</v>
      </c>
      <c r="BB505">
        <f t="shared" si="367"/>
        <v>57.833333333333336</v>
      </c>
      <c r="BC505">
        <f t="shared" si="350"/>
        <v>34.700000000000003</v>
      </c>
      <c r="BD505">
        <f t="shared" si="368"/>
        <v>0</v>
      </c>
      <c r="BE505">
        <f t="shared" si="351"/>
        <v>24</v>
      </c>
      <c r="BF505">
        <f t="shared" si="377"/>
        <v>5000</v>
      </c>
      <c r="BU505"/>
      <c r="DW505" s="89"/>
      <c r="DX505" s="89"/>
      <c r="FD505"/>
      <c r="FE505"/>
    </row>
    <row r="506" spans="1:161" x14ac:dyDescent="0.25">
      <c r="A506" s="7">
        <f t="shared" si="369"/>
        <v>58500</v>
      </c>
      <c r="B506">
        <f t="shared" si="352"/>
        <v>495</v>
      </c>
      <c r="C506">
        <f t="shared" si="378"/>
        <v>41.166666666666664</v>
      </c>
      <c r="D506">
        <f t="shared" si="379"/>
        <v>0</v>
      </c>
      <c r="E506">
        <f t="shared" si="353"/>
        <v>93</v>
      </c>
      <c r="F506">
        <f>IF(C506&gt;=$T$2,0,VLOOKUP($E506,EKM_F05!$A$3:$C$128,2,TRUE))</f>
        <v>0.20034076923076924</v>
      </c>
      <c r="G506">
        <f>F506*'Real assumptions'!$B$3</f>
        <v>8.3602203E-2</v>
      </c>
      <c r="H506">
        <f t="shared" si="380"/>
        <v>7.2489927494185924E-3</v>
      </c>
      <c r="I506">
        <f t="shared" si="381"/>
        <v>5.2016076310105314E-4</v>
      </c>
      <c r="J506">
        <f>IF(B506&gt;$AJ$2,0,HLOOKUP(C506,'Real assumptions'!$B$5:$L$8,4,TRUE))</f>
        <v>3.7900000000000003E-2</v>
      </c>
      <c r="K506">
        <f t="shared" si="342"/>
        <v>1</v>
      </c>
      <c r="L506">
        <f t="shared" si="370"/>
        <v>8.3333333333333329E-2</v>
      </c>
      <c r="M506">
        <f t="shared" si="382"/>
        <v>3.2145624959929453E-3</v>
      </c>
      <c r="N506">
        <f t="shared" si="383"/>
        <v>2.3019900071851652E-4</v>
      </c>
      <c r="O506" s="8">
        <f t="shared" si="354"/>
        <v>7.112143976384093E-2</v>
      </c>
      <c r="P506">
        <f t="shared" si="355"/>
        <v>1.7249231886638521</v>
      </c>
      <c r="Q506">
        <f t="shared" si="371"/>
        <v>2.6008038155052655</v>
      </c>
      <c r="R506" s="89">
        <f t="shared" si="343"/>
        <v>5000</v>
      </c>
      <c r="S506">
        <f t="shared" si="344"/>
        <v>0.75</v>
      </c>
      <c r="U506">
        <f>O505*AV505*'Real assumptions'!$B$33/12+AX506*'Real assumptions'!$B$34</f>
        <v>1.233739041571702</v>
      </c>
      <c r="V506">
        <f>IF(P506=0,0,IF(E506&lt;=$C$7,$AN$5*O505,0))*'Real assumptions'!$D$28</f>
        <v>0</v>
      </c>
      <c r="X506" s="94">
        <f t="shared" si="356"/>
        <v>0</v>
      </c>
      <c r="Y506">
        <f t="shared" si="345"/>
        <v>24</v>
      </c>
      <c r="Z506">
        <f t="shared" si="372"/>
        <v>57</v>
      </c>
      <c r="AA506">
        <f t="shared" si="346"/>
        <v>57.75</v>
      </c>
      <c r="AB506">
        <f t="shared" si="357"/>
        <v>50.505050505050505</v>
      </c>
      <c r="AC506">
        <f t="shared" si="384"/>
        <v>2916.6666666666665</v>
      </c>
      <c r="AD506">
        <f t="shared" si="358"/>
        <v>80.505050505050505</v>
      </c>
      <c r="AE506">
        <f t="shared" si="359"/>
        <v>232.45833333333331</v>
      </c>
      <c r="AF506" s="94">
        <f t="shared" si="360"/>
        <v>1850.8750000000002</v>
      </c>
      <c r="AG506">
        <f t="shared" si="373"/>
        <v>0.42606957545488433</v>
      </c>
      <c r="AH506">
        <f t="shared" si="361"/>
        <v>131.63689482289911</v>
      </c>
      <c r="AI506">
        <f>HLOOKUP(AW506,'Real assumptions'!$A$21:$AK$24,2,TRUE)</f>
        <v>0</v>
      </c>
      <c r="AJ506" s="123">
        <f t="shared" si="385"/>
        <v>0</v>
      </c>
      <c r="AK506" s="122">
        <f>(1+HLOOKUP(YEAR(A506),'Real assumptions'!$A$21:$AK$24,2,TRUE)/100)^(1/12)-1</f>
        <v>0</v>
      </c>
      <c r="AL506">
        <f t="shared" si="374"/>
        <v>1.233739041571702</v>
      </c>
      <c r="AM506">
        <f>('Real assumptions'!$B$33/12)*O505*AV505</f>
        <v>1.1973039415507227</v>
      </c>
      <c r="AN506">
        <f t="shared" si="362"/>
        <v>133.19030184721942</v>
      </c>
      <c r="AO506">
        <f t="shared" si="386"/>
        <v>0</v>
      </c>
      <c r="AP506" s="121">
        <f t="shared" si="363"/>
        <v>0</v>
      </c>
      <c r="AQ506">
        <f t="shared" si="364"/>
        <v>0</v>
      </c>
      <c r="AR506">
        <v>0</v>
      </c>
      <c r="AS506">
        <f t="shared" si="347"/>
        <v>0</v>
      </c>
      <c r="AT506">
        <f t="shared" si="365"/>
        <v>0</v>
      </c>
      <c r="AU506">
        <f>IFERROR(HLOOKUP(B506,'Real assumptions'!$B$43:$AL$44,2,TRUE)*($W$3/$U$2),0)</f>
        <v>0</v>
      </c>
      <c r="AV506">
        <f>AV505*(1+'Real assumptions'!$B$35)^(1/12)</f>
        <v>1.6676137959719461</v>
      </c>
      <c r="AW506">
        <f t="shared" si="348"/>
        <v>2060</v>
      </c>
      <c r="AX506">
        <f t="shared" si="375"/>
        <v>133.00160843888003</v>
      </c>
      <c r="AY506">
        <f t="shared" si="376"/>
        <v>0.30249073875277988</v>
      </c>
      <c r="AZ506">
        <f t="shared" si="349"/>
        <v>283.71186204501345</v>
      </c>
      <c r="BA506">
        <f t="shared" si="366"/>
        <v>3.0268733909601497</v>
      </c>
      <c r="BB506">
        <f t="shared" si="367"/>
        <v>57.75</v>
      </c>
      <c r="BC506">
        <f t="shared" si="350"/>
        <v>34.65</v>
      </c>
      <c r="BD506">
        <f t="shared" si="368"/>
        <v>0</v>
      </c>
      <c r="BE506">
        <f t="shared" si="351"/>
        <v>24</v>
      </c>
      <c r="BF506">
        <f t="shared" si="377"/>
        <v>5000</v>
      </c>
      <c r="BU506"/>
      <c r="DW506" s="89"/>
      <c r="DX506" s="89"/>
      <c r="FD506"/>
      <c r="FE506"/>
    </row>
    <row r="507" spans="1:161" x14ac:dyDescent="0.25">
      <c r="A507" s="7">
        <f t="shared" si="369"/>
        <v>58531</v>
      </c>
      <c r="B507">
        <f t="shared" si="352"/>
        <v>496</v>
      </c>
      <c r="C507">
        <f t="shared" si="378"/>
        <v>41.25</v>
      </c>
      <c r="D507">
        <f t="shared" si="379"/>
        <v>0</v>
      </c>
      <c r="E507">
        <f t="shared" si="353"/>
        <v>93</v>
      </c>
      <c r="F507">
        <f>IF(C507&gt;=$T$2,0,VLOOKUP($E507,EKM_F05!$A$3:$C$128,2,TRUE))</f>
        <v>0.20034076923076924</v>
      </c>
      <c r="G507">
        <f>F507*'Real assumptions'!$B$3</f>
        <v>8.3602203E-2</v>
      </c>
      <c r="H507">
        <f t="shared" si="380"/>
        <v>7.2489927494185924E-3</v>
      </c>
      <c r="I507">
        <f t="shared" si="381"/>
        <v>5.1473015318292384E-4</v>
      </c>
      <c r="J507">
        <f>IF(B507&gt;$AJ$2,0,HLOOKUP(C507,'Real assumptions'!$B$5:$L$8,4,TRUE))</f>
        <v>3.7900000000000003E-2</v>
      </c>
      <c r="K507">
        <f t="shared" si="342"/>
        <v>1</v>
      </c>
      <c r="L507">
        <f t="shared" si="370"/>
        <v>8.3333333333333329E-2</v>
      </c>
      <c r="M507">
        <f t="shared" si="382"/>
        <v>3.2145624959929453E-3</v>
      </c>
      <c r="N507">
        <f t="shared" si="383"/>
        <v>2.2779566493249422E-4</v>
      </c>
      <c r="O507" s="8">
        <f t="shared" si="354"/>
        <v>7.0378913945725499E-2</v>
      </c>
      <c r="P507">
        <f t="shared" si="355"/>
        <v>1.7069145543321822</v>
      </c>
      <c r="Q507">
        <f t="shared" si="371"/>
        <v>2.5736507659146191</v>
      </c>
      <c r="R507" s="89">
        <f t="shared" si="343"/>
        <v>5000</v>
      </c>
      <c r="S507">
        <f t="shared" si="344"/>
        <v>0.6666666666666643</v>
      </c>
      <c r="U507">
        <f>O506*AV506*'Real assumptions'!$B$33/12+AX507*'Real assumptions'!$B$34</f>
        <v>1.2221741858354771</v>
      </c>
      <c r="V507">
        <f>IF(P507=0,0,IF(E507&lt;=$C$7,$AN$5*O506,0))*'Real assumptions'!$D$28</f>
        <v>0</v>
      </c>
      <c r="X507" s="94">
        <f t="shared" si="356"/>
        <v>0</v>
      </c>
      <c r="Y507">
        <f t="shared" si="345"/>
        <v>24</v>
      </c>
      <c r="Z507">
        <f t="shared" si="372"/>
        <v>57</v>
      </c>
      <c r="AA507">
        <f t="shared" si="346"/>
        <v>57.666666666666664</v>
      </c>
      <c r="AB507">
        <f t="shared" si="357"/>
        <v>50.505050505050505</v>
      </c>
      <c r="AC507">
        <f t="shared" si="384"/>
        <v>2912.4579124579122</v>
      </c>
      <c r="AD507">
        <f t="shared" si="358"/>
        <v>80.505050505050505</v>
      </c>
      <c r="AE507">
        <f t="shared" si="359"/>
        <v>232.12289562289561</v>
      </c>
      <c r="AF507" s="94">
        <f t="shared" si="360"/>
        <v>1855.4191919191921</v>
      </c>
      <c r="AG507">
        <f t="shared" si="373"/>
        <v>0.4226564485517435</v>
      </c>
      <c r="AH507">
        <f t="shared" si="361"/>
        <v>130.58238764132838</v>
      </c>
      <c r="AI507">
        <f>HLOOKUP(AW507,'Real assumptions'!$A$21:$AK$24,2,TRUE)</f>
        <v>0</v>
      </c>
      <c r="AJ507" s="123">
        <f t="shared" si="385"/>
        <v>0</v>
      </c>
      <c r="AK507" s="122">
        <f>(1+HLOOKUP(YEAR(A507),'Real assumptions'!$A$21:$AK$24,2,TRUE)/100)^(1/12)-1</f>
        <v>0</v>
      </c>
      <c r="AL507">
        <f t="shared" si="374"/>
        <v>1.2221741858354771</v>
      </c>
      <c r="AM507">
        <f>('Real assumptions'!$B$33/12)*O506*AV506</f>
        <v>1.1860309413956889</v>
      </c>
      <c r="AN507">
        <f t="shared" si="362"/>
        <v>132.1216351913958</v>
      </c>
      <c r="AO507">
        <f t="shared" si="386"/>
        <v>0</v>
      </c>
      <c r="AP507" s="121">
        <f t="shared" si="363"/>
        <v>0</v>
      </c>
      <c r="AQ507">
        <f t="shared" si="364"/>
        <v>0</v>
      </c>
      <c r="AR507">
        <v>0</v>
      </c>
      <c r="AS507">
        <f t="shared" si="347"/>
        <v>0</v>
      </c>
      <c r="AT507">
        <f t="shared" si="365"/>
        <v>0</v>
      </c>
      <c r="AU507">
        <f>IFERROR(HLOOKUP(B507,'Real assumptions'!$B$43:$AL$44,2,TRUE)*($W$3/$U$2),0)</f>
        <v>0</v>
      </c>
      <c r="AV507">
        <f>AV506*(1+'Real assumptions'!$B$35)^(1/12)</f>
        <v>1.6693410203151802</v>
      </c>
      <c r="AW507">
        <f t="shared" si="348"/>
        <v>2060</v>
      </c>
      <c r="AX507">
        <f t="shared" si="375"/>
        <v>131.93622748183785</v>
      </c>
      <c r="AY507">
        <f t="shared" si="376"/>
        <v>0.29933265893872441</v>
      </c>
      <c r="AZ507">
        <f t="shared" si="349"/>
        <v>281.20029519904381</v>
      </c>
      <c r="BA507">
        <f t="shared" si="366"/>
        <v>2.9963072144663627</v>
      </c>
      <c r="BB507">
        <f t="shared" si="367"/>
        <v>57.666666666666664</v>
      </c>
      <c r="BC507">
        <f t="shared" si="350"/>
        <v>34.599999999999994</v>
      </c>
      <c r="BD507">
        <f t="shared" si="368"/>
        <v>0</v>
      </c>
      <c r="BE507">
        <f t="shared" si="351"/>
        <v>24</v>
      </c>
      <c r="BF507">
        <f t="shared" si="377"/>
        <v>5000</v>
      </c>
      <c r="BU507"/>
      <c r="DW507" s="89"/>
      <c r="DX507" s="89"/>
      <c r="FD507"/>
      <c r="FE507"/>
    </row>
    <row r="508" spans="1:161" x14ac:dyDescent="0.25">
      <c r="A508" s="7">
        <f t="shared" si="369"/>
        <v>58561</v>
      </c>
      <c r="B508">
        <f t="shared" si="352"/>
        <v>497</v>
      </c>
      <c r="C508">
        <f t="shared" si="378"/>
        <v>41.333333333333336</v>
      </c>
      <c r="D508">
        <f t="shared" si="379"/>
        <v>0</v>
      </c>
      <c r="E508">
        <f t="shared" si="353"/>
        <v>93</v>
      </c>
      <c r="F508">
        <f>IF(C508&gt;=$T$2,0,VLOOKUP($E508,EKM_F05!$A$3:$C$128,2,TRUE))</f>
        <v>0.20034076923076924</v>
      </c>
      <c r="G508">
        <f>F508*'Real assumptions'!$B$3</f>
        <v>8.3602203E-2</v>
      </c>
      <c r="H508">
        <f t="shared" si="380"/>
        <v>7.2489927494185924E-3</v>
      </c>
      <c r="I508">
        <f t="shared" si="381"/>
        <v>5.0935624020576921E-4</v>
      </c>
      <c r="J508">
        <f>IF(B508&gt;$AJ$2,0,HLOOKUP(C508,'Real assumptions'!$B$5:$L$8,4,TRUE))</f>
        <v>3.7900000000000003E-2</v>
      </c>
      <c r="K508">
        <f t="shared" si="342"/>
        <v>1</v>
      </c>
      <c r="L508">
        <f t="shared" si="370"/>
        <v>8.3333333333333329E-2</v>
      </c>
      <c r="M508">
        <f t="shared" si="382"/>
        <v>3.2145624959929453E-3</v>
      </c>
      <c r="N508">
        <f t="shared" si="383"/>
        <v>2.2541742057989405E-4</v>
      </c>
      <c r="O508" s="8">
        <f t="shared" si="354"/>
        <v>6.9644140284939829E-2</v>
      </c>
      <c r="P508">
        <f t="shared" si="355"/>
        <v>1.6890939346974121</v>
      </c>
      <c r="Q508">
        <f t="shared" si="371"/>
        <v>2.5467812010288462</v>
      </c>
      <c r="R508" s="89">
        <f t="shared" si="343"/>
        <v>5000</v>
      </c>
      <c r="S508">
        <f t="shared" si="344"/>
        <v>0.5833333333333357</v>
      </c>
      <c r="U508">
        <f>O507*AV507*'Real assumptions'!$B$33/12+AX508*'Real assumptions'!$B$34</f>
        <v>1.2107175917139512</v>
      </c>
      <c r="V508">
        <f>IF(P508=0,0,IF(E508&lt;=$C$7,$AN$5*O507,0))*'Real assumptions'!$D$28</f>
        <v>0</v>
      </c>
      <c r="X508" s="94">
        <f t="shared" si="356"/>
        <v>0</v>
      </c>
      <c r="Y508">
        <f t="shared" si="345"/>
        <v>24</v>
      </c>
      <c r="Z508">
        <f t="shared" si="372"/>
        <v>57</v>
      </c>
      <c r="AA508">
        <f t="shared" si="346"/>
        <v>57.583333333333336</v>
      </c>
      <c r="AB508">
        <f t="shared" si="357"/>
        <v>50.505050505050505</v>
      </c>
      <c r="AC508">
        <f t="shared" si="384"/>
        <v>2908.2491582491584</v>
      </c>
      <c r="AD508">
        <f t="shared" si="358"/>
        <v>80.505050505050505</v>
      </c>
      <c r="AE508">
        <f t="shared" si="359"/>
        <v>231.78745791245791</v>
      </c>
      <c r="AF508" s="94">
        <f t="shared" si="360"/>
        <v>1859.9633838383836</v>
      </c>
      <c r="AG508">
        <f t="shared" si="373"/>
        <v>0.41926814835789983</v>
      </c>
      <c r="AH508">
        <f t="shared" si="361"/>
        <v>129.53555082889179</v>
      </c>
      <c r="AI508">
        <f>HLOOKUP(AW508,'Real assumptions'!$A$21:$AK$24,2,TRUE)</f>
        <v>0</v>
      </c>
      <c r="AJ508" s="123">
        <f t="shared" si="385"/>
        <v>0</v>
      </c>
      <c r="AK508" s="122">
        <f>(1+HLOOKUP(YEAR(A508),'Real assumptions'!$A$21:$AK$24,2,TRUE)/100)^(1/12)-1</f>
        <v>0</v>
      </c>
      <c r="AL508">
        <f t="shared" si="374"/>
        <v>1.2107175917139512</v>
      </c>
      <c r="AM508">
        <f>('Real assumptions'!$B$33/12)*O507*AV507</f>
        <v>1.1748640801483166</v>
      </c>
      <c r="AN508">
        <f t="shared" si="362"/>
        <v>131.06076398431185</v>
      </c>
      <c r="AO508">
        <f t="shared" si="386"/>
        <v>0</v>
      </c>
      <c r="AP508" s="121">
        <f t="shared" si="363"/>
        <v>0</v>
      </c>
      <c r="AQ508">
        <f t="shared" si="364"/>
        <v>0</v>
      </c>
      <c r="AR508">
        <v>0</v>
      </c>
      <c r="AS508">
        <f t="shared" si="347"/>
        <v>0</v>
      </c>
      <c r="AT508">
        <f t="shared" si="365"/>
        <v>0</v>
      </c>
      <c r="AU508">
        <f>IFERROR(HLOOKUP(B508,'Real assumptions'!$B$43:$AL$44,2,TRUE)*($W$3/$U$2),0)</f>
        <v>0</v>
      </c>
      <c r="AV508">
        <f>AV507*(1+'Real assumptions'!$B$35)^(1/12)</f>
        <v>1.6710700336241442</v>
      </c>
      <c r="AW508">
        <f t="shared" si="348"/>
        <v>2060</v>
      </c>
      <c r="AX508">
        <f t="shared" si="375"/>
        <v>130.878595191605</v>
      </c>
      <c r="AY508">
        <f t="shared" si="376"/>
        <v>0.29620755027662243</v>
      </c>
      <c r="AZ508">
        <f t="shared" si="349"/>
        <v>278.71262219264054</v>
      </c>
      <c r="BA508">
        <f t="shared" si="366"/>
        <v>2.9660493493867461</v>
      </c>
      <c r="BB508">
        <f t="shared" si="367"/>
        <v>57.583333333333336</v>
      </c>
      <c r="BC508">
        <f t="shared" si="350"/>
        <v>34.549999999999997</v>
      </c>
      <c r="BD508">
        <f t="shared" si="368"/>
        <v>0</v>
      </c>
      <c r="BE508">
        <f t="shared" si="351"/>
        <v>24</v>
      </c>
      <c r="BF508">
        <f t="shared" si="377"/>
        <v>5000</v>
      </c>
      <c r="BU508"/>
      <c r="DW508" s="89"/>
      <c r="DX508" s="89"/>
      <c r="FD508"/>
      <c r="FE508"/>
    </row>
    <row r="509" spans="1:161" x14ac:dyDescent="0.25">
      <c r="A509" s="7">
        <f t="shared" si="369"/>
        <v>58592</v>
      </c>
      <c r="B509">
        <f t="shared" si="352"/>
        <v>498</v>
      </c>
      <c r="C509">
        <f t="shared" si="378"/>
        <v>41.416666666666664</v>
      </c>
      <c r="D509">
        <f t="shared" si="379"/>
        <v>0</v>
      </c>
      <c r="E509">
        <f t="shared" si="353"/>
        <v>93</v>
      </c>
      <c r="F509">
        <f>IF(C509&gt;=$T$2,0,VLOOKUP($E509,EKM_F05!$A$3:$C$128,2,TRUE))</f>
        <v>0.20034076923076924</v>
      </c>
      <c r="G509">
        <f>F509*'Real assumptions'!$B$3</f>
        <v>8.3602203E-2</v>
      </c>
      <c r="H509">
        <f t="shared" si="380"/>
        <v>7.2489927494185924E-3</v>
      </c>
      <c r="I509">
        <f t="shared" si="381"/>
        <v>5.0403843223918645E-4</v>
      </c>
      <c r="J509">
        <f>IF(B509&gt;$AJ$2,0,HLOOKUP(C509,'Real assumptions'!$B$5:$L$8,4,TRUE))</f>
        <v>3.7900000000000003E-2</v>
      </c>
      <c r="K509">
        <f t="shared" si="342"/>
        <v>1</v>
      </c>
      <c r="L509">
        <f t="shared" si="370"/>
        <v>8.3333333333333329E-2</v>
      </c>
      <c r="M509">
        <f t="shared" si="382"/>
        <v>3.2145624959929453E-3</v>
      </c>
      <c r="N509">
        <f t="shared" si="383"/>
        <v>2.2306400569980532E-4</v>
      </c>
      <c r="O509" s="8">
        <f t="shared" si="354"/>
        <v>6.8917037847000831E-2</v>
      </c>
      <c r="P509">
        <f t="shared" si="355"/>
        <v>1.671459366838556</v>
      </c>
      <c r="Q509">
        <f t="shared" si="371"/>
        <v>2.5201921611959324</v>
      </c>
      <c r="R509" s="89">
        <f t="shared" si="343"/>
        <v>5000</v>
      </c>
      <c r="S509">
        <f t="shared" si="344"/>
        <v>0.5</v>
      </c>
      <c r="U509">
        <f>O508*AV508*'Real assumptions'!$B$33/12+AX509*'Real assumptions'!$B$34</f>
        <v>1.1993682473640437</v>
      </c>
      <c r="V509">
        <f>IF(P509=0,0,IF(E509&lt;=$C$7,$AN$5*O508,0))*'Real assumptions'!$D$28</f>
        <v>0</v>
      </c>
      <c r="X509" s="94">
        <f t="shared" si="356"/>
        <v>0</v>
      </c>
      <c r="Y509">
        <f t="shared" si="345"/>
        <v>24</v>
      </c>
      <c r="Z509">
        <f t="shared" si="372"/>
        <v>57</v>
      </c>
      <c r="AA509">
        <f t="shared" si="346"/>
        <v>57.5</v>
      </c>
      <c r="AB509">
        <f t="shared" si="357"/>
        <v>50.505050505050505</v>
      </c>
      <c r="AC509">
        <f t="shared" si="384"/>
        <v>2904.0404040404042</v>
      </c>
      <c r="AD509">
        <f t="shared" si="358"/>
        <v>80.505050505050505</v>
      </c>
      <c r="AE509">
        <f t="shared" si="359"/>
        <v>231.45202020202018</v>
      </c>
      <c r="AF509" s="94">
        <f t="shared" si="360"/>
        <v>1864.5075757575758</v>
      </c>
      <c r="AG509">
        <f t="shared" si="373"/>
        <v>0.41590452850611809</v>
      </c>
      <c r="AH509">
        <f t="shared" si="361"/>
        <v>128.4963391645046</v>
      </c>
      <c r="AI509">
        <f>HLOOKUP(AW509,'Real assumptions'!$A$21:$AK$24,2,TRUE)</f>
        <v>0</v>
      </c>
      <c r="AJ509" s="123">
        <f t="shared" si="385"/>
        <v>0</v>
      </c>
      <c r="AK509" s="122">
        <f>(1+HLOOKUP(YEAR(A509),'Real assumptions'!$A$21:$AK$24,2,TRUE)/100)^(1/12)-1</f>
        <v>0</v>
      </c>
      <c r="AL509">
        <f t="shared" si="374"/>
        <v>1.1993682473640437</v>
      </c>
      <c r="AM509">
        <f>('Real assumptions'!$B$33/12)*O508*AV508</f>
        <v>1.16380235847679</v>
      </c>
      <c r="AN509">
        <f t="shared" si="362"/>
        <v>130.00764194836628</v>
      </c>
      <c r="AO509">
        <f t="shared" si="386"/>
        <v>0</v>
      </c>
      <c r="AP509" s="121">
        <f t="shared" si="363"/>
        <v>0</v>
      </c>
      <c r="AQ509">
        <f t="shared" si="364"/>
        <v>0</v>
      </c>
      <c r="AR509">
        <v>0</v>
      </c>
      <c r="AS509">
        <f t="shared" si="347"/>
        <v>0</v>
      </c>
      <c r="AT509">
        <f t="shared" si="365"/>
        <v>0</v>
      </c>
      <c r="AU509">
        <f>IFERROR(HLOOKUP(B509,'Real assumptions'!$B$43:$AL$44,2,TRUE)*($W$3/$U$2),0)</f>
        <v>0</v>
      </c>
      <c r="AV509">
        <f>AV508*(1+'Real assumptions'!$B$35)^(1/12)</f>
        <v>1.6728008377517523</v>
      </c>
      <c r="AW509">
        <f t="shared" si="348"/>
        <v>2060</v>
      </c>
      <c r="AX509">
        <f t="shared" si="375"/>
        <v>129.82866589743111</v>
      </c>
      <c r="AY509">
        <f t="shared" si="376"/>
        <v>0.29311506853930902</v>
      </c>
      <c r="AZ509">
        <f t="shared" si="349"/>
        <v>276.24861662241307</v>
      </c>
      <c r="BA509">
        <f t="shared" si="366"/>
        <v>2.9360966897020506</v>
      </c>
      <c r="BB509">
        <f t="shared" si="367"/>
        <v>57.5</v>
      </c>
      <c r="BC509">
        <f t="shared" si="350"/>
        <v>34.5</v>
      </c>
      <c r="BD509">
        <f t="shared" si="368"/>
        <v>0</v>
      </c>
      <c r="BE509">
        <f t="shared" si="351"/>
        <v>24</v>
      </c>
      <c r="BF509">
        <f t="shared" si="377"/>
        <v>5000</v>
      </c>
      <c r="BU509"/>
      <c r="DW509" s="89"/>
      <c r="DX509" s="89"/>
      <c r="FD509"/>
      <c r="FE509"/>
    </row>
    <row r="510" spans="1:161" x14ac:dyDescent="0.25">
      <c r="A510" s="7">
        <f t="shared" si="369"/>
        <v>58622</v>
      </c>
      <c r="B510">
        <f t="shared" si="352"/>
        <v>499</v>
      </c>
      <c r="C510">
        <f t="shared" si="378"/>
        <v>41.5</v>
      </c>
      <c r="D510">
        <f t="shared" si="379"/>
        <v>0</v>
      </c>
      <c r="E510">
        <f t="shared" si="353"/>
        <v>93</v>
      </c>
      <c r="F510">
        <f>IF(C510&gt;=$T$2,0,VLOOKUP($E510,EKM_F05!$A$3:$C$128,2,TRUE))</f>
        <v>0.20034076923076924</v>
      </c>
      <c r="G510">
        <f>F510*'Real assumptions'!$B$3</f>
        <v>8.3602203E-2</v>
      </c>
      <c r="H510">
        <f t="shared" si="380"/>
        <v>7.2489927494185924E-3</v>
      </c>
      <c r="I510">
        <f t="shared" si="381"/>
        <v>4.9877614353267602E-4</v>
      </c>
      <c r="J510">
        <f>IF(B510&gt;$AJ$2,0,HLOOKUP(C510,'Real assumptions'!$B$5:$L$8,4,TRUE))</f>
        <v>3.7900000000000003E-2</v>
      </c>
      <c r="K510">
        <f t="shared" si="342"/>
        <v>1</v>
      </c>
      <c r="L510">
        <f t="shared" si="370"/>
        <v>8.3333333333333329E-2</v>
      </c>
      <c r="M510">
        <f t="shared" si="382"/>
        <v>3.2145624959929453E-3</v>
      </c>
      <c r="N510">
        <f t="shared" si="383"/>
        <v>2.2073516106625558E-4</v>
      </c>
      <c r="O510" s="8">
        <f t="shared" si="354"/>
        <v>6.8197526542401896E-2</v>
      </c>
      <c r="P510">
        <f t="shared" si="355"/>
        <v>1.6540089083280201</v>
      </c>
      <c r="Q510">
        <f t="shared" si="371"/>
        <v>2.4938807176633802</v>
      </c>
      <c r="R510" s="89">
        <f t="shared" si="343"/>
        <v>5000</v>
      </c>
      <c r="S510">
        <f t="shared" si="344"/>
        <v>0.4166666666666643</v>
      </c>
      <c r="U510">
        <f>O509*AV509*'Real assumptions'!$B$33/12+AX510*'Real assumptions'!$B$34</f>
        <v>1.1881251503815708</v>
      </c>
      <c r="V510">
        <f>IF(P510=0,0,IF(E510&lt;=$C$7,$AN$5*O509,0))*'Real assumptions'!$D$28</f>
        <v>0</v>
      </c>
      <c r="X510" s="94">
        <f t="shared" si="356"/>
        <v>0</v>
      </c>
      <c r="Y510">
        <f t="shared" si="345"/>
        <v>24</v>
      </c>
      <c r="Z510">
        <f t="shared" si="372"/>
        <v>57</v>
      </c>
      <c r="AA510">
        <f t="shared" si="346"/>
        <v>57.416666666666664</v>
      </c>
      <c r="AB510">
        <f t="shared" si="357"/>
        <v>50.505050505050505</v>
      </c>
      <c r="AC510">
        <f t="shared" si="384"/>
        <v>2899.8316498316499</v>
      </c>
      <c r="AD510">
        <f t="shared" si="358"/>
        <v>80.505050505050505</v>
      </c>
      <c r="AE510">
        <f t="shared" si="359"/>
        <v>231.11658249158248</v>
      </c>
      <c r="AF510" s="94">
        <f t="shared" si="360"/>
        <v>1869.0517676767677</v>
      </c>
      <c r="AG510">
        <f t="shared" si="373"/>
        <v>0.41256544297930103</v>
      </c>
      <c r="AH510">
        <f t="shared" si="361"/>
        <v>127.46470753525955</v>
      </c>
      <c r="AI510">
        <f>HLOOKUP(AW510,'Real assumptions'!$A$21:$AK$24,2,TRUE)</f>
        <v>0</v>
      </c>
      <c r="AJ510" s="123">
        <f t="shared" si="385"/>
        <v>0</v>
      </c>
      <c r="AK510" s="122">
        <f>(1+HLOOKUP(YEAR(A510),'Real assumptions'!$A$21:$AK$24,2,TRUE)/100)^(1/12)-1</f>
        <v>0</v>
      </c>
      <c r="AL510">
        <f t="shared" si="374"/>
        <v>1.1881251503815708</v>
      </c>
      <c r="AM510">
        <f>('Real assumptions'!$B$33/12)*O509*AV509</f>
        <v>1.152844786458322</v>
      </c>
      <c r="AN510">
        <f t="shared" si="362"/>
        <v>128.96222292245105</v>
      </c>
      <c r="AO510">
        <f t="shared" si="386"/>
        <v>0</v>
      </c>
      <c r="AP510" s="121">
        <f t="shared" si="363"/>
        <v>0</v>
      </c>
      <c r="AQ510">
        <f t="shared" si="364"/>
        <v>0</v>
      </c>
      <c r="AR510">
        <v>0</v>
      </c>
      <c r="AS510">
        <f t="shared" si="347"/>
        <v>0</v>
      </c>
      <c r="AT510">
        <f t="shared" si="365"/>
        <v>0</v>
      </c>
      <c r="AU510">
        <f>IFERROR(HLOOKUP(B510,'Real assumptions'!$B$43:$AL$44,2,TRUE)*($W$3/$U$2),0)</f>
        <v>0</v>
      </c>
      <c r="AV510">
        <f>AV509*(1+'Real assumptions'!$B$35)^(1/12)</f>
        <v>1.6745334345528378</v>
      </c>
      <c r="AW510">
        <f t="shared" si="348"/>
        <v>2060</v>
      </c>
      <c r="AX510">
        <f t="shared" si="375"/>
        <v>128.78639403759803</v>
      </c>
      <c r="AY510">
        <f t="shared" si="376"/>
        <v>0.2900548730934378</v>
      </c>
      <c r="AZ510">
        <f t="shared" si="349"/>
        <v>273.80805421971684</v>
      </c>
      <c r="BA510">
        <f t="shared" si="366"/>
        <v>2.9064461606426812</v>
      </c>
      <c r="BB510">
        <f t="shared" si="367"/>
        <v>57.416666666666664</v>
      </c>
      <c r="BC510">
        <f t="shared" si="350"/>
        <v>34.449999999999996</v>
      </c>
      <c r="BD510">
        <f t="shared" si="368"/>
        <v>0</v>
      </c>
      <c r="BE510">
        <f t="shared" si="351"/>
        <v>24</v>
      </c>
      <c r="BF510">
        <f t="shared" si="377"/>
        <v>5000</v>
      </c>
      <c r="BU510"/>
      <c r="DW510" s="89"/>
      <c r="DX510" s="89"/>
      <c r="FD510"/>
      <c r="FE510"/>
    </row>
    <row r="511" spans="1:161" x14ac:dyDescent="0.25">
      <c r="A511" s="7">
        <f t="shared" si="369"/>
        <v>58653</v>
      </c>
      <c r="B511">
        <f t="shared" si="352"/>
        <v>500</v>
      </c>
      <c r="C511">
        <f t="shared" si="378"/>
        <v>41.583333333333336</v>
      </c>
      <c r="D511">
        <f t="shared" si="379"/>
        <v>0</v>
      </c>
      <c r="E511">
        <f t="shared" si="353"/>
        <v>93</v>
      </c>
      <c r="F511">
        <f>IF(C511&gt;=$T$2,0,VLOOKUP($E511,EKM_F05!$A$3:$C$128,2,TRUE))</f>
        <v>0.20034076923076924</v>
      </c>
      <c r="G511">
        <f>F511*'Real assumptions'!$B$3</f>
        <v>8.3602203E-2</v>
      </c>
      <c r="H511">
        <f t="shared" si="380"/>
        <v>7.2489927494185924E-3</v>
      </c>
      <c r="I511">
        <f t="shared" si="381"/>
        <v>4.9356879445112175E-4</v>
      </c>
      <c r="J511">
        <f>IF(B511&gt;$AJ$2,0,HLOOKUP(C511,'Real assumptions'!$B$5:$L$8,4,TRUE))</f>
        <v>3.7900000000000003E-2</v>
      </c>
      <c r="K511">
        <f t="shared" si="342"/>
        <v>1</v>
      </c>
      <c r="L511">
        <f t="shared" si="370"/>
        <v>8.3333333333333329E-2</v>
      </c>
      <c r="M511">
        <f t="shared" si="382"/>
        <v>3.2145624959929453E-3</v>
      </c>
      <c r="N511">
        <f t="shared" si="383"/>
        <v>2.1843063015965702E-4</v>
      </c>
      <c r="O511" s="8">
        <f t="shared" si="354"/>
        <v>6.7485527117791128E-2</v>
      </c>
      <c r="P511">
        <f t="shared" si="355"/>
        <v>1.6367406370176454</v>
      </c>
      <c r="Q511">
        <f t="shared" si="371"/>
        <v>2.4678439722556087</v>
      </c>
      <c r="R511" s="89">
        <f t="shared" si="343"/>
        <v>5000</v>
      </c>
      <c r="S511">
        <f t="shared" si="344"/>
        <v>0.3333333333333357</v>
      </c>
      <c r="U511">
        <f>O510*AV510*'Real assumptions'!$B$33/12+AX511*'Real assumptions'!$B$34</f>
        <v>1.1769873077133992</v>
      </c>
      <c r="V511">
        <f>IF(P511=0,0,IF(E511&lt;=$C$7,$AN$5*O510,0))*'Real assumptions'!$D$28</f>
        <v>0</v>
      </c>
      <c r="X511" s="94">
        <f t="shared" si="356"/>
        <v>0</v>
      </c>
      <c r="Y511">
        <f t="shared" si="345"/>
        <v>24</v>
      </c>
      <c r="Z511">
        <f t="shared" si="372"/>
        <v>57</v>
      </c>
      <c r="AA511">
        <f t="shared" si="346"/>
        <v>57.333333333333336</v>
      </c>
      <c r="AB511">
        <f t="shared" si="357"/>
        <v>50.505050505050505</v>
      </c>
      <c r="AC511">
        <f t="shared" si="384"/>
        <v>2895.6228956228956</v>
      </c>
      <c r="AD511">
        <f t="shared" si="358"/>
        <v>80.505050505050505</v>
      </c>
      <c r="AE511">
        <f t="shared" si="359"/>
        <v>230.78114478114477</v>
      </c>
      <c r="AF511" s="94">
        <f t="shared" si="360"/>
        <v>1873.5959595959596</v>
      </c>
      <c r="AG511">
        <f t="shared" si="373"/>
        <v>0.40925074611913276</v>
      </c>
      <c r="AH511">
        <f t="shared" si="361"/>
        <v>126.44061093909703</v>
      </c>
      <c r="AI511">
        <f>HLOOKUP(AW511,'Real assumptions'!$A$21:$AK$24,2,TRUE)</f>
        <v>0</v>
      </c>
      <c r="AJ511" s="123">
        <f t="shared" si="385"/>
        <v>0</v>
      </c>
      <c r="AK511" s="122">
        <f>(1+HLOOKUP(YEAR(A511),'Real assumptions'!$A$21:$AK$24,2,TRUE)/100)^(1/12)-1</f>
        <v>0</v>
      </c>
      <c r="AL511">
        <f t="shared" si="374"/>
        <v>1.1769873077133992</v>
      </c>
      <c r="AM511">
        <f>('Real assumptions'!$B$33/12)*O510*AV510</f>
        <v>1.1419903834905656</v>
      </c>
      <c r="AN511">
        <f t="shared" si="362"/>
        <v>127.9244608645638</v>
      </c>
      <c r="AO511">
        <f t="shared" si="386"/>
        <v>0</v>
      </c>
      <c r="AP511" s="121">
        <f t="shared" si="363"/>
        <v>0</v>
      </c>
      <c r="AQ511">
        <f t="shared" si="364"/>
        <v>0</v>
      </c>
      <c r="AR511">
        <v>0</v>
      </c>
      <c r="AS511">
        <f t="shared" si="347"/>
        <v>0</v>
      </c>
      <c r="AT511">
        <f t="shared" si="365"/>
        <v>0</v>
      </c>
      <c r="AU511">
        <f>IFERROR(HLOOKUP(B511,'Real assumptions'!$B$43:$AL$44,2,TRUE)*($W$3/$U$2),0)</f>
        <v>0</v>
      </c>
      <c r="AV511">
        <f>AV510*(1+'Real assumptions'!$B$35)^(1/12)</f>
        <v>1.676267825884155</v>
      </c>
      <c r="AW511">
        <f t="shared" si="348"/>
        <v>2060</v>
      </c>
      <c r="AX511">
        <f t="shared" si="375"/>
        <v>127.75173416212151</v>
      </c>
      <c r="AY511">
        <f t="shared" si="376"/>
        <v>0.28702662686196084</v>
      </c>
      <c r="AZ511">
        <f t="shared" si="349"/>
        <v>271.39071283064635</v>
      </c>
      <c r="BA511">
        <f t="shared" si="366"/>
        <v>2.8770947183747415</v>
      </c>
      <c r="BB511">
        <f t="shared" si="367"/>
        <v>57.333333333333336</v>
      </c>
      <c r="BC511">
        <f t="shared" si="350"/>
        <v>34.4</v>
      </c>
      <c r="BD511">
        <f t="shared" si="368"/>
        <v>0</v>
      </c>
      <c r="BE511">
        <f t="shared" si="351"/>
        <v>24</v>
      </c>
      <c r="BF511">
        <f t="shared" si="377"/>
        <v>5000</v>
      </c>
      <c r="BU511"/>
      <c r="DW511" s="89"/>
      <c r="DX511" s="89"/>
      <c r="FD511"/>
      <c r="FE511"/>
    </row>
    <row r="512" spans="1:161" x14ac:dyDescent="0.25">
      <c r="A512" s="7">
        <f t="shared" si="369"/>
        <v>58684</v>
      </c>
      <c r="B512">
        <f t="shared" si="352"/>
        <v>501</v>
      </c>
      <c r="C512">
        <f t="shared" si="378"/>
        <v>41.666666666666664</v>
      </c>
      <c r="D512">
        <f t="shared" si="379"/>
        <v>0</v>
      </c>
      <c r="E512">
        <f t="shared" si="353"/>
        <v>93</v>
      </c>
      <c r="F512">
        <f>IF(C512&gt;=$T$2,0,VLOOKUP($E512,EKM_F05!$A$3:$C$128,2,TRUE))</f>
        <v>0.20034076923076924</v>
      </c>
      <c r="G512">
        <f>F512*'Real assumptions'!$B$3</f>
        <v>8.3602203E-2</v>
      </c>
      <c r="H512">
        <f t="shared" si="380"/>
        <v>7.2489927494185924E-3</v>
      </c>
      <c r="I512">
        <f t="shared" si="381"/>
        <v>4.8841581141094458E-4</v>
      </c>
      <c r="J512">
        <f>IF(B512&gt;$AJ$2,0,HLOOKUP(C512,'Real assumptions'!$B$5:$L$8,4,TRUE))</f>
        <v>3.7900000000000003E-2</v>
      </c>
      <c r="K512">
        <f t="shared" si="342"/>
        <v>1</v>
      </c>
      <c r="L512">
        <f t="shared" si="370"/>
        <v>8.3333333333333329E-2</v>
      </c>
      <c r="M512">
        <f t="shared" si="382"/>
        <v>3.2145624959929453E-3</v>
      </c>
      <c r="N512">
        <f t="shared" si="383"/>
        <v>2.1615015913855118E-4</v>
      </c>
      <c r="O512" s="8">
        <f t="shared" si="354"/>
        <v>6.6780961147241635E-2</v>
      </c>
      <c r="P512">
        <f t="shared" si="355"/>
        <v>1.6196526508269871</v>
      </c>
      <c r="Q512">
        <f t="shared" si="371"/>
        <v>2.4420790570547228</v>
      </c>
      <c r="R512" s="89">
        <f t="shared" si="343"/>
        <v>5000</v>
      </c>
      <c r="S512">
        <f t="shared" si="344"/>
        <v>0.25</v>
      </c>
      <c r="U512">
        <f>O511*AV511*'Real assumptions'!$B$33/12+AX512*'Real assumptions'!$B$34</f>
        <v>1.1659537355704095</v>
      </c>
      <c r="V512">
        <f>IF(P512=0,0,IF(E512&lt;=$C$7,$AN$5*O511,0))*'Real assumptions'!$D$28</f>
        <v>0</v>
      </c>
      <c r="X512" s="94">
        <f t="shared" si="356"/>
        <v>0</v>
      </c>
      <c r="Y512">
        <f t="shared" si="345"/>
        <v>24</v>
      </c>
      <c r="Z512">
        <f t="shared" si="372"/>
        <v>57</v>
      </c>
      <c r="AA512">
        <f t="shared" si="346"/>
        <v>57.25</v>
      </c>
      <c r="AB512">
        <f t="shared" si="357"/>
        <v>50.505050505050505</v>
      </c>
      <c r="AC512">
        <f t="shared" si="384"/>
        <v>2891.4141414141413</v>
      </c>
      <c r="AD512">
        <f t="shared" si="358"/>
        <v>80.505050505050505</v>
      </c>
      <c r="AE512">
        <f t="shared" si="359"/>
        <v>230.44570707070707</v>
      </c>
      <c r="AF512" s="94">
        <f t="shared" si="360"/>
        <v>1878.1401515151515</v>
      </c>
      <c r="AG512">
        <f t="shared" si="373"/>
        <v>0.40596029263450262</v>
      </c>
      <c r="AH512">
        <f t="shared" si="361"/>
        <v>125.42400448740786</v>
      </c>
      <c r="AI512">
        <f>HLOOKUP(AW512,'Real assumptions'!$A$21:$AK$24,2,TRUE)</f>
        <v>0</v>
      </c>
      <c r="AJ512" s="123">
        <f t="shared" si="385"/>
        <v>0</v>
      </c>
      <c r="AK512" s="122">
        <f>(1+HLOOKUP(YEAR(A512),'Real assumptions'!$A$21:$AK$24,2,TRUE)/100)^(1/12)-1</f>
        <v>0</v>
      </c>
      <c r="AL512">
        <f t="shared" si="374"/>
        <v>1.1659537355704095</v>
      </c>
      <c r="AM512">
        <f>('Real assumptions'!$B$33/12)*O511*AV511</f>
        <v>1.1312381782038592</v>
      </c>
      <c r="AN512">
        <f t="shared" si="362"/>
        <v>126.89430985435359</v>
      </c>
      <c r="AO512">
        <f t="shared" si="386"/>
        <v>0</v>
      </c>
      <c r="AP512" s="121">
        <f t="shared" si="363"/>
        <v>0</v>
      </c>
      <c r="AQ512">
        <f t="shared" si="364"/>
        <v>0</v>
      </c>
      <c r="AR512">
        <v>0</v>
      </c>
      <c r="AS512">
        <f t="shared" si="347"/>
        <v>0</v>
      </c>
      <c r="AT512">
        <f t="shared" si="365"/>
        <v>0</v>
      </c>
      <c r="AU512">
        <f>IFERROR(HLOOKUP(B512,'Real assumptions'!$B$43:$AL$44,2,TRUE)*($W$3/$U$2),0)</f>
        <v>0</v>
      </c>
      <c r="AV512">
        <f>AV511*(1+'Real assumptions'!$B$35)^(1/12)</f>
        <v>1.6780040136043817</v>
      </c>
      <c r="AW512">
        <f t="shared" si="348"/>
        <v>2060</v>
      </c>
      <c r="AX512">
        <f t="shared" si="375"/>
        <v>126.72464093538403</v>
      </c>
      <c r="AY512">
        <f t="shared" si="376"/>
        <v>0.28402999628699965</v>
      </c>
      <c r="AZ512">
        <f t="shared" si="349"/>
        <v>268.99637239621376</v>
      </c>
      <c r="BA512">
        <f t="shared" si="366"/>
        <v>2.8480393496892256</v>
      </c>
      <c r="BB512">
        <f t="shared" si="367"/>
        <v>57.25</v>
      </c>
      <c r="BC512">
        <f t="shared" si="350"/>
        <v>34.349999999999994</v>
      </c>
      <c r="BD512">
        <f t="shared" si="368"/>
        <v>0</v>
      </c>
      <c r="BE512">
        <f t="shared" si="351"/>
        <v>24</v>
      </c>
      <c r="BF512">
        <f t="shared" si="377"/>
        <v>5000</v>
      </c>
      <c r="BU512"/>
      <c r="DW512" s="89"/>
      <c r="DX512" s="89"/>
      <c r="FD512"/>
      <c r="FE512"/>
    </row>
    <row r="513" spans="1:161" x14ac:dyDescent="0.25">
      <c r="A513" s="7">
        <f t="shared" si="369"/>
        <v>58714</v>
      </c>
      <c r="B513">
        <f t="shared" si="352"/>
        <v>502</v>
      </c>
      <c r="C513">
        <f t="shared" si="378"/>
        <v>41.75</v>
      </c>
      <c r="D513">
        <f t="shared" si="379"/>
        <v>0</v>
      </c>
      <c r="E513">
        <f t="shared" si="353"/>
        <v>93</v>
      </c>
      <c r="F513">
        <f>IF(C513&gt;=$T$2,0,VLOOKUP($E513,EKM_F05!$A$3:$C$128,2,TRUE))</f>
        <v>0.20034076923076924</v>
      </c>
      <c r="G513">
        <f>F513*'Real assumptions'!$B$3</f>
        <v>8.3602203E-2</v>
      </c>
      <c r="H513">
        <f t="shared" si="380"/>
        <v>7.2489927494185924E-3</v>
      </c>
      <c r="I513">
        <f t="shared" si="381"/>
        <v>4.8331662681692298E-4</v>
      </c>
      <c r="J513">
        <f>IF(B513&gt;$AJ$2,0,HLOOKUP(C513,'Real assumptions'!$B$5:$L$8,4,TRUE))</f>
        <v>3.7900000000000003E-2</v>
      </c>
      <c r="K513">
        <f t="shared" si="342"/>
        <v>1</v>
      </c>
      <c r="L513">
        <f t="shared" si="370"/>
        <v>8.3333333333333329E-2</v>
      </c>
      <c r="M513">
        <f t="shared" si="382"/>
        <v>3.2145624959929453E-3</v>
      </c>
      <c r="N513">
        <f t="shared" si="383"/>
        <v>2.1389349681164864E-4</v>
      </c>
      <c r="O513" s="8">
        <f t="shared" si="354"/>
        <v>6.6083751023613052E-2</v>
      </c>
      <c r="P513">
        <f t="shared" si="355"/>
        <v>1.6027430675337992</v>
      </c>
      <c r="Q513">
        <f t="shared" si="371"/>
        <v>2.4165831340846151</v>
      </c>
      <c r="R513" s="89">
        <f t="shared" si="343"/>
        <v>5000</v>
      </c>
      <c r="S513">
        <f t="shared" si="344"/>
        <v>0.1666666666666643</v>
      </c>
      <c r="U513">
        <f>O512*AV512*'Real assumptions'!$B$33/12+AX513*'Real assumptions'!$B$34</f>
        <v>1.1550234593412729</v>
      </c>
      <c r="V513">
        <f>IF(P513=0,0,IF(E513&lt;=$C$7,$AN$5*O512,0))*'Real assumptions'!$D$28</f>
        <v>0</v>
      </c>
      <c r="X513" s="94">
        <f t="shared" si="356"/>
        <v>0</v>
      </c>
      <c r="Y513">
        <f t="shared" si="345"/>
        <v>24</v>
      </c>
      <c r="Z513">
        <f t="shared" si="372"/>
        <v>57</v>
      </c>
      <c r="AA513">
        <f t="shared" si="346"/>
        <v>57.166666666666664</v>
      </c>
      <c r="AB513">
        <f t="shared" si="357"/>
        <v>50.505050505050505</v>
      </c>
      <c r="AC513">
        <f t="shared" si="384"/>
        <v>2887.2053872053871</v>
      </c>
      <c r="AD513">
        <f t="shared" si="358"/>
        <v>80.505050505050505</v>
      </c>
      <c r="AE513">
        <f t="shared" si="359"/>
        <v>230.11026936026934</v>
      </c>
      <c r="AF513" s="94">
        <f t="shared" si="360"/>
        <v>1882.6843434343436</v>
      </c>
      <c r="AG513">
        <f t="shared" si="373"/>
        <v>0.40269393760971461</v>
      </c>
      <c r="AH513">
        <f t="shared" si="361"/>
        <v>124.41484340756958</v>
      </c>
      <c r="AI513">
        <f>HLOOKUP(AW513,'Real assumptions'!$A$21:$AK$24,2,TRUE)</f>
        <v>0</v>
      </c>
      <c r="AJ513" s="123">
        <f t="shared" si="385"/>
        <v>0</v>
      </c>
      <c r="AK513" s="122">
        <f>(1+HLOOKUP(YEAR(A513),'Real assumptions'!$A$21:$AK$24,2,TRUE)/100)^(1/12)-1</f>
        <v>0</v>
      </c>
      <c r="AL513">
        <f t="shared" si="374"/>
        <v>1.1550234593412729</v>
      </c>
      <c r="AM513">
        <f>('Real assumptions'!$B$33/12)*O512*AV512</f>
        <v>1.1205872083742974</v>
      </c>
      <c r="AN513">
        <f t="shared" si="362"/>
        <v>125.87172409560037</v>
      </c>
      <c r="AO513">
        <f t="shared" si="386"/>
        <v>0</v>
      </c>
      <c r="AP513" s="121">
        <f t="shared" si="363"/>
        <v>0</v>
      </c>
      <c r="AQ513">
        <f t="shared" si="364"/>
        <v>0</v>
      </c>
      <c r="AR513">
        <v>0</v>
      </c>
      <c r="AS513">
        <f t="shared" si="347"/>
        <v>0</v>
      </c>
      <c r="AT513">
        <f t="shared" si="365"/>
        <v>0</v>
      </c>
      <c r="AU513">
        <f>IFERROR(HLOOKUP(B513,'Real assumptions'!$B$43:$AL$44,2,TRUE)*($W$3/$U$2),0)</f>
        <v>0</v>
      </c>
      <c r="AV513">
        <f>AV512*(1+'Real assumptions'!$B$35)^(1/12)</f>
        <v>1.6797419995741203</v>
      </c>
      <c r="AW513">
        <f t="shared" si="348"/>
        <v>2060</v>
      </c>
      <c r="AX513">
        <f t="shared" si="375"/>
        <v>125.70506913870096</v>
      </c>
      <c r="AY513">
        <f t="shared" si="376"/>
        <v>0.28106465129310448</v>
      </c>
      <c r="AZ513">
        <f t="shared" si="349"/>
        <v>266.62481493271196</v>
      </c>
      <c r="BA513">
        <f t="shared" si="366"/>
        <v>2.8192770716943296</v>
      </c>
      <c r="BB513">
        <f t="shared" si="367"/>
        <v>57.166666666666664</v>
      </c>
      <c r="BC513">
        <f t="shared" si="350"/>
        <v>34.299999999999997</v>
      </c>
      <c r="BD513">
        <f t="shared" si="368"/>
        <v>0</v>
      </c>
      <c r="BE513">
        <f t="shared" si="351"/>
        <v>24</v>
      </c>
      <c r="BF513">
        <f t="shared" si="377"/>
        <v>5000</v>
      </c>
      <c r="BU513"/>
      <c r="DW513" s="89"/>
      <c r="DX513" s="89"/>
      <c r="FD513"/>
      <c r="FE513"/>
    </row>
    <row r="514" spans="1:161" x14ac:dyDescent="0.25">
      <c r="A514" s="7">
        <f t="shared" si="369"/>
        <v>58745</v>
      </c>
      <c r="B514">
        <f t="shared" si="352"/>
        <v>503</v>
      </c>
      <c r="C514">
        <f t="shared" si="378"/>
        <v>41.833333333333336</v>
      </c>
      <c r="D514">
        <f t="shared" si="379"/>
        <v>0</v>
      </c>
      <c r="E514">
        <f t="shared" si="353"/>
        <v>93</v>
      </c>
      <c r="F514">
        <f>IF(C514&gt;=$T$2,0,VLOOKUP($E514,EKM_F05!$A$3:$C$128,2,TRUE))</f>
        <v>0.20034076923076924</v>
      </c>
      <c r="G514">
        <f>F514*'Real assumptions'!$B$3</f>
        <v>8.3602203E-2</v>
      </c>
      <c r="H514">
        <f t="shared" si="380"/>
        <v>7.2489927494185924E-3</v>
      </c>
      <c r="I514">
        <f t="shared" si="381"/>
        <v>4.7827067899967304E-4</v>
      </c>
      <c r="J514">
        <f>IF(B514&gt;$AJ$2,0,HLOOKUP(C514,'Real assumptions'!$B$5:$L$8,4,TRUE))</f>
        <v>3.7900000000000003E-2</v>
      </c>
      <c r="K514">
        <f t="shared" si="342"/>
        <v>1</v>
      </c>
      <c r="L514">
        <f t="shared" si="370"/>
        <v>8.3333333333333329E-2</v>
      </c>
      <c r="M514">
        <f t="shared" si="382"/>
        <v>3.2145624959929453E-3</v>
      </c>
      <c r="N514">
        <f t="shared" si="383"/>
        <v>2.1166039461016048E-4</v>
      </c>
      <c r="O514" s="8">
        <f t="shared" si="354"/>
        <v>6.5393819950003207E-2</v>
      </c>
      <c r="P514">
        <f t="shared" si="355"/>
        <v>1.5860100245667133</v>
      </c>
      <c r="Q514">
        <f t="shared" si="371"/>
        <v>2.3913533949983652</v>
      </c>
      <c r="R514" s="89">
        <f t="shared" si="343"/>
        <v>5000</v>
      </c>
      <c r="S514">
        <f t="shared" si="344"/>
        <v>8.3333333333335702E-2</v>
      </c>
      <c r="U514">
        <f>O513*AV513*'Real assumptions'!$B$33/12+AX514*'Real assumptions'!$B$34</f>
        <v>1.1441955135070245</v>
      </c>
      <c r="V514">
        <f>IF(P514=0,0,IF(E514&lt;=$C$7,$AN$5*O513,0))*'Real assumptions'!$D$28</f>
        <v>0</v>
      </c>
      <c r="X514" s="94">
        <f t="shared" si="356"/>
        <v>0</v>
      </c>
      <c r="Y514">
        <f t="shared" si="345"/>
        <v>24</v>
      </c>
      <c r="Z514">
        <f t="shared" si="372"/>
        <v>57</v>
      </c>
      <c r="AA514">
        <f t="shared" si="346"/>
        <v>57.083333333333336</v>
      </c>
      <c r="AB514">
        <f t="shared" si="357"/>
        <v>50.505050505050505</v>
      </c>
      <c r="AC514">
        <f t="shared" si="384"/>
        <v>2882.9966329966333</v>
      </c>
      <c r="AD514">
        <f t="shared" si="358"/>
        <v>80.505050505050505</v>
      </c>
      <c r="AE514">
        <f t="shared" si="359"/>
        <v>229.77483164983164</v>
      </c>
      <c r="AF514" s="94">
        <f t="shared" si="360"/>
        <v>1887.2285353535351</v>
      </c>
      <c r="AG514">
        <f t="shared" si="373"/>
        <v>0.39945153651248444</v>
      </c>
      <c r="AH514">
        <f t="shared" si="361"/>
        <v>123.41308304541734</v>
      </c>
      <c r="AI514">
        <f>HLOOKUP(AW514,'Real assumptions'!$A$21:$AK$24,2,TRUE)</f>
        <v>0</v>
      </c>
      <c r="AJ514" s="123">
        <f t="shared" si="385"/>
        <v>0</v>
      </c>
      <c r="AK514" s="122">
        <f>(1+HLOOKUP(YEAR(A514),'Real assumptions'!$A$21:$AK$24,2,TRUE)/100)^(1/12)-1</f>
        <v>0</v>
      </c>
      <c r="AL514">
        <f t="shared" si="374"/>
        <v>1.1441955135070245</v>
      </c>
      <c r="AM514">
        <f>('Real assumptions'!$B$33/12)*O513*AV513</f>
        <v>1.1100365208376211</v>
      </c>
      <c r="AN514">
        <f t="shared" si="362"/>
        <v>124.85665791862927</v>
      </c>
      <c r="AO514">
        <f t="shared" si="386"/>
        <v>0</v>
      </c>
      <c r="AP514" s="121">
        <f t="shared" si="363"/>
        <v>0</v>
      </c>
      <c r="AQ514">
        <f t="shared" si="364"/>
        <v>0</v>
      </c>
      <c r="AR514">
        <v>0</v>
      </c>
      <c r="AS514">
        <f t="shared" si="347"/>
        <v>0</v>
      </c>
      <c r="AT514">
        <f t="shared" si="365"/>
        <v>0</v>
      </c>
      <c r="AU514">
        <f>IFERROR(HLOOKUP(B514,'Real assumptions'!$B$43:$AL$44,2,TRUE)*($W$3/$U$2),0)</f>
        <v>0</v>
      </c>
      <c r="AV514">
        <f>AV513*(1+'Real assumptions'!$B$35)^(1/12)</f>
        <v>1.6814817856559006</v>
      </c>
      <c r="AW514">
        <f t="shared" si="348"/>
        <v>2060</v>
      </c>
      <c r="AX514">
        <f t="shared" si="375"/>
        <v>124.69297367282047</v>
      </c>
      <c r="AY514">
        <f t="shared" si="376"/>
        <v>0.27813026525089668</v>
      </c>
      <c r="AZ514">
        <f t="shared" si="349"/>
        <v>264.27582451226073</v>
      </c>
      <c r="BA514">
        <f t="shared" si="366"/>
        <v>2.7908049315108494</v>
      </c>
      <c r="BB514">
        <f t="shared" si="367"/>
        <v>57.083333333333336</v>
      </c>
      <c r="BC514">
        <f t="shared" si="350"/>
        <v>34.25</v>
      </c>
      <c r="BD514">
        <f t="shared" si="368"/>
        <v>0</v>
      </c>
      <c r="BE514">
        <f t="shared" si="351"/>
        <v>24</v>
      </c>
      <c r="BF514">
        <f t="shared" si="377"/>
        <v>5000</v>
      </c>
      <c r="BU514"/>
      <c r="DW514" s="89"/>
      <c r="DX514" s="89"/>
      <c r="FD514"/>
      <c r="FE514"/>
    </row>
    <row r="515" spans="1:161" x14ac:dyDescent="0.25">
      <c r="A515" s="7">
        <f t="shared" si="369"/>
        <v>58775</v>
      </c>
      <c r="B515">
        <f t="shared" si="352"/>
        <v>504</v>
      </c>
      <c r="C515">
        <f t="shared" si="378"/>
        <v>41.916666666666664</v>
      </c>
      <c r="D515">
        <f t="shared" si="379"/>
        <v>0</v>
      </c>
      <c r="E515">
        <f t="shared" si="353"/>
        <v>93</v>
      </c>
      <c r="F515">
        <f>IF(C515&gt;=$T$2,0,VLOOKUP($E515,EKM_F05!$A$3:$C$128,2,TRUE))</f>
        <v>0.20034076923076924</v>
      </c>
      <c r="G515">
        <f>F515*'Real assumptions'!$B$3</f>
        <v>8.3602203E-2</v>
      </c>
      <c r="H515">
        <f t="shared" si="380"/>
        <v>7.2489927494185924E-3</v>
      </c>
      <c r="I515">
        <f t="shared" si="381"/>
        <v>4.7327741215378156E-4</v>
      </c>
      <c r="J515">
        <f>IF(B515&gt;$AJ$2,0,HLOOKUP(C515,'Real assumptions'!$B$5:$L$8,4,TRUE))</f>
        <v>3.7900000000000003E-2</v>
      </c>
      <c r="K515">
        <f t="shared" si="342"/>
        <v>1</v>
      </c>
      <c r="L515">
        <f t="shared" si="370"/>
        <v>8.3333333333333329E-2</v>
      </c>
      <c r="M515">
        <f t="shared" si="382"/>
        <v>3.2145624959929453E-3</v>
      </c>
      <c r="N515">
        <f t="shared" si="383"/>
        <v>2.0945060656041899E-4</v>
      </c>
      <c r="O515" s="8">
        <f t="shared" si="354"/>
        <v>6.4711091931289016E-2</v>
      </c>
      <c r="P515">
        <f t="shared" si="355"/>
        <v>1.569451678800077</v>
      </c>
      <c r="Q515">
        <f t="shared" si="371"/>
        <v>2.3663870607689077</v>
      </c>
      <c r="R515" s="89">
        <f t="shared" si="343"/>
        <v>5000</v>
      </c>
      <c r="S515">
        <f t="shared" si="344"/>
        <v>1</v>
      </c>
      <c r="U515">
        <f>O514*AV514*'Real assumptions'!$B$33/12+AX515*'Real assumptions'!$B$34</f>
        <v>1.1334689415564312</v>
      </c>
      <c r="V515">
        <f>IF(P515=0,0,IF(E515&lt;=$C$7,$AN$5*O514,0))*'Real assumptions'!$D$28</f>
        <v>0</v>
      </c>
      <c r="X515" s="94">
        <f t="shared" si="356"/>
        <v>0</v>
      </c>
      <c r="Y515">
        <f t="shared" si="345"/>
        <v>24</v>
      </c>
      <c r="Z515">
        <f t="shared" si="372"/>
        <v>57</v>
      </c>
      <c r="AA515">
        <f t="shared" si="346"/>
        <v>57</v>
      </c>
      <c r="AB515">
        <f t="shared" si="357"/>
        <v>50.505050505050505</v>
      </c>
      <c r="AC515">
        <f t="shared" si="384"/>
        <v>2878.787878787879</v>
      </c>
      <c r="AD515">
        <f t="shared" si="358"/>
        <v>80.505050505050505</v>
      </c>
      <c r="AE515">
        <f t="shared" si="359"/>
        <v>229.43939393939394</v>
      </c>
      <c r="AF515" s="94">
        <f t="shared" si="360"/>
        <v>1891.772727272727</v>
      </c>
      <c r="AG515">
        <f t="shared" si="373"/>
        <v>0.39623294520173075</v>
      </c>
      <c r="AH515">
        <f t="shared" si="361"/>
        <v>122.41867886765078</v>
      </c>
      <c r="AI515">
        <f>HLOOKUP(AW515,'Real assumptions'!$A$21:$AK$24,2,TRUE)</f>
        <v>0</v>
      </c>
      <c r="AJ515" s="123">
        <f t="shared" si="385"/>
        <v>0</v>
      </c>
      <c r="AK515" s="122">
        <f>(1+HLOOKUP(YEAR(A515),'Real assumptions'!$A$21:$AK$24,2,TRUE)/100)^(1/12)-1</f>
        <v>0</v>
      </c>
      <c r="AL515">
        <f t="shared" si="374"/>
        <v>1.1334689415564312</v>
      </c>
      <c r="AM515">
        <f>('Real assumptions'!$B$33/12)*O514*AV514</f>
        <v>1.0995851714039184</v>
      </c>
      <c r="AN515">
        <f t="shared" si="362"/>
        <v>123.84906578266099</v>
      </c>
      <c r="AO515">
        <f t="shared" si="386"/>
        <v>0</v>
      </c>
      <c r="AP515" s="121">
        <f t="shared" si="363"/>
        <v>0</v>
      </c>
      <c r="AQ515">
        <f t="shared" si="364"/>
        <v>0</v>
      </c>
      <c r="AR515">
        <v>0</v>
      </c>
      <c r="AS515">
        <f t="shared" si="347"/>
        <v>0</v>
      </c>
      <c r="AT515">
        <f t="shared" si="365"/>
        <v>0</v>
      </c>
      <c r="AU515">
        <f>IFERROR(HLOOKUP(B515,'Real assumptions'!$B$43:$AL$44,2,TRUE)*($W$3/$U$2),0)</f>
        <v>0</v>
      </c>
      <c r="AV515">
        <f>AV514*(1+'Real assumptions'!$B$35)^(1/12)</f>
        <v>1.6832233737141815</v>
      </c>
      <c r="AW515">
        <f t="shared" si="348"/>
        <v>2060</v>
      </c>
      <c r="AX515">
        <f t="shared" si="375"/>
        <v>123.68830956035843</v>
      </c>
      <c r="AY515">
        <f t="shared" si="376"/>
        <v>0.27522651494109091</v>
      </c>
      <c r="AZ515">
        <f t="shared" si="349"/>
        <v>261.94918724353374</v>
      </c>
      <c r="BA515">
        <f t="shared" si="366"/>
        <v>2.7626200059706383</v>
      </c>
      <c r="BB515">
        <f t="shared" si="367"/>
        <v>57</v>
      </c>
      <c r="BC515">
        <f t="shared" si="350"/>
        <v>34.200000000000003</v>
      </c>
      <c r="BD515">
        <f t="shared" si="368"/>
        <v>0</v>
      </c>
      <c r="BE515">
        <f t="shared" si="351"/>
        <v>24</v>
      </c>
      <c r="BF515">
        <f t="shared" si="377"/>
        <v>5000</v>
      </c>
      <c r="BU515"/>
      <c r="DW515" s="89"/>
      <c r="DX515" s="89"/>
      <c r="FD515"/>
      <c r="FE515"/>
    </row>
    <row r="516" spans="1:161" x14ac:dyDescent="0.25">
      <c r="A516" s="7">
        <f t="shared" si="369"/>
        <v>58806</v>
      </c>
      <c r="B516">
        <f t="shared" si="352"/>
        <v>505</v>
      </c>
      <c r="C516">
        <f t="shared" si="378"/>
        <v>42</v>
      </c>
      <c r="D516">
        <f t="shared" si="379"/>
        <v>1</v>
      </c>
      <c r="E516">
        <f t="shared" si="353"/>
        <v>94</v>
      </c>
      <c r="F516">
        <f>IF(C516&gt;=$T$2,0,VLOOKUP($E516,EKM_F05!$A$3:$C$128,2,TRUE))</f>
        <v>0.22069858974358975</v>
      </c>
      <c r="G516">
        <f>F516*'Real assumptions'!$B$3</f>
        <v>9.2097521500000001E-2</v>
      </c>
      <c r="H516">
        <f t="shared" si="380"/>
        <v>8.019199008231892E-3</v>
      </c>
      <c r="I516">
        <f t="shared" si="381"/>
        <v>5.1809705597200776E-4</v>
      </c>
      <c r="J516">
        <f>IF(B516&gt;$AJ$2,0,HLOOKUP(C516,'Real assumptions'!$B$5:$L$8,4,TRUE))</f>
        <v>3.7900000000000003E-2</v>
      </c>
      <c r="K516">
        <f t="shared" si="342"/>
        <v>1</v>
      </c>
      <c r="L516">
        <f t="shared" si="370"/>
        <v>8.3333333333333329E-2</v>
      </c>
      <c r="M516">
        <f t="shared" si="382"/>
        <v>3.2145624959929453E-3</v>
      </c>
      <c r="N516">
        <f t="shared" si="383"/>
        <v>2.0718378093208552E-4</v>
      </c>
      <c r="O516" s="8">
        <f t="shared" si="354"/>
        <v>6.398581109438492E-2</v>
      </c>
      <c r="P516">
        <f t="shared" si="355"/>
        <v>1.5530662063509364</v>
      </c>
      <c r="Q516">
        <f t="shared" si="371"/>
        <v>2.5904852798600388</v>
      </c>
      <c r="R516" s="89">
        <f t="shared" si="343"/>
        <v>5000</v>
      </c>
      <c r="S516">
        <f t="shared" si="344"/>
        <v>0.9166666666666643</v>
      </c>
      <c r="U516">
        <f>O515*AV515*'Real assumptions'!$B$33/12+AX516*'Real assumptions'!$B$34</f>
        <v>1.1228427959021461</v>
      </c>
      <c r="V516">
        <f>IF(P516=0,0,IF(E516&lt;=$C$7,$AN$5*O515,0))*'Real assumptions'!$D$28</f>
        <v>0</v>
      </c>
      <c r="X516" s="94">
        <f t="shared" si="356"/>
        <v>0</v>
      </c>
      <c r="Y516">
        <f t="shared" si="345"/>
        <v>24</v>
      </c>
      <c r="Z516">
        <f t="shared" si="372"/>
        <v>57</v>
      </c>
      <c r="AA516">
        <f t="shared" si="346"/>
        <v>56.916666666666664</v>
      </c>
      <c r="AB516">
        <f t="shared" si="357"/>
        <v>50.505050505050505</v>
      </c>
      <c r="AC516">
        <f t="shared" si="384"/>
        <v>2874.5791245791243</v>
      </c>
      <c r="AD516">
        <f t="shared" si="358"/>
        <v>80.505050505050505</v>
      </c>
      <c r="AE516">
        <f t="shared" si="359"/>
        <v>229.10395622895621</v>
      </c>
      <c r="AF516" s="94">
        <f t="shared" si="360"/>
        <v>1896.3169191919196</v>
      </c>
      <c r="AG516">
        <f t="shared" si="373"/>
        <v>0.39288610916366601</v>
      </c>
      <c r="AH516">
        <f t="shared" si="361"/>
        <v>121.33737616650016</v>
      </c>
      <c r="AI516">
        <f>HLOOKUP(AW516,'Real assumptions'!$A$21:$AK$24,2,TRUE)</f>
        <v>0</v>
      </c>
      <c r="AJ516" s="123">
        <f t="shared" si="385"/>
        <v>0</v>
      </c>
      <c r="AK516" s="122">
        <f>(1+HLOOKUP(YEAR(A516),'Real assumptions'!$A$21:$AK$24,2,TRUE)/100)^(1/12)-1</f>
        <v>0</v>
      </c>
      <c r="AL516">
        <f t="shared" si="374"/>
        <v>1.1228427959021461</v>
      </c>
      <c r="AM516">
        <f>('Real assumptions'!$B$33/12)*O515*AV515</f>
        <v>1.0892322247731283</v>
      </c>
      <c r="AN516">
        <f t="shared" si="362"/>
        <v>122.84890227809957</v>
      </c>
      <c r="AO516">
        <f t="shared" si="386"/>
        <v>0</v>
      </c>
      <c r="AP516" s="121">
        <f t="shared" si="363"/>
        <v>0</v>
      </c>
      <c r="AQ516">
        <f t="shared" si="364"/>
        <v>0</v>
      </c>
      <c r="AR516">
        <v>0</v>
      </c>
      <c r="AS516">
        <f t="shared" si="347"/>
        <v>0</v>
      </c>
      <c r="AT516">
        <f t="shared" si="365"/>
        <v>0</v>
      </c>
      <c r="AU516">
        <f>IFERROR(HLOOKUP(B516,'Real assumptions'!$B$43:$AL$44,2,TRUE)*($W$3/$U$2),0)</f>
        <v>0</v>
      </c>
      <c r="AV516">
        <f>AV515*(1+'Real assumptions'!$B$35)^(1/12)</f>
        <v>1.6849667656153531</v>
      </c>
      <c r="AW516">
        <f t="shared" si="348"/>
        <v>2060</v>
      </c>
      <c r="AX516">
        <f t="shared" si="375"/>
        <v>122.69103194816968</v>
      </c>
      <c r="AY516">
        <f t="shared" si="376"/>
        <v>0.27235308051889318</v>
      </c>
      <c r="AZ516">
        <f t="shared" si="349"/>
        <v>259.3960392649588</v>
      </c>
      <c r="BA516">
        <f t="shared" si="366"/>
        <v>2.9833713890237048</v>
      </c>
      <c r="BB516">
        <f t="shared" si="367"/>
        <v>56.916666666666664</v>
      </c>
      <c r="BC516">
        <f t="shared" si="350"/>
        <v>34.15</v>
      </c>
      <c r="BD516">
        <f t="shared" si="368"/>
        <v>0</v>
      </c>
      <c r="BE516">
        <f t="shared" si="351"/>
        <v>24</v>
      </c>
      <c r="BF516">
        <f t="shared" si="377"/>
        <v>5000</v>
      </c>
      <c r="BU516"/>
      <c r="DW516" s="89"/>
      <c r="DX516" s="89"/>
      <c r="FD516"/>
      <c r="FE516"/>
    </row>
    <row r="517" spans="1:161" x14ac:dyDescent="0.25">
      <c r="A517" s="7">
        <f t="shared" si="369"/>
        <v>58837</v>
      </c>
      <c r="B517">
        <f t="shared" si="352"/>
        <v>506</v>
      </c>
      <c r="C517">
        <f t="shared" si="378"/>
        <v>42.083333333333336</v>
      </c>
      <c r="D517">
        <f t="shared" si="379"/>
        <v>0</v>
      </c>
      <c r="E517">
        <f t="shared" si="353"/>
        <v>94</v>
      </c>
      <c r="F517">
        <f>IF(C517&gt;=$T$2,0,VLOOKUP($E517,EKM_F05!$A$3:$C$128,2,TRUE))</f>
        <v>0.22069858974358975</v>
      </c>
      <c r="G517">
        <f>F517*'Real assumptions'!$B$3</f>
        <v>9.2097521500000001E-2</v>
      </c>
      <c r="H517">
        <f t="shared" si="380"/>
        <v>8.019199008231892E-3</v>
      </c>
      <c r="I517">
        <f t="shared" si="381"/>
        <v>5.1229023282719187E-4</v>
      </c>
      <c r="J517">
        <f>IF(B517&gt;$AJ$2,0,HLOOKUP(C517,'Real assumptions'!$B$5:$L$8,4,TRUE))</f>
        <v>3.7900000000000003E-2</v>
      </c>
      <c r="K517">
        <f t="shared" si="342"/>
        <v>1</v>
      </c>
      <c r="L517">
        <f t="shared" si="370"/>
        <v>8.3333333333333329E-2</v>
      </c>
      <c r="M517">
        <f t="shared" si="382"/>
        <v>3.2145624959929453E-3</v>
      </c>
      <c r="N517">
        <f t="shared" si="383"/>
        <v>2.0486166857788614E-4</v>
      </c>
      <c r="O517" s="8">
        <f t="shared" si="354"/>
        <v>6.3268659192979845E-2</v>
      </c>
      <c r="P517">
        <f t="shared" si="355"/>
        <v>1.5356594662652381</v>
      </c>
      <c r="Q517">
        <f t="shared" si="371"/>
        <v>2.5614511641359594</v>
      </c>
      <c r="R517" s="89">
        <f t="shared" si="343"/>
        <v>5000</v>
      </c>
      <c r="S517">
        <f t="shared" si="344"/>
        <v>0.8333333333333357</v>
      </c>
      <c r="U517">
        <f>O516*AV516*'Real assumptions'!$B$33/12+AX517*'Real assumptions'!$B$34</f>
        <v>1.1114531692941017</v>
      </c>
      <c r="V517">
        <f>IF(P517=0,0,IF(E517&lt;=$C$7,$AN$5*O516,0))*'Real assumptions'!$D$28</f>
        <v>0</v>
      </c>
      <c r="X517" s="94">
        <f t="shared" si="356"/>
        <v>0</v>
      </c>
      <c r="Y517">
        <f t="shared" si="345"/>
        <v>24</v>
      </c>
      <c r="Z517">
        <f t="shared" si="372"/>
        <v>56</v>
      </c>
      <c r="AA517">
        <f t="shared" si="346"/>
        <v>56.833333333333336</v>
      </c>
      <c r="AB517">
        <f t="shared" si="357"/>
        <v>50.505050505050505</v>
      </c>
      <c r="AC517">
        <f t="shared" si="384"/>
        <v>2870.3703703703704</v>
      </c>
      <c r="AD517">
        <f t="shared" si="358"/>
        <v>80.505050505050505</v>
      </c>
      <c r="AE517">
        <f t="shared" si="359"/>
        <v>228.7685185185185</v>
      </c>
      <c r="AF517" s="94">
        <f t="shared" si="360"/>
        <v>1900.8611111111111</v>
      </c>
      <c r="AG517">
        <f t="shared" si="373"/>
        <v>0.38941357895703682</v>
      </c>
      <c r="AH517">
        <f t="shared" si="361"/>
        <v>120.26493381207789</v>
      </c>
      <c r="AI517">
        <f>HLOOKUP(AW517,'Real assumptions'!$A$21:$AK$24,2,TRUE)</f>
        <v>0</v>
      </c>
      <c r="AJ517" s="123">
        <f t="shared" si="385"/>
        <v>0</v>
      </c>
      <c r="AK517" s="122">
        <f>(1+HLOOKUP(YEAR(A517),'Real assumptions'!$A$21:$AK$24,2,TRUE)/100)^(1/12)-1</f>
        <v>0</v>
      </c>
      <c r="AL517">
        <f t="shared" si="374"/>
        <v>1.1114531692941017</v>
      </c>
      <c r="AM517">
        <f>('Real assumptions'!$B$33/12)*O516*AV516</f>
        <v>1.0781396516498074</v>
      </c>
      <c r="AN517">
        <f t="shared" si="362"/>
        <v>121.7615824634713</v>
      </c>
      <c r="AO517">
        <f t="shared" si="386"/>
        <v>0</v>
      </c>
      <c r="AP517" s="121">
        <f t="shared" si="363"/>
        <v>0</v>
      </c>
      <c r="AQ517">
        <f t="shared" si="364"/>
        <v>0</v>
      </c>
      <c r="AR517">
        <v>0</v>
      </c>
      <c r="AS517">
        <f t="shared" si="347"/>
        <v>0</v>
      </c>
      <c r="AT517">
        <f t="shared" si="365"/>
        <v>0</v>
      </c>
      <c r="AU517">
        <f>IFERROR(HLOOKUP(B517,'Real assumptions'!$B$43:$AL$44,2,TRUE)*($W$3/$U$2),0)</f>
        <v>0</v>
      </c>
      <c r="AV517">
        <f>AV516*(1+'Real assumptions'!$B$35)^(1/12)</f>
        <v>1.6867119632277383</v>
      </c>
      <c r="AW517">
        <f t="shared" si="348"/>
        <v>2061</v>
      </c>
      <c r="AX517">
        <f t="shared" si="375"/>
        <v>121.6066767182442</v>
      </c>
      <c r="AY517">
        <f t="shared" si="376"/>
        <v>0.26930055174404427</v>
      </c>
      <c r="AZ517">
        <f t="shared" si="349"/>
        <v>256.86938081883693</v>
      </c>
      <c r="BA517">
        <f t="shared" si="366"/>
        <v>2.9508647430929962</v>
      </c>
      <c r="BB517">
        <f t="shared" si="367"/>
        <v>56.833333333333336</v>
      </c>
      <c r="BC517">
        <f t="shared" si="350"/>
        <v>34.1</v>
      </c>
      <c r="BD517">
        <f t="shared" si="368"/>
        <v>0</v>
      </c>
      <c r="BE517">
        <f t="shared" si="351"/>
        <v>24</v>
      </c>
      <c r="BF517">
        <f t="shared" si="377"/>
        <v>5000</v>
      </c>
      <c r="BU517"/>
      <c r="DW517" s="89"/>
      <c r="DX517" s="89"/>
      <c r="FD517"/>
      <c r="FE517"/>
    </row>
    <row r="518" spans="1:161" x14ac:dyDescent="0.25">
      <c r="A518" s="7">
        <f t="shared" si="369"/>
        <v>58865</v>
      </c>
      <c r="B518">
        <f t="shared" si="352"/>
        <v>507</v>
      </c>
      <c r="C518">
        <f t="shared" si="378"/>
        <v>42.166666666666664</v>
      </c>
      <c r="D518">
        <f t="shared" si="379"/>
        <v>0</v>
      </c>
      <c r="E518">
        <f t="shared" si="353"/>
        <v>94</v>
      </c>
      <c r="F518">
        <f>IF(C518&gt;=$T$2,0,VLOOKUP($E518,EKM_F05!$A$3:$C$128,2,TRUE))</f>
        <v>0.22069858974358975</v>
      </c>
      <c r="G518">
        <f>F518*'Real assumptions'!$B$3</f>
        <v>9.2097521500000001E-2</v>
      </c>
      <c r="H518">
        <f t="shared" si="380"/>
        <v>8.019199008231892E-3</v>
      </c>
      <c r="I518">
        <f t="shared" si="381"/>
        <v>5.0654849245913847E-4</v>
      </c>
      <c r="J518">
        <f>IF(B518&gt;$AJ$2,0,HLOOKUP(C518,'Real assumptions'!$B$5:$L$8,4,TRUE))</f>
        <v>3.7900000000000003E-2</v>
      </c>
      <c r="K518">
        <f t="shared" si="342"/>
        <v>1</v>
      </c>
      <c r="L518">
        <f t="shared" si="370"/>
        <v>8.3333333333333329E-2</v>
      </c>
      <c r="M518">
        <f t="shared" si="382"/>
        <v>3.2145624959929453E-3</v>
      </c>
      <c r="N518">
        <f t="shared" si="383"/>
        <v>2.0256558242014513E-4</v>
      </c>
      <c r="O518" s="8">
        <f t="shared" si="354"/>
        <v>6.2559545118100565E-2</v>
      </c>
      <c r="P518">
        <f t="shared" si="355"/>
        <v>1.5184478206315162</v>
      </c>
      <c r="Q518">
        <f t="shared" si="371"/>
        <v>2.5327424622956922</v>
      </c>
      <c r="R518" s="89">
        <f t="shared" si="343"/>
        <v>5000</v>
      </c>
      <c r="S518">
        <f t="shared" si="344"/>
        <v>0.75</v>
      </c>
      <c r="U518">
        <f>O517*AV517*'Real assumptions'!$B$33/12+AX518*'Real assumptions'!$B$34</f>
        <v>1.1001789443597161</v>
      </c>
      <c r="V518">
        <f>IF(P518=0,0,IF(E518&lt;=$C$7,$AN$5*O517,0))*'Real assumptions'!$D$28</f>
        <v>0</v>
      </c>
      <c r="X518" s="94">
        <f t="shared" si="356"/>
        <v>0</v>
      </c>
      <c r="Y518">
        <f t="shared" si="345"/>
        <v>24</v>
      </c>
      <c r="Z518">
        <f t="shared" si="372"/>
        <v>56</v>
      </c>
      <c r="AA518">
        <f t="shared" si="346"/>
        <v>56.75</v>
      </c>
      <c r="AB518">
        <f t="shared" si="357"/>
        <v>50.505050505050505</v>
      </c>
      <c r="AC518">
        <f t="shared" si="384"/>
        <v>2866.1616161616162</v>
      </c>
      <c r="AD518">
        <f t="shared" si="358"/>
        <v>80.505050505050505</v>
      </c>
      <c r="AE518">
        <f t="shared" si="359"/>
        <v>228.4330808080808</v>
      </c>
      <c r="AF518" s="94">
        <f t="shared" si="360"/>
        <v>1905.405303030303</v>
      </c>
      <c r="AG518">
        <f t="shared" si="373"/>
        <v>0.38596953495476644</v>
      </c>
      <c r="AH518">
        <f t="shared" si="361"/>
        <v>119.20128902319232</v>
      </c>
      <c r="AI518">
        <f>HLOOKUP(AW518,'Real assumptions'!$A$21:$AK$24,2,TRUE)</f>
        <v>0</v>
      </c>
      <c r="AJ518" s="123">
        <f t="shared" si="385"/>
        <v>0</v>
      </c>
      <c r="AK518" s="122">
        <f>(1+HLOOKUP(YEAR(A518),'Real assumptions'!$A$21:$AK$24,2,TRUE)/100)^(1/12)-1</f>
        <v>0</v>
      </c>
      <c r="AL518">
        <f t="shared" si="374"/>
        <v>1.1001789443597161</v>
      </c>
      <c r="AM518">
        <f>('Real assumptions'!$B$33/12)*O517*AV517</f>
        <v>1.0671600435817774</v>
      </c>
      <c r="AN518">
        <f t="shared" si="362"/>
        <v>120.6832026883497</v>
      </c>
      <c r="AO518">
        <f t="shared" si="386"/>
        <v>0</v>
      </c>
      <c r="AP518" s="121">
        <f t="shared" si="363"/>
        <v>0</v>
      </c>
      <c r="AQ518">
        <f t="shared" si="364"/>
        <v>0</v>
      </c>
      <c r="AR518">
        <v>0</v>
      </c>
      <c r="AS518">
        <f t="shared" si="347"/>
        <v>0</v>
      </c>
      <c r="AT518">
        <f t="shared" si="365"/>
        <v>0</v>
      </c>
      <c r="AU518">
        <f>IFERROR(HLOOKUP(B518,'Real assumptions'!$B$43:$AL$44,2,TRUE)*($W$3/$U$2),0)</f>
        <v>0</v>
      </c>
      <c r="AV518">
        <f>AV517*(1+'Real assumptions'!$B$35)^(1/12)</f>
        <v>1.6884589684215954</v>
      </c>
      <c r="AW518">
        <f t="shared" si="348"/>
        <v>2061</v>
      </c>
      <c r="AX518">
        <f t="shared" si="375"/>
        <v>120.53121604773858</v>
      </c>
      <c r="AY518">
        <f t="shared" si="376"/>
        <v>0.26628223566068959</v>
      </c>
      <c r="AZ518">
        <f t="shared" si="349"/>
        <v>254.36893769785826</v>
      </c>
      <c r="BA518">
        <f t="shared" si="366"/>
        <v>2.9187119972504587</v>
      </c>
      <c r="BB518">
        <f t="shared" si="367"/>
        <v>56.75</v>
      </c>
      <c r="BC518">
        <f t="shared" si="350"/>
        <v>34.049999999999997</v>
      </c>
      <c r="BD518">
        <f t="shared" si="368"/>
        <v>0</v>
      </c>
      <c r="BE518">
        <f t="shared" si="351"/>
        <v>24</v>
      </c>
      <c r="BF518">
        <f t="shared" si="377"/>
        <v>5000</v>
      </c>
      <c r="BU518"/>
      <c r="DW518" s="89"/>
      <c r="DX518" s="89"/>
      <c r="FD518"/>
      <c r="FE518"/>
    </row>
    <row r="519" spans="1:161" x14ac:dyDescent="0.25">
      <c r="A519" s="7">
        <f t="shared" si="369"/>
        <v>58896</v>
      </c>
      <c r="B519">
        <f t="shared" si="352"/>
        <v>508</v>
      </c>
      <c r="C519">
        <f t="shared" si="378"/>
        <v>42.25</v>
      </c>
      <c r="D519">
        <f t="shared" si="379"/>
        <v>0</v>
      </c>
      <c r="E519">
        <f t="shared" si="353"/>
        <v>94</v>
      </c>
      <c r="F519">
        <f>IF(C519&gt;=$T$2,0,VLOOKUP($E519,EKM_F05!$A$3:$C$128,2,TRUE))</f>
        <v>0.22069858974358975</v>
      </c>
      <c r="G519">
        <f>F519*'Real assumptions'!$B$3</f>
        <v>9.2097521500000001E-2</v>
      </c>
      <c r="H519">
        <f t="shared" si="380"/>
        <v>8.019199008231892E-3</v>
      </c>
      <c r="I519">
        <f t="shared" si="381"/>
        <v>5.0087110542117337E-4</v>
      </c>
      <c r="J519">
        <f>IF(B519&gt;$AJ$2,0,HLOOKUP(C519,'Real assumptions'!$B$5:$L$8,4,TRUE))</f>
        <v>3.7900000000000003E-2</v>
      </c>
      <c r="K519">
        <f t="shared" si="342"/>
        <v>1</v>
      </c>
      <c r="L519">
        <f t="shared" si="370"/>
        <v>8.3333333333333329E-2</v>
      </c>
      <c r="M519">
        <f t="shared" si="382"/>
        <v>3.2145624959929453E-3</v>
      </c>
      <c r="N519">
        <f t="shared" si="383"/>
        <v>2.0029523075768755E-4</v>
      </c>
      <c r="O519" s="8">
        <f t="shared" si="354"/>
        <v>6.1858378781921707E-2</v>
      </c>
      <c r="P519">
        <f t="shared" si="355"/>
        <v>1.5014290828344135</v>
      </c>
      <c r="Q519">
        <f t="shared" si="371"/>
        <v>2.5043555271058668</v>
      </c>
      <c r="R519" s="89">
        <f t="shared" si="343"/>
        <v>5000</v>
      </c>
      <c r="S519">
        <f t="shared" si="344"/>
        <v>0.6666666666666643</v>
      </c>
      <c r="U519">
        <f>O518*AV518*'Real assumptions'!$B$33/12+AX519*'Real assumptions'!$B$34</f>
        <v>1.0890189533766474</v>
      </c>
      <c r="V519">
        <f>IF(P519=0,0,IF(E519&lt;=$C$7,$AN$5*O518,0))*'Real assumptions'!$D$28</f>
        <v>0</v>
      </c>
      <c r="X519" s="94">
        <f t="shared" si="356"/>
        <v>0</v>
      </c>
      <c r="Y519">
        <f t="shared" si="345"/>
        <v>24</v>
      </c>
      <c r="Z519">
        <f t="shared" si="372"/>
        <v>56</v>
      </c>
      <c r="AA519">
        <f t="shared" si="346"/>
        <v>56.666666666666664</v>
      </c>
      <c r="AB519">
        <f t="shared" si="357"/>
        <v>50.505050505050505</v>
      </c>
      <c r="AC519">
        <f t="shared" si="384"/>
        <v>2861.9528619528619</v>
      </c>
      <c r="AD519">
        <f t="shared" si="358"/>
        <v>80.505050505050505</v>
      </c>
      <c r="AE519">
        <f t="shared" si="359"/>
        <v>228.09764309764307</v>
      </c>
      <c r="AF519" s="94">
        <f t="shared" si="360"/>
        <v>1909.9494949494951</v>
      </c>
      <c r="AG519">
        <f t="shared" si="373"/>
        <v>0.38255377482643793</v>
      </c>
      <c r="AH519">
        <f t="shared" si="361"/>
        <v>118.14637931292593</v>
      </c>
      <c r="AI519">
        <f>HLOOKUP(AW519,'Real assumptions'!$A$21:$AK$24,2,TRUE)</f>
        <v>0</v>
      </c>
      <c r="AJ519" s="123">
        <f t="shared" si="385"/>
        <v>0</v>
      </c>
      <c r="AK519" s="122">
        <f>(1+HLOOKUP(YEAR(A519),'Real assumptions'!$A$21:$AK$24,2,TRUE)/100)^(1/12)-1</f>
        <v>0</v>
      </c>
      <c r="AL519">
        <f t="shared" si="374"/>
        <v>1.0890189533766474</v>
      </c>
      <c r="AM519">
        <f>('Real assumptions'!$B$33/12)*O518*AV518</f>
        <v>1.0562922501503234</v>
      </c>
      <c r="AN519">
        <f t="shared" si="362"/>
        <v>119.61369915265009</v>
      </c>
      <c r="AO519">
        <f t="shared" si="386"/>
        <v>0</v>
      </c>
      <c r="AP519" s="121">
        <f t="shared" si="363"/>
        <v>0</v>
      </c>
      <c r="AQ519">
        <f t="shared" si="364"/>
        <v>0</v>
      </c>
      <c r="AR519">
        <v>0</v>
      </c>
      <c r="AS519">
        <f t="shared" si="347"/>
        <v>0</v>
      </c>
      <c r="AT519">
        <f t="shared" si="365"/>
        <v>0</v>
      </c>
      <c r="AU519">
        <f>IFERROR(HLOOKUP(B519,'Real assumptions'!$B$43:$AL$44,2,TRUE)*($W$3/$U$2),0)</f>
        <v>0</v>
      </c>
      <c r="AV519">
        <f>AV518*(1+'Real assumptions'!$B$35)^(1/12)</f>
        <v>1.6902077830691198</v>
      </c>
      <c r="AW519">
        <f t="shared" si="348"/>
        <v>2061</v>
      </c>
      <c r="AX519">
        <f t="shared" si="375"/>
        <v>119.46458677200587</v>
      </c>
      <c r="AY519">
        <f t="shared" si="376"/>
        <v>0.26329774881355456</v>
      </c>
      <c r="AZ519">
        <f t="shared" si="349"/>
        <v>251.89443852538375</v>
      </c>
      <c r="BA519">
        <f t="shared" si="366"/>
        <v>2.8869093019323047</v>
      </c>
      <c r="BB519">
        <f t="shared" si="367"/>
        <v>56.666666666666664</v>
      </c>
      <c r="BC519">
        <f t="shared" si="350"/>
        <v>34</v>
      </c>
      <c r="BD519">
        <f t="shared" si="368"/>
        <v>0</v>
      </c>
      <c r="BE519">
        <f t="shared" si="351"/>
        <v>24</v>
      </c>
      <c r="BF519">
        <f t="shared" si="377"/>
        <v>5000</v>
      </c>
      <c r="BU519"/>
      <c r="DW519" s="89"/>
      <c r="DX519" s="89"/>
      <c r="FD519"/>
      <c r="FE519"/>
    </row>
    <row r="520" spans="1:161" x14ac:dyDescent="0.25">
      <c r="A520" s="7">
        <f t="shared" si="369"/>
        <v>58926</v>
      </c>
      <c r="B520">
        <f t="shared" si="352"/>
        <v>509</v>
      </c>
      <c r="C520">
        <f t="shared" si="378"/>
        <v>42.333333333333336</v>
      </c>
      <c r="D520">
        <f t="shared" si="379"/>
        <v>0</v>
      </c>
      <c r="E520">
        <f t="shared" si="353"/>
        <v>94</v>
      </c>
      <c r="F520">
        <f>IF(C520&gt;=$T$2,0,VLOOKUP($E520,EKM_F05!$A$3:$C$128,2,TRUE))</f>
        <v>0.22069858974358975</v>
      </c>
      <c r="G520">
        <f>F520*'Real assumptions'!$B$3</f>
        <v>9.2097521500000001E-2</v>
      </c>
      <c r="H520">
        <f t="shared" si="380"/>
        <v>8.019199008231892E-3</v>
      </c>
      <c r="I520">
        <f t="shared" si="381"/>
        <v>4.9525735044224839E-4</v>
      </c>
      <c r="J520">
        <f>IF(B520&gt;$AJ$2,0,HLOOKUP(C520,'Real assumptions'!$B$5:$L$8,4,TRUE))</f>
        <v>3.7900000000000003E-2</v>
      </c>
      <c r="K520">
        <f t="shared" si="342"/>
        <v>1</v>
      </c>
      <c r="L520">
        <f t="shared" si="370"/>
        <v>8.3333333333333329E-2</v>
      </c>
      <c r="M520">
        <f t="shared" si="382"/>
        <v>3.2145624959929453E-3</v>
      </c>
      <c r="N520">
        <f t="shared" si="383"/>
        <v>1.9805032515872033E-4</v>
      </c>
      <c r="O520" s="8">
        <f t="shared" si="354"/>
        <v>6.1165071106320738E-2</v>
      </c>
      <c r="P520">
        <f t="shared" si="355"/>
        <v>1.4846010907661209</v>
      </c>
      <c r="Q520">
        <f t="shared" si="371"/>
        <v>2.4762867522112417</v>
      </c>
      <c r="R520" s="89">
        <f t="shared" si="343"/>
        <v>5000</v>
      </c>
      <c r="S520">
        <f t="shared" si="344"/>
        <v>0.5833333333333357</v>
      </c>
      <c r="U520">
        <f>O519*AV519*'Real assumptions'!$B$33/12+AX520*'Real assumptions'!$B$34</f>
        <v>1.0779720404200335</v>
      </c>
      <c r="V520">
        <f>IF(P520=0,0,IF(E520&lt;=$C$7,$AN$5*O519,0))*'Real assumptions'!$D$28</f>
        <v>0</v>
      </c>
      <c r="X520" s="94">
        <f t="shared" si="356"/>
        <v>0</v>
      </c>
      <c r="Y520">
        <f t="shared" si="345"/>
        <v>24</v>
      </c>
      <c r="Z520">
        <f t="shared" si="372"/>
        <v>56</v>
      </c>
      <c r="AA520">
        <f t="shared" si="346"/>
        <v>56.583333333333336</v>
      </c>
      <c r="AB520">
        <f t="shared" si="357"/>
        <v>50.505050505050505</v>
      </c>
      <c r="AC520">
        <f t="shared" si="384"/>
        <v>2857.7441077441081</v>
      </c>
      <c r="AD520">
        <f t="shared" si="358"/>
        <v>80.505050505050505</v>
      </c>
      <c r="AE520">
        <f t="shared" si="359"/>
        <v>227.7622053872054</v>
      </c>
      <c r="AF520" s="94">
        <f t="shared" si="360"/>
        <v>1914.4936868686866</v>
      </c>
      <c r="AG520">
        <f t="shared" si="373"/>
        <v>0.37916609719866068</v>
      </c>
      <c r="AH520">
        <f t="shared" si="361"/>
        <v>117.10014248992536</v>
      </c>
      <c r="AI520">
        <f>HLOOKUP(AW520,'Real assumptions'!$A$21:$AK$24,2,TRUE)</f>
        <v>0</v>
      </c>
      <c r="AJ520" s="123">
        <f t="shared" si="385"/>
        <v>0</v>
      </c>
      <c r="AK520" s="122">
        <f>(1+HLOOKUP(YEAR(A520),'Real assumptions'!$A$21:$AK$24,2,TRUE)/100)^(1/12)-1</f>
        <v>0</v>
      </c>
      <c r="AL520">
        <f t="shared" si="374"/>
        <v>1.0779720404200335</v>
      </c>
      <c r="AM520">
        <f>('Real assumptions'!$B$33/12)*O519*AV519</f>
        <v>1.0455351326524176</v>
      </c>
      <c r="AN520">
        <f t="shared" si="362"/>
        <v>118.55300836327201</v>
      </c>
      <c r="AO520">
        <f t="shared" si="386"/>
        <v>0</v>
      </c>
      <c r="AP520" s="121">
        <f t="shared" si="363"/>
        <v>0</v>
      </c>
      <c r="AQ520">
        <f t="shared" si="364"/>
        <v>0</v>
      </c>
      <c r="AR520">
        <v>0</v>
      </c>
      <c r="AS520">
        <f t="shared" si="347"/>
        <v>0</v>
      </c>
      <c r="AT520">
        <f t="shared" si="365"/>
        <v>0</v>
      </c>
      <c r="AU520">
        <f>IFERROR(HLOOKUP(B520,'Real assumptions'!$B$43:$AL$44,2,TRUE)*($W$3/$U$2),0)</f>
        <v>0</v>
      </c>
      <c r="AV520">
        <f>AV519*(1+'Real assumptions'!$B$35)^(1/12)</f>
        <v>1.6919584090444457</v>
      </c>
      <c r="AW520">
        <f t="shared" si="348"/>
        <v>2061</v>
      </c>
      <c r="AX520">
        <f t="shared" si="375"/>
        <v>118.40672602497105</v>
      </c>
      <c r="AY520">
        <f t="shared" si="376"/>
        <v>0.26034671204512499</v>
      </c>
      <c r="AZ520">
        <f t="shared" si="349"/>
        <v>249.44561472631992</v>
      </c>
      <c r="BA520">
        <f t="shared" si="366"/>
        <v>2.8554528494099025</v>
      </c>
      <c r="BB520">
        <f t="shared" si="367"/>
        <v>56.583333333333336</v>
      </c>
      <c r="BC520">
        <f t="shared" si="350"/>
        <v>33.950000000000003</v>
      </c>
      <c r="BD520">
        <f t="shared" si="368"/>
        <v>0</v>
      </c>
      <c r="BE520">
        <f t="shared" si="351"/>
        <v>24</v>
      </c>
      <c r="BF520">
        <f t="shared" si="377"/>
        <v>5000</v>
      </c>
      <c r="BU520"/>
      <c r="DW520" s="89"/>
      <c r="DX520" s="89"/>
      <c r="FD520"/>
      <c r="FE520"/>
    </row>
    <row r="521" spans="1:161" x14ac:dyDescent="0.25">
      <c r="A521" s="7">
        <f t="shared" si="369"/>
        <v>58957</v>
      </c>
      <c r="B521">
        <f t="shared" si="352"/>
        <v>510</v>
      </c>
      <c r="C521">
        <f t="shared" si="378"/>
        <v>42.416666666666664</v>
      </c>
      <c r="D521">
        <f t="shared" si="379"/>
        <v>0</v>
      </c>
      <c r="E521">
        <f t="shared" si="353"/>
        <v>94</v>
      </c>
      <c r="F521">
        <f>IF(C521&gt;=$T$2,0,VLOOKUP($E521,EKM_F05!$A$3:$C$128,2,TRUE))</f>
        <v>0.22069858974358975</v>
      </c>
      <c r="G521">
        <f>F521*'Real assumptions'!$B$3</f>
        <v>9.2097521500000001E-2</v>
      </c>
      <c r="H521">
        <f t="shared" si="380"/>
        <v>8.019199008231892E-3</v>
      </c>
      <c r="I521">
        <f t="shared" si="381"/>
        <v>4.8970651433530917E-4</v>
      </c>
      <c r="J521">
        <f>IF(B521&gt;$AJ$2,0,HLOOKUP(C521,'Real assumptions'!$B$5:$L$8,4,TRUE))</f>
        <v>3.7900000000000003E-2</v>
      </c>
      <c r="K521">
        <f t="shared" si="342"/>
        <v>1</v>
      </c>
      <c r="L521">
        <f t="shared" si="370"/>
        <v>8.3333333333333329E-2</v>
      </c>
      <c r="M521">
        <f t="shared" si="382"/>
        <v>3.2145624959929453E-3</v>
      </c>
      <c r="N521">
        <f t="shared" si="383"/>
        <v>1.9583058042418913E-4</v>
      </c>
      <c r="O521" s="8">
        <f t="shared" si="354"/>
        <v>6.047953401156124E-2</v>
      </c>
      <c r="P521">
        <f t="shared" si="355"/>
        <v>1.4679617065516977</v>
      </c>
      <c r="Q521">
        <f t="shared" si="371"/>
        <v>2.4485325716765458</v>
      </c>
      <c r="R521" s="89">
        <f t="shared" si="343"/>
        <v>5000</v>
      </c>
      <c r="S521">
        <f t="shared" si="344"/>
        <v>0.5</v>
      </c>
      <c r="U521">
        <f>O520*AV520*'Real assumptions'!$B$33/12+AX521*'Real assumptions'!$B$34</f>
        <v>1.0670370612435198</v>
      </c>
      <c r="V521">
        <f>IF(P521=0,0,IF(E521&lt;=$C$7,$AN$5*O520,0))*'Real assumptions'!$D$28</f>
        <v>0</v>
      </c>
      <c r="X521" s="94">
        <f t="shared" si="356"/>
        <v>0</v>
      </c>
      <c r="Y521">
        <f t="shared" si="345"/>
        <v>24</v>
      </c>
      <c r="Z521">
        <f t="shared" si="372"/>
        <v>56</v>
      </c>
      <c r="AA521">
        <f t="shared" si="346"/>
        <v>56.5</v>
      </c>
      <c r="AB521">
        <f t="shared" si="357"/>
        <v>50.505050505050505</v>
      </c>
      <c r="AC521">
        <f t="shared" si="384"/>
        <v>2853.5353535353534</v>
      </c>
      <c r="AD521">
        <f t="shared" si="358"/>
        <v>80.505050505050505</v>
      </c>
      <c r="AE521">
        <f t="shared" si="359"/>
        <v>227.42676767676767</v>
      </c>
      <c r="AF521" s="94">
        <f t="shared" si="360"/>
        <v>1919.037878787879</v>
      </c>
      <c r="AG521">
        <f t="shared" si="373"/>
        <v>0.37580630165903506</v>
      </c>
      <c r="AH521">
        <f t="shared" si="361"/>
        <v>116.06251665962586</v>
      </c>
      <c r="AI521">
        <f>HLOOKUP(AW521,'Real assumptions'!$A$21:$AK$24,2,TRUE)</f>
        <v>0</v>
      </c>
      <c r="AJ521" s="123">
        <f t="shared" si="385"/>
        <v>0</v>
      </c>
      <c r="AK521" s="122">
        <f>(1+HLOOKUP(YEAR(A521),'Real assumptions'!$A$21:$AK$24,2,TRUE)/100)^(1/12)-1</f>
        <v>0</v>
      </c>
      <c r="AL521">
        <f t="shared" si="374"/>
        <v>1.0670370612435198</v>
      </c>
      <c r="AM521">
        <f>('Real assumptions'!$B$33/12)*O520*AV520</f>
        <v>1.0348875639814084</v>
      </c>
      <c r="AN521">
        <f t="shared" si="362"/>
        <v>117.50106713523353</v>
      </c>
      <c r="AO521">
        <f t="shared" si="386"/>
        <v>0</v>
      </c>
      <c r="AP521" s="121">
        <f t="shared" si="363"/>
        <v>0</v>
      </c>
      <c r="AQ521">
        <f t="shared" si="364"/>
        <v>0</v>
      </c>
      <c r="AR521">
        <v>0</v>
      </c>
      <c r="AS521">
        <f t="shared" si="347"/>
        <v>0</v>
      </c>
      <c r="AT521">
        <f t="shared" si="365"/>
        <v>0</v>
      </c>
      <c r="AU521">
        <f>IFERROR(HLOOKUP(B521,'Real assumptions'!$B$43:$AL$44,2,TRUE)*($W$3/$U$2),0)</f>
        <v>0</v>
      </c>
      <c r="AV521">
        <f>AV520*(1+'Real assumptions'!$B$35)^(1/12)</f>
        <v>1.6937108482236489</v>
      </c>
      <c r="AW521">
        <f t="shared" si="348"/>
        <v>2061</v>
      </c>
      <c r="AX521">
        <f t="shared" si="375"/>
        <v>117.35757124037283</v>
      </c>
      <c r="AY521">
        <f t="shared" si="376"/>
        <v>0.25742875044747782</v>
      </c>
      <c r="AZ521">
        <f t="shared" si="349"/>
        <v>247.02220049829251</v>
      </c>
      <c r="BA521">
        <f t="shared" si="366"/>
        <v>2.8243388733355808</v>
      </c>
      <c r="BB521">
        <f t="shared" si="367"/>
        <v>56.5</v>
      </c>
      <c r="BC521">
        <f t="shared" si="350"/>
        <v>33.9</v>
      </c>
      <c r="BD521">
        <f t="shared" si="368"/>
        <v>0</v>
      </c>
      <c r="BE521">
        <f t="shared" si="351"/>
        <v>24</v>
      </c>
      <c r="BF521">
        <f t="shared" si="377"/>
        <v>5000</v>
      </c>
      <c r="BU521"/>
      <c r="DW521" s="89"/>
      <c r="DX521" s="89"/>
      <c r="FD521"/>
      <c r="FE521"/>
    </row>
    <row r="522" spans="1:161" x14ac:dyDescent="0.25">
      <c r="A522" s="7">
        <f t="shared" si="369"/>
        <v>58987</v>
      </c>
      <c r="B522">
        <f t="shared" si="352"/>
        <v>511</v>
      </c>
      <c r="C522">
        <f t="shared" si="378"/>
        <v>42.5</v>
      </c>
      <c r="D522">
        <f t="shared" si="379"/>
        <v>0</v>
      </c>
      <c r="E522">
        <f t="shared" si="353"/>
        <v>94</v>
      </c>
      <c r="F522">
        <f>IF(C522&gt;=$T$2,0,VLOOKUP($E522,EKM_F05!$A$3:$C$128,2,TRUE))</f>
        <v>0.22069858974358975</v>
      </c>
      <c r="G522">
        <f>F522*'Real assumptions'!$B$3</f>
        <v>9.2097521500000001E-2</v>
      </c>
      <c r="H522">
        <f t="shared" si="380"/>
        <v>8.019199008231892E-3</v>
      </c>
      <c r="I522">
        <f t="shared" si="381"/>
        <v>4.8421789190669016E-4</v>
      </c>
      <c r="J522">
        <f>IF(B522&gt;$AJ$2,0,HLOOKUP(C522,'Real assumptions'!$B$5:$L$8,4,TRUE))</f>
        <v>3.7900000000000003E-2</v>
      </c>
      <c r="K522">
        <f t="shared" si="342"/>
        <v>1</v>
      </c>
      <c r="L522">
        <f t="shared" si="370"/>
        <v>8.3333333333333329E-2</v>
      </c>
      <c r="M522">
        <f t="shared" si="382"/>
        <v>3.2145624959929453E-3</v>
      </c>
      <c r="N522">
        <f t="shared" si="383"/>
        <v>1.9363571455154578E-4</v>
      </c>
      <c r="O522" s="8">
        <f t="shared" si="354"/>
        <v>5.9801680405103003E-2</v>
      </c>
      <c r="P522">
        <f t="shared" si="355"/>
        <v>1.4515088162774696</v>
      </c>
      <c r="Q522">
        <f t="shared" si="371"/>
        <v>2.4210894595334507</v>
      </c>
      <c r="R522" s="89">
        <f t="shared" si="343"/>
        <v>5000</v>
      </c>
      <c r="S522">
        <f t="shared" si="344"/>
        <v>0.4166666666666643</v>
      </c>
      <c r="U522">
        <f>O521*AV521*'Real assumptions'!$B$33/12+AX522*'Real assumptions'!$B$34</f>
        <v>1.0562128831614874</v>
      </c>
      <c r="V522">
        <f>IF(P522=0,0,IF(E522&lt;=$C$7,$AN$5*O521,0))*'Real assumptions'!$D$28</f>
        <v>0</v>
      </c>
      <c r="X522" s="94">
        <f t="shared" si="356"/>
        <v>0</v>
      </c>
      <c r="Y522">
        <f t="shared" si="345"/>
        <v>24</v>
      </c>
      <c r="Z522">
        <f t="shared" si="372"/>
        <v>56</v>
      </c>
      <c r="AA522">
        <f t="shared" si="346"/>
        <v>56.416666666666664</v>
      </c>
      <c r="AB522">
        <f t="shared" si="357"/>
        <v>50.505050505050505</v>
      </c>
      <c r="AC522">
        <f t="shared" si="384"/>
        <v>2849.3265993265991</v>
      </c>
      <c r="AD522">
        <f t="shared" si="358"/>
        <v>80.505050505050505</v>
      </c>
      <c r="AE522">
        <f t="shared" si="359"/>
        <v>227.09132996632994</v>
      </c>
      <c r="AF522" s="94">
        <f t="shared" si="360"/>
        <v>1923.5820707070709</v>
      </c>
      <c r="AG522">
        <f t="shared" si="373"/>
        <v>0.37247418875990573</v>
      </c>
      <c r="AH522">
        <f t="shared" si="361"/>
        <v>115.0334402254105</v>
      </c>
      <c r="AI522">
        <f>HLOOKUP(AW522,'Real assumptions'!$A$21:$AK$24,2,TRUE)</f>
        <v>0</v>
      </c>
      <c r="AJ522" s="123">
        <f t="shared" si="385"/>
        <v>0</v>
      </c>
      <c r="AK522" s="122">
        <f>(1+HLOOKUP(YEAR(A522),'Real assumptions'!$A$21:$AK$24,2,TRUE)/100)^(1/12)-1</f>
        <v>0</v>
      </c>
      <c r="AL522">
        <f t="shared" si="374"/>
        <v>1.0562128831614874</v>
      </c>
      <c r="AM522">
        <f>('Real assumptions'!$B$33/12)*O521*AV521</f>
        <v>1.0243484285089242</v>
      </c>
      <c r="AN522">
        <f t="shared" si="362"/>
        <v>116.45781259274183</v>
      </c>
      <c r="AO522">
        <f t="shared" si="386"/>
        <v>0</v>
      </c>
      <c r="AP522" s="121">
        <f t="shared" si="363"/>
        <v>0</v>
      </c>
      <c r="AQ522">
        <f t="shared" si="364"/>
        <v>0</v>
      </c>
      <c r="AR522">
        <v>0</v>
      </c>
      <c r="AS522">
        <f t="shared" si="347"/>
        <v>0</v>
      </c>
      <c r="AT522">
        <f t="shared" si="365"/>
        <v>0</v>
      </c>
      <c r="AU522">
        <f>IFERROR(HLOOKUP(B522,'Real assumptions'!$B$43:$AL$44,2,TRUE)*($W$3/$U$2),0)</f>
        <v>0</v>
      </c>
      <c r="AV522">
        <f>AV521*(1+'Real assumptions'!$B$35)^(1/12)</f>
        <v>1.695465102484748</v>
      </c>
      <c r="AW522">
        <f t="shared" si="348"/>
        <v>2061</v>
      </c>
      <c r="AX522">
        <f t="shared" si="375"/>
        <v>116.31706015294051</v>
      </c>
      <c r="AY522">
        <f t="shared" si="376"/>
        <v>0.25454349331465165</v>
      </c>
      <c r="AZ522">
        <f t="shared" si="349"/>
        <v>244.62393278311515</v>
      </c>
      <c r="BA522">
        <f t="shared" si="366"/>
        <v>2.7935636482933566</v>
      </c>
      <c r="BB522">
        <f t="shared" si="367"/>
        <v>56.416666666666664</v>
      </c>
      <c r="BC522">
        <f t="shared" si="350"/>
        <v>33.849999999999994</v>
      </c>
      <c r="BD522">
        <f t="shared" si="368"/>
        <v>0</v>
      </c>
      <c r="BE522">
        <f t="shared" si="351"/>
        <v>24</v>
      </c>
      <c r="BF522">
        <f t="shared" si="377"/>
        <v>5000</v>
      </c>
      <c r="BU522"/>
      <c r="DW522" s="89"/>
      <c r="DX522" s="89"/>
      <c r="FD522"/>
      <c r="FE522"/>
    </row>
    <row r="523" spans="1:161" x14ac:dyDescent="0.25">
      <c r="A523" s="7">
        <f t="shared" si="369"/>
        <v>59018</v>
      </c>
      <c r="B523">
        <f t="shared" si="352"/>
        <v>512</v>
      </c>
      <c r="C523">
        <f t="shared" si="378"/>
        <v>42.583333333333336</v>
      </c>
      <c r="D523">
        <f t="shared" si="379"/>
        <v>0</v>
      </c>
      <c r="E523">
        <f t="shared" si="353"/>
        <v>94</v>
      </c>
      <c r="F523">
        <f>IF(C523&gt;=$T$2,0,VLOOKUP($E523,EKM_F05!$A$3:$C$128,2,TRUE))</f>
        <v>0.22069858974358975</v>
      </c>
      <c r="G523">
        <f>F523*'Real assumptions'!$B$3</f>
        <v>9.2097521500000001E-2</v>
      </c>
      <c r="H523">
        <f t="shared" si="380"/>
        <v>8.019199008231892E-3</v>
      </c>
      <c r="I523">
        <f t="shared" si="381"/>
        <v>4.787907858665244E-4</v>
      </c>
      <c r="J523">
        <f>IF(B523&gt;$AJ$2,0,HLOOKUP(C523,'Real assumptions'!$B$5:$L$8,4,TRUE))</f>
        <v>3.7900000000000003E-2</v>
      </c>
      <c r="K523">
        <f t="shared" si="342"/>
        <v>1</v>
      </c>
      <c r="L523">
        <f t="shared" si="370"/>
        <v>8.3333333333333329E-2</v>
      </c>
      <c r="M523">
        <f t="shared" si="382"/>
        <v>3.2145624959929453E-3</v>
      </c>
      <c r="N523">
        <f t="shared" si="383"/>
        <v>1.9146544869892213E-4</v>
      </c>
      <c r="O523" s="8">
        <f t="shared" si="354"/>
        <v>5.9131424170537558E-2</v>
      </c>
      <c r="P523">
        <f t="shared" si="355"/>
        <v>1.4352403297224721</v>
      </c>
      <c r="Q523">
        <f t="shared" si="371"/>
        <v>2.3939539293326222</v>
      </c>
      <c r="R523" s="89">
        <f t="shared" si="343"/>
        <v>5000</v>
      </c>
      <c r="S523">
        <f t="shared" si="344"/>
        <v>0.3333333333333357</v>
      </c>
      <c r="U523">
        <f>O522*AV522*'Real assumptions'!$B$33/12+AX523*'Real assumptions'!$B$34</f>
        <v>1.0454983849324642</v>
      </c>
      <c r="V523">
        <f>IF(P523=0,0,IF(E523&lt;=$C$7,$AN$5*O522,0))*'Real assumptions'!$D$28</f>
        <v>0</v>
      </c>
      <c r="X523" s="94">
        <f t="shared" si="356"/>
        <v>0</v>
      </c>
      <c r="Y523">
        <f t="shared" si="345"/>
        <v>24</v>
      </c>
      <c r="Z523">
        <f t="shared" si="372"/>
        <v>56</v>
      </c>
      <c r="AA523">
        <f t="shared" si="346"/>
        <v>56.333333333333336</v>
      </c>
      <c r="AB523">
        <f t="shared" si="357"/>
        <v>50.505050505050505</v>
      </c>
      <c r="AC523">
        <f t="shared" si="384"/>
        <v>2845.1178451178453</v>
      </c>
      <c r="AD523">
        <f t="shared" si="358"/>
        <v>80.505050505050505</v>
      </c>
      <c r="AE523">
        <f t="shared" si="359"/>
        <v>226.75589225589226</v>
      </c>
      <c r="AF523" s="94">
        <f t="shared" si="360"/>
        <v>1928.1262626262624</v>
      </c>
      <c r="AG523">
        <f t="shared" si="373"/>
        <v>0.36916956002191309</v>
      </c>
      <c r="AH523">
        <f t="shared" si="361"/>
        <v>114.01285188970682</v>
      </c>
      <c r="AI523">
        <f>HLOOKUP(AW523,'Real assumptions'!$A$21:$AK$24,2,TRUE)</f>
        <v>0</v>
      </c>
      <c r="AJ523" s="123">
        <f t="shared" si="385"/>
        <v>0</v>
      </c>
      <c r="AK523" s="122">
        <f>(1+HLOOKUP(YEAR(A523),'Real assumptions'!$A$21:$AK$24,2,TRUE)/100)^(1/12)-1</f>
        <v>0</v>
      </c>
      <c r="AL523">
        <f t="shared" si="374"/>
        <v>1.0454983849324642</v>
      </c>
      <c r="AM523">
        <f>('Real assumptions'!$B$33/12)*O522*AV522</f>
        <v>1.0139166219679812</v>
      </c>
      <c r="AN523">
        <f t="shared" si="362"/>
        <v>115.42318217020052</v>
      </c>
      <c r="AO523">
        <f t="shared" si="386"/>
        <v>0</v>
      </c>
      <c r="AP523" s="121">
        <f t="shared" si="363"/>
        <v>0</v>
      </c>
      <c r="AQ523">
        <f t="shared" si="364"/>
        <v>0</v>
      </c>
      <c r="AR523">
        <v>0</v>
      </c>
      <c r="AS523">
        <f t="shared" si="347"/>
        <v>0</v>
      </c>
      <c r="AT523">
        <f t="shared" si="365"/>
        <v>0</v>
      </c>
      <c r="AU523">
        <f>IFERROR(HLOOKUP(B523,'Real assumptions'!$B$43:$AL$44,2,TRUE)*($W$3/$U$2),0)</f>
        <v>0</v>
      </c>
      <c r="AV523">
        <f>AV522*(1+'Real assumptions'!$B$35)^(1/12)</f>
        <v>1.6972211737077068</v>
      </c>
      <c r="AW523">
        <f t="shared" si="348"/>
        <v>2061</v>
      </c>
      <c r="AX523">
        <f t="shared" si="375"/>
        <v>115.28513079950605</v>
      </c>
      <c r="AY523">
        <f t="shared" si="376"/>
        <v>0.25169057409555134</v>
      </c>
      <c r="AZ523">
        <f t="shared" si="349"/>
        <v>242.2505512385506</v>
      </c>
      <c r="BA523">
        <f t="shared" si="366"/>
        <v>2.7631234893545353</v>
      </c>
      <c r="BB523">
        <f t="shared" si="367"/>
        <v>56.333333333333336</v>
      </c>
      <c r="BC523">
        <f t="shared" si="350"/>
        <v>33.799999999999997</v>
      </c>
      <c r="BD523">
        <f t="shared" si="368"/>
        <v>0</v>
      </c>
      <c r="BE523">
        <f t="shared" si="351"/>
        <v>24</v>
      </c>
      <c r="BF523">
        <f t="shared" si="377"/>
        <v>5000</v>
      </c>
      <c r="BU523"/>
      <c r="DW523" s="89"/>
      <c r="DX523" s="89"/>
      <c r="FD523"/>
      <c r="FE523"/>
    </row>
    <row r="524" spans="1:161" x14ac:dyDescent="0.25">
      <c r="A524" s="7">
        <f t="shared" si="369"/>
        <v>59049</v>
      </c>
      <c r="B524">
        <f t="shared" si="352"/>
        <v>513</v>
      </c>
      <c r="C524">
        <f t="shared" si="378"/>
        <v>42.666666666666664</v>
      </c>
      <c r="D524">
        <f t="shared" si="379"/>
        <v>0</v>
      </c>
      <c r="E524">
        <f t="shared" si="353"/>
        <v>94</v>
      </c>
      <c r="F524">
        <f>IF(C524&gt;=$T$2,0,VLOOKUP($E524,EKM_F05!$A$3:$C$128,2,TRUE))</f>
        <v>0.22069858974358975</v>
      </c>
      <c r="G524">
        <f>F524*'Real assumptions'!$B$3</f>
        <v>9.2097521500000001E-2</v>
      </c>
      <c r="H524">
        <f t="shared" si="380"/>
        <v>8.019199008231892E-3</v>
      </c>
      <c r="I524">
        <f t="shared" si="381"/>
        <v>4.734245067401582E-4</v>
      </c>
      <c r="J524">
        <f>IF(B524&gt;$AJ$2,0,HLOOKUP(C524,'Real assumptions'!$B$5:$L$8,4,TRUE))</f>
        <v>3.7900000000000003E-2</v>
      </c>
      <c r="K524">
        <f t="shared" ref="K524:K587" si="387">IF(B524&gt;$AJ$2,0,IF(($U$2*(B524+11))/12-INT(($U$2*(B524+11))/12)=0,1,0))</f>
        <v>1</v>
      </c>
      <c r="L524">
        <f t="shared" si="370"/>
        <v>8.3333333333333329E-2</v>
      </c>
      <c r="M524">
        <f t="shared" si="382"/>
        <v>3.2145624959929453E-3</v>
      </c>
      <c r="N524">
        <f t="shared" si="383"/>
        <v>1.8931950714970488E-4</v>
      </c>
      <c r="O524" s="8">
        <f t="shared" si="354"/>
        <v>5.8468680156647697E-2</v>
      </c>
      <c r="P524">
        <f t="shared" si="355"/>
        <v>1.4191541800929013</v>
      </c>
      <c r="Q524">
        <f t="shared" si="371"/>
        <v>2.3671225337007908</v>
      </c>
      <c r="R524" s="89">
        <f t="shared" ref="R524:R587" si="388">$AI$2</f>
        <v>5000</v>
      </c>
      <c r="S524">
        <f t="shared" ref="S524:S587" si="389">INT(B524/12)+1-B524/12</f>
        <v>0.25</v>
      </c>
      <c r="U524">
        <f>O523*AV523*'Real assumptions'!$B$33/12+AX524*'Real assumptions'!$B$34</f>
        <v>1.0348924566437099</v>
      </c>
      <c r="V524">
        <f>IF(P524=0,0,IF(E524&lt;=$C$7,$AN$5*O523,0))*'Real assumptions'!$D$28</f>
        <v>0</v>
      </c>
      <c r="X524" s="94">
        <f t="shared" si="356"/>
        <v>0</v>
      </c>
      <c r="Y524">
        <f t="shared" ref="Y524:Y587" si="390">IF(P524=0,0,$AN$5)</f>
        <v>24</v>
      </c>
      <c r="Z524">
        <f t="shared" si="372"/>
        <v>56</v>
      </c>
      <c r="AA524">
        <f t="shared" ref="AA524:AA587" si="391">99-(B524/12)</f>
        <v>56.25</v>
      </c>
      <c r="AB524">
        <f t="shared" si="357"/>
        <v>50.505050505050505</v>
      </c>
      <c r="AC524">
        <f t="shared" si="384"/>
        <v>2840.909090909091</v>
      </c>
      <c r="AD524">
        <f t="shared" si="358"/>
        <v>80.505050505050505</v>
      </c>
      <c r="AE524">
        <f t="shared" si="359"/>
        <v>226.42045454545453</v>
      </c>
      <c r="AF524" s="94">
        <f t="shared" si="360"/>
        <v>1932.6704545454545</v>
      </c>
      <c r="AG524">
        <f t="shared" si="373"/>
        <v>0.36589221793734156</v>
      </c>
      <c r="AH524">
        <f t="shared" si="361"/>
        <v>113.0006906550211</v>
      </c>
      <c r="AI524">
        <f>HLOOKUP(AW524,'Real assumptions'!$A$21:$AK$24,2,TRUE)</f>
        <v>0</v>
      </c>
      <c r="AJ524" s="123">
        <f t="shared" si="385"/>
        <v>0</v>
      </c>
      <c r="AK524" s="122">
        <f>(1+HLOOKUP(YEAR(A524),'Real assumptions'!$A$21:$AK$24,2,TRUE)/100)^(1/12)-1</f>
        <v>0</v>
      </c>
      <c r="AL524">
        <f t="shared" si="374"/>
        <v>1.0348924566437099</v>
      </c>
      <c r="AM524">
        <f>('Real assumptions'!$B$33/12)*O523*AV523</f>
        <v>1.0035910513372801</v>
      </c>
      <c r="AN524">
        <f t="shared" si="362"/>
        <v>114.39711361315602</v>
      </c>
      <c r="AO524">
        <f t="shared" si="386"/>
        <v>0</v>
      </c>
      <c r="AP524" s="121">
        <f t="shared" si="363"/>
        <v>0</v>
      </c>
      <c r="AQ524">
        <f t="shared" si="364"/>
        <v>0</v>
      </c>
      <c r="AR524">
        <v>0</v>
      </c>
      <c r="AS524">
        <f t="shared" ref="AS524:AS587" si="392">IF(B524&gt;$B$12,IF(B524&lt;=$AJ$2,AT524,0),0)</f>
        <v>0</v>
      </c>
      <c r="AT524">
        <f t="shared" si="365"/>
        <v>0</v>
      </c>
      <c r="AU524">
        <f>IFERROR(HLOOKUP(B524,'Real assumptions'!$B$43:$AL$44,2,TRUE)*($W$3/$U$2),0)</f>
        <v>0</v>
      </c>
      <c r="AV524">
        <f>AV523*(1+'Real assumptions'!$B$35)^(1/12)</f>
        <v>1.6989790637744362</v>
      </c>
      <c r="AW524">
        <f t="shared" ref="AW524:AW587" si="393">YEAR(A524)</f>
        <v>2061</v>
      </c>
      <c r="AX524">
        <f t="shared" si="375"/>
        <v>114.26172152005421</v>
      </c>
      <c r="AY524">
        <f t="shared" si="376"/>
        <v>0.24886963034738027</v>
      </c>
      <c r="AZ524">
        <f t="shared" ref="AZ524:AZ587" si="394">(AZ525+BA525-P525+U525+AQ525)/((1+AJ525))</f>
        <v>239.90179821036165</v>
      </c>
      <c r="BA524">
        <f t="shared" si="366"/>
        <v>2.7330147516381325</v>
      </c>
      <c r="BB524">
        <f t="shared" si="367"/>
        <v>56.25</v>
      </c>
      <c r="BC524">
        <f t="shared" ref="BC524:BC587" si="395">$AQ$5*BB524+IF($W$3=0,0,$AP$5*AA524)</f>
        <v>33.75</v>
      </c>
      <c r="BD524">
        <f t="shared" si="368"/>
        <v>0</v>
      </c>
      <c r="BE524">
        <f t="shared" ref="BE524:BE587" si="396">IF(B524=1,$AR$5,IF(P524=0,0,$W$3/$U$2))</f>
        <v>24</v>
      </c>
      <c r="BF524">
        <f t="shared" si="377"/>
        <v>5000</v>
      </c>
      <c r="BU524"/>
      <c r="DW524" s="89"/>
      <c r="DX524" s="89"/>
      <c r="FD524"/>
      <c r="FE524"/>
    </row>
    <row r="525" spans="1:161" x14ac:dyDescent="0.25">
      <c r="A525" s="7">
        <f t="shared" si="369"/>
        <v>59079</v>
      </c>
      <c r="B525">
        <f t="shared" ref="B525:B588" si="397">B524+1</f>
        <v>514</v>
      </c>
      <c r="C525">
        <f t="shared" si="378"/>
        <v>42.75</v>
      </c>
      <c r="D525">
        <f t="shared" si="379"/>
        <v>0</v>
      </c>
      <c r="E525">
        <f t="shared" ref="E525:E588" si="398">$C$2+INT($C525)</f>
        <v>94</v>
      </c>
      <c r="F525">
        <f>IF(C525&gt;=$T$2,0,VLOOKUP($E525,EKM_F05!$A$3:$C$128,2,TRUE))</f>
        <v>0.22069858974358975</v>
      </c>
      <c r="G525">
        <f>F525*'Real assumptions'!$B$3</f>
        <v>9.2097521500000001E-2</v>
      </c>
      <c r="H525">
        <f t="shared" si="380"/>
        <v>8.019199008231892E-3</v>
      </c>
      <c r="I525">
        <f t="shared" si="381"/>
        <v>4.6811837278055822E-4</v>
      </c>
      <c r="J525">
        <f>IF(B525&gt;$AJ$2,0,HLOOKUP(C525,'Real assumptions'!$B$5:$L$8,4,TRUE))</f>
        <v>3.7900000000000003E-2</v>
      </c>
      <c r="K525">
        <f t="shared" si="387"/>
        <v>1</v>
      </c>
      <c r="L525">
        <f t="shared" si="370"/>
        <v>8.3333333333333329E-2</v>
      </c>
      <c r="M525">
        <f t="shared" si="382"/>
        <v>3.2145624959929453E-3</v>
      </c>
      <c r="N525">
        <f t="shared" si="383"/>
        <v>1.8719761727750792E-4</v>
      </c>
      <c r="O525" s="8">
        <f t="shared" ref="O525:O588" si="399">IF(E526&gt;$C$5,0,IF(B525&gt;$AJ$2,0,O524-I525-N525))</f>
        <v>5.781336416658963E-2</v>
      </c>
      <c r="P525">
        <f t="shared" ref="P525:P588" si="400">IF($U$2=0,0,$W$3/$U$2*K525*O524)</f>
        <v>1.4032483237595448</v>
      </c>
      <c r="Q525">
        <f t="shared" si="371"/>
        <v>2.3405918639027909</v>
      </c>
      <c r="R525" s="89">
        <f t="shared" si="388"/>
        <v>5000</v>
      </c>
      <c r="S525">
        <f t="shared" si="389"/>
        <v>0.1666666666666643</v>
      </c>
      <c r="U525">
        <f>O524*AV524*'Real assumptions'!$B$33/12+AX525*'Real assumptions'!$B$34</f>
        <v>1.0243939995969631</v>
      </c>
      <c r="V525">
        <f>IF(P525=0,0,IF(E525&lt;=$C$7,$AN$5*O524,0))*'Real assumptions'!$D$28</f>
        <v>0</v>
      </c>
      <c r="X525" s="94">
        <f t="shared" ref="X525:X588" si="401">IF($U$2=12,0,IF($AM$2&lt;&gt;0,0,X524+Y525-($AN$5*($U$2/12))))</f>
        <v>0</v>
      </c>
      <c r="Y525">
        <f t="shared" si="390"/>
        <v>24</v>
      </c>
      <c r="Z525">
        <f t="shared" si="372"/>
        <v>56</v>
      </c>
      <c r="AA525">
        <f t="shared" si="391"/>
        <v>56.166666666666664</v>
      </c>
      <c r="AB525">
        <f t="shared" ref="AB525:AB588" si="402">IF($AM$2&lt;&gt;0,0,R525/99)</f>
        <v>50.505050505050505</v>
      </c>
      <c r="AC525">
        <f t="shared" si="384"/>
        <v>2836.7003367003367</v>
      </c>
      <c r="AD525">
        <f t="shared" ref="AD525:AD588" si="403">IF($AM$2&lt;&gt;0,0,AB525+$Q$4*$AI$2+$Q$5*$AI$2)</f>
        <v>80.505050505050505</v>
      </c>
      <c r="AE525">
        <f t="shared" ref="AE525:AE588" si="404">MIN($C$6*AD525*AA525,$AI$2-AC525+BD525)</f>
        <v>226.0850168350168</v>
      </c>
      <c r="AF525" s="94">
        <f t="shared" ref="AF525:AF588" si="405">MAX(($AI$2+$Y$2-AC525-AE525+X525+BD525),0)</f>
        <v>1937.2146464646464</v>
      </c>
      <c r="AG525">
        <f t="shared" si="373"/>
        <v>0.3626419659732717</v>
      </c>
      <c r="AH525">
        <f t="shared" ref="AH525:AH588" si="406">AF525*O525</f>
        <v>111.99689582491179</v>
      </c>
      <c r="AI525">
        <f>HLOOKUP(AW525,'Real assumptions'!$A$21:$AK$24,2,TRUE)</f>
        <v>0</v>
      </c>
      <c r="AJ525" s="123">
        <f t="shared" si="385"/>
        <v>0</v>
      </c>
      <c r="AK525" s="122">
        <f>(1+HLOOKUP(YEAR(A525),'Real assumptions'!$A$21:$AK$24,2,TRUE)/100)^(1/12)-1</f>
        <v>0</v>
      </c>
      <c r="AL525">
        <f t="shared" si="374"/>
        <v>1.0243939995969631</v>
      </c>
      <c r="AM525">
        <f>('Real assumptions'!$B$33/12)*O524*AV524</f>
        <v>0.99337063472668263</v>
      </c>
      <c r="AN525">
        <f t="shared" ref="AN525:AN588" si="407">AP524+P525+AH524-V525-AL525</f>
        <v>113.37954497918368</v>
      </c>
      <c r="AO525">
        <f t="shared" si="386"/>
        <v>0</v>
      </c>
      <c r="AP525" s="121">
        <f t="shared" ref="AP525:AP588" si="408">IF(MONTH(A525)=12,0,AP524+AO525)</f>
        <v>0</v>
      </c>
      <c r="AQ525">
        <f t="shared" ref="AQ525:AQ588" si="409">IF(P525=0,0,AR525+AS525)</f>
        <v>0</v>
      </c>
      <c r="AR525">
        <v>0</v>
      </c>
      <c r="AS525">
        <f t="shared" si="392"/>
        <v>0</v>
      </c>
      <c r="AT525">
        <f t="shared" ref="AT525:AT588" si="410">IF(OR(B525&lt;=$B$12,B525&gt;$AJ$2),0,AU525*O524)</f>
        <v>0</v>
      </c>
      <c r="AU525">
        <f>IFERROR(HLOOKUP(B525,'Real assumptions'!$B$43:$AL$44,2,TRUE)*($W$3/$U$2),0)</f>
        <v>0</v>
      </c>
      <c r="AV525">
        <f>AV524*(1+'Real assumptions'!$B$35)^(1/12)</f>
        <v>1.7007387745687965</v>
      </c>
      <c r="AW525">
        <f t="shared" si="393"/>
        <v>2061</v>
      </c>
      <c r="AX525">
        <f t="shared" si="375"/>
        <v>113.2467709587107</v>
      </c>
      <c r="AY525">
        <f t="shared" si="376"/>
        <v>0.24608030368959466</v>
      </c>
      <c r="AZ525">
        <f t="shared" si="394"/>
        <v>237.57741870464818</v>
      </c>
      <c r="BA525">
        <f t="shared" ref="BA525:BA588" si="411">AG525+V525+Q525</f>
        <v>2.7032338298760625</v>
      </c>
      <c r="BB525">
        <f t="shared" ref="BB525:BB588" si="412">Z526+IF(S525=1,0,S525)</f>
        <v>56.166666666666664</v>
      </c>
      <c r="BC525">
        <f t="shared" si="395"/>
        <v>33.699999999999996</v>
      </c>
      <c r="BD525">
        <f t="shared" ref="BD525:BD588" si="413">(BC525/100)*($AI$2+$Y$2)-AA525*(AD525-AB525)</f>
        <v>0</v>
      </c>
      <c r="BE525">
        <f t="shared" si="396"/>
        <v>24</v>
      </c>
      <c r="BF525">
        <f t="shared" si="377"/>
        <v>5000</v>
      </c>
      <c r="BU525"/>
      <c r="DW525" s="89"/>
      <c r="DX525" s="89"/>
      <c r="FD525"/>
      <c r="FE525"/>
    </row>
    <row r="526" spans="1:161" x14ac:dyDescent="0.25">
      <c r="A526" s="7">
        <f t="shared" ref="A526:A589" si="414">DATE(YEAR(A525),MONTH(A525)+2,1)-1</f>
        <v>59110</v>
      </c>
      <c r="B526">
        <f t="shared" si="397"/>
        <v>515</v>
      </c>
      <c r="C526">
        <f t="shared" si="378"/>
        <v>42.833333333333336</v>
      </c>
      <c r="D526">
        <f t="shared" si="379"/>
        <v>0</v>
      </c>
      <c r="E526">
        <f t="shared" si="398"/>
        <v>94</v>
      </c>
      <c r="F526">
        <f>IF(C526&gt;=$T$2,0,VLOOKUP($E526,EKM_F05!$A$3:$C$128,2,TRUE))</f>
        <v>0.22069858974358975</v>
      </c>
      <c r="G526">
        <f>F526*'Real assumptions'!$B$3</f>
        <v>9.2097521500000001E-2</v>
      </c>
      <c r="H526">
        <f t="shared" si="380"/>
        <v>8.019199008231892E-3</v>
      </c>
      <c r="I526">
        <f t="shared" si="381"/>
        <v>4.6287170988170052E-4</v>
      </c>
      <c r="J526">
        <f>IF(B526&gt;$AJ$2,0,HLOOKUP(C526,'Real assumptions'!$B$5:$L$8,4,TRUE))</f>
        <v>3.7900000000000003E-2</v>
      </c>
      <c r="K526">
        <f t="shared" si="387"/>
        <v>1</v>
      </c>
      <c r="L526">
        <f t="shared" ref="L526:L589" si="415">IF(B526&gt;$AJ$2,0,1/12)</f>
        <v>8.3333333333333329E-2</v>
      </c>
      <c r="M526">
        <f t="shared" si="382"/>
        <v>3.2145624959929453E-3</v>
      </c>
      <c r="N526">
        <f t="shared" si="383"/>
        <v>1.8509950951153717E-4</v>
      </c>
      <c r="O526" s="8">
        <f t="shared" si="399"/>
        <v>5.7165392947196393E-2</v>
      </c>
      <c r="P526">
        <f t="shared" si="400"/>
        <v>1.3875207399981511</v>
      </c>
      <c r="Q526">
        <f t="shared" ref="Q526:Q589" si="416">BF526*I526</f>
        <v>2.3143585494085026</v>
      </c>
      <c r="R526" s="89">
        <f t="shared" si="388"/>
        <v>5000</v>
      </c>
      <c r="S526">
        <f t="shared" si="389"/>
        <v>8.3333333333335702E-2</v>
      </c>
      <c r="U526">
        <f>O525*AV525*'Real assumptions'!$B$33/12+AX526*'Real assumptions'!$B$34</f>
        <v>1.0140019261953364</v>
      </c>
      <c r="V526">
        <f>IF(P526=0,0,IF(E526&lt;=$C$7,$AN$5*O525,0))*'Real assumptions'!$D$28</f>
        <v>0</v>
      </c>
      <c r="X526" s="94">
        <f t="shared" si="401"/>
        <v>0</v>
      </c>
      <c r="Y526">
        <f t="shared" si="390"/>
        <v>24</v>
      </c>
      <c r="Z526">
        <f t="shared" ref="Z526:Z589" si="417">IF(S524=1,Z525-1,Z525)</f>
        <v>56</v>
      </c>
      <c r="AA526">
        <f t="shared" si="391"/>
        <v>56.083333333333336</v>
      </c>
      <c r="AB526">
        <f t="shared" si="402"/>
        <v>50.505050505050505</v>
      </c>
      <c r="AC526">
        <f t="shared" si="384"/>
        <v>2832.4915824915824</v>
      </c>
      <c r="AD526">
        <f t="shared" si="403"/>
        <v>80.505050505050505</v>
      </c>
      <c r="AE526">
        <f t="shared" si="404"/>
        <v>225.74957912457913</v>
      </c>
      <c r="AF526" s="94">
        <f t="shared" si="405"/>
        <v>1941.7588383838383</v>
      </c>
      <c r="AG526">
        <f t="shared" ref="AG526:AG589" si="418">IF(B526&lt;=$C$8,0,AF526*N526)</f>
        <v>0.35941860857454067</v>
      </c>
      <c r="AH526">
        <f t="shared" si="406"/>
        <v>111.00140700490374</v>
      </c>
      <c r="AI526">
        <f>HLOOKUP(AW526,'Real assumptions'!$A$21:$AK$24,2,TRUE)</f>
        <v>0</v>
      </c>
      <c r="AJ526" s="123">
        <f t="shared" si="385"/>
        <v>0</v>
      </c>
      <c r="AK526" s="122">
        <f>(1+HLOOKUP(YEAR(A526),'Real assumptions'!$A$21:$AK$24,2,TRUE)/100)^(1/12)-1</f>
        <v>0</v>
      </c>
      <c r="AL526">
        <f t="shared" ref="AL526:AL589" si="419">AQ526+U526</f>
        <v>1.0140019261953364</v>
      </c>
      <c r="AM526">
        <f>('Real assumptions'!$B$33/12)*O525*AV525</f>
        <v>0.98325430126385227</v>
      </c>
      <c r="AN526">
        <f t="shared" si="407"/>
        <v>112.37041463871461</v>
      </c>
      <c r="AO526">
        <f t="shared" si="386"/>
        <v>0</v>
      </c>
      <c r="AP526" s="121">
        <f t="shared" si="408"/>
        <v>0</v>
      </c>
      <c r="AQ526">
        <f t="shared" si="409"/>
        <v>0</v>
      </c>
      <c r="AR526">
        <v>0</v>
      </c>
      <c r="AS526">
        <f t="shared" si="392"/>
        <v>0</v>
      </c>
      <c r="AT526">
        <f t="shared" si="410"/>
        <v>0</v>
      </c>
      <c r="AU526">
        <f>IFERROR(HLOOKUP(B526,'Real assumptions'!$B$43:$AL$44,2,TRUE)*($W$3/$U$2),0)</f>
        <v>0</v>
      </c>
      <c r="AV526">
        <f>AV525*(1+'Real assumptions'!$B$35)^(1/12)</f>
        <v>1.702500307976599</v>
      </c>
      <c r="AW526">
        <f t="shared" si="393"/>
        <v>2061</v>
      </c>
      <c r="AX526">
        <f t="shared" ref="AX526:AX589" si="420">MAX(0,AH525+AP525-V526+AY526)</f>
        <v>112.24021806467016</v>
      </c>
      <c r="AY526">
        <f t="shared" ref="AY526:AY589" si="421">IF(P526=0,0,(AB526/$U$2)*O525)</f>
        <v>0.24332223975837386</v>
      </c>
      <c r="AZ526">
        <f t="shared" si="394"/>
        <v>235.27716036046795</v>
      </c>
      <c r="BA526">
        <f t="shared" si="411"/>
        <v>2.6737771579830434</v>
      </c>
      <c r="BB526">
        <f t="shared" si="412"/>
        <v>56.083333333333336</v>
      </c>
      <c r="BC526">
        <f t="shared" si="395"/>
        <v>33.65</v>
      </c>
      <c r="BD526">
        <f t="shared" si="413"/>
        <v>0</v>
      </c>
      <c r="BE526">
        <f t="shared" si="396"/>
        <v>24</v>
      </c>
      <c r="BF526">
        <f t="shared" ref="BF526:BF589" si="422">((IF(B526&lt;13,BF525+BE526,$AI$2+$Y$2)))</f>
        <v>5000</v>
      </c>
      <c r="BU526"/>
      <c r="DW526" s="89"/>
      <c r="DX526" s="89"/>
      <c r="FD526"/>
      <c r="FE526"/>
    </row>
    <row r="527" spans="1:161" x14ac:dyDescent="0.25">
      <c r="A527" s="7">
        <f t="shared" si="414"/>
        <v>59140</v>
      </c>
      <c r="B527">
        <f t="shared" si="397"/>
        <v>516</v>
      </c>
      <c r="C527">
        <f t="shared" si="378"/>
        <v>42.916666666666664</v>
      </c>
      <c r="D527">
        <f t="shared" si="379"/>
        <v>0</v>
      </c>
      <c r="E527">
        <f t="shared" si="398"/>
        <v>94</v>
      </c>
      <c r="F527">
        <f>IF(C527&gt;=$T$2,0,VLOOKUP($E527,EKM_F05!$A$3:$C$128,2,TRUE))</f>
        <v>0.22069858974358975</v>
      </c>
      <c r="G527">
        <f>F527*'Real assumptions'!$B$3</f>
        <v>9.2097521500000001E-2</v>
      </c>
      <c r="H527">
        <f t="shared" si="380"/>
        <v>8.019199008231892E-3</v>
      </c>
      <c r="I527">
        <f t="shared" si="381"/>
        <v>4.5768385149293016E-4</v>
      </c>
      <c r="J527">
        <f>IF(B527&gt;$AJ$2,0,HLOOKUP(C527,'Real assumptions'!$B$5:$L$8,4,TRUE))</f>
        <v>3.7900000000000003E-2</v>
      </c>
      <c r="K527">
        <f t="shared" si="387"/>
        <v>1</v>
      </c>
      <c r="L527">
        <f t="shared" si="415"/>
        <v>8.3333333333333329E-2</v>
      </c>
      <c r="M527">
        <f t="shared" si="382"/>
        <v>3.2145624959929453E-3</v>
      </c>
      <c r="N527">
        <f t="shared" si="383"/>
        <v>1.8302491730234354E-4</v>
      </c>
      <c r="O527" s="8">
        <f t="shared" si="399"/>
        <v>5.6524684178401119E-2</v>
      </c>
      <c r="P527">
        <f t="shared" si="400"/>
        <v>1.3719694307327135</v>
      </c>
      <c r="Q527">
        <f t="shared" si="416"/>
        <v>2.2884192574646507</v>
      </c>
      <c r="R527" s="89">
        <f t="shared" si="388"/>
        <v>5000</v>
      </c>
      <c r="S527">
        <f t="shared" si="389"/>
        <v>1</v>
      </c>
      <c r="U527">
        <f>O526*AV526*'Real assumptions'!$B$33/12+AX527*'Real assumptions'!$B$34</f>
        <v>1.003715159831351</v>
      </c>
      <c r="V527">
        <f>IF(P527=0,0,IF(E527&lt;=$C$7,$AN$5*O526,0))*'Real assumptions'!$D$28</f>
        <v>0</v>
      </c>
      <c r="X527" s="94">
        <f t="shared" si="401"/>
        <v>0</v>
      </c>
      <c r="Y527">
        <f t="shared" si="390"/>
        <v>24</v>
      </c>
      <c r="Z527">
        <f t="shared" si="417"/>
        <v>56</v>
      </c>
      <c r="AA527">
        <f t="shared" si="391"/>
        <v>56</v>
      </c>
      <c r="AB527">
        <f t="shared" si="402"/>
        <v>50.505050505050505</v>
      </c>
      <c r="AC527">
        <f t="shared" si="384"/>
        <v>2828.2828282828282</v>
      </c>
      <c r="AD527">
        <f t="shared" si="403"/>
        <v>80.505050505050505</v>
      </c>
      <c r="AE527">
        <f t="shared" si="404"/>
        <v>225.4141414141414</v>
      </c>
      <c r="AF527" s="94">
        <f t="shared" si="405"/>
        <v>1946.3030303030305</v>
      </c>
      <c r="AG527">
        <f t="shared" si="418"/>
        <v>0.35622195116651278</v>
      </c>
      <c r="AH527">
        <f t="shared" si="406"/>
        <v>110.01416410334386</v>
      </c>
      <c r="AI527">
        <f>HLOOKUP(AW527,'Real assumptions'!$A$21:$AK$24,2,TRUE)</f>
        <v>0</v>
      </c>
      <c r="AJ527" s="123">
        <f t="shared" si="385"/>
        <v>0</v>
      </c>
      <c r="AK527" s="122">
        <f>(1+HLOOKUP(YEAR(A527),'Real assumptions'!$A$21:$AK$24,2,TRUE)/100)^(1/12)-1</f>
        <v>0</v>
      </c>
      <c r="AL527">
        <f t="shared" si="419"/>
        <v>1.003715159831351</v>
      </c>
      <c r="AM527">
        <f>('Real assumptions'!$B$33/12)*O526*AV526</f>
        <v>0.97324099098205163</v>
      </c>
      <c r="AN527">
        <f t="shared" si="407"/>
        <v>111.36966127580511</v>
      </c>
      <c r="AO527">
        <f t="shared" si="386"/>
        <v>0</v>
      </c>
      <c r="AP527" s="121">
        <f t="shared" si="408"/>
        <v>0</v>
      </c>
      <c r="AQ527">
        <f t="shared" si="409"/>
        <v>0</v>
      </c>
      <c r="AR527">
        <v>0</v>
      </c>
      <c r="AS527">
        <f t="shared" si="392"/>
        <v>0</v>
      </c>
      <c r="AT527">
        <f t="shared" si="410"/>
        <v>0</v>
      </c>
      <c r="AU527">
        <f>IFERROR(HLOOKUP(B527,'Real assumptions'!$B$43:$AL$44,2,TRUE)*($W$3/$U$2),0)</f>
        <v>0</v>
      </c>
      <c r="AV527">
        <f>AV526*(1+'Real assumptions'!$B$35)^(1/12)</f>
        <v>1.7042636658856085</v>
      </c>
      <c r="AW527">
        <f t="shared" si="393"/>
        <v>2061</v>
      </c>
      <c r="AX527">
        <f t="shared" si="420"/>
        <v>111.24200209306534</v>
      </c>
      <c r="AY527">
        <f t="shared" si="421"/>
        <v>0.24059508816160097</v>
      </c>
      <c r="AZ527">
        <f t="shared" si="394"/>
        <v>233.00077342273815</v>
      </c>
      <c r="BA527">
        <f t="shared" si="411"/>
        <v>2.6446412086311635</v>
      </c>
      <c r="BB527">
        <f t="shared" si="412"/>
        <v>56</v>
      </c>
      <c r="BC527">
        <f t="shared" si="395"/>
        <v>33.599999999999994</v>
      </c>
      <c r="BD527">
        <f t="shared" si="413"/>
        <v>0</v>
      </c>
      <c r="BE527">
        <f t="shared" si="396"/>
        <v>24</v>
      </c>
      <c r="BF527">
        <f t="shared" si="422"/>
        <v>5000</v>
      </c>
      <c r="BU527"/>
      <c r="DW527" s="89"/>
      <c r="DX527" s="89"/>
      <c r="FD527"/>
      <c r="FE527"/>
    </row>
    <row r="528" spans="1:161" x14ac:dyDescent="0.25">
      <c r="A528" s="7">
        <f t="shared" si="414"/>
        <v>59171</v>
      </c>
      <c r="B528">
        <f t="shared" si="397"/>
        <v>517</v>
      </c>
      <c r="C528">
        <f t="shared" si="378"/>
        <v>43</v>
      </c>
      <c r="D528">
        <f t="shared" si="379"/>
        <v>1</v>
      </c>
      <c r="E528">
        <f t="shared" si="398"/>
        <v>95</v>
      </c>
      <c r="F528">
        <f>IF(C528&gt;=$T$2,0,VLOOKUP($E528,EKM_F05!$A$3:$C$128,2,TRUE))</f>
        <v>0.24319243589743589</v>
      </c>
      <c r="G528">
        <f>F528*'Real assumptions'!$B$3</f>
        <v>0.10148420349999999</v>
      </c>
      <c r="H528">
        <f t="shared" si="380"/>
        <v>8.8779389513407025E-3</v>
      </c>
      <c r="I528">
        <f t="shared" si="381"/>
        <v>5.0101612517155613E-4</v>
      </c>
      <c r="J528">
        <f>IF(B528&gt;$AJ$2,0,HLOOKUP(C528,'Real assumptions'!$B$5:$L$8,4,TRUE))</f>
        <v>3.7900000000000003E-2</v>
      </c>
      <c r="K528">
        <f t="shared" si="387"/>
        <v>1</v>
      </c>
      <c r="L528">
        <f t="shared" si="415"/>
        <v>8.3333333333333329E-2</v>
      </c>
      <c r="M528">
        <f t="shared" si="382"/>
        <v>3.2145624959929453E-3</v>
      </c>
      <c r="N528">
        <f t="shared" si="383"/>
        <v>1.8089555964963128E-4</v>
      </c>
      <c r="O528" s="8">
        <f t="shared" si="399"/>
        <v>5.5842772493579933E-2</v>
      </c>
      <c r="P528">
        <f t="shared" si="400"/>
        <v>1.3565924202816269</v>
      </c>
      <c r="Q528">
        <f t="shared" si="416"/>
        <v>2.5050806258577807</v>
      </c>
      <c r="R528" s="89">
        <f t="shared" si="388"/>
        <v>5000</v>
      </c>
      <c r="S528">
        <f t="shared" si="389"/>
        <v>0.9166666666666643</v>
      </c>
      <c r="U528">
        <f>O527*AV527*'Real assumptions'!$B$33/12+AX528*'Real assumptions'!$B$34</f>
        <v>0.99353263477609932</v>
      </c>
      <c r="V528">
        <f>IF(P528=0,0,IF(E528&lt;=$C$7,$AN$5*O527,0))*'Real assumptions'!$D$28</f>
        <v>0</v>
      </c>
      <c r="X528" s="94">
        <f t="shared" si="401"/>
        <v>0</v>
      </c>
      <c r="Y528">
        <f t="shared" si="390"/>
        <v>24</v>
      </c>
      <c r="Z528">
        <f t="shared" si="417"/>
        <v>56</v>
      </c>
      <c r="AA528">
        <f t="shared" si="391"/>
        <v>55.916666666666664</v>
      </c>
      <c r="AB528">
        <f t="shared" si="402"/>
        <v>50.505050505050505</v>
      </c>
      <c r="AC528">
        <f t="shared" si="384"/>
        <v>2824.0740740740739</v>
      </c>
      <c r="AD528">
        <f t="shared" si="403"/>
        <v>80.505050505050505</v>
      </c>
      <c r="AE528">
        <f t="shared" si="404"/>
        <v>225.0787037037037</v>
      </c>
      <c r="AF528" s="94">
        <f t="shared" si="405"/>
        <v>1950.8472222222224</v>
      </c>
      <c r="AG528">
        <f t="shared" si="418"/>
        <v>0.35289960005481752</v>
      </c>
      <c r="AH528">
        <f t="shared" si="406"/>
        <v>108.94071760028794</v>
      </c>
      <c r="AI528">
        <f>HLOOKUP(AW528,'Real assumptions'!$A$21:$AK$24,2,TRUE)</f>
        <v>0</v>
      </c>
      <c r="AJ528" s="123">
        <f t="shared" si="385"/>
        <v>0</v>
      </c>
      <c r="AK528" s="122">
        <f>(1+HLOOKUP(YEAR(A528),'Real assumptions'!$A$21:$AK$24,2,TRUE)/100)^(1/12)-1</f>
        <v>0</v>
      </c>
      <c r="AL528">
        <f t="shared" si="419"/>
        <v>0.99353263477609932</v>
      </c>
      <c r="AM528">
        <f>('Real assumptions'!$B$33/12)*O527*AV527</f>
        <v>0.9633296547090815</v>
      </c>
      <c r="AN528">
        <f t="shared" si="407"/>
        <v>110.37722388884939</v>
      </c>
      <c r="AO528">
        <f t="shared" si="386"/>
        <v>0</v>
      </c>
      <c r="AP528" s="121">
        <f t="shared" si="408"/>
        <v>0</v>
      </c>
      <c r="AQ528">
        <f t="shared" si="409"/>
        <v>0</v>
      </c>
      <c r="AR528">
        <v>0</v>
      </c>
      <c r="AS528">
        <f t="shared" si="392"/>
        <v>0</v>
      </c>
      <c r="AT528">
        <f t="shared" si="410"/>
        <v>0</v>
      </c>
      <c r="AU528">
        <f>IFERROR(HLOOKUP(B528,'Real assumptions'!$B$43:$AL$44,2,TRUE)*($W$3/$U$2),0)</f>
        <v>0</v>
      </c>
      <c r="AV528">
        <f>AV527*(1+'Real assumptions'!$B$35)^(1/12)</f>
        <v>1.7060288501855447</v>
      </c>
      <c r="AW528">
        <f t="shared" si="393"/>
        <v>2061</v>
      </c>
      <c r="AX528">
        <f t="shared" si="420"/>
        <v>110.25206260577821</v>
      </c>
      <c r="AY528">
        <f t="shared" si="421"/>
        <v>0.23789850243434812</v>
      </c>
      <c r="AZ528">
        <f t="shared" si="394"/>
        <v>230.50585298233108</v>
      </c>
      <c r="BA528">
        <f t="shared" si="411"/>
        <v>2.8579802259125984</v>
      </c>
      <c r="BB528">
        <f t="shared" si="412"/>
        <v>55.916666666666664</v>
      </c>
      <c r="BC528">
        <f t="shared" si="395"/>
        <v>33.549999999999997</v>
      </c>
      <c r="BD528">
        <f t="shared" si="413"/>
        <v>0</v>
      </c>
      <c r="BE528">
        <f t="shared" si="396"/>
        <v>24</v>
      </c>
      <c r="BF528">
        <f t="shared" si="422"/>
        <v>5000</v>
      </c>
      <c r="BU528"/>
      <c r="DW528" s="89"/>
      <c r="DX528" s="89"/>
      <c r="FD528"/>
      <c r="FE528"/>
    </row>
    <row r="529" spans="1:161" x14ac:dyDescent="0.25">
      <c r="A529" s="7">
        <f t="shared" si="414"/>
        <v>59202</v>
      </c>
      <c r="B529">
        <f t="shared" si="397"/>
        <v>518</v>
      </c>
      <c r="C529">
        <f t="shared" si="378"/>
        <v>43.083333333333336</v>
      </c>
      <c r="D529">
        <f t="shared" si="379"/>
        <v>0</v>
      </c>
      <c r="E529">
        <f t="shared" si="398"/>
        <v>95</v>
      </c>
      <c r="F529">
        <f>IF(C529&gt;=$T$2,0,VLOOKUP($E529,EKM_F05!$A$3:$C$128,2,TRUE))</f>
        <v>0.24319243589743589</v>
      </c>
      <c r="G529">
        <f>F529*'Real assumptions'!$B$3</f>
        <v>0.10148420349999999</v>
      </c>
      <c r="H529">
        <f t="shared" si="380"/>
        <v>8.8779389513407025E-3</v>
      </c>
      <c r="I529">
        <f t="shared" si="381"/>
        <v>4.949718852964597E-4</v>
      </c>
      <c r="J529">
        <f>IF(B529&gt;$AJ$2,0,HLOOKUP(C529,'Real assumptions'!$B$5:$L$8,4,TRUE))</f>
        <v>3.7900000000000003E-2</v>
      </c>
      <c r="K529">
        <f t="shared" si="387"/>
        <v>1</v>
      </c>
      <c r="L529">
        <f t="shared" si="415"/>
        <v>8.3333333333333329E-2</v>
      </c>
      <c r="M529">
        <f t="shared" si="382"/>
        <v>3.2145624959929453E-3</v>
      </c>
      <c r="N529">
        <f t="shared" si="383"/>
        <v>1.787132423549778E-4</v>
      </c>
      <c r="O529" s="8">
        <f t="shared" si="399"/>
        <v>5.5169087365928494E-2</v>
      </c>
      <c r="P529">
        <f t="shared" si="400"/>
        <v>1.3402265398459183</v>
      </c>
      <c r="Q529">
        <f t="shared" si="416"/>
        <v>2.4748594264822987</v>
      </c>
      <c r="R529" s="89">
        <f t="shared" si="388"/>
        <v>5000</v>
      </c>
      <c r="S529">
        <f t="shared" si="389"/>
        <v>0.8333333333333357</v>
      </c>
      <c r="U529">
        <f>O528*AV528*'Real assumptions'!$B$33/12+AX529*'Real assumptions'!$B$34</f>
        <v>0.98260193823409392</v>
      </c>
      <c r="V529">
        <f>IF(P529=0,0,IF(E529&lt;=$C$7,$AN$5*O528,0))*'Real assumptions'!$D$28</f>
        <v>0</v>
      </c>
      <c r="X529" s="94">
        <f t="shared" si="401"/>
        <v>0</v>
      </c>
      <c r="Y529">
        <f t="shared" si="390"/>
        <v>24</v>
      </c>
      <c r="Z529">
        <f t="shared" si="417"/>
        <v>55</v>
      </c>
      <c r="AA529">
        <f t="shared" si="391"/>
        <v>55.833333333333336</v>
      </c>
      <c r="AB529">
        <f t="shared" si="402"/>
        <v>50.505050505050505</v>
      </c>
      <c r="AC529">
        <f t="shared" si="384"/>
        <v>2819.8653198653201</v>
      </c>
      <c r="AD529">
        <f t="shared" si="403"/>
        <v>80.505050505050505</v>
      </c>
      <c r="AE529">
        <f t="shared" si="404"/>
        <v>224.74326599326599</v>
      </c>
      <c r="AF529" s="94">
        <f t="shared" si="405"/>
        <v>1955.3914141414139</v>
      </c>
      <c r="AG529">
        <f t="shared" si="418"/>
        <v>0.34945433969429723</v>
      </c>
      <c r="AH529">
        <f t="shared" si="406"/>
        <v>107.87715976135412</v>
      </c>
      <c r="AI529">
        <f>HLOOKUP(AW529,'Real assumptions'!$A$21:$AK$24,2,TRUE)</f>
        <v>0</v>
      </c>
      <c r="AJ529" s="123">
        <f t="shared" si="385"/>
        <v>0</v>
      </c>
      <c r="AK529" s="122">
        <f>(1+HLOOKUP(YEAR(A529),'Real assumptions'!$A$21:$AK$24,2,TRUE)/100)^(1/12)-1</f>
        <v>0</v>
      </c>
      <c r="AL529">
        <f t="shared" si="419"/>
        <v>0.98260193823409392</v>
      </c>
      <c r="AM529">
        <f>('Real assumptions'!$B$33/12)*O528*AV528</f>
        <v>0.95269380948395133</v>
      </c>
      <c r="AN529">
        <f t="shared" si="407"/>
        <v>109.29834220189976</v>
      </c>
      <c r="AO529">
        <f t="shared" si="386"/>
        <v>0</v>
      </c>
      <c r="AP529" s="121">
        <f t="shared" si="408"/>
        <v>0</v>
      </c>
      <c r="AQ529">
        <f t="shared" si="409"/>
        <v>0</v>
      </c>
      <c r="AR529">
        <v>0</v>
      </c>
      <c r="AS529">
        <f t="shared" si="392"/>
        <v>0</v>
      </c>
      <c r="AT529">
        <f t="shared" si="410"/>
        <v>0</v>
      </c>
      <c r="AU529">
        <f>IFERROR(HLOOKUP(B529,'Real assumptions'!$B$43:$AL$44,2,TRUE)*($W$3/$U$2),0)</f>
        <v>0</v>
      </c>
      <c r="AV529">
        <f>AV528*(1+'Real assumptions'!$B$35)^(1/12)</f>
        <v>1.7077958627680849</v>
      </c>
      <c r="AW529">
        <f t="shared" si="393"/>
        <v>2062</v>
      </c>
      <c r="AX529">
        <f t="shared" si="420"/>
        <v>109.1757461040488</v>
      </c>
      <c r="AY529">
        <f t="shared" si="421"/>
        <v>0.23502850376085829</v>
      </c>
      <c r="AZ529">
        <f t="shared" si="394"/>
        <v>228.03916381776631</v>
      </c>
      <c r="BA529">
        <f t="shared" si="411"/>
        <v>2.824313766176596</v>
      </c>
      <c r="BB529">
        <f t="shared" si="412"/>
        <v>55.833333333333336</v>
      </c>
      <c r="BC529">
        <f t="shared" si="395"/>
        <v>33.5</v>
      </c>
      <c r="BD529">
        <f t="shared" si="413"/>
        <v>0</v>
      </c>
      <c r="BE529">
        <f t="shared" si="396"/>
        <v>24</v>
      </c>
      <c r="BF529">
        <f t="shared" si="422"/>
        <v>5000</v>
      </c>
      <c r="BU529"/>
      <c r="DW529" s="89"/>
      <c r="DX529" s="89"/>
      <c r="FD529"/>
      <c r="FE529"/>
    </row>
    <row r="530" spans="1:161" x14ac:dyDescent="0.25">
      <c r="A530" s="7">
        <f t="shared" si="414"/>
        <v>59230</v>
      </c>
      <c r="B530">
        <f t="shared" si="397"/>
        <v>519</v>
      </c>
      <c r="C530">
        <f t="shared" si="378"/>
        <v>43.166666666666664</v>
      </c>
      <c r="D530">
        <f t="shared" si="379"/>
        <v>0</v>
      </c>
      <c r="E530">
        <f t="shared" si="398"/>
        <v>95</v>
      </c>
      <c r="F530">
        <f>IF(C530&gt;=$T$2,0,VLOOKUP($E530,EKM_F05!$A$3:$C$128,2,TRUE))</f>
        <v>0.24319243589743589</v>
      </c>
      <c r="G530">
        <f>F530*'Real assumptions'!$B$3</f>
        <v>0.10148420349999999</v>
      </c>
      <c r="H530">
        <f t="shared" si="380"/>
        <v>8.8779389513407025E-3</v>
      </c>
      <c r="I530">
        <f t="shared" si="381"/>
        <v>4.8900056290611545E-4</v>
      </c>
      <c r="J530">
        <f>IF(B530&gt;$AJ$2,0,HLOOKUP(C530,'Real assumptions'!$B$5:$L$8,4,TRUE))</f>
        <v>3.7900000000000003E-2</v>
      </c>
      <c r="K530">
        <f t="shared" si="387"/>
        <v>1</v>
      </c>
      <c r="L530">
        <f t="shared" si="415"/>
        <v>8.3333333333333329E-2</v>
      </c>
      <c r="M530">
        <f t="shared" si="382"/>
        <v>3.2145624959929453E-3</v>
      </c>
      <c r="N530">
        <f t="shared" si="383"/>
        <v>1.7655725245489256E-4</v>
      </c>
      <c r="O530" s="8">
        <f t="shared" si="399"/>
        <v>5.4503529550567489E-2</v>
      </c>
      <c r="P530">
        <f t="shared" si="400"/>
        <v>1.3240580967822839</v>
      </c>
      <c r="Q530">
        <f t="shared" si="416"/>
        <v>2.4450028145305773</v>
      </c>
      <c r="R530" s="89">
        <f t="shared" si="388"/>
        <v>5000</v>
      </c>
      <c r="S530">
        <f t="shared" si="389"/>
        <v>0.75</v>
      </c>
      <c r="U530">
        <f>O529*AV529*'Real assumptions'!$B$33/12+AX530*'Real assumptions'!$B$34</f>
        <v>0.97179138742863724</v>
      </c>
      <c r="V530">
        <f>IF(P530=0,0,IF(E530&lt;=$C$7,$AN$5*O529,0))*'Real assumptions'!$D$28</f>
        <v>0</v>
      </c>
      <c r="X530" s="94">
        <f t="shared" si="401"/>
        <v>0</v>
      </c>
      <c r="Y530">
        <f t="shared" si="390"/>
        <v>24</v>
      </c>
      <c r="Z530">
        <f t="shared" si="417"/>
        <v>55</v>
      </c>
      <c r="AA530">
        <f t="shared" si="391"/>
        <v>55.75</v>
      </c>
      <c r="AB530">
        <f t="shared" si="402"/>
        <v>50.505050505050505</v>
      </c>
      <c r="AC530">
        <f t="shared" si="384"/>
        <v>2815.6565656565658</v>
      </c>
      <c r="AD530">
        <f t="shared" si="403"/>
        <v>80.505050505050505</v>
      </c>
      <c r="AE530">
        <f t="shared" si="404"/>
        <v>224.40782828282826</v>
      </c>
      <c r="AF530" s="94">
        <f t="shared" si="405"/>
        <v>1959.935606060606</v>
      </c>
      <c r="AG530">
        <f t="shared" si="418"/>
        <v>0.34604084559457526</v>
      </c>
      <c r="AH530">
        <f t="shared" si="406"/>
        <v>106.82340822213364</v>
      </c>
      <c r="AI530">
        <f>HLOOKUP(AW530,'Real assumptions'!$A$21:$AK$24,2,TRUE)</f>
        <v>0</v>
      </c>
      <c r="AJ530" s="123">
        <f t="shared" si="385"/>
        <v>0</v>
      </c>
      <c r="AK530" s="122">
        <f>(1+HLOOKUP(YEAR(A530),'Real assumptions'!$A$21:$AK$24,2,TRUE)/100)^(1/12)-1</f>
        <v>0</v>
      </c>
      <c r="AL530">
        <f t="shared" si="419"/>
        <v>0.97179138742863724</v>
      </c>
      <c r="AM530">
        <f>('Real assumptions'!$B$33/12)*O529*AV529</f>
        <v>0.94217539156223706</v>
      </c>
      <c r="AN530">
        <f t="shared" si="407"/>
        <v>108.22942647070776</v>
      </c>
      <c r="AO530">
        <f t="shared" si="386"/>
        <v>0</v>
      </c>
      <c r="AP530" s="121">
        <f t="shared" si="408"/>
        <v>0</v>
      </c>
      <c r="AQ530">
        <f t="shared" si="409"/>
        <v>0</v>
      </c>
      <c r="AR530">
        <v>0</v>
      </c>
      <c r="AS530">
        <f t="shared" si="392"/>
        <v>0</v>
      </c>
      <c r="AT530">
        <f t="shared" si="410"/>
        <v>0</v>
      </c>
      <c r="AU530">
        <f>IFERROR(HLOOKUP(B530,'Real assumptions'!$B$43:$AL$44,2,TRUE)*($W$3/$U$2),0)</f>
        <v>0</v>
      </c>
      <c r="AV530">
        <f>AV529*(1+'Real assumptions'!$B$35)^(1/12)</f>
        <v>1.7095647055268652</v>
      </c>
      <c r="AW530">
        <f t="shared" si="393"/>
        <v>2062</v>
      </c>
      <c r="AX530">
        <f t="shared" si="420"/>
        <v>108.1093528899986</v>
      </c>
      <c r="AY530">
        <f t="shared" si="421"/>
        <v>0.23219312864448019</v>
      </c>
      <c r="AZ530">
        <f t="shared" si="394"/>
        <v>225.60038686699482</v>
      </c>
      <c r="BA530">
        <f t="shared" si="411"/>
        <v>2.7910436601251525</v>
      </c>
      <c r="BB530">
        <f t="shared" si="412"/>
        <v>55.75</v>
      </c>
      <c r="BC530">
        <f t="shared" si="395"/>
        <v>33.450000000000003</v>
      </c>
      <c r="BD530">
        <f t="shared" si="413"/>
        <v>0</v>
      </c>
      <c r="BE530">
        <f t="shared" si="396"/>
        <v>24</v>
      </c>
      <c r="BF530">
        <f t="shared" si="422"/>
        <v>5000</v>
      </c>
      <c r="BU530"/>
      <c r="DW530" s="89"/>
      <c r="DX530" s="89"/>
      <c r="FD530"/>
      <c r="FE530"/>
    </row>
    <row r="531" spans="1:161" x14ac:dyDescent="0.25">
      <c r="A531" s="7">
        <f t="shared" si="414"/>
        <v>59261</v>
      </c>
      <c r="B531">
        <f t="shared" si="397"/>
        <v>520</v>
      </c>
      <c r="C531">
        <f t="shared" si="378"/>
        <v>43.25</v>
      </c>
      <c r="D531">
        <f t="shared" si="379"/>
        <v>0</v>
      </c>
      <c r="E531">
        <f t="shared" si="398"/>
        <v>95</v>
      </c>
      <c r="F531">
        <f>IF(C531&gt;=$T$2,0,VLOOKUP($E531,EKM_F05!$A$3:$C$128,2,TRUE))</f>
        <v>0.24319243589743589</v>
      </c>
      <c r="G531">
        <f>F531*'Real assumptions'!$B$3</f>
        <v>0.10148420349999999</v>
      </c>
      <c r="H531">
        <f t="shared" si="380"/>
        <v>8.8779389513407025E-3</v>
      </c>
      <c r="I531">
        <f t="shared" si="381"/>
        <v>4.8310127832670266E-4</v>
      </c>
      <c r="J531">
        <f>IF(B531&gt;$AJ$2,0,HLOOKUP(C531,'Real assumptions'!$B$5:$L$8,4,TRUE))</f>
        <v>3.7900000000000003E-2</v>
      </c>
      <c r="K531">
        <f t="shared" si="387"/>
        <v>1</v>
      </c>
      <c r="L531">
        <f t="shared" si="415"/>
        <v>8.3333333333333329E-2</v>
      </c>
      <c r="M531">
        <f t="shared" si="382"/>
        <v>3.2145624959929453E-3</v>
      </c>
      <c r="N531">
        <f t="shared" si="383"/>
        <v>1.7442727233666803E-4</v>
      </c>
      <c r="O531" s="8">
        <f t="shared" si="399"/>
        <v>5.3846000999904123E-2</v>
      </c>
      <c r="P531">
        <f t="shared" si="400"/>
        <v>1.3080847092136199</v>
      </c>
      <c r="Q531">
        <f t="shared" si="416"/>
        <v>2.4155063916335133</v>
      </c>
      <c r="R531" s="89">
        <f t="shared" si="388"/>
        <v>5000</v>
      </c>
      <c r="S531">
        <f t="shared" si="389"/>
        <v>0.6666666666666643</v>
      </c>
      <c r="U531">
        <f>O530*AV530*'Real assumptions'!$B$33/12+AX531*'Real assumptions'!$B$34</f>
        <v>0.96109966320096996</v>
      </c>
      <c r="V531">
        <f>IF(P531=0,0,IF(E531&lt;=$C$7,$AN$5*O530,0))*'Real assumptions'!$D$28</f>
        <v>0</v>
      </c>
      <c r="X531" s="94">
        <f t="shared" si="401"/>
        <v>0</v>
      </c>
      <c r="Y531">
        <f t="shared" si="390"/>
        <v>24</v>
      </c>
      <c r="Z531">
        <f t="shared" si="417"/>
        <v>55</v>
      </c>
      <c r="AA531">
        <f t="shared" si="391"/>
        <v>55.666666666666664</v>
      </c>
      <c r="AB531">
        <f t="shared" si="402"/>
        <v>50.505050505050505</v>
      </c>
      <c r="AC531">
        <f t="shared" si="384"/>
        <v>2811.4478114478115</v>
      </c>
      <c r="AD531">
        <f t="shared" si="403"/>
        <v>80.505050505050505</v>
      </c>
      <c r="AE531">
        <f t="shared" si="404"/>
        <v>224.07239057239056</v>
      </c>
      <c r="AF531" s="94">
        <f t="shared" si="405"/>
        <v>1964.4797979797979</v>
      </c>
      <c r="AG531">
        <f t="shared" si="418"/>
        <v>0.34265885272210483</v>
      </c>
      <c r="AH531">
        <f t="shared" si="406"/>
        <v>105.77938116631165</v>
      </c>
      <c r="AI531">
        <f>HLOOKUP(AW531,'Real assumptions'!$A$21:$AK$24,2,TRUE)</f>
        <v>0</v>
      </c>
      <c r="AJ531" s="123">
        <f t="shared" si="385"/>
        <v>0</v>
      </c>
      <c r="AK531" s="122">
        <f>(1+HLOOKUP(YEAR(A531),'Real assumptions'!$A$21:$AK$24,2,TRUE)/100)^(1/12)-1</f>
        <v>0</v>
      </c>
      <c r="AL531">
        <f t="shared" si="419"/>
        <v>0.96109966320096996</v>
      </c>
      <c r="AM531">
        <f>('Real assumptions'!$B$33/12)*O530*AV530</f>
        <v>0.93177310446290706</v>
      </c>
      <c r="AN531">
        <f t="shared" si="407"/>
        <v>107.17039326814628</v>
      </c>
      <c r="AO531">
        <f t="shared" si="386"/>
        <v>0</v>
      </c>
      <c r="AP531" s="121">
        <f t="shared" si="408"/>
        <v>0</v>
      </c>
      <c r="AQ531">
        <f t="shared" si="409"/>
        <v>0</v>
      </c>
      <c r="AR531">
        <v>0</v>
      </c>
      <c r="AS531">
        <f t="shared" si="392"/>
        <v>0</v>
      </c>
      <c r="AT531">
        <f t="shared" si="410"/>
        <v>0</v>
      </c>
      <c r="AU531">
        <f>IFERROR(HLOOKUP(B531,'Real assumptions'!$B$43:$AL$44,2,TRUE)*($W$3/$U$2),0)</f>
        <v>0</v>
      </c>
      <c r="AV531">
        <f>AV530*(1+'Real assumptions'!$B$35)^(1/12)</f>
        <v>1.7113353803574836</v>
      </c>
      <c r="AW531">
        <f t="shared" si="393"/>
        <v>2062</v>
      </c>
      <c r="AX531">
        <f t="shared" si="420"/>
        <v>107.05280018152155</v>
      </c>
      <c r="AY531">
        <f t="shared" si="421"/>
        <v>0.22939195938791029</v>
      </c>
      <c r="AZ531">
        <f t="shared" si="394"/>
        <v>223.18920666865188</v>
      </c>
      <c r="BA531">
        <f t="shared" si="411"/>
        <v>2.7581652443556184</v>
      </c>
      <c r="BB531">
        <f t="shared" si="412"/>
        <v>55.666666666666664</v>
      </c>
      <c r="BC531">
        <f t="shared" si="395"/>
        <v>33.4</v>
      </c>
      <c r="BD531">
        <f t="shared" si="413"/>
        <v>0</v>
      </c>
      <c r="BE531">
        <f t="shared" si="396"/>
        <v>24</v>
      </c>
      <c r="BF531">
        <f t="shared" si="422"/>
        <v>5000</v>
      </c>
      <c r="BU531"/>
      <c r="DW531" s="89"/>
      <c r="DX531" s="89"/>
      <c r="FD531"/>
      <c r="FE531"/>
    </row>
    <row r="532" spans="1:161" x14ac:dyDescent="0.25">
      <c r="A532" s="7">
        <f t="shared" si="414"/>
        <v>59291</v>
      </c>
      <c r="B532">
        <f t="shared" si="397"/>
        <v>521</v>
      </c>
      <c r="C532">
        <f t="shared" si="378"/>
        <v>43.333333333333336</v>
      </c>
      <c r="D532">
        <f t="shared" si="379"/>
        <v>0</v>
      </c>
      <c r="E532">
        <f t="shared" si="398"/>
        <v>95</v>
      </c>
      <c r="F532">
        <f>IF(C532&gt;=$T$2,0,VLOOKUP($E532,EKM_F05!$A$3:$C$128,2,TRUE))</f>
        <v>0.24319243589743589</v>
      </c>
      <c r="G532">
        <f>F532*'Real assumptions'!$B$3</f>
        <v>0.10148420349999999</v>
      </c>
      <c r="H532">
        <f t="shared" si="380"/>
        <v>8.8779389513407025E-3</v>
      </c>
      <c r="I532">
        <f t="shared" si="381"/>
        <v>4.7727316249675331E-4</v>
      </c>
      <c r="J532">
        <f>IF(B532&gt;$AJ$2,0,HLOOKUP(C532,'Real assumptions'!$B$5:$L$8,4,TRUE))</f>
        <v>3.7900000000000003E-2</v>
      </c>
      <c r="K532">
        <f t="shared" si="387"/>
        <v>1</v>
      </c>
      <c r="L532">
        <f t="shared" si="415"/>
        <v>8.3333333333333329E-2</v>
      </c>
      <c r="M532">
        <f t="shared" si="382"/>
        <v>3.2145624959929453E-3</v>
      </c>
      <c r="N532">
        <f t="shared" si="383"/>
        <v>1.7232298821926448E-4</v>
      </c>
      <c r="O532" s="8">
        <f t="shared" si="399"/>
        <v>5.3196404849188104E-2</v>
      </c>
      <c r="P532">
        <f t="shared" si="400"/>
        <v>1.2923040239976991</v>
      </c>
      <c r="Q532">
        <f t="shared" si="416"/>
        <v>2.3863658124837666</v>
      </c>
      <c r="R532" s="89">
        <f t="shared" si="388"/>
        <v>5000</v>
      </c>
      <c r="S532">
        <f t="shared" si="389"/>
        <v>0.5833333333333357</v>
      </c>
      <c r="U532">
        <f>O531*AV531*'Real assumptions'!$B$33/12+AX532*'Real assumptions'!$B$34</f>
        <v>0.95052546085793388</v>
      </c>
      <c r="V532">
        <f>IF(P532=0,0,IF(E532&lt;=$C$7,$AN$5*O531,0))*'Real assumptions'!$D$28</f>
        <v>0</v>
      </c>
      <c r="X532" s="94">
        <f t="shared" si="401"/>
        <v>0</v>
      </c>
      <c r="Y532">
        <f t="shared" si="390"/>
        <v>24</v>
      </c>
      <c r="Z532">
        <f t="shared" si="417"/>
        <v>55</v>
      </c>
      <c r="AA532">
        <f t="shared" si="391"/>
        <v>55.583333333333336</v>
      </c>
      <c r="AB532">
        <f t="shared" si="402"/>
        <v>50.505050505050505</v>
      </c>
      <c r="AC532">
        <f t="shared" si="384"/>
        <v>2807.2390572390573</v>
      </c>
      <c r="AD532">
        <f t="shared" si="403"/>
        <v>80.505050505050505</v>
      </c>
      <c r="AE532">
        <f t="shared" si="404"/>
        <v>223.73695286195286</v>
      </c>
      <c r="AF532" s="94">
        <f t="shared" si="405"/>
        <v>1969.0239898989898</v>
      </c>
      <c r="AG532">
        <f t="shared" si="418"/>
        <v>0.3393080978148128</v>
      </c>
      <c r="AH532">
        <f t="shared" si="406"/>
        <v>104.74499732443033</v>
      </c>
      <c r="AI532">
        <f>HLOOKUP(AW532,'Real assumptions'!$A$21:$AK$24,2,TRUE)</f>
        <v>0</v>
      </c>
      <c r="AJ532" s="123">
        <f t="shared" si="385"/>
        <v>0</v>
      </c>
      <c r="AK532" s="122">
        <f>(1+HLOOKUP(YEAR(A532),'Real assumptions'!$A$21:$AK$24,2,TRUE)/100)^(1/12)-1</f>
        <v>0</v>
      </c>
      <c r="AL532">
        <f t="shared" si="419"/>
        <v>0.95052546085793388</v>
      </c>
      <c r="AM532">
        <f>('Real assumptions'!$B$33/12)*O531*AV531</f>
        <v>0.92148566601900361</v>
      </c>
      <c r="AN532">
        <f t="shared" si="407"/>
        <v>106.12115972945142</v>
      </c>
      <c r="AO532">
        <f t="shared" si="386"/>
        <v>0</v>
      </c>
      <c r="AP532" s="121">
        <f t="shared" si="408"/>
        <v>0</v>
      </c>
      <c r="AQ532">
        <f t="shared" si="409"/>
        <v>0</v>
      </c>
      <c r="AR532">
        <v>0</v>
      </c>
      <c r="AS532">
        <f t="shared" si="392"/>
        <v>0</v>
      </c>
      <c r="AT532">
        <f t="shared" si="410"/>
        <v>0</v>
      </c>
      <c r="AU532">
        <f>IFERROR(HLOOKUP(B532,'Real assumptions'!$B$43:$AL$44,2,TRUE)*($W$3/$U$2),0)</f>
        <v>0</v>
      </c>
      <c r="AV532">
        <f>AV531*(1+'Real assumptions'!$B$35)^(1/12)</f>
        <v>1.7131078891575011</v>
      </c>
      <c r="AW532">
        <f t="shared" si="393"/>
        <v>2062</v>
      </c>
      <c r="AX532">
        <f t="shared" si="420"/>
        <v>106.00600574964459</v>
      </c>
      <c r="AY532">
        <f t="shared" si="421"/>
        <v>0.22662458333292979</v>
      </c>
      <c r="AZ532">
        <f t="shared" si="394"/>
        <v>220.80531132149306</v>
      </c>
      <c r="BA532">
        <f t="shared" si="411"/>
        <v>2.7256739102985792</v>
      </c>
      <c r="BB532">
        <f t="shared" si="412"/>
        <v>55.583333333333336</v>
      </c>
      <c r="BC532">
        <f t="shared" si="395"/>
        <v>33.35</v>
      </c>
      <c r="BD532">
        <f t="shared" si="413"/>
        <v>0</v>
      </c>
      <c r="BE532">
        <f t="shared" si="396"/>
        <v>24</v>
      </c>
      <c r="BF532">
        <f t="shared" si="422"/>
        <v>5000</v>
      </c>
      <c r="BU532"/>
      <c r="DW532" s="89"/>
      <c r="DX532" s="89"/>
      <c r="FD532"/>
      <c r="FE532"/>
    </row>
    <row r="533" spans="1:161" x14ac:dyDescent="0.25">
      <c r="A533" s="7">
        <f t="shared" si="414"/>
        <v>59322</v>
      </c>
      <c r="B533">
        <f t="shared" si="397"/>
        <v>522</v>
      </c>
      <c r="C533">
        <f t="shared" si="378"/>
        <v>43.416666666666664</v>
      </c>
      <c r="D533">
        <f t="shared" si="379"/>
        <v>0</v>
      </c>
      <c r="E533">
        <f t="shared" si="398"/>
        <v>95</v>
      </c>
      <c r="F533">
        <f>IF(C533&gt;=$T$2,0,VLOOKUP($E533,EKM_F05!$A$3:$C$128,2,TRUE))</f>
        <v>0.24319243589743589</v>
      </c>
      <c r="G533">
        <f>F533*'Real assumptions'!$B$3</f>
        <v>0.10148420349999999</v>
      </c>
      <c r="H533">
        <f t="shared" si="380"/>
        <v>8.8779389513407025E-3</v>
      </c>
      <c r="I533">
        <f t="shared" si="381"/>
        <v>4.7151535683912415E-4</v>
      </c>
      <c r="J533">
        <f>IF(B533&gt;$AJ$2,0,HLOOKUP(C533,'Real assumptions'!$B$5:$L$8,4,TRUE))</f>
        <v>3.7900000000000003E-2</v>
      </c>
      <c r="K533">
        <f t="shared" si="387"/>
        <v>1</v>
      </c>
      <c r="L533">
        <f t="shared" si="415"/>
        <v>8.3333333333333329E-2</v>
      </c>
      <c r="M533">
        <f t="shared" si="382"/>
        <v>3.2145624959929453E-3</v>
      </c>
      <c r="N533">
        <f t="shared" si="383"/>
        <v>1.7024409010708499E-4</v>
      </c>
      <c r="O533" s="8">
        <f t="shared" si="399"/>
        <v>5.255464540224189E-2</v>
      </c>
      <c r="P533">
        <f t="shared" si="400"/>
        <v>1.2767137163805145</v>
      </c>
      <c r="Q533">
        <f t="shared" si="416"/>
        <v>2.3575767841956208</v>
      </c>
      <c r="R533" s="89">
        <f t="shared" si="388"/>
        <v>5000</v>
      </c>
      <c r="S533">
        <f t="shared" si="389"/>
        <v>0.5</v>
      </c>
      <c r="U533">
        <f>O532*AV532*'Real assumptions'!$B$33/12+AX533*'Real assumptions'!$B$34</f>
        <v>0.94006749001357948</v>
      </c>
      <c r="V533">
        <f>IF(P533=0,0,IF(E533&lt;=$C$7,$AN$5*O532,0))*'Real assumptions'!$D$28</f>
        <v>0</v>
      </c>
      <c r="X533" s="94">
        <f t="shared" si="401"/>
        <v>0</v>
      </c>
      <c r="Y533">
        <f t="shared" si="390"/>
        <v>24</v>
      </c>
      <c r="Z533">
        <f t="shared" si="417"/>
        <v>55</v>
      </c>
      <c r="AA533">
        <f t="shared" si="391"/>
        <v>55.5</v>
      </c>
      <c r="AB533">
        <f t="shared" si="402"/>
        <v>50.505050505050505</v>
      </c>
      <c r="AC533">
        <f t="shared" si="384"/>
        <v>2803.030303030303</v>
      </c>
      <c r="AD533">
        <f t="shared" si="403"/>
        <v>80.505050505050505</v>
      </c>
      <c r="AE533">
        <f t="shared" si="404"/>
        <v>223.40151515151516</v>
      </c>
      <c r="AF533" s="94">
        <f t="shared" si="405"/>
        <v>1973.5681818181818</v>
      </c>
      <c r="AG533">
        <f t="shared" si="418"/>
        <v>0.33598831937793044</v>
      </c>
      <c r="AH533">
        <f t="shared" si="406"/>
        <v>103.72017597260179</v>
      </c>
      <c r="AI533">
        <f>HLOOKUP(AW533,'Real assumptions'!$A$21:$AK$24,2,TRUE)</f>
        <v>0</v>
      </c>
      <c r="AJ533" s="123">
        <f t="shared" si="385"/>
        <v>0</v>
      </c>
      <c r="AK533" s="122">
        <f>(1+HLOOKUP(YEAR(A533),'Real assumptions'!$A$21:$AK$24,2,TRUE)/100)^(1/12)-1</f>
        <v>0</v>
      </c>
      <c r="AL533">
        <f t="shared" si="419"/>
        <v>0.94006749001357948</v>
      </c>
      <c r="AM533">
        <f>('Real assumptions'!$B$33/12)*O532*AV532</f>
        <v>0.91131180821960489</v>
      </c>
      <c r="AN533">
        <f t="shared" si="407"/>
        <v>105.08164355079727</v>
      </c>
      <c r="AO533">
        <f t="shared" si="386"/>
        <v>0</v>
      </c>
      <c r="AP533" s="121">
        <f t="shared" si="408"/>
        <v>0</v>
      </c>
      <c r="AQ533">
        <f t="shared" si="409"/>
        <v>0</v>
      </c>
      <c r="AR533">
        <v>0</v>
      </c>
      <c r="AS533">
        <f t="shared" si="392"/>
        <v>0</v>
      </c>
      <c r="AT533">
        <f t="shared" si="410"/>
        <v>0</v>
      </c>
      <c r="AU533">
        <f>IFERROR(HLOOKUP(B533,'Real assumptions'!$B$43:$AL$44,2,TRUE)*($W$3/$U$2),0)</f>
        <v>0</v>
      </c>
      <c r="AV533">
        <f>AV532*(1+'Real assumptions'!$B$35)^(1/12)</f>
        <v>1.7148822338264442</v>
      </c>
      <c r="AW533">
        <f t="shared" si="393"/>
        <v>2062</v>
      </c>
      <c r="AX533">
        <f t="shared" si="420"/>
        <v>104.96888791722995</v>
      </c>
      <c r="AY533">
        <f t="shared" si="421"/>
        <v>0.22389059279961321</v>
      </c>
      <c r="AZ533">
        <f t="shared" si="394"/>
        <v>218.44839244428647</v>
      </c>
      <c r="BA533">
        <f t="shared" si="411"/>
        <v>2.6935651035735511</v>
      </c>
      <c r="BB533">
        <f t="shared" si="412"/>
        <v>55.5</v>
      </c>
      <c r="BC533">
        <f t="shared" si="395"/>
        <v>33.299999999999997</v>
      </c>
      <c r="BD533">
        <f t="shared" si="413"/>
        <v>0</v>
      </c>
      <c r="BE533">
        <f t="shared" si="396"/>
        <v>24</v>
      </c>
      <c r="BF533">
        <f t="shared" si="422"/>
        <v>5000</v>
      </c>
      <c r="BU533"/>
      <c r="DW533" s="89"/>
      <c r="DX533" s="89"/>
      <c r="FD533"/>
      <c r="FE533"/>
    </row>
    <row r="534" spans="1:161" x14ac:dyDescent="0.25">
      <c r="A534" s="7">
        <f t="shared" si="414"/>
        <v>59352</v>
      </c>
      <c r="B534">
        <f t="shared" si="397"/>
        <v>523</v>
      </c>
      <c r="C534">
        <f t="shared" si="378"/>
        <v>43.5</v>
      </c>
      <c r="D534">
        <f t="shared" si="379"/>
        <v>0</v>
      </c>
      <c r="E534">
        <f t="shared" si="398"/>
        <v>95</v>
      </c>
      <c r="F534">
        <f>IF(C534&gt;=$T$2,0,VLOOKUP($E534,EKM_F05!$A$3:$C$128,2,TRUE))</f>
        <v>0.24319243589743589</v>
      </c>
      <c r="G534">
        <f>F534*'Real assumptions'!$B$3</f>
        <v>0.10148420349999999</v>
      </c>
      <c r="H534">
        <f t="shared" si="380"/>
        <v>8.8779389513407025E-3</v>
      </c>
      <c r="I534">
        <f t="shared" si="381"/>
        <v>4.6582701313451489E-4</v>
      </c>
      <c r="J534">
        <f>IF(B534&gt;$AJ$2,0,HLOOKUP(C534,'Real assumptions'!$B$5:$L$8,4,TRUE))</f>
        <v>3.7900000000000003E-2</v>
      </c>
      <c r="K534">
        <f t="shared" si="387"/>
        <v>1</v>
      </c>
      <c r="L534">
        <f t="shared" si="415"/>
        <v>8.3333333333333329E-2</v>
      </c>
      <c r="M534">
        <f t="shared" si="382"/>
        <v>3.2145624959929453E-3</v>
      </c>
      <c r="N534">
        <f t="shared" si="383"/>
        <v>1.6819027174430794E-4</v>
      </c>
      <c r="O534" s="8">
        <f t="shared" si="399"/>
        <v>5.1920628117363067E-2</v>
      </c>
      <c r="P534">
        <f t="shared" si="400"/>
        <v>1.2613114896538054</v>
      </c>
      <c r="Q534">
        <f t="shared" si="416"/>
        <v>2.3291350656725744</v>
      </c>
      <c r="R534" s="89">
        <f t="shared" si="388"/>
        <v>5000</v>
      </c>
      <c r="S534">
        <f t="shared" si="389"/>
        <v>0.4166666666666643</v>
      </c>
      <c r="U534">
        <f>O533*AV533*'Real assumptions'!$B$33/12+AX534*'Real assumptions'!$B$34</f>
        <v>0.92972447443250406</v>
      </c>
      <c r="V534">
        <f>IF(P534=0,0,IF(E534&lt;=$C$7,$AN$5*O533,0))*'Real assumptions'!$D$28</f>
        <v>0</v>
      </c>
      <c r="X534" s="94">
        <f t="shared" si="401"/>
        <v>0</v>
      </c>
      <c r="Y534">
        <f t="shared" si="390"/>
        <v>24</v>
      </c>
      <c r="Z534">
        <f t="shared" si="417"/>
        <v>55</v>
      </c>
      <c r="AA534">
        <f t="shared" si="391"/>
        <v>55.416666666666664</v>
      </c>
      <c r="AB534">
        <f t="shared" si="402"/>
        <v>50.505050505050505</v>
      </c>
      <c r="AC534">
        <f t="shared" si="384"/>
        <v>2798.8215488215487</v>
      </c>
      <c r="AD534">
        <f t="shared" si="403"/>
        <v>80.505050505050505</v>
      </c>
      <c r="AE534">
        <f t="shared" si="404"/>
        <v>223.06607744107743</v>
      </c>
      <c r="AF534" s="94">
        <f t="shared" si="405"/>
        <v>1978.1123737373739</v>
      </c>
      <c r="AG534">
        <f t="shared" si="418"/>
        <v>0.33269925767966696</v>
      </c>
      <c r="AH534">
        <f t="shared" si="406"/>
        <v>102.70483693117249</v>
      </c>
      <c r="AI534">
        <f>HLOOKUP(AW534,'Real assumptions'!$A$21:$AK$24,2,TRUE)</f>
        <v>0</v>
      </c>
      <c r="AJ534" s="123">
        <f t="shared" si="385"/>
        <v>0</v>
      </c>
      <c r="AK534" s="122">
        <f>(1+HLOOKUP(YEAR(A534),'Real assumptions'!$A$21:$AK$24,2,TRUE)/100)^(1/12)-1</f>
        <v>0</v>
      </c>
      <c r="AL534">
        <f t="shared" si="419"/>
        <v>0.92972447443250406</v>
      </c>
      <c r="AM534">
        <f>('Real assumptions'!$B$33/12)*O533*AV533</f>
        <v>0.90125027705353233</v>
      </c>
      <c r="AN534">
        <f t="shared" si="407"/>
        <v>104.0517629878231</v>
      </c>
      <c r="AO534">
        <f t="shared" si="386"/>
        <v>0</v>
      </c>
      <c r="AP534" s="121">
        <f t="shared" si="408"/>
        <v>0</v>
      </c>
      <c r="AQ534">
        <f t="shared" si="409"/>
        <v>0</v>
      </c>
      <c r="AR534">
        <v>0</v>
      </c>
      <c r="AS534">
        <f t="shared" si="392"/>
        <v>0</v>
      </c>
      <c r="AT534">
        <f t="shared" si="410"/>
        <v>0</v>
      </c>
      <c r="AU534">
        <f>IFERROR(HLOOKUP(B534,'Real assumptions'!$B$43:$AL$44,2,TRUE)*($W$3/$U$2),0)</f>
        <v>0</v>
      </c>
      <c r="AV534">
        <f>AV533*(1+'Real assumptions'!$B$35)^(1/12)</f>
        <v>1.716658416265807</v>
      </c>
      <c r="AW534">
        <f t="shared" si="393"/>
        <v>2062</v>
      </c>
      <c r="AX534">
        <f t="shared" si="420"/>
        <v>103.94136555762806</v>
      </c>
      <c r="AY534">
        <f t="shared" si="421"/>
        <v>0.22118958502627056</v>
      </c>
      <c r="AZ534">
        <f t="shared" si="394"/>
        <v>216.1181451361555</v>
      </c>
      <c r="BA534">
        <f t="shared" si="411"/>
        <v>2.6618343233522412</v>
      </c>
      <c r="BB534">
        <f t="shared" si="412"/>
        <v>55.416666666666664</v>
      </c>
      <c r="BC534">
        <f t="shared" si="395"/>
        <v>33.25</v>
      </c>
      <c r="BD534">
        <f t="shared" si="413"/>
        <v>0</v>
      </c>
      <c r="BE534">
        <f t="shared" si="396"/>
        <v>24</v>
      </c>
      <c r="BF534">
        <f t="shared" si="422"/>
        <v>5000</v>
      </c>
      <c r="BU534"/>
      <c r="DW534" s="89"/>
      <c r="DX534" s="89"/>
      <c r="FD534"/>
      <c r="FE534"/>
    </row>
    <row r="535" spans="1:161" x14ac:dyDescent="0.25">
      <c r="A535" s="7">
        <f t="shared" si="414"/>
        <v>59383</v>
      </c>
      <c r="B535">
        <f t="shared" si="397"/>
        <v>524</v>
      </c>
      <c r="C535">
        <f t="shared" si="378"/>
        <v>43.583333333333336</v>
      </c>
      <c r="D535">
        <f t="shared" si="379"/>
        <v>0</v>
      </c>
      <c r="E535">
        <f t="shared" si="398"/>
        <v>95</v>
      </c>
      <c r="F535">
        <f>IF(C535&gt;=$T$2,0,VLOOKUP($E535,EKM_F05!$A$3:$C$128,2,TRUE))</f>
        <v>0.24319243589743589</v>
      </c>
      <c r="G535">
        <f>F535*'Real assumptions'!$B$3</f>
        <v>0.10148420349999999</v>
      </c>
      <c r="H535">
        <f t="shared" si="380"/>
        <v>8.8779389513407025E-3</v>
      </c>
      <c r="I535">
        <f t="shared" si="381"/>
        <v>4.6020729339651137E-4</v>
      </c>
      <c r="J535">
        <f>IF(B535&gt;$AJ$2,0,HLOOKUP(C535,'Real assumptions'!$B$5:$L$8,4,TRUE))</f>
        <v>3.7900000000000003E-2</v>
      </c>
      <c r="K535">
        <f t="shared" si="387"/>
        <v>1</v>
      </c>
      <c r="L535">
        <f t="shared" si="415"/>
        <v>8.3333333333333329E-2</v>
      </c>
      <c r="M535">
        <f t="shared" si="382"/>
        <v>3.2145624959929453E-3</v>
      </c>
      <c r="N535">
        <f t="shared" si="383"/>
        <v>1.6616123056977062E-4</v>
      </c>
      <c r="O535" s="8">
        <f t="shared" si="399"/>
        <v>5.1294259593396785E-2</v>
      </c>
      <c r="P535">
        <f t="shared" si="400"/>
        <v>1.2460950748167137</v>
      </c>
      <c r="Q535">
        <f t="shared" si="416"/>
        <v>2.3010364669825569</v>
      </c>
      <c r="R535" s="89">
        <f t="shared" si="388"/>
        <v>5000</v>
      </c>
      <c r="S535">
        <f t="shared" si="389"/>
        <v>0.3333333333333357</v>
      </c>
      <c r="U535">
        <f>O534*AV534*'Real assumptions'!$B$33/12+AX535*'Real assumptions'!$B$34</f>
        <v>0.91949515187490205</v>
      </c>
      <c r="V535">
        <f>IF(P535=0,0,IF(E535&lt;=$C$7,$AN$5*O534,0))*'Real assumptions'!$D$28</f>
        <v>0</v>
      </c>
      <c r="X535" s="94">
        <f t="shared" si="401"/>
        <v>0</v>
      </c>
      <c r="Y535">
        <f t="shared" si="390"/>
        <v>24</v>
      </c>
      <c r="Z535">
        <f t="shared" si="417"/>
        <v>55</v>
      </c>
      <c r="AA535">
        <f t="shared" si="391"/>
        <v>55.333333333333336</v>
      </c>
      <c r="AB535">
        <f t="shared" si="402"/>
        <v>50.505050505050505</v>
      </c>
      <c r="AC535">
        <f t="shared" si="384"/>
        <v>2794.6127946127949</v>
      </c>
      <c r="AD535">
        <f t="shared" si="403"/>
        <v>80.505050505050505</v>
      </c>
      <c r="AE535">
        <f t="shared" si="404"/>
        <v>222.73063973063972</v>
      </c>
      <c r="AF535" s="94">
        <f t="shared" si="405"/>
        <v>1982.6565656565654</v>
      </c>
      <c r="AG535">
        <f t="shared" si="418"/>
        <v>0.32944065474673012</v>
      </c>
      <c r="AH535">
        <f t="shared" si="406"/>
        <v>101.6989005633404</v>
      </c>
      <c r="AI535">
        <f>HLOOKUP(AW535,'Real assumptions'!$A$21:$AK$24,2,TRUE)</f>
        <v>0</v>
      </c>
      <c r="AJ535" s="123">
        <f t="shared" si="385"/>
        <v>0</v>
      </c>
      <c r="AK535" s="122">
        <f>(1+HLOOKUP(YEAR(A535),'Real assumptions'!$A$21:$AK$24,2,TRUE)/100)^(1/12)-1</f>
        <v>0</v>
      </c>
      <c r="AL535">
        <f t="shared" si="419"/>
        <v>0.91949515187490205</v>
      </c>
      <c r="AM535">
        <f>('Real assumptions'!$B$33/12)*O534*AV534</f>
        <v>0.89129983235478405</v>
      </c>
      <c r="AN535">
        <f t="shared" si="407"/>
        <v>103.0314368541143</v>
      </c>
      <c r="AO535">
        <f t="shared" si="386"/>
        <v>0</v>
      </c>
      <c r="AP535" s="121">
        <f t="shared" si="408"/>
        <v>0</v>
      </c>
      <c r="AQ535">
        <f t="shared" si="409"/>
        <v>0</v>
      </c>
      <c r="AR535">
        <v>0</v>
      </c>
      <c r="AS535">
        <f t="shared" si="392"/>
        <v>0</v>
      </c>
      <c r="AT535">
        <f t="shared" si="410"/>
        <v>0</v>
      </c>
      <c r="AU535">
        <f>IFERROR(HLOOKUP(B535,'Real assumptions'!$B$43:$AL$44,2,TRUE)*($W$3/$U$2),0)</f>
        <v>0</v>
      </c>
      <c r="AV535">
        <f>AV534*(1+'Real assumptions'!$B$35)^(1/12)</f>
        <v>1.7184364383790527</v>
      </c>
      <c r="AW535">
        <f t="shared" si="393"/>
        <v>2062</v>
      </c>
      <c r="AX535">
        <f t="shared" si="420"/>
        <v>102.9233580932826</v>
      </c>
      <c r="AY535">
        <f t="shared" si="421"/>
        <v>0.21852116211011391</v>
      </c>
      <c r="AZ535">
        <f t="shared" si="394"/>
        <v>213.81426793736802</v>
      </c>
      <c r="BA535">
        <f t="shared" si="411"/>
        <v>2.630477121729287</v>
      </c>
      <c r="BB535">
        <f t="shared" si="412"/>
        <v>55.333333333333336</v>
      </c>
      <c r="BC535">
        <f t="shared" si="395"/>
        <v>33.200000000000003</v>
      </c>
      <c r="BD535">
        <f t="shared" si="413"/>
        <v>0</v>
      </c>
      <c r="BE535">
        <f t="shared" si="396"/>
        <v>24</v>
      </c>
      <c r="BF535">
        <f t="shared" si="422"/>
        <v>5000</v>
      </c>
      <c r="BU535"/>
      <c r="DW535" s="89"/>
      <c r="DX535" s="89"/>
      <c r="FD535"/>
      <c r="FE535"/>
    </row>
    <row r="536" spans="1:161" x14ac:dyDescent="0.25">
      <c r="A536" s="7">
        <f t="shared" si="414"/>
        <v>59414</v>
      </c>
      <c r="B536">
        <f t="shared" si="397"/>
        <v>525</v>
      </c>
      <c r="C536">
        <f t="shared" si="378"/>
        <v>43.666666666666664</v>
      </c>
      <c r="D536">
        <f t="shared" si="379"/>
        <v>0</v>
      </c>
      <c r="E536">
        <f t="shared" si="398"/>
        <v>95</v>
      </c>
      <c r="F536">
        <f>IF(C536&gt;=$T$2,0,VLOOKUP($E536,EKM_F05!$A$3:$C$128,2,TRUE))</f>
        <v>0.24319243589743589</v>
      </c>
      <c r="G536">
        <f>F536*'Real assumptions'!$B$3</f>
        <v>0.10148420349999999</v>
      </c>
      <c r="H536">
        <f t="shared" si="380"/>
        <v>8.8779389513407025E-3</v>
      </c>
      <c r="I536">
        <f t="shared" si="381"/>
        <v>4.5465536974813602E-4</v>
      </c>
      <c r="J536">
        <f>IF(B536&gt;$AJ$2,0,HLOOKUP(C536,'Real assumptions'!$B$5:$L$8,4,TRUE))</f>
        <v>3.7900000000000003E-2</v>
      </c>
      <c r="K536">
        <f t="shared" si="387"/>
        <v>1</v>
      </c>
      <c r="L536">
        <f t="shared" si="415"/>
        <v>8.3333333333333329E-2</v>
      </c>
      <c r="M536">
        <f t="shared" si="382"/>
        <v>3.2145624959929453E-3</v>
      </c>
      <c r="N536">
        <f t="shared" si="383"/>
        <v>1.6415666767239683E-4</v>
      </c>
      <c r="O536" s="8">
        <f t="shared" si="399"/>
        <v>5.0675447555976257E-2</v>
      </c>
      <c r="P536">
        <f t="shared" si="400"/>
        <v>1.2310622302415228</v>
      </c>
      <c r="Q536">
        <f t="shared" si="416"/>
        <v>2.27327684874068</v>
      </c>
      <c r="R536" s="89">
        <f t="shared" si="388"/>
        <v>5000</v>
      </c>
      <c r="S536">
        <f t="shared" si="389"/>
        <v>0.25</v>
      </c>
      <c r="U536">
        <f>O535*AV535*'Real assumptions'!$B$33/12+AX536*'Real assumptions'!$B$34</f>
        <v>0.90937827394331006</v>
      </c>
      <c r="V536">
        <f>IF(P536=0,0,IF(E536&lt;=$C$7,$AN$5*O535,0))*'Real assumptions'!$D$28</f>
        <v>0</v>
      </c>
      <c r="X536" s="94">
        <f t="shared" si="401"/>
        <v>0</v>
      </c>
      <c r="Y536">
        <f t="shared" si="390"/>
        <v>24</v>
      </c>
      <c r="Z536">
        <f t="shared" si="417"/>
        <v>55</v>
      </c>
      <c r="AA536">
        <f t="shared" si="391"/>
        <v>55.25</v>
      </c>
      <c r="AB536">
        <f t="shared" si="402"/>
        <v>50.505050505050505</v>
      </c>
      <c r="AC536">
        <f t="shared" si="384"/>
        <v>2790.4040404040402</v>
      </c>
      <c r="AD536">
        <f t="shared" si="403"/>
        <v>80.505050505050505</v>
      </c>
      <c r="AE536">
        <f t="shared" si="404"/>
        <v>222.39520202020202</v>
      </c>
      <c r="AF536" s="94">
        <f t="shared" si="405"/>
        <v>1987.2007575757577</v>
      </c>
      <c r="AG536">
        <f t="shared" si="418"/>
        <v>0.32621225435969886</v>
      </c>
      <c r="AH536">
        <f t="shared" si="406"/>
        <v>100.7022877737266</v>
      </c>
      <c r="AI536">
        <f>HLOOKUP(AW536,'Real assumptions'!$A$21:$AK$24,2,TRUE)</f>
        <v>0</v>
      </c>
      <c r="AJ536" s="123">
        <f t="shared" si="385"/>
        <v>0</v>
      </c>
      <c r="AK536" s="122">
        <f>(1+HLOOKUP(YEAR(A536),'Real assumptions'!$A$21:$AK$24,2,TRUE)/100)^(1/12)-1</f>
        <v>0</v>
      </c>
      <c r="AL536">
        <f t="shared" si="419"/>
        <v>0.90937827394331006</v>
      </c>
      <c r="AM536">
        <f>('Real assumptions'!$B$33/12)*O535*AV535</f>
        <v>0.88145924764967332</v>
      </c>
      <c r="AN536">
        <f t="shared" si="407"/>
        <v>102.02058451963862</v>
      </c>
      <c r="AO536">
        <f t="shared" si="386"/>
        <v>0</v>
      </c>
      <c r="AP536" s="121">
        <f t="shared" si="408"/>
        <v>0</v>
      </c>
      <c r="AQ536">
        <f t="shared" si="409"/>
        <v>0</v>
      </c>
      <c r="AR536">
        <v>0</v>
      </c>
      <c r="AS536">
        <f t="shared" si="392"/>
        <v>0</v>
      </c>
      <c r="AT536">
        <f t="shared" si="410"/>
        <v>0</v>
      </c>
      <c r="AU536">
        <f>IFERROR(HLOOKUP(B536,'Real assumptions'!$B$43:$AL$44,2,TRUE)*($W$3/$U$2),0)</f>
        <v>0</v>
      </c>
      <c r="AV536">
        <f>AV535*(1+'Real assumptions'!$B$35)^(1/12)</f>
        <v>1.7202163020716161</v>
      </c>
      <c r="AW536">
        <f t="shared" si="393"/>
        <v>2062</v>
      </c>
      <c r="AX536">
        <f t="shared" si="420"/>
        <v>101.91478549428903</v>
      </c>
      <c r="AY536">
        <f t="shared" si="421"/>
        <v>0.21588493094863964</v>
      </c>
      <c r="AZ536">
        <f t="shared" si="394"/>
        <v>211.53646279056585</v>
      </c>
      <c r="BA536">
        <f t="shared" si="411"/>
        <v>2.5994891031003791</v>
      </c>
      <c r="BB536">
        <f t="shared" si="412"/>
        <v>55.25</v>
      </c>
      <c r="BC536">
        <f t="shared" si="395"/>
        <v>33.15</v>
      </c>
      <c r="BD536">
        <f t="shared" si="413"/>
        <v>0</v>
      </c>
      <c r="BE536">
        <f t="shared" si="396"/>
        <v>24</v>
      </c>
      <c r="BF536">
        <f t="shared" si="422"/>
        <v>5000</v>
      </c>
      <c r="BU536"/>
      <c r="DW536" s="89"/>
      <c r="DX536" s="89"/>
      <c r="FD536"/>
      <c r="FE536"/>
    </row>
    <row r="537" spans="1:161" x14ac:dyDescent="0.25">
      <c r="A537" s="7">
        <f t="shared" si="414"/>
        <v>59444</v>
      </c>
      <c r="B537">
        <f t="shared" si="397"/>
        <v>526</v>
      </c>
      <c r="C537">
        <f t="shared" si="378"/>
        <v>43.75</v>
      </c>
      <c r="D537">
        <f t="shared" si="379"/>
        <v>0</v>
      </c>
      <c r="E537">
        <f t="shared" si="398"/>
        <v>95</v>
      </c>
      <c r="F537">
        <f>IF(C537&gt;=$T$2,0,VLOOKUP($E537,EKM_F05!$A$3:$C$128,2,TRUE))</f>
        <v>0.24319243589743589</v>
      </c>
      <c r="G537">
        <f>F537*'Real assumptions'!$B$3</f>
        <v>0.10148420349999999</v>
      </c>
      <c r="H537">
        <f t="shared" si="380"/>
        <v>8.8779389513407025E-3</v>
      </c>
      <c r="I537">
        <f t="shared" si="381"/>
        <v>4.491704242998885E-4</v>
      </c>
      <c r="J537">
        <f>IF(B537&gt;$AJ$2,0,HLOOKUP(C537,'Real assumptions'!$B$5:$L$8,4,TRUE))</f>
        <v>3.7900000000000003E-2</v>
      </c>
      <c r="K537">
        <f t="shared" si="387"/>
        <v>1</v>
      </c>
      <c r="L537">
        <f t="shared" si="415"/>
        <v>8.3333333333333329E-2</v>
      </c>
      <c r="M537">
        <f t="shared" si="382"/>
        <v>3.2145624959929453E-3</v>
      </c>
      <c r="N537">
        <f t="shared" si="383"/>
        <v>1.6217628774716251E-4</v>
      </c>
      <c r="O537" s="8">
        <f t="shared" si="399"/>
        <v>5.0064100843929212E-2</v>
      </c>
      <c r="P537">
        <f t="shared" si="400"/>
        <v>1.2162107413434302</v>
      </c>
      <c r="Q537">
        <f t="shared" si="416"/>
        <v>2.2458521214994427</v>
      </c>
      <c r="R537" s="89">
        <f t="shared" si="388"/>
        <v>5000</v>
      </c>
      <c r="S537">
        <f t="shared" si="389"/>
        <v>0.1666666666666643</v>
      </c>
      <c r="U537">
        <f>O536*AV536*'Real assumptions'!$B$33/12+AX537*'Real assumptions'!$B$34</f>
        <v>0.89937260593102664</v>
      </c>
      <c r="V537">
        <f>IF(P537=0,0,IF(E537&lt;=$C$7,$AN$5*O536,0))*'Real assumptions'!$D$28</f>
        <v>0</v>
      </c>
      <c r="X537" s="94">
        <f t="shared" si="401"/>
        <v>0</v>
      </c>
      <c r="Y537">
        <f t="shared" si="390"/>
        <v>24</v>
      </c>
      <c r="Z537">
        <f t="shared" si="417"/>
        <v>55</v>
      </c>
      <c r="AA537">
        <f t="shared" si="391"/>
        <v>55.166666666666664</v>
      </c>
      <c r="AB537">
        <f t="shared" si="402"/>
        <v>50.505050505050505</v>
      </c>
      <c r="AC537">
        <f t="shared" si="384"/>
        <v>2786.1952861952859</v>
      </c>
      <c r="AD537">
        <f t="shared" si="403"/>
        <v>80.505050505050505</v>
      </c>
      <c r="AE537">
        <f t="shared" si="404"/>
        <v>222.05976430976429</v>
      </c>
      <c r="AF537" s="94">
        <f t="shared" si="405"/>
        <v>1991.7449494949499</v>
      </c>
      <c r="AG537">
        <f t="shared" si="418"/>
        <v>0.32301380204825064</v>
      </c>
      <c r="AH537">
        <f t="shared" si="406"/>
        <v>99.714920006901863</v>
      </c>
      <c r="AI537">
        <f>HLOOKUP(AW537,'Real assumptions'!$A$21:$AK$24,2,TRUE)</f>
        <v>0</v>
      </c>
      <c r="AJ537" s="123">
        <f t="shared" si="385"/>
        <v>0</v>
      </c>
      <c r="AK537" s="122">
        <f>(1+HLOOKUP(YEAR(A537),'Real assumptions'!$A$21:$AK$24,2,TRUE)/100)^(1/12)-1</f>
        <v>0</v>
      </c>
      <c r="AL537">
        <f t="shared" si="419"/>
        <v>0.89937260593102664</v>
      </c>
      <c r="AM537">
        <f>('Real assumptions'!$B$33/12)*O536*AV536</f>
        <v>0.87172731000565595</v>
      </c>
      <c r="AN537">
        <f t="shared" si="407"/>
        <v>101.01912590913901</v>
      </c>
      <c r="AO537">
        <f t="shared" si="386"/>
        <v>0</v>
      </c>
      <c r="AP537" s="121">
        <f t="shared" si="408"/>
        <v>0</v>
      </c>
      <c r="AQ537">
        <f t="shared" si="409"/>
        <v>0</v>
      </c>
      <c r="AR537">
        <v>0</v>
      </c>
      <c r="AS537">
        <f t="shared" si="392"/>
        <v>0</v>
      </c>
      <c r="AT537">
        <f t="shared" si="410"/>
        <v>0</v>
      </c>
      <c r="AU537">
        <f>IFERROR(HLOOKUP(B537,'Real assumptions'!$B$43:$AL$44,2,TRUE)*($W$3/$U$2),0)</f>
        <v>0</v>
      </c>
      <c r="AV537">
        <f>AV536*(1+'Real assumptions'!$B$35)^(1/12)</f>
        <v>1.721998009250906</v>
      </c>
      <c r="AW537">
        <f t="shared" si="393"/>
        <v>2062</v>
      </c>
      <c r="AX537">
        <f t="shared" si="420"/>
        <v>100.91556827690832</v>
      </c>
      <c r="AY537">
        <f t="shared" si="421"/>
        <v>0.21328050318171823</v>
      </c>
      <c r="AZ537">
        <f t="shared" si="394"/>
        <v>209.28443500243054</v>
      </c>
      <c r="BA537">
        <f t="shared" si="411"/>
        <v>2.5688659235476932</v>
      </c>
      <c r="BB537">
        <f t="shared" si="412"/>
        <v>55.166666666666664</v>
      </c>
      <c r="BC537">
        <f t="shared" si="395"/>
        <v>33.099999999999994</v>
      </c>
      <c r="BD537">
        <f t="shared" si="413"/>
        <v>0</v>
      </c>
      <c r="BE537">
        <f t="shared" si="396"/>
        <v>24</v>
      </c>
      <c r="BF537">
        <f t="shared" si="422"/>
        <v>5000</v>
      </c>
      <c r="BU537"/>
      <c r="DW537" s="89"/>
      <c r="DX537" s="89"/>
      <c r="FD537"/>
      <c r="FE537"/>
    </row>
    <row r="538" spans="1:161" x14ac:dyDescent="0.25">
      <c r="A538" s="7">
        <f t="shared" si="414"/>
        <v>59475</v>
      </c>
      <c r="B538">
        <f t="shared" si="397"/>
        <v>527</v>
      </c>
      <c r="C538">
        <f t="shared" si="378"/>
        <v>43.833333333333336</v>
      </c>
      <c r="D538">
        <f t="shared" si="379"/>
        <v>0</v>
      </c>
      <c r="E538">
        <f t="shared" si="398"/>
        <v>95</v>
      </c>
      <c r="F538">
        <f>IF(C538&gt;=$T$2,0,VLOOKUP($E538,EKM_F05!$A$3:$C$128,2,TRUE))</f>
        <v>0.24319243589743589</v>
      </c>
      <c r="G538">
        <f>F538*'Real assumptions'!$B$3</f>
        <v>0.10148420349999999</v>
      </c>
      <c r="H538">
        <f t="shared" si="380"/>
        <v>8.8779389513407025E-3</v>
      </c>
      <c r="I538">
        <f t="shared" si="381"/>
        <v>4.4375164902925687E-4</v>
      </c>
      <c r="J538">
        <f>IF(B538&gt;$AJ$2,0,HLOOKUP(C538,'Real assumptions'!$B$5:$L$8,4,TRUE))</f>
        <v>3.7900000000000003E-2</v>
      </c>
      <c r="K538">
        <f t="shared" si="387"/>
        <v>1</v>
      </c>
      <c r="L538">
        <f t="shared" si="415"/>
        <v>8.3333333333333329E-2</v>
      </c>
      <c r="M538">
        <f t="shared" si="382"/>
        <v>3.2145624959929453E-3</v>
      </c>
      <c r="N538">
        <f t="shared" si="383"/>
        <v>1.6021979905159241E-4</v>
      </c>
      <c r="O538" s="8">
        <f t="shared" si="399"/>
        <v>4.946012939584836E-2</v>
      </c>
      <c r="P538">
        <f t="shared" si="400"/>
        <v>1.2015384202543011</v>
      </c>
      <c r="Q538">
        <f t="shared" si="416"/>
        <v>2.2187582451462844</v>
      </c>
      <c r="R538" s="89">
        <f t="shared" si="388"/>
        <v>5000</v>
      </c>
      <c r="S538">
        <f t="shared" si="389"/>
        <v>8.3333333333335702E-2</v>
      </c>
      <c r="U538">
        <f>O537*AV537*'Real assumptions'!$B$33/12+AX538*'Real assumptions'!$B$34</f>
        <v>0.88947692667218903</v>
      </c>
      <c r="V538">
        <f>IF(P538=0,0,IF(E538&lt;=$C$7,$AN$5*O537,0))*'Real assumptions'!$D$28</f>
        <v>0</v>
      </c>
      <c r="X538" s="94">
        <f t="shared" si="401"/>
        <v>0</v>
      </c>
      <c r="Y538">
        <f t="shared" si="390"/>
        <v>24</v>
      </c>
      <c r="Z538">
        <f t="shared" si="417"/>
        <v>55</v>
      </c>
      <c r="AA538">
        <f t="shared" si="391"/>
        <v>55.083333333333336</v>
      </c>
      <c r="AB538">
        <f t="shared" si="402"/>
        <v>50.505050505050505</v>
      </c>
      <c r="AC538">
        <f t="shared" si="384"/>
        <v>2781.9865319865321</v>
      </c>
      <c r="AD538">
        <f t="shared" si="403"/>
        <v>80.505050505050505</v>
      </c>
      <c r="AE538">
        <f t="shared" si="404"/>
        <v>221.72432659932659</v>
      </c>
      <c r="AF538" s="94">
        <f t="shared" si="405"/>
        <v>1996.2891414141413</v>
      </c>
      <c r="AG538">
        <f t="shared" si="418"/>
        <v>0.31984504508624967</v>
      </c>
      <c r="AH538">
        <f t="shared" si="406"/>
        <v>98.736719245870461</v>
      </c>
      <c r="AI538">
        <f>HLOOKUP(AW538,'Real assumptions'!$A$21:$AK$24,2,TRUE)</f>
        <v>0</v>
      </c>
      <c r="AJ538" s="123">
        <f t="shared" si="385"/>
        <v>0</v>
      </c>
      <c r="AK538" s="122">
        <f>(1+HLOOKUP(YEAR(A538),'Real assumptions'!$A$21:$AK$24,2,TRUE)/100)^(1/12)-1</f>
        <v>0</v>
      </c>
      <c r="AL538">
        <f t="shared" si="419"/>
        <v>0.88947692667218903</v>
      </c>
      <c r="AM538">
        <f>('Real assumptions'!$B$33/12)*O537*AV537</f>
        <v>0.86210281988182713</v>
      </c>
      <c r="AN538">
        <f t="shared" si="407"/>
        <v>100.02698150048397</v>
      </c>
      <c r="AO538">
        <f t="shared" si="386"/>
        <v>0</v>
      </c>
      <c r="AP538" s="121">
        <f t="shared" si="408"/>
        <v>0</v>
      </c>
      <c r="AQ538">
        <f t="shared" si="409"/>
        <v>0</v>
      </c>
      <c r="AR538">
        <v>0</v>
      </c>
      <c r="AS538">
        <f t="shared" si="392"/>
        <v>0</v>
      </c>
      <c r="AT538">
        <f t="shared" si="410"/>
        <v>0</v>
      </c>
      <c r="AU538">
        <f>IFERROR(HLOOKUP(B538,'Real assumptions'!$B$43:$AL$44,2,TRUE)*($W$3/$U$2),0)</f>
        <v>0</v>
      </c>
      <c r="AV538">
        <f>AV537*(1+'Real assumptions'!$B$35)^(1/12)</f>
        <v>1.7237815618263062</v>
      </c>
      <c r="AW538">
        <f t="shared" si="393"/>
        <v>2062</v>
      </c>
      <c r="AX538">
        <f t="shared" si="420"/>
        <v>99.925627502036249</v>
      </c>
      <c r="AY538">
        <f t="shared" si="421"/>
        <v>0.21070749513438219</v>
      </c>
      <c r="AZ538">
        <f t="shared" si="394"/>
        <v>207.05789320578012</v>
      </c>
      <c r="BA538">
        <f t="shared" si="411"/>
        <v>2.5386032902325342</v>
      </c>
      <c r="BB538">
        <f t="shared" si="412"/>
        <v>55.083333333333336</v>
      </c>
      <c r="BC538">
        <f t="shared" si="395"/>
        <v>33.049999999999997</v>
      </c>
      <c r="BD538">
        <f t="shared" si="413"/>
        <v>0</v>
      </c>
      <c r="BE538">
        <f t="shared" si="396"/>
        <v>24</v>
      </c>
      <c r="BF538">
        <f t="shared" si="422"/>
        <v>5000</v>
      </c>
      <c r="BU538"/>
      <c r="DW538" s="89"/>
      <c r="DX538" s="89"/>
      <c r="FD538"/>
      <c r="FE538"/>
    </row>
    <row r="539" spans="1:161" x14ac:dyDescent="0.25">
      <c r="A539" s="7">
        <f t="shared" si="414"/>
        <v>59505</v>
      </c>
      <c r="B539">
        <f t="shared" si="397"/>
        <v>528</v>
      </c>
      <c r="C539">
        <f t="shared" si="378"/>
        <v>43.916666666666664</v>
      </c>
      <c r="D539">
        <f t="shared" si="379"/>
        <v>0</v>
      </c>
      <c r="E539">
        <f t="shared" si="398"/>
        <v>95</v>
      </c>
      <c r="F539">
        <f>IF(C539&gt;=$T$2,0,VLOOKUP($E539,EKM_F05!$A$3:$C$128,2,TRUE))</f>
        <v>0.24319243589743589</v>
      </c>
      <c r="G539">
        <f>F539*'Real assumptions'!$B$3</f>
        <v>0.10148420349999999</v>
      </c>
      <c r="H539">
        <f t="shared" si="380"/>
        <v>8.8779389513407025E-3</v>
      </c>
      <c r="I539">
        <f t="shared" si="381"/>
        <v>4.3839824566168267E-4</v>
      </c>
      <c r="J539">
        <f>IF(B539&gt;$AJ$2,0,HLOOKUP(C539,'Real assumptions'!$B$5:$L$8,4,TRUE))</f>
        <v>3.7900000000000003E-2</v>
      </c>
      <c r="K539">
        <f t="shared" si="387"/>
        <v>1</v>
      </c>
      <c r="L539">
        <f t="shared" si="415"/>
        <v>8.3333333333333329E-2</v>
      </c>
      <c r="M539">
        <f t="shared" si="382"/>
        <v>3.2145624959929453E-3</v>
      </c>
      <c r="N539">
        <f t="shared" si="383"/>
        <v>1.5828691336278156E-4</v>
      </c>
      <c r="O539" s="8">
        <f t="shared" si="399"/>
        <v>4.8863444236823893E-2</v>
      </c>
      <c r="P539">
        <f t="shared" si="400"/>
        <v>1.1870431055003605</v>
      </c>
      <c r="Q539">
        <f t="shared" si="416"/>
        <v>2.1919912283084133</v>
      </c>
      <c r="R539" s="89">
        <f t="shared" si="388"/>
        <v>5000</v>
      </c>
      <c r="S539">
        <f t="shared" si="389"/>
        <v>1</v>
      </c>
      <c r="U539">
        <f>O538*AV538*'Real assumptions'!$B$33/12+AX539*'Real assumptions'!$B$34</f>
        <v>0.87969002839348887</v>
      </c>
      <c r="V539">
        <f>IF(P539=0,0,IF(E539&lt;=$C$7,$AN$5*O538,0))*'Real assumptions'!$D$28</f>
        <v>0</v>
      </c>
      <c r="X539" s="94">
        <f t="shared" si="401"/>
        <v>0</v>
      </c>
      <c r="Y539">
        <f t="shared" si="390"/>
        <v>24</v>
      </c>
      <c r="Z539">
        <f t="shared" si="417"/>
        <v>55</v>
      </c>
      <c r="AA539">
        <f t="shared" si="391"/>
        <v>55</v>
      </c>
      <c r="AB539">
        <f t="shared" si="402"/>
        <v>50.505050505050505</v>
      </c>
      <c r="AC539">
        <f t="shared" si="384"/>
        <v>2777.7777777777778</v>
      </c>
      <c r="AD539">
        <f t="shared" si="403"/>
        <v>80.505050505050505</v>
      </c>
      <c r="AE539">
        <f t="shared" si="404"/>
        <v>221.38888888888889</v>
      </c>
      <c r="AF539" s="94">
        <f t="shared" si="405"/>
        <v>2000.8333333333333</v>
      </c>
      <c r="AG539">
        <f t="shared" si="418"/>
        <v>0.31670573248669875</v>
      </c>
      <c r="AH539">
        <f t="shared" si="406"/>
        <v>97.767608010511807</v>
      </c>
      <c r="AI539">
        <f>HLOOKUP(AW539,'Real assumptions'!$A$21:$AK$24,2,TRUE)</f>
        <v>0</v>
      </c>
      <c r="AJ539" s="123">
        <f t="shared" si="385"/>
        <v>0</v>
      </c>
      <c r="AK539" s="122">
        <f>(1+HLOOKUP(YEAR(A539),'Real assumptions'!$A$21:$AK$24,2,TRUE)/100)^(1/12)-1</f>
        <v>0</v>
      </c>
      <c r="AL539">
        <f t="shared" si="419"/>
        <v>0.87969002839348887</v>
      </c>
      <c r="AM539">
        <f>('Real assumptions'!$B$33/12)*O538*AV538</f>
        <v>0.85258459098106687</v>
      </c>
      <c r="AN539">
        <f t="shared" si="407"/>
        <v>99.044072322977343</v>
      </c>
      <c r="AO539">
        <f t="shared" si="386"/>
        <v>0</v>
      </c>
      <c r="AP539" s="121">
        <f t="shared" si="408"/>
        <v>0</v>
      </c>
      <c r="AQ539">
        <f t="shared" si="409"/>
        <v>0</v>
      </c>
      <c r="AR539">
        <v>0</v>
      </c>
      <c r="AS539">
        <f t="shared" si="392"/>
        <v>0</v>
      </c>
      <c r="AT539">
        <f t="shared" si="410"/>
        <v>0</v>
      </c>
      <c r="AU539">
        <f>IFERROR(HLOOKUP(B539,'Real assumptions'!$B$43:$AL$44,2,TRUE)*($W$3/$U$2),0)</f>
        <v>0</v>
      </c>
      <c r="AV539">
        <f>AV538*(1+'Real assumptions'!$B$35)^(1/12)</f>
        <v>1.7255669617091782</v>
      </c>
      <c r="AW539">
        <f t="shared" si="393"/>
        <v>2062</v>
      </c>
      <c r="AX539">
        <f t="shared" si="420"/>
        <v>98.944884773630761</v>
      </c>
      <c r="AY539">
        <f t="shared" si="421"/>
        <v>0.20816552776030453</v>
      </c>
      <c r="AZ539">
        <f t="shared" si="394"/>
        <v>204.85654932209187</v>
      </c>
      <c r="BA539">
        <f t="shared" si="411"/>
        <v>2.508696960795112</v>
      </c>
      <c r="BB539">
        <f t="shared" si="412"/>
        <v>55</v>
      </c>
      <c r="BC539">
        <f t="shared" si="395"/>
        <v>33</v>
      </c>
      <c r="BD539">
        <f t="shared" si="413"/>
        <v>0</v>
      </c>
      <c r="BE539">
        <f t="shared" si="396"/>
        <v>24</v>
      </c>
      <c r="BF539">
        <f t="shared" si="422"/>
        <v>5000</v>
      </c>
      <c r="BU539"/>
      <c r="DW539" s="89"/>
      <c r="DX539" s="89"/>
      <c r="FD539"/>
      <c r="FE539"/>
    </row>
    <row r="540" spans="1:161" x14ac:dyDescent="0.25">
      <c r="A540" s="7">
        <f t="shared" si="414"/>
        <v>59536</v>
      </c>
      <c r="B540">
        <f t="shared" si="397"/>
        <v>529</v>
      </c>
      <c r="C540">
        <f t="shared" si="378"/>
        <v>44</v>
      </c>
      <c r="D540">
        <f t="shared" si="379"/>
        <v>1</v>
      </c>
      <c r="E540">
        <f t="shared" si="398"/>
        <v>96</v>
      </c>
      <c r="F540">
        <f>IF(C540&gt;=$T$2,0,VLOOKUP($E540,EKM_F05!$A$3:$C$128,2,TRUE))</f>
        <v>0.26798153846153844</v>
      </c>
      <c r="G540">
        <f>F540*'Real assumptions'!$B$3</f>
        <v>0.11182869599999999</v>
      </c>
      <c r="H540">
        <f t="shared" si="380"/>
        <v>9.833881756081353E-3</v>
      </c>
      <c r="I540">
        <f t="shared" si="381"/>
        <v>4.7974500632142245E-4</v>
      </c>
      <c r="J540">
        <f>IF(B540&gt;$AJ$2,0,HLOOKUP(C540,'Real assumptions'!$B$5:$L$8,4,TRUE))</f>
        <v>3.7900000000000003E-2</v>
      </c>
      <c r="K540">
        <f t="shared" si="387"/>
        <v>1</v>
      </c>
      <c r="L540">
        <f t="shared" si="415"/>
        <v>8.3333333333333329E-2</v>
      </c>
      <c r="M540">
        <f t="shared" si="382"/>
        <v>3.2145624959929453E-3</v>
      </c>
      <c r="N540">
        <f t="shared" si="383"/>
        <v>1.5630226877035816E-4</v>
      </c>
      <c r="O540" s="8">
        <f t="shared" si="399"/>
        <v>4.8227396961732116E-2</v>
      </c>
      <c r="P540">
        <f t="shared" si="400"/>
        <v>1.1727226616837734</v>
      </c>
      <c r="Q540">
        <f t="shared" si="416"/>
        <v>2.3987250316071123</v>
      </c>
      <c r="R540" s="89">
        <f t="shared" si="388"/>
        <v>5000</v>
      </c>
      <c r="S540">
        <f t="shared" si="389"/>
        <v>0.9166666666666643</v>
      </c>
      <c r="U540">
        <f>O539*AV539*'Real assumptions'!$B$33/12+AX540*'Real assumptions'!$B$34</f>
        <v>0.87001071656750939</v>
      </c>
      <c r="V540">
        <f>IF(P540=0,0,IF(E540&lt;=$C$7,$AN$5*O539,0))*'Real assumptions'!$D$28</f>
        <v>0</v>
      </c>
      <c r="X540" s="94">
        <f t="shared" si="401"/>
        <v>0</v>
      </c>
      <c r="Y540">
        <f t="shared" si="390"/>
        <v>24</v>
      </c>
      <c r="Z540">
        <f t="shared" si="417"/>
        <v>55</v>
      </c>
      <c r="AA540">
        <f t="shared" si="391"/>
        <v>54.916666666666664</v>
      </c>
      <c r="AB540">
        <f t="shared" si="402"/>
        <v>50.505050505050505</v>
      </c>
      <c r="AC540">
        <f t="shared" si="384"/>
        <v>2773.5690235690236</v>
      </c>
      <c r="AD540">
        <f t="shared" si="403"/>
        <v>80.505050505050505</v>
      </c>
      <c r="AE540">
        <f t="shared" si="404"/>
        <v>221.05345117845116</v>
      </c>
      <c r="AF540" s="94">
        <f t="shared" si="405"/>
        <v>2005.3775252525252</v>
      </c>
      <c r="AG540">
        <f t="shared" si="418"/>
        <v>0.31344505693805591</v>
      </c>
      <c r="AH540">
        <f t="shared" si="406"/>
        <v>96.71413796848951</v>
      </c>
      <c r="AI540">
        <f>HLOOKUP(AW540,'Real assumptions'!$A$21:$AK$24,2,TRUE)</f>
        <v>0</v>
      </c>
      <c r="AJ540" s="123">
        <f t="shared" si="385"/>
        <v>0</v>
      </c>
      <c r="AK540" s="122">
        <f>(1+HLOOKUP(YEAR(A540),'Real assumptions'!$A$21:$AK$24,2,TRUE)/100)^(1/12)-1</f>
        <v>0</v>
      </c>
      <c r="AL540">
        <f t="shared" si="419"/>
        <v>0.87001071656750939</v>
      </c>
      <c r="AM540">
        <f>('Real assumptions'!$B$33/12)*O539*AV539</f>
        <v>0.84317145010382066</v>
      </c>
      <c r="AN540">
        <f t="shared" si="407"/>
        <v>98.070319955628079</v>
      </c>
      <c r="AO540">
        <f t="shared" si="386"/>
        <v>0</v>
      </c>
      <c r="AP540" s="121">
        <f t="shared" si="408"/>
        <v>0</v>
      </c>
      <c r="AQ540">
        <f t="shared" si="409"/>
        <v>0</v>
      </c>
      <c r="AR540">
        <v>0</v>
      </c>
      <c r="AS540">
        <f t="shared" si="392"/>
        <v>0</v>
      </c>
      <c r="AT540">
        <f t="shared" si="410"/>
        <v>0</v>
      </c>
      <c r="AU540">
        <f>IFERROR(HLOOKUP(B540,'Real assumptions'!$B$43:$AL$44,2,TRUE)*($W$3/$U$2),0)</f>
        <v>0</v>
      </c>
      <c r="AV540">
        <f>AV539*(1+'Real assumptions'!$B$35)^(1/12)</f>
        <v>1.7273542108128637</v>
      </c>
      <c r="AW540">
        <f t="shared" si="393"/>
        <v>2062</v>
      </c>
      <c r="AX540">
        <f t="shared" si="420"/>
        <v>97.973262237097771</v>
      </c>
      <c r="AY540">
        <f t="shared" si="421"/>
        <v>0.20565422658595914</v>
      </c>
      <c r="AZ540">
        <f t="shared" si="394"/>
        <v>202.44709117866293</v>
      </c>
      <c r="BA540">
        <f t="shared" si="411"/>
        <v>2.7121700885451681</v>
      </c>
      <c r="BB540">
        <f t="shared" si="412"/>
        <v>54.916666666666664</v>
      </c>
      <c r="BC540">
        <f t="shared" si="395"/>
        <v>32.949999999999996</v>
      </c>
      <c r="BD540">
        <f t="shared" si="413"/>
        <v>0</v>
      </c>
      <c r="BE540">
        <f t="shared" si="396"/>
        <v>24</v>
      </c>
      <c r="BF540">
        <f t="shared" si="422"/>
        <v>5000</v>
      </c>
      <c r="BU540"/>
      <c r="DW540" s="89"/>
      <c r="DX540" s="89"/>
      <c r="FD540"/>
      <c r="FE540"/>
    </row>
    <row r="541" spans="1:161" x14ac:dyDescent="0.25">
      <c r="A541" s="7">
        <f t="shared" si="414"/>
        <v>59567</v>
      </c>
      <c r="B541">
        <f t="shared" si="397"/>
        <v>530</v>
      </c>
      <c r="C541">
        <f t="shared" si="378"/>
        <v>44.083333333333336</v>
      </c>
      <c r="D541">
        <f t="shared" si="379"/>
        <v>0</v>
      </c>
      <c r="E541">
        <f t="shared" si="398"/>
        <v>96</v>
      </c>
      <c r="F541">
        <f>IF(C541&gt;=$T$2,0,VLOOKUP($E541,EKM_F05!$A$3:$C$128,2,TRUE))</f>
        <v>0.26798153846153844</v>
      </c>
      <c r="G541">
        <f>F541*'Real assumptions'!$B$3</f>
        <v>0.11182869599999999</v>
      </c>
      <c r="H541">
        <f t="shared" si="380"/>
        <v>9.833881756081353E-3</v>
      </c>
      <c r="I541">
        <f t="shared" si="381"/>
        <v>4.7350024587165313E-4</v>
      </c>
      <c r="J541">
        <f>IF(B541&gt;$AJ$2,0,HLOOKUP(C541,'Real assumptions'!$B$5:$L$8,4,TRUE))</f>
        <v>3.7900000000000003E-2</v>
      </c>
      <c r="K541">
        <f t="shared" si="387"/>
        <v>1</v>
      </c>
      <c r="L541">
        <f t="shared" si="415"/>
        <v>8.3333333333333329E-2</v>
      </c>
      <c r="M541">
        <f t="shared" si="382"/>
        <v>3.2145624959929453E-3</v>
      </c>
      <c r="N541">
        <f t="shared" si="383"/>
        <v>1.5426770829893055E-4</v>
      </c>
      <c r="O541" s="8">
        <f t="shared" si="399"/>
        <v>4.7599629007561532E-2</v>
      </c>
      <c r="P541">
        <f t="shared" si="400"/>
        <v>1.1574575270815708</v>
      </c>
      <c r="Q541">
        <f t="shared" si="416"/>
        <v>2.3675012293582656</v>
      </c>
      <c r="R541" s="89">
        <f t="shared" si="388"/>
        <v>5000</v>
      </c>
      <c r="S541">
        <f t="shared" si="389"/>
        <v>0.8333333333333357</v>
      </c>
      <c r="U541">
        <f>O540*AV540*'Real assumptions'!$B$33/12+AX541*'Real assumptions'!$B$34</f>
        <v>0.85960791265862213</v>
      </c>
      <c r="V541">
        <f>IF(P541=0,0,IF(E541&lt;=$C$7,$AN$5*O540,0))*'Real assumptions'!$D$28</f>
        <v>0</v>
      </c>
      <c r="X541" s="94">
        <f t="shared" si="401"/>
        <v>0</v>
      </c>
      <c r="Y541">
        <f t="shared" si="390"/>
        <v>24</v>
      </c>
      <c r="Z541">
        <f t="shared" si="417"/>
        <v>54</v>
      </c>
      <c r="AA541">
        <f t="shared" si="391"/>
        <v>54.833333333333336</v>
      </c>
      <c r="AB541">
        <f t="shared" si="402"/>
        <v>50.505050505050505</v>
      </c>
      <c r="AC541">
        <f t="shared" si="384"/>
        <v>2769.3602693602693</v>
      </c>
      <c r="AD541">
        <f t="shared" si="403"/>
        <v>80.505050505050505</v>
      </c>
      <c r="AE541">
        <f t="shared" si="404"/>
        <v>220.71801346801348</v>
      </c>
      <c r="AF541" s="94">
        <f t="shared" si="405"/>
        <v>2009.9217171717173</v>
      </c>
      <c r="AG541">
        <f t="shared" si="418"/>
        <v>0.3100660171683321</v>
      </c>
      <c r="AH541">
        <f t="shared" si="406"/>
        <v>95.671528071614759</v>
      </c>
      <c r="AI541">
        <f>HLOOKUP(AW541,'Real assumptions'!$A$21:$AK$24,2,TRUE)</f>
        <v>0</v>
      </c>
      <c r="AJ541" s="123">
        <f t="shared" si="385"/>
        <v>0</v>
      </c>
      <c r="AK541" s="122">
        <f>(1+HLOOKUP(YEAR(A541),'Real assumptions'!$A$21:$AK$24,2,TRUE)/100)^(1/12)-1</f>
        <v>0</v>
      </c>
      <c r="AL541">
        <f t="shared" si="419"/>
        <v>0.85960791265862213</v>
      </c>
      <c r="AM541">
        <f>('Real assumptions'!$B$33/12)*O540*AV540</f>
        <v>0.83305797218391475</v>
      </c>
      <c r="AN541">
        <f t="shared" si="407"/>
        <v>97.011987582912468</v>
      </c>
      <c r="AO541">
        <f t="shared" si="386"/>
        <v>0</v>
      </c>
      <c r="AP541" s="121">
        <f t="shared" si="408"/>
        <v>0</v>
      </c>
      <c r="AQ541">
        <f t="shared" si="409"/>
        <v>0</v>
      </c>
      <c r="AR541">
        <v>0</v>
      </c>
      <c r="AS541">
        <f t="shared" si="392"/>
        <v>0</v>
      </c>
      <c r="AT541">
        <f t="shared" si="410"/>
        <v>0</v>
      </c>
      <c r="AU541">
        <f>IFERROR(HLOOKUP(B541,'Real assumptions'!$B$43:$AL$44,2,TRUE)*($W$3/$U$2),0)</f>
        <v>0</v>
      </c>
      <c r="AV541">
        <f>AV540*(1+'Real assumptions'!$B$35)^(1/12)</f>
        <v>1.7291433110526855</v>
      </c>
      <c r="AW541">
        <f t="shared" si="393"/>
        <v>2063</v>
      </c>
      <c r="AX541">
        <f t="shared" si="420"/>
        <v>96.917115228429466</v>
      </c>
      <c r="AY541">
        <f t="shared" si="421"/>
        <v>0.20297725993994997</v>
      </c>
      <c r="AZ541">
        <f t="shared" si="394"/>
        <v>200.06737354655928</v>
      </c>
      <c r="BA541">
        <f t="shared" si="411"/>
        <v>2.6775672465265976</v>
      </c>
      <c r="BB541">
        <f t="shared" si="412"/>
        <v>54.833333333333336</v>
      </c>
      <c r="BC541">
        <f t="shared" si="395"/>
        <v>32.9</v>
      </c>
      <c r="BD541">
        <f t="shared" si="413"/>
        <v>0</v>
      </c>
      <c r="BE541">
        <f t="shared" si="396"/>
        <v>24</v>
      </c>
      <c r="BF541">
        <f t="shared" si="422"/>
        <v>5000</v>
      </c>
      <c r="BU541"/>
      <c r="DW541" s="89"/>
      <c r="DX541" s="89"/>
      <c r="FD541"/>
      <c r="FE541"/>
    </row>
    <row r="542" spans="1:161" x14ac:dyDescent="0.25">
      <c r="A542" s="7">
        <f t="shared" si="414"/>
        <v>59595</v>
      </c>
      <c r="B542">
        <f t="shared" si="397"/>
        <v>531</v>
      </c>
      <c r="C542">
        <f t="shared" si="378"/>
        <v>44.166666666666664</v>
      </c>
      <c r="D542">
        <f t="shared" si="379"/>
        <v>0</v>
      </c>
      <c r="E542">
        <f t="shared" si="398"/>
        <v>96</v>
      </c>
      <c r="F542">
        <f>IF(C542&gt;=$T$2,0,VLOOKUP($E542,EKM_F05!$A$3:$C$128,2,TRUE))</f>
        <v>0.26798153846153844</v>
      </c>
      <c r="G542">
        <f>F542*'Real assumptions'!$B$3</f>
        <v>0.11182869599999999</v>
      </c>
      <c r="H542">
        <f t="shared" si="380"/>
        <v>9.833881756081353E-3</v>
      </c>
      <c r="I542">
        <f t="shared" si="381"/>
        <v>4.6733677242343901E-4</v>
      </c>
      <c r="J542">
        <f>IF(B542&gt;$AJ$2,0,HLOOKUP(C542,'Real assumptions'!$B$5:$L$8,4,TRUE))</f>
        <v>3.7900000000000003E-2</v>
      </c>
      <c r="K542">
        <f t="shared" si="387"/>
        <v>1</v>
      </c>
      <c r="L542">
        <f t="shared" si="415"/>
        <v>8.3333333333333329E-2</v>
      </c>
      <c r="M542">
        <f t="shared" si="382"/>
        <v>3.2145624959929453E-3</v>
      </c>
      <c r="N542">
        <f t="shared" si="383"/>
        <v>1.5225963136062412E-4</v>
      </c>
      <c r="O542" s="8">
        <f t="shared" si="399"/>
        <v>4.698003260377747E-2</v>
      </c>
      <c r="P542">
        <f t="shared" si="400"/>
        <v>1.1423910961814767</v>
      </c>
      <c r="Q542">
        <f t="shared" si="416"/>
        <v>2.3366838621171953</v>
      </c>
      <c r="R542" s="89">
        <f t="shared" si="388"/>
        <v>5000</v>
      </c>
      <c r="S542">
        <f t="shared" si="389"/>
        <v>0.75</v>
      </c>
      <c r="U542">
        <f>O541*AV541*'Real assumptions'!$B$33/12+AX542*'Real assumptions'!$B$34</f>
        <v>0.84932940018202052</v>
      </c>
      <c r="V542">
        <f>IF(P542=0,0,IF(E542&lt;=$C$7,$AN$5*O541,0))*'Real assumptions'!$D$28</f>
        <v>0</v>
      </c>
      <c r="X542" s="94">
        <f t="shared" si="401"/>
        <v>0</v>
      </c>
      <c r="Y542">
        <f t="shared" si="390"/>
        <v>24</v>
      </c>
      <c r="Z542">
        <f t="shared" si="417"/>
        <v>54</v>
      </c>
      <c r="AA542">
        <f t="shared" si="391"/>
        <v>54.75</v>
      </c>
      <c r="AB542">
        <f t="shared" si="402"/>
        <v>50.505050505050505</v>
      </c>
      <c r="AC542">
        <f t="shared" si="384"/>
        <v>2765.151515151515</v>
      </c>
      <c r="AD542">
        <f t="shared" si="403"/>
        <v>80.505050505050505</v>
      </c>
      <c r="AE542">
        <f t="shared" si="404"/>
        <v>220.38257575757575</v>
      </c>
      <c r="AF542" s="94">
        <f t="shared" si="405"/>
        <v>2014.4659090909092</v>
      </c>
      <c r="AG542">
        <f t="shared" si="418"/>
        <v>0.30672183670672637</v>
      </c>
      <c r="AH542">
        <f t="shared" si="406"/>
        <v>94.639674088289141</v>
      </c>
      <c r="AI542">
        <f>HLOOKUP(AW542,'Real assumptions'!$A$21:$AK$24,2,TRUE)</f>
        <v>0</v>
      </c>
      <c r="AJ542" s="123">
        <f t="shared" si="385"/>
        <v>0</v>
      </c>
      <c r="AK542" s="122">
        <f>(1+HLOOKUP(YEAR(A542),'Real assumptions'!$A$21:$AK$24,2,TRUE)/100)^(1/12)-1</f>
        <v>0</v>
      </c>
      <c r="AL542">
        <f t="shared" si="419"/>
        <v>0.84932940018202052</v>
      </c>
      <c r="AM542">
        <f>('Real assumptions'!$B$33/12)*O541*AV541</f>
        <v>0.82306580107014404</v>
      </c>
      <c r="AN542">
        <f t="shared" si="407"/>
        <v>95.964589767614214</v>
      </c>
      <c r="AO542">
        <f t="shared" si="386"/>
        <v>0</v>
      </c>
      <c r="AP542" s="121">
        <f t="shared" si="408"/>
        <v>0</v>
      </c>
      <c r="AQ542">
        <f t="shared" si="409"/>
        <v>0</v>
      </c>
      <c r="AR542">
        <v>0</v>
      </c>
      <c r="AS542">
        <f t="shared" si="392"/>
        <v>0</v>
      </c>
      <c r="AT542">
        <f t="shared" si="410"/>
        <v>0</v>
      </c>
      <c r="AU542">
        <f>IFERROR(HLOOKUP(B542,'Real assumptions'!$B$43:$AL$44,2,TRUE)*($W$3/$U$2),0)</f>
        <v>0</v>
      </c>
      <c r="AV542">
        <f>AV541*(1+'Real assumptions'!$B$35)^(1/12)</f>
        <v>1.7309342643459507</v>
      </c>
      <c r="AW542">
        <f t="shared" si="393"/>
        <v>2063</v>
      </c>
      <c r="AX542">
        <f t="shared" si="420"/>
        <v>95.871863210535466</v>
      </c>
      <c r="AY542">
        <f t="shared" si="421"/>
        <v>0.2003351389207135</v>
      </c>
      <c r="AZ542">
        <f t="shared" si="394"/>
        <v>197.71702954373481</v>
      </c>
      <c r="BA542">
        <f t="shared" si="411"/>
        <v>2.6434056988239218</v>
      </c>
      <c r="BB542">
        <f t="shared" si="412"/>
        <v>54.75</v>
      </c>
      <c r="BC542">
        <f t="shared" si="395"/>
        <v>32.849999999999994</v>
      </c>
      <c r="BD542">
        <f t="shared" si="413"/>
        <v>0</v>
      </c>
      <c r="BE542">
        <f t="shared" si="396"/>
        <v>24</v>
      </c>
      <c r="BF542">
        <f t="shared" si="422"/>
        <v>5000</v>
      </c>
      <c r="BU542"/>
      <c r="DW542" s="89"/>
      <c r="DX542" s="89"/>
      <c r="FD542"/>
      <c r="FE542"/>
    </row>
    <row r="543" spans="1:161" x14ac:dyDescent="0.25">
      <c r="A543" s="7">
        <f t="shared" si="414"/>
        <v>59626</v>
      </c>
      <c r="B543">
        <f t="shared" si="397"/>
        <v>532</v>
      </c>
      <c r="C543">
        <f t="shared" si="378"/>
        <v>44.25</v>
      </c>
      <c r="D543">
        <f t="shared" si="379"/>
        <v>0</v>
      </c>
      <c r="E543">
        <f t="shared" si="398"/>
        <v>96</v>
      </c>
      <c r="F543">
        <f>IF(C543&gt;=$T$2,0,VLOOKUP($E543,EKM_F05!$A$3:$C$128,2,TRUE))</f>
        <v>0.26798153846153844</v>
      </c>
      <c r="G543">
        <f>F543*'Real assumptions'!$B$3</f>
        <v>0.11182869599999999</v>
      </c>
      <c r="H543">
        <f t="shared" si="380"/>
        <v>9.833881756081353E-3</v>
      </c>
      <c r="I543">
        <f t="shared" si="381"/>
        <v>4.6125352787748647E-4</v>
      </c>
      <c r="J543">
        <f>IF(B543&gt;$AJ$2,0,HLOOKUP(C543,'Real assumptions'!$B$5:$L$8,4,TRUE))</f>
        <v>3.7900000000000003E-2</v>
      </c>
      <c r="K543">
        <f t="shared" si="387"/>
        <v>1</v>
      </c>
      <c r="L543">
        <f t="shared" si="415"/>
        <v>8.3333333333333329E-2</v>
      </c>
      <c r="M543">
        <f t="shared" si="382"/>
        <v>3.2145624959929453E-3</v>
      </c>
      <c r="N543">
        <f t="shared" si="383"/>
        <v>1.5027769322372092E-4</v>
      </c>
      <c r="O543" s="8">
        <f t="shared" si="399"/>
        <v>4.6368501382676265E-2</v>
      </c>
      <c r="P543">
        <f t="shared" si="400"/>
        <v>1.1275207824906592</v>
      </c>
      <c r="Q543">
        <f t="shared" si="416"/>
        <v>2.3062676393874324</v>
      </c>
      <c r="R543" s="89">
        <f t="shared" si="388"/>
        <v>5000</v>
      </c>
      <c r="S543">
        <f t="shared" si="389"/>
        <v>0.6666666666666643</v>
      </c>
      <c r="U543">
        <f>O542*AV542*'Real assumptions'!$B$33/12+AX543*'Real assumptions'!$B$34</f>
        <v>0.83917369543691833</v>
      </c>
      <c r="V543">
        <f>IF(P543=0,0,IF(E543&lt;=$C$7,$AN$5*O542,0))*'Real assumptions'!$D$28</f>
        <v>0</v>
      </c>
      <c r="X543" s="94">
        <f t="shared" si="401"/>
        <v>0</v>
      </c>
      <c r="Y543">
        <f t="shared" si="390"/>
        <v>24</v>
      </c>
      <c r="Z543">
        <f t="shared" si="417"/>
        <v>54</v>
      </c>
      <c r="AA543">
        <f t="shared" si="391"/>
        <v>54.666666666666664</v>
      </c>
      <c r="AB543">
        <f t="shared" si="402"/>
        <v>50.505050505050505</v>
      </c>
      <c r="AC543">
        <f t="shared" si="384"/>
        <v>2760.9427609427607</v>
      </c>
      <c r="AD543">
        <f t="shared" si="403"/>
        <v>80.505050505050505</v>
      </c>
      <c r="AE543">
        <f t="shared" si="404"/>
        <v>220.04713804713802</v>
      </c>
      <c r="AF543" s="94">
        <f t="shared" si="405"/>
        <v>2019.0101010101012</v>
      </c>
      <c r="AG543">
        <f t="shared" si="418"/>
        <v>0.30341218057518976</v>
      </c>
      <c r="AH543">
        <f t="shared" si="406"/>
        <v>93.618472660324215</v>
      </c>
      <c r="AI543">
        <f>HLOOKUP(AW543,'Real assumptions'!$A$21:$AK$24,2,TRUE)</f>
        <v>0</v>
      </c>
      <c r="AJ543" s="123">
        <f t="shared" si="385"/>
        <v>0</v>
      </c>
      <c r="AK543" s="122">
        <f>(1+HLOOKUP(YEAR(A543),'Real assumptions'!$A$21:$AK$24,2,TRUE)/100)^(1/12)-1</f>
        <v>0</v>
      </c>
      <c r="AL543">
        <f t="shared" si="419"/>
        <v>0.83917369543691833</v>
      </c>
      <c r="AM543">
        <f>('Real assumptions'!$B$33/12)*O542*AV542</f>
        <v>0.81319348173968331</v>
      </c>
      <c r="AN543">
        <f t="shared" si="407"/>
        <v>94.928021175342892</v>
      </c>
      <c r="AO543">
        <f t="shared" si="386"/>
        <v>0</v>
      </c>
      <c r="AP543" s="121">
        <f t="shared" si="408"/>
        <v>0</v>
      </c>
      <c r="AQ543">
        <f t="shared" si="409"/>
        <v>0</v>
      </c>
      <c r="AR543">
        <v>0</v>
      </c>
      <c r="AS543">
        <f t="shared" si="392"/>
        <v>0</v>
      </c>
      <c r="AT543">
        <f t="shared" si="410"/>
        <v>0</v>
      </c>
      <c r="AU543">
        <f>IFERROR(HLOOKUP(B543,'Real assumptions'!$B$43:$AL$44,2,TRUE)*($W$3/$U$2),0)</f>
        <v>0</v>
      </c>
      <c r="AV543">
        <f>AV542*(1+'Real assumptions'!$B$35)^(1/12)</f>
        <v>1.7327270726119519</v>
      </c>
      <c r="AW543">
        <f t="shared" si="393"/>
        <v>2063</v>
      </c>
      <c r="AX543">
        <f t="shared" si="420"/>
        <v>94.837401498237696</v>
      </c>
      <c r="AY543">
        <f t="shared" si="421"/>
        <v>0.19772740994855836</v>
      </c>
      <c r="AZ543">
        <f t="shared" si="394"/>
        <v>195.39569681082591</v>
      </c>
      <c r="BA543">
        <f t="shared" si="411"/>
        <v>2.6096798199626221</v>
      </c>
      <c r="BB543">
        <f t="shared" si="412"/>
        <v>54.666666666666664</v>
      </c>
      <c r="BC543">
        <f t="shared" si="395"/>
        <v>32.799999999999997</v>
      </c>
      <c r="BD543">
        <f t="shared" si="413"/>
        <v>0</v>
      </c>
      <c r="BE543">
        <f t="shared" si="396"/>
        <v>24</v>
      </c>
      <c r="BF543">
        <f t="shared" si="422"/>
        <v>5000</v>
      </c>
      <c r="BU543"/>
      <c r="DW543" s="89"/>
      <c r="DX543" s="89"/>
      <c r="FD543"/>
      <c r="FE543"/>
    </row>
    <row r="544" spans="1:161" x14ac:dyDescent="0.25">
      <c r="A544" s="7">
        <f t="shared" si="414"/>
        <v>59656</v>
      </c>
      <c r="B544">
        <f t="shared" si="397"/>
        <v>533</v>
      </c>
      <c r="C544">
        <f t="shared" si="378"/>
        <v>44.333333333333336</v>
      </c>
      <c r="D544">
        <f t="shared" si="379"/>
        <v>0</v>
      </c>
      <c r="E544">
        <f t="shared" si="398"/>
        <v>96</v>
      </c>
      <c r="F544">
        <f>IF(C544&gt;=$T$2,0,VLOOKUP($E544,EKM_F05!$A$3:$C$128,2,TRUE))</f>
        <v>0.26798153846153844</v>
      </c>
      <c r="G544">
        <f>F544*'Real assumptions'!$B$3</f>
        <v>0.11182869599999999</v>
      </c>
      <c r="H544">
        <f t="shared" si="380"/>
        <v>9.833881756081353E-3</v>
      </c>
      <c r="I544">
        <f t="shared" si="381"/>
        <v>4.5524946790760309E-4</v>
      </c>
      <c r="J544">
        <f>IF(B544&gt;$AJ$2,0,HLOOKUP(C544,'Real assumptions'!$B$5:$L$8,4,TRUE))</f>
        <v>3.7900000000000003E-2</v>
      </c>
      <c r="K544">
        <f t="shared" si="387"/>
        <v>1</v>
      </c>
      <c r="L544">
        <f t="shared" si="415"/>
        <v>8.3333333333333329E-2</v>
      </c>
      <c r="M544">
        <f t="shared" si="382"/>
        <v>3.2145624959929453E-3</v>
      </c>
      <c r="N544">
        <f t="shared" si="383"/>
        <v>1.4832155364381811E-4</v>
      </c>
      <c r="O544" s="8">
        <f t="shared" si="399"/>
        <v>4.5764930361124841E-2</v>
      </c>
      <c r="P544">
        <f t="shared" si="400"/>
        <v>1.1128440331842304</v>
      </c>
      <c r="Q544">
        <f t="shared" si="416"/>
        <v>2.2762473395380156</v>
      </c>
      <c r="R544" s="89">
        <f t="shared" si="388"/>
        <v>5000</v>
      </c>
      <c r="S544">
        <f t="shared" si="389"/>
        <v>0.5833333333333357</v>
      </c>
      <c r="U544">
        <f>O543*AV543*'Real assumptions'!$B$33/12+AX544*'Real assumptions'!$B$34</f>
        <v>0.82913933241578441</v>
      </c>
      <c r="V544">
        <f>IF(P544=0,0,IF(E544&lt;=$C$7,$AN$5*O543,0))*'Real assumptions'!$D$28</f>
        <v>0</v>
      </c>
      <c r="X544" s="94">
        <f t="shared" si="401"/>
        <v>0</v>
      </c>
      <c r="Y544">
        <f t="shared" si="390"/>
        <v>24</v>
      </c>
      <c r="Z544">
        <f t="shared" si="417"/>
        <v>54</v>
      </c>
      <c r="AA544">
        <f t="shared" si="391"/>
        <v>54.583333333333336</v>
      </c>
      <c r="AB544">
        <f t="shared" si="402"/>
        <v>50.505050505050505</v>
      </c>
      <c r="AC544">
        <f t="shared" si="384"/>
        <v>2756.7340067340069</v>
      </c>
      <c r="AD544">
        <f t="shared" si="403"/>
        <v>80.505050505050505</v>
      </c>
      <c r="AE544">
        <f t="shared" si="404"/>
        <v>219.71170033670035</v>
      </c>
      <c r="AF544" s="94">
        <f t="shared" si="405"/>
        <v>2023.5542929292928</v>
      </c>
      <c r="AG544">
        <f t="shared" si="418"/>
        <v>0.30013671660989055</v>
      </c>
      <c r="AH544">
        <f t="shared" si="406"/>
        <v>92.607821297864305</v>
      </c>
      <c r="AI544">
        <f>HLOOKUP(AW544,'Real assumptions'!$A$21:$AK$24,2,TRUE)</f>
        <v>0</v>
      </c>
      <c r="AJ544" s="123">
        <f t="shared" si="385"/>
        <v>0</v>
      </c>
      <c r="AK544" s="122">
        <f>(1+HLOOKUP(YEAR(A544),'Real assumptions'!$A$21:$AK$24,2,TRUE)/100)^(1/12)-1</f>
        <v>0</v>
      </c>
      <c r="AL544">
        <f t="shared" si="419"/>
        <v>0.82913933241578441</v>
      </c>
      <c r="AM544">
        <f>('Real assumptions'!$B$33/12)*O543*AV543</f>
        <v>0.80343957662207888</v>
      </c>
      <c r="AN544">
        <f t="shared" si="407"/>
        <v>93.902177361092669</v>
      </c>
      <c r="AO544">
        <f t="shared" si="386"/>
        <v>0</v>
      </c>
      <c r="AP544" s="121">
        <f t="shared" si="408"/>
        <v>0</v>
      </c>
      <c r="AQ544">
        <f t="shared" si="409"/>
        <v>0</v>
      </c>
      <c r="AR544">
        <v>0</v>
      </c>
      <c r="AS544">
        <f t="shared" si="392"/>
        <v>0</v>
      </c>
      <c r="AT544">
        <f t="shared" si="410"/>
        <v>0</v>
      </c>
      <c r="AU544">
        <f>IFERROR(HLOOKUP(B544,'Real assumptions'!$B$43:$AL$44,2,TRUE)*($W$3/$U$2),0)</f>
        <v>0</v>
      </c>
      <c r="AV544">
        <f>AV543*(1+'Real assumptions'!$B$35)^(1/12)</f>
        <v>1.7345217377719697</v>
      </c>
      <c r="AW544">
        <f t="shared" si="393"/>
        <v>2063</v>
      </c>
      <c r="AX544">
        <f t="shared" si="420"/>
        <v>93.813626285672186</v>
      </c>
      <c r="AY544">
        <f t="shared" si="421"/>
        <v>0.19515362534796407</v>
      </c>
      <c r="AZ544">
        <f t="shared" si="394"/>
        <v>193.10301745544643</v>
      </c>
      <c r="BA544">
        <f t="shared" si="411"/>
        <v>2.5763840561479063</v>
      </c>
      <c r="BB544">
        <f t="shared" si="412"/>
        <v>54.583333333333336</v>
      </c>
      <c r="BC544">
        <f t="shared" si="395"/>
        <v>32.75</v>
      </c>
      <c r="BD544">
        <f t="shared" si="413"/>
        <v>0</v>
      </c>
      <c r="BE544">
        <f t="shared" si="396"/>
        <v>24</v>
      </c>
      <c r="BF544">
        <f t="shared" si="422"/>
        <v>5000</v>
      </c>
      <c r="BU544"/>
      <c r="DW544" s="89"/>
      <c r="DX544" s="89"/>
      <c r="FD544"/>
      <c r="FE544"/>
    </row>
    <row r="545" spans="1:161" x14ac:dyDescent="0.25">
      <c r="A545" s="7">
        <f t="shared" si="414"/>
        <v>59687</v>
      </c>
      <c r="B545">
        <f t="shared" si="397"/>
        <v>534</v>
      </c>
      <c r="C545">
        <f t="shared" si="378"/>
        <v>44.416666666666664</v>
      </c>
      <c r="D545">
        <f t="shared" si="379"/>
        <v>0</v>
      </c>
      <c r="E545">
        <f t="shared" si="398"/>
        <v>96</v>
      </c>
      <c r="F545">
        <f>IF(C545&gt;=$T$2,0,VLOOKUP($E545,EKM_F05!$A$3:$C$128,2,TRUE))</f>
        <v>0.26798153846153844</v>
      </c>
      <c r="G545">
        <f>F545*'Real assumptions'!$B$3</f>
        <v>0.11182869599999999</v>
      </c>
      <c r="H545">
        <f t="shared" si="380"/>
        <v>9.833881756081353E-3</v>
      </c>
      <c r="I545">
        <f t="shared" si="381"/>
        <v>4.4932356178141556E-4</v>
      </c>
      <c r="J545">
        <f>IF(B545&gt;$AJ$2,0,HLOOKUP(C545,'Real assumptions'!$B$5:$L$8,4,TRUE))</f>
        <v>3.7900000000000003E-2</v>
      </c>
      <c r="K545">
        <f t="shared" si="387"/>
        <v>1</v>
      </c>
      <c r="L545">
        <f t="shared" si="415"/>
        <v>8.3333333333333329E-2</v>
      </c>
      <c r="M545">
        <f t="shared" si="382"/>
        <v>3.2145624959929453E-3</v>
      </c>
      <c r="N545">
        <f t="shared" si="383"/>
        <v>1.4639087680541718E-4</v>
      </c>
      <c r="O545" s="8">
        <f t="shared" si="399"/>
        <v>4.516921592253801E-2</v>
      </c>
      <c r="P545">
        <f t="shared" si="400"/>
        <v>1.0983583286669962</v>
      </c>
      <c r="Q545">
        <f t="shared" si="416"/>
        <v>2.2466178089070779</v>
      </c>
      <c r="R545" s="89">
        <f t="shared" si="388"/>
        <v>5000</v>
      </c>
      <c r="S545">
        <f t="shared" si="389"/>
        <v>0.5</v>
      </c>
      <c r="U545">
        <f>O544*AV544*'Real assumptions'!$B$33/12+AX545*'Real assumptions'!$B$34</f>
        <v>0.81922486259359661</v>
      </c>
      <c r="V545">
        <f>IF(P545=0,0,IF(E545&lt;=$C$7,$AN$5*O544,0))*'Real assumptions'!$D$28</f>
        <v>0</v>
      </c>
      <c r="X545" s="94">
        <f t="shared" si="401"/>
        <v>0</v>
      </c>
      <c r="Y545">
        <f t="shared" si="390"/>
        <v>24</v>
      </c>
      <c r="Z545">
        <f t="shared" si="417"/>
        <v>54</v>
      </c>
      <c r="AA545">
        <f t="shared" si="391"/>
        <v>54.5</v>
      </c>
      <c r="AB545">
        <f t="shared" si="402"/>
        <v>50.505050505050505</v>
      </c>
      <c r="AC545">
        <f t="shared" si="384"/>
        <v>2752.5252525252527</v>
      </c>
      <c r="AD545">
        <f t="shared" si="403"/>
        <v>80.505050505050505</v>
      </c>
      <c r="AE545">
        <f t="shared" si="404"/>
        <v>219.37626262626262</v>
      </c>
      <c r="AF545" s="94">
        <f t="shared" si="405"/>
        <v>2028.0984848484848</v>
      </c>
      <c r="AG545">
        <f t="shared" si="418"/>
        <v>0.29689511544470776</v>
      </c>
      <c r="AH545">
        <f t="shared" si="406"/>
        <v>91.607618374293395</v>
      </c>
      <c r="AI545">
        <f>HLOOKUP(AW545,'Real assumptions'!$A$21:$AK$24,2,TRUE)</f>
        <v>0</v>
      </c>
      <c r="AJ545" s="123">
        <f t="shared" si="385"/>
        <v>0</v>
      </c>
      <c r="AK545" s="122">
        <f>(1+HLOOKUP(YEAR(A545),'Real assumptions'!$A$21:$AK$24,2,TRUE)/100)^(1/12)-1</f>
        <v>0</v>
      </c>
      <c r="AL545">
        <f t="shared" si="419"/>
        <v>0.81922486259359661</v>
      </c>
      <c r="AM545">
        <f>('Real assumptions'!$B$33/12)*O544*AV544</f>
        <v>0.79380266538991429</v>
      </c>
      <c r="AN545">
        <f t="shared" si="407"/>
        <v>92.886954763937695</v>
      </c>
      <c r="AO545">
        <f t="shared" si="386"/>
        <v>0</v>
      </c>
      <c r="AP545" s="121">
        <f t="shared" si="408"/>
        <v>0</v>
      </c>
      <c r="AQ545">
        <f t="shared" si="409"/>
        <v>0</v>
      </c>
      <c r="AR545">
        <v>0</v>
      </c>
      <c r="AS545">
        <f t="shared" si="392"/>
        <v>0</v>
      </c>
      <c r="AT545">
        <f t="shared" si="410"/>
        <v>0</v>
      </c>
      <c r="AU545">
        <f>IFERROR(HLOOKUP(B545,'Real assumptions'!$B$43:$AL$44,2,TRUE)*($W$3/$U$2),0)</f>
        <v>0</v>
      </c>
      <c r="AV545">
        <f>AV544*(1+'Real assumptions'!$B$35)^(1/12)</f>
        <v>1.7363182617492747</v>
      </c>
      <c r="AW545">
        <f t="shared" si="393"/>
        <v>2063</v>
      </c>
      <c r="AX545">
        <f t="shared" si="420"/>
        <v>92.800434641135027</v>
      </c>
      <c r="AY545">
        <f t="shared" si="421"/>
        <v>0.19261334327072743</v>
      </c>
      <c r="AZ545">
        <f t="shared" si="394"/>
        <v>190.83863799716806</v>
      </c>
      <c r="BA545">
        <f t="shared" si="411"/>
        <v>2.5435129243517856</v>
      </c>
      <c r="BB545">
        <f t="shared" si="412"/>
        <v>54.5</v>
      </c>
      <c r="BC545">
        <f t="shared" si="395"/>
        <v>32.700000000000003</v>
      </c>
      <c r="BD545">
        <f t="shared" si="413"/>
        <v>0</v>
      </c>
      <c r="BE545">
        <f t="shared" si="396"/>
        <v>24</v>
      </c>
      <c r="BF545">
        <f t="shared" si="422"/>
        <v>5000</v>
      </c>
      <c r="BU545"/>
      <c r="DW545" s="89"/>
      <c r="DX545" s="89"/>
      <c r="FD545"/>
      <c r="FE545"/>
    </row>
    <row r="546" spans="1:161" x14ac:dyDescent="0.25">
      <c r="A546" s="7">
        <f t="shared" si="414"/>
        <v>59717</v>
      </c>
      <c r="B546">
        <f t="shared" si="397"/>
        <v>535</v>
      </c>
      <c r="C546">
        <f t="shared" si="378"/>
        <v>44.5</v>
      </c>
      <c r="D546">
        <f t="shared" si="379"/>
        <v>0</v>
      </c>
      <c r="E546">
        <f t="shared" si="398"/>
        <v>96</v>
      </c>
      <c r="F546">
        <f>IF(C546&gt;=$T$2,0,VLOOKUP($E546,EKM_F05!$A$3:$C$128,2,TRUE))</f>
        <v>0.26798153846153844</v>
      </c>
      <c r="G546">
        <f>F546*'Real assumptions'!$B$3</f>
        <v>0.11182869599999999</v>
      </c>
      <c r="H546">
        <f t="shared" si="380"/>
        <v>9.833881756081353E-3</v>
      </c>
      <c r="I546">
        <f t="shared" si="381"/>
        <v>4.434747921834218E-4</v>
      </c>
      <c r="J546">
        <f>IF(B546&gt;$AJ$2,0,HLOOKUP(C546,'Real assumptions'!$B$5:$L$8,4,TRUE))</f>
        <v>3.7900000000000003E-2</v>
      </c>
      <c r="K546">
        <f t="shared" si="387"/>
        <v>1</v>
      </c>
      <c r="L546">
        <f t="shared" si="415"/>
        <v>8.3333333333333329E-2</v>
      </c>
      <c r="M546">
        <f t="shared" si="382"/>
        <v>3.2145624959929453E-3</v>
      </c>
      <c r="N546">
        <f t="shared" si="383"/>
        <v>1.4448533126427393E-4</v>
      </c>
      <c r="O546" s="8">
        <f t="shared" si="399"/>
        <v>4.4581255799090315E-2</v>
      </c>
      <c r="P546">
        <f t="shared" si="400"/>
        <v>1.0840611821409123</v>
      </c>
      <c r="Q546">
        <f t="shared" si="416"/>
        <v>2.2173739609171088</v>
      </c>
      <c r="R546" s="89">
        <f t="shared" si="388"/>
        <v>5000</v>
      </c>
      <c r="S546">
        <f t="shared" si="389"/>
        <v>0.4166666666666643</v>
      </c>
      <c r="U546">
        <f>O545*AV545*'Real assumptions'!$B$33/12+AX546*'Real assumptions'!$B$34</f>
        <v>0.80942885471960335</v>
      </c>
      <c r="V546">
        <f>IF(P546=0,0,IF(E546&lt;=$C$7,$AN$5*O545,0))*'Real assumptions'!$D$28</f>
        <v>0</v>
      </c>
      <c r="X546" s="94">
        <f t="shared" si="401"/>
        <v>0</v>
      </c>
      <c r="Y546">
        <f t="shared" si="390"/>
        <v>24</v>
      </c>
      <c r="Z546">
        <f t="shared" si="417"/>
        <v>54</v>
      </c>
      <c r="AA546">
        <f t="shared" si="391"/>
        <v>54.416666666666664</v>
      </c>
      <c r="AB546">
        <f t="shared" si="402"/>
        <v>50.505050505050505</v>
      </c>
      <c r="AC546">
        <f t="shared" si="384"/>
        <v>2748.3164983164984</v>
      </c>
      <c r="AD546">
        <f t="shared" si="403"/>
        <v>80.505050505050505</v>
      </c>
      <c r="AE546">
        <f t="shared" si="404"/>
        <v>219.04082491582489</v>
      </c>
      <c r="AF546" s="94">
        <f t="shared" si="405"/>
        <v>2032.6426767676767</v>
      </c>
      <c r="AG546">
        <f t="shared" si="418"/>
        <v>0.29368705049467825</v>
      </c>
      <c r="AH546">
        <f t="shared" si="406"/>
        <v>90.617763121127453</v>
      </c>
      <c r="AI546">
        <f>HLOOKUP(AW546,'Real assumptions'!$A$21:$AK$24,2,TRUE)</f>
        <v>0</v>
      </c>
      <c r="AJ546" s="123">
        <f t="shared" si="385"/>
        <v>0</v>
      </c>
      <c r="AK546" s="122">
        <f>(1+HLOOKUP(YEAR(A546),'Real assumptions'!$A$21:$AK$24,2,TRUE)/100)^(1/12)-1</f>
        <v>0</v>
      </c>
      <c r="AL546">
        <f t="shared" si="419"/>
        <v>0.80942885471960335</v>
      </c>
      <c r="AM546">
        <f>('Real assumptions'!$B$33/12)*O545*AV545</f>
        <v>0.78428134475198863</v>
      </c>
      <c r="AN546">
        <f t="shared" si="407"/>
        <v>91.88225070171471</v>
      </c>
      <c r="AO546">
        <f t="shared" si="386"/>
        <v>0</v>
      </c>
      <c r="AP546" s="121">
        <f t="shared" si="408"/>
        <v>0</v>
      </c>
      <c r="AQ546">
        <f t="shared" si="409"/>
        <v>0</v>
      </c>
      <c r="AR546">
        <v>0</v>
      </c>
      <c r="AS546">
        <f t="shared" si="392"/>
        <v>0</v>
      </c>
      <c r="AT546">
        <f t="shared" si="410"/>
        <v>0</v>
      </c>
      <c r="AU546">
        <f>IFERROR(HLOOKUP(B546,'Real assumptions'!$B$43:$AL$44,2,TRUE)*($W$3/$U$2),0)</f>
        <v>0</v>
      </c>
      <c r="AV546">
        <f>AV545*(1+'Real assumptions'!$B$35)^(1/12)</f>
        <v>1.7381166464691296</v>
      </c>
      <c r="AW546">
        <f t="shared" si="393"/>
        <v>2063</v>
      </c>
      <c r="AX546">
        <f t="shared" si="420"/>
        <v>91.797724501913507</v>
      </c>
      <c r="AY546">
        <f t="shared" si="421"/>
        <v>0.19010612762010945</v>
      </c>
      <c r="AZ546">
        <f t="shared" si="394"/>
        <v>188.60220931317758</v>
      </c>
      <c r="BA546">
        <f t="shared" si="411"/>
        <v>2.5110610114117868</v>
      </c>
      <c r="BB546">
        <f t="shared" si="412"/>
        <v>54.416666666666664</v>
      </c>
      <c r="BC546">
        <f t="shared" si="395"/>
        <v>32.65</v>
      </c>
      <c r="BD546">
        <f t="shared" si="413"/>
        <v>0</v>
      </c>
      <c r="BE546">
        <f t="shared" si="396"/>
        <v>24</v>
      </c>
      <c r="BF546">
        <f t="shared" si="422"/>
        <v>5000</v>
      </c>
      <c r="BU546"/>
      <c r="DW546" s="89"/>
      <c r="DX546" s="89"/>
      <c r="FD546"/>
      <c r="FE546"/>
    </row>
    <row r="547" spans="1:161" x14ac:dyDescent="0.25">
      <c r="A547" s="7">
        <f t="shared" si="414"/>
        <v>59748</v>
      </c>
      <c r="B547">
        <f t="shared" si="397"/>
        <v>536</v>
      </c>
      <c r="C547">
        <f t="shared" si="378"/>
        <v>44.583333333333336</v>
      </c>
      <c r="D547">
        <f t="shared" si="379"/>
        <v>0</v>
      </c>
      <c r="E547">
        <f t="shared" si="398"/>
        <v>96</v>
      </c>
      <c r="F547">
        <f>IF(C547&gt;=$T$2,0,VLOOKUP($E547,EKM_F05!$A$3:$C$128,2,TRUE))</f>
        <v>0.26798153846153844</v>
      </c>
      <c r="G547">
        <f>F547*'Real assumptions'!$B$3</f>
        <v>0.11182869599999999</v>
      </c>
      <c r="H547">
        <f t="shared" si="380"/>
        <v>9.833881756081353E-3</v>
      </c>
      <c r="I547">
        <f t="shared" si="381"/>
        <v>4.3770215504034481E-4</v>
      </c>
      <c r="J547">
        <f>IF(B547&gt;$AJ$2,0,HLOOKUP(C547,'Real assumptions'!$B$5:$L$8,4,TRUE))</f>
        <v>3.7900000000000003E-2</v>
      </c>
      <c r="K547">
        <f t="shared" si="387"/>
        <v>1</v>
      </c>
      <c r="L547">
        <f t="shared" si="415"/>
        <v>8.3333333333333329E-2</v>
      </c>
      <c r="M547">
        <f t="shared" si="382"/>
        <v>3.2145624959929453E-3</v>
      </c>
      <c r="N547">
        <f t="shared" si="383"/>
        <v>1.4260458989049827E-4</v>
      </c>
      <c r="O547" s="8">
        <f t="shared" si="399"/>
        <v>4.4000949054159473E-2</v>
      </c>
      <c r="P547">
        <f t="shared" si="400"/>
        <v>1.0699501391781676</v>
      </c>
      <c r="Q547">
        <f t="shared" si="416"/>
        <v>2.1885107752017241</v>
      </c>
      <c r="R547" s="89">
        <f t="shared" si="388"/>
        <v>5000</v>
      </c>
      <c r="S547">
        <f t="shared" si="389"/>
        <v>0.3333333333333357</v>
      </c>
      <c r="U547">
        <f>O546*AV546*'Real assumptions'!$B$33/12+AX547*'Real assumptions'!$B$34</f>
        <v>0.79974989461156187</v>
      </c>
      <c r="V547">
        <f>IF(P547=0,0,IF(E547&lt;=$C$7,$AN$5*O546,0))*'Real assumptions'!$D$28</f>
        <v>0</v>
      </c>
      <c r="X547" s="94">
        <f t="shared" si="401"/>
        <v>0</v>
      </c>
      <c r="Y547">
        <f t="shared" si="390"/>
        <v>24</v>
      </c>
      <c r="Z547">
        <f t="shared" si="417"/>
        <v>54</v>
      </c>
      <c r="AA547">
        <f t="shared" si="391"/>
        <v>54.333333333333336</v>
      </c>
      <c r="AB547">
        <f t="shared" si="402"/>
        <v>50.505050505050505</v>
      </c>
      <c r="AC547">
        <f t="shared" si="384"/>
        <v>2744.1077441077441</v>
      </c>
      <c r="AD547">
        <f t="shared" si="403"/>
        <v>80.505050505050505</v>
      </c>
      <c r="AE547">
        <f t="shared" si="404"/>
        <v>218.70538720538721</v>
      </c>
      <c r="AF547" s="94">
        <f t="shared" si="405"/>
        <v>2037.1868686868686</v>
      </c>
      <c r="AG547">
        <f t="shared" si="418"/>
        <v>0.29051219793939925</v>
      </c>
      <c r="AH547">
        <f t="shared" si="406"/>
        <v>89.638155622893564</v>
      </c>
      <c r="AI547">
        <f>HLOOKUP(AW547,'Real assumptions'!$A$21:$AK$24,2,TRUE)</f>
        <v>0</v>
      </c>
      <c r="AJ547" s="123">
        <f t="shared" si="385"/>
        <v>0</v>
      </c>
      <c r="AK547" s="122">
        <f>(1+HLOOKUP(YEAR(A547),'Real assumptions'!$A$21:$AK$24,2,TRUE)/100)^(1/12)-1</f>
        <v>0</v>
      </c>
      <c r="AL547">
        <f t="shared" si="419"/>
        <v>0.79974989461156187</v>
      </c>
      <c r="AM547">
        <f>('Real assumptions'!$B$33/12)*O546*AV546</f>
        <v>0.7748742282489729</v>
      </c>
      <c r="AN547">
        <f t="shared" si="407"/>
        <v>90.887963365694048</v>
      </c>
      <c r="AO547">
        <f t="shared" si="386"/>
        <v>0</v>
      </c>
      <c r="AP547" s="121">
        <f t="shared" si="408"/>
        <v>0</v>
      </c>
      <c r="AQ547">
        <f t="shared" si="409"/>
        <v>0</v>
      </c>
      <c r="AR547">
        <v>0</v>
      </c>
      <c r="AS547">
        <f t="shared" si="392"/>
        <v>0</v>
      </c>
      <c r="AT547">
        <f t="shared" si="410"/>
        <v>0</v>
      </c>
      <c r="AU547">
        <f>IFERROR(HLOOKUP(B547,'Real assumptions'!$B$43:$AL$44,2,TRUE)*($W$3/$U$2),0)</f>
        <v>0</v>
      </c>
      <c r="AV547">
        <f>AV546*(1+'Real assumptions'!$B$35)^(1/12)</f>
        <v>1.7399168938587908</v>
      </c>
      <c r="AW547">
        <f t="shared" si="393"/>
        <v>2063</v>
      </c>
      <c r="AX547">
        <f t="shared" si="420"/>
        <v>90.805394669103421</v>
      </c>
      <c r="AY547">
        <f t="shared" si="421"/>
        <v>0.18763154797596932</v>
      </c>
      <c r="AZ547">
        <f t="shared" si="394"/>
        <v>186.39338658460306</v>
      </c>
      <c r="BA547">
        <f t="shared" si="411"/>
        <v>2.4790229731411233</v>
      </c>
      <c r="BB547">
        <f t="shared" si="412"/>
        <v>54.333333333333336</v>
      </c>
      <c r="BC547">
        <f t="shared" si="395"/>
        <v>32.6</v>
      </c>
      <c r="BD547">
        <f t="shared" si="413"/>
        <v>0</v>
      </c>
      <c r="BE547">
        <f t="shared" si="396"/>
        <v>24</v>
      </c>
      <c r="BF547">
        <f t="shared" si="422"/>
        <v>5000</v>
      </c>
      <c r="BU547"/>
      <c r="DW547" s="89"/>
      <c r="DX547" s="89"/>
      <c r="FD547"/>
      <c r="FE547"/>
    </row>
    <row r="548" spans="1:161" x14ac:dyDescent="0.25">
      <c r="A548" s="7">
        <f t="shared" si="414"/>
        <v>59779</v>
      </c>
      <c r="B548">
        <f t="shared" si="397"/>
        <v>537</v>
      </c>
      <c r="C548">
        <f t="shared" si="378"/>
        <v>44.666666666666664</v>
      </c>
      <c r="D548">
        <f t="shared" si="379"/>
        <v>0</v>
      </c>
      <c r="E548">
        <f t="shared" si="398"/>
        <v>96</v>
      </c>
      <c r="F548">
        <f>IF(C548&gt;=$T$2,0,VLOOKUP($E548,EKM_F05!$A$3:$C$128,2,TRUE))</f>
        <v>0.26798153846153844</v>
      </c>
      <c r="G548">
        <f>F548*'Real assumptions'!$B$3</f>
        <v>0.11182869599999999</v>
      </c>
      <c r="H548">
        <f t="shared" si="380"/>
        <v>9.833881756081353E-3</v>
      </c>
      <c r="I548">
        <f t="shared" si="381"/>
        <v>4.3200465934876178E-4</v>
      </c>
      <c r="J548">
        <f>IF(B548&gt;$AJ$2,0,HLOOKUP(C548,'Real assumptions'!$B$5:$L$8,4,TRUE))</f>
        <v>3.7900000000000003E-2</v>
      </c>
      <c r="K548">
        <f t="shared" si="387"/>
        <v>1</v>
      </c>
      <c r="L548">
        <f t="shared" si="415"/>
        <v>8.3333333333333329E-2</v>
      </c>
      <c r="M548">
        <f t="shared" si="382"/>
        <v>3.2145624959929453E-3</v>
      </c>
      <c r="N548">
        <f t="shared" si="383"/>
        <v>1.407483298123952E-4</v>
      </c>
      <c r="O548" s="8">
        <f t="shared" si="399"/>
        <v>4.3428196064998315E-2</v>
      </c>
      <c r="P548">
        <f t="shared" si="400"/>
        <v>1.0560227772998274</v>
      </c>
      <c r="Q548">
        <f t="shared" si="416"/>
        <v>2.1600232967438089</v>
      </c>
      <c r="R548" s="89">
        <f t="shared" si="388"/>
        <v>5000</v>
      </c>
      <c r="S548">
        <f t="shared" si="389"/>
        <v>0.25</v>
      </c>
      <c r="U548">
        <f>O547*AV547*'Real assumptions'!$B$33/12+AX548*'Real assumptions'!$B$34</f>
        <v>0.790186584952424</v>
      </c>
      <c r="V548">
        <f>IF(P548=0,0,IF(E548&lt;=$C$7,$AN$5*O547,0))*'Real assumptions'!$D$28</f>
        <v>0</v>
      </c>
      <c r="X548" s="94">
        <f t="shared" si="401"/>
        <v>0</v>
      </c>
      <c r="Y548">
        <f t="shared" si="390"/>
        <v>24</v>
      </c>
      <c r="Z548">
        <f t="shared" si="417"/>
        <v>54</v>
      </c>
      <c r="AA548">
        <f t="shared" si="391"/>
        <v>54.25</v>
      </c>
      <c r="AB548">
        <f t="shared" si="402"/>
        <v>50.505050505050505</v>
      </c>
      <c r="AC548">
        <f t="shared" si="384"/>
        <v>2739.8989898989898</v>
      </c>
      <c r="AD548">
        <f t="shared" si="403"/>
        <v>80.505050505050505</v>
      </c>
      <c r="AE548">
        <f t="shared" si="404"/>
        <v>218.36994949494948</v>
      </c>
      <c r="AF548" s="94">
        <f t="shared" si="405"/>
        <v>2041.7310606060607</v>
      </c>
      <c r="AG548">
        <f t="shared" si="418"/>
        <v>0.28737023670639328</v>
      </c>
      <c r="AH548">
        <f t="shared" si="406"/>
        <v>88.668696811996966</v>
      </c>
      <c r="AI548">
        <f>HLOOKUP(AW548,'Real assumptions'!$A$21:$AK$24,2,TRUE)</f>
        <v>0</v>
      </c>
      <c r="AJ548" s="123">
        <f t="shared" si="385"/>
        <v>0</v>
      </c>
      <c r="AK548" s="122">
        <f>(1+HLOOKUP(YEAR(A548),'Real assumptions'!$A$21:$AK$24,2,TRUE)/100)^(1/12)-1</f>
        <v>0</v>
      </c>
      <c r="AL548">
        <f t="shared" si="419"/>
        <v>0.790186584952424</v>
      </c>
      <c r="AM548">
        <f>('Real assumptions'!$B$33/12)*O547*AV547</f>
        <v>0.76557994605152047</v>
      </c>
      <c r="AN548">
        <f t="shared" si="407"/>
        <v>89.903991815240971</v>
      </c>
      <c r="AO548">
        <f t="shared" si="386"/>
        <v>0</v>
      </c>
      <c r="AP548" s="121">
        <f t="shared" si="408"/>
        <v>0</v>
      </c>
      <c r="AQ548">
        <f t="shared" si="409"/>
        <v>0</v>
      </c>
      <c r="AR548">
        <v>0</v>
      </c>
      <c r="AS548">
        <f t="shared" si="392"/>
        <v>0</v>
      </c>
      <c r="AT548">
        <f t="shared" si="410"/>
        <v>0</v>
      </c>
      <c r="AU548">
        <f>IFERROR(HLOOKUP(B548,'Real assumptions'!$B$43:$AL$44,2,TRUE)*($W$3/$U$2),0)</f>
        <v>0</v>
      </c>
      <c r="AV548">
        <f>AV547*(1+'Real assumptions'!$B$35)^(1/12)</f>
        <v>1.7417190058475114</v>
      </c>
      <c r="AW548">
        <f t="shared" si="393"/>
        <v>2063</v>
      </c>
      <c r="AX548">
        <f t="shared" si="420"/>
        <v>89.823344802414439</v>
      </c>
      <c r="AY548">
        <f t="shared" si="421"/>
        <v>0.18518917952087319</v>
      </c>
      <c r="AZ548">
        <f t="shared" si="394"/>
        <v>184.21182924350026</v>
      </c>
      <c r="BA548">
        <f t="shared" si="411"/>
        <v>2.4473935334502022</v>
      </c>
      <c r="BB548">
        <f t="shared" si="412"/>
        <v>54.25</v>
      </c>
      <c r="BC548">
        <f t="shared" si="395"/>
        <v>32.549999999999997</v>
      </c>
      <c r="BD548">
        <f t="shared" si="413"/>
        <v>0</v>
      </c>
      <c r="BE548">
        <f t="shared" si="396"/>
        <v>24</v>
      </c>
      <c r="BF548">
        <f t="shared" si="422"/>
        <v>5000</v>
      </c>
      <c r="BU548"/>
      <c r="DW548" s="89"/>
      <c r="DX548" s="89"/>
      <c r="FD548"/>
      <c r="FE548"/>
    </row>
    <row r="549" spans="1:161" x14ac:dyDescent="0.25">
      <c r="A549" s="7">
        <f t="shared" si="414"/>
        <v>59809</v>
      </c>
      <c r="B549">
        <f t="shared" si="397"/>
        <v>538</v>
      </c>
      <c r="C549">
        <f t="shared" si="378"/>
        <v>44.75</v>
      </c>
      <c r="D549">
        <f t="shared" si="379"/>
        <v>0</v>
      </c>
      <c r="E549">
        <f t="shared" si="398"/>
        <v>96</v>
      </c>
      <c r="F549">
        <f>IF(C549&gt;=$T$2,0,VLOOKUP($E549,EKM_F05!$A$3:$C$128,2,TRUE))</f>
        <v>0.26798153846153844</v>
      </c>
      <c r="G549">
        <f>F549*'Real assumptions'!$B$3</f>
        <v>0.11182869599999999</v>
      </c>
      <c r="H549">
        <f t="shared" si="380"/>
        <v>9.833881756081353E-3</v>
      </c>
      <c r="I549">
        <f t="shared" si="381"/>
        <v>4.2638132700497543E-4</v>
      </c>
      <c r="J549">
        <f>IF(B549&gt;$AJ$2,0,HLOOKUP(C549,'Real assumptions'!$B$5:$L$8,4,TRUE))</f>
        <v>3.7900000000000003E-2</v>
      </c>
      <c r="K549">
        <f t="shared" si="387"/>
        <v>1</v>
      </c>
      <c r="L549">
        <f t="shared" si="415"/>
        <v>8.3333333333333329E-2</v>
      </c>
      <c r="M549">
        <f t="shared" si="382"/>
        <v>3.2145624959929453E-3</v>
      </c>
      <c r="N549">
        <f t="shared" si="383"/>
        <v>1.3891623236103647E-4</v>
      </c>
      <c r="O549" s="8">
        <f t="shared" si="399"/>
        <v>4.2862898505632303E-2</v>
      </c>
      <c r="P549">
        <f t="shared" si="400"/>
        <v>1.0422767055599595</v>
      </c>
      <c r="Q549">
        <f t="shared" si="416"/>
        <v>2.131906635024877</v>
      </c>
      <c r="R549" s="89">
        <f t="shared" si="388"/>
        <v>5000</v>
      </c>
      <c r="S549">
        <f t="shared" si="389"/>
        <v>0.1666666666666643</v>
      </c>
      <c r="U549">
        <f>O548*AV548*'Real assumptions'!$B$33/12+AX549*'Real assumptions'!$B$34</f>
        <v>0.78073754508944015</v>
      </c>
      <c r="V549">
        <f>IF(P549=0,0,IF(E549&lt;=$C$7,$AN$5*O548,0))*'Real assumptions'!$D$28</f>
        <v>0</v>
      </c>
      <c r="X549" s="94">
        <f t="shared" si="401"/>
        <v>0</v>
      </c>
      <c r="Y549">
        <f t="shared" si="390"/>
        <v>24</v>
      </c>
      <c r="Z549">
        <f t="shared" si="417"/>
        <v>54</v>
      </c>
      <c r="AA549">
        <f t="shared" si="391"/>
        <v>54.166666666666664</v>
      </c>
      <c r="AB549">
        <f t="shared" si="402"/>
        <v>50.505050505050505</v>
      </c>
      <c r="AC549">
        <f t="shared" si="384"/>
        <v>2735.6902356902356</v>
      </c>
      <c r="AD549">
        <f t="shared" si="403"/>
        <v>80.505050505050505</v>
      </c>
      <c r="AE549">
        <f t="shared" si="404"/>
        <v>218.03451178451178</v>
      </c>
      <c r="AF549" s="94">
        <f t="shared" si="405"/>
        <v>2046.2752525252527</v>
      </c>
      <c r="AG549">
        <f t="shared" si="418"/>
        <v>0.28426084845443655</v>
      </c>
      <c r="AH549">
        <f t="shared" si="406"/>
        <v>87.70928846357701</v>
      </c>
      <c r="AI549">
        <f>HLOOKUP(AW549,'Real assumptions'!$A$21:$AK$24,2,TRUE)</f>
        <v>0</v>
      </c>
      <c r="AJ549" s="123">
        <f t="shared" si="385"/>
        <v>0</v>
      </c>
      <c r="AK549" s="122">
        <f>(1+HLOOKUP(YEAR(A549),'Real assumptions'!$A$21:$AK$24,2,TRUE)/100)^(1/12)-1</f>
        <v>0</v>
      </c>
      <c r="AL549">
        <f t="shared" si="419"/>
        <v>0.78073754508944015</v>
      </c>
      <c r="AM549">
        <f>('Real assumptions'!$B$33/12)*O548*AV548</f>
        <v>0.75639714476079667</v>
      </c>
      <c r="AN549">
        <f t="shared" si="407"/>
        <v>88.930235972467486</v>
      </c>
      <c r="AO549">
        <f t="shared" si="386"/>
        <v>0</v>
      </c>
      <c r="AP549" s="121">
        <f t="shared" si="408"/>
        <v>0</v>
      </c>
      <c r="AQ549">
        <f t="shared" si="409"/>
        <v>0</v>
      </c>
      <c r="AR549">
        <v>0</v>
      </c>
      <c r="AS549">
        <f t="shared" si="392"/>
        <v>0</v>
      </c>
      <c r="AT549">
        <f t="shared" si="410"/>
        <v>0</v>
      </c>
      <c r="AU549">
        <f>IFERROR(HLOOKUP(B549,'Real assumptions'!$B$43:$AL$44,2,TRUE)*($W$3/$U$2),0)</f>
        <v>0</v>
      </c>
      <c r="AV549">
        <f>AV548*(1+'Real assumptions'!$B$35)^(1/12)</f>
        <v>1.7435229843665423</v>
      </c>
      <c r="AW549">
        <f t="shared" si="393"/>
        <v>2063</v>
      </c>
      <c r="AX549">
        <f t="shared" si="420"/>
        <v>88.851475414964128</v>
      </c>
      <c r="AY549">
        <f t="shared" si="421"/>
        <v>0.18277860296716461</v>
      </c>
      <c r="AZ549">
        <f t="shared" si="394"/>
        <v>182.05720092049148</v>
      </c>
      <c r="BA549">
        <f t="shared" si="411"/>
        <v>2.4161674834793136</v>
      </c>
      <c r="BB549">
        <f t="shared" si="412"/>
        <v>54.166666666666664</v>
      </c>
      <c r="BC549">
        <f t="shared" si="395"/>
        <v>32.5</v>
      </c>
      <c r="BD549">
        <f t="shared" si="413"/>
        <v>0</v>
      </c>
      <c r="BE549">
        <f t="shared" si="396"/>
        <v>24</v>
      </c>
      <c r="BF549">
        <f t="shared" si="422"/>
        <v>5000</v>
      </c>
      <c r="BU549"/>
      <c r="DW549" s="89"/>
      <c r="DX549" s="89"/>
      <c r="FD549"/>
      <c r="FE549"/>
    </row>
    <row r="550" spans="1:161" x14ac:dyDescent="0.25">
      <c r="A550" s="7">
        <f t="shared" si="414"/>
        <v>59840</v>
      </c>
      <c r="B550">
        <f t="shared" si="397"/>
        <v>539</v>
      </c>
      <c r="C550">
        <f t="shared" ref="C550:C613" si="423">(B550+11)/12-1</f>
        <v>44.833333333333336</v>
      </c>
      <c r="D550">
        <f t="shared" ref="D550:D613" si="424">IF(C550-INT(C550)=0,1,0)</f>
        <v>0</v>
      </c>
      <c r="E550">
        <f t="shared" si="398"/>
        <v>96</v>
      </c>
      <c r="F550">
        <f>IF(C550&gt;=$T$2,0,VLOOKUP($E550,EKM_F05!$A$3:$C$128,2,TRUE))</f>
        <v>0.26798153846153844</v>
      </c>
      <c r="G550">
        <f>F550*'Real assumptions'!$B$3</f>
        <v>0.11182869599999999</v>
      </c>
      <c r="H550">
        <f t="shared" ref="H550:H613" si="425">(1-(1-G550)^(1/12))</f>
        <v>9.833881756081353E-3</v>
      </c>
      <c r="I550">
        <f t="shared" ref="I550:I613" si="426">H550*O549*(1-M550/2)</f>
        <v>4.2083119263710059E-4</v>
      </c>
      <c r="J550">
        <f>IF(B550&gt;$AJ$2,0,HLOOKUP(C550,'Real assumptions'!$B$5:$L$8,4,TRUE))</f>
        <v>3.7900000000000003E-2</v>
      </c>
      <c r="K550">
        <f t="shared" si="387"/>
        <v>1</v>
      </c>
      <c r="L550">
        <f t="shared" si="415"/>
        <v>8.3333333333333329E-2</v>
      </c>
      <c r="M550">
        <f t="shared" ref="M550:M613" si="427">(1-(1-J550)^L550)</f>
        <v>3.2145624959929453E-3</v>
      </c>
      <c r="N550">
        <f t="shared" ref="N550:N613" si="428">M550*O549*(1-H550/2)</f>
        <v>1.3710798301555405E-4</v>
      </c>
      <c r="O550" s="8">
        <f t="shared" si="399"/>
        <v>4.2304959329979651E-2</v>
      </c>
      <c r="P550">
        <f t="shared" si="400"/>
        <v>1.0287095641351753</v>
      </c>
      <c r="Q550">
        <f t="shared" si="416"/>
        <v>2.1041559631855029</v>
      </c>
      <c r="R550" s="89">
        <f t="shared" si="388"/>
        <v>5000</v>
      </c>
      <c r="S550">
        <f t="shared" si="389"/>
        <v>8.3333333333335702E-2</v>
      </c>
      <c r="U550">
        <f>O549*AV549*'Real assumptions'!$B$33/12+AX550*'Real assumptions'!$B$34</f>
        <v>0.77140141083565361</v>
      </c>
      <c r="V550">
        <f>IF(P550=0,0,IF(E550&lt;=$C$7,$AN$5*O549,0))*'Real assumptions'!$D$28</f>
        <v>0</v>
      </c>
      <c r="X550" s="94">
        <f t="shared" si="401"/>
        <v>0</v>
      </c>
      <c r="Y550">
        <f t="shared" si="390"/>
        <v>24</v>
      </c>
      <c r="Z550">
        <f t="shared" si="417"/>
        <v>54</v>
      </c>
      <c r="AA550">
        <f t="shared" si="391"/>
        <v>54.083333333333336</v>
      </c>
      <c r="AB550">
        <f t="shared" si="402"/>
        <v>50.505050505050505</v>
      </c>
      <c r="AC550">
        <f t="shared" ref="AC550:AC613" si="429">AB550*AA550</f>
        <v>2731.4814814814818</v>
      </c>
      <c r="AD550">
        <f t="shared" si="403"/>
        <v>80.505050505050505</v>
      </c>
      <c r="AE550">
        <f t="shared" si="404"/>
        <v>217.69907407407408</v>
      </c>
      <c r="AF550" s="94">
        <f t="shared" si="405"/>
        <v>2050.8194444444443</v>
      </c>
      <c r="AG550">
        <f t="shared" si="418"/>
        <v>0.28118371755685684</v>
      </c>
      <c r="AH550">
        <f t="shared" si="406"/>
        <v>86.759833190353675</v>
      </c>
      <c r="AI550">
        <f>HLOOKUP(AW550,'Real assumptions'!$A$21:$AK$24,2,TRUE)</f>
        <v>0</v>
      </c>
      <c r="AJ550" s="123">
        <f t="shared" ref="AJ550:AJ613" si="430">((1+AI550/100)^(1/12))-1</f>
        <v>0</v>
      </c>
      <c r="AK550" s="122">
        <f>(1+HLOOKUP(YEAR(A550),'Real assumptions'!$A$21:$AK$24,2,TRUE)/100)^(1/12)-1</f>
        <v>0</v>
      </c>
      <c r="AL550">
        <f t="shared" si="419"/>
        <v>0.77140141083565361</v>
      </c>
      <c r="AM550">
        <f>('Real assumptions'!$B$33/12)*O549*AV549</f>
        <v>0.74732448721140232</v>
      </c>
      <c r="AN550">
        <f t="shared" si="407"/>
        <v>87.966596616876529</v>
      </c>
      <c r="AO550">
        <f t="shared" ref="AO550:AO613" si="431">AN550*AJ550</f>
        <v>0</v>
      </c>
      <c r="AP550" s="121">
        <f t="shared" si="408"/>
        <v>0</v>
      </c>
      <c r="AQ550">
        <f t="shared" si="409"/>
        <v>0</v>
      </c>
      <c r="AR550">
        <v>0</v>
      </c>
      <c r="AS550">
        <f t="shared" si="392"/>
        <v>0</v>
      </c>
      <c r="AT550">
        <f t="shared" si="410"/>
        <v>0</v>
      </c>
      <c r="AU550">
        <f>IFERROR(HLOOKUP(B550,'Real assumptions'!$B$43:$AL$44,2,TRUE)*($W$3/$U$2),0)</f>
        <v>0</v>
      </c>
      <c r="AV550">
        <f>AV549*(1+'Real assumptions'!$B$35)^(1/12)</f>
        <v>1.7453288313491349</v>
      </c>
      <c r="AW550">
        <f t="shared" si="393"/>
        <v>2063</v>
      </c>
      <c r="AX550">
        <f t="shared" si="420"/>
        <v>87.889687868061998</v>
      </c>
      <c r="AY550">
        <f t="shared" si="421"/>
        <v>0.18039940448498443</v>
      </c>
      <c r="AZ550">
        <f t="shared" si="394"/>
        <v>179.92916939304862</v>
      </c>
      <c r="BA550">
        <f t="shared" si="411"/>
        <v>2.3853396807423599</v>
      </c>
      <c r="BB550">
        <f t="shared" si="412"/>
        <v>54.083333333333336</v>
      </c>
      <c r="BC550">
        <f t="shared" si="395"/>
        <v>32.450000000000003</v>
      </c>
      <c r="BD550">
        <f t="shared" si="413"/>
        <v>0</v>
      </c>
      <c r="BE550">
        <f t="shared" si="396"/>
        <v>24</v>
      </c>
      <c r="BF550">
        <f t="shared" si="422"/>
        <v>5000</v>
      </c>
      <c r="BU550"/>
      <c r="DW550" s="89"/>
      <c r="DX550" s="89"/>
      <c r="FD550"/>
      <c r="FE550"/>
    </row>
    <row r="551" spans="1:161" x14ac:dyDescent="0.25">
      <c r="A551" s="7">
        <f t="shared" si="414"/>
        <v>59870</v>
      </c>
      <c r="B551">
        <f t="shared" si="397"/>
        <v>540</v>
      </c>
      <c r="C551">
        <f t="shared" si="423"/>
        <v>44.916666666666664</v>
      </c>
      <c r="D551">
        <f t="shared" si="424"/>
        <v>0</v>
      </c>
      <c r="E551">
        <f t="shared" si="398"/>
        <v>96</v>
      </c>
      <c r="F551">
        <f>IF(C551&gt;=$T$2,0,VLOOKUP($E551,EKM_F05!$A$3:$C$128,2,TRUE))</f>
        <v>0.26798153846153844</v>
      </c>
      <c r="G551">
        <f>F551*'Real assumptions'!$B$3</f>
        <v>0.11182869599999999</v>
      </c>
      <c r="H551">
        <f t="shared" si="425"/>
        <v>9.833881756081353E-3</v>
      </c>
      <c r="I551">
        <f t="shared" si="426"/>
        <v>4.1535330343933641E-4</v>
      </c>
      <c r="J551">
        <f>IF(B551&gt;$AJ$2,0,HLOOKUP(C551,'Real assumptions'!$B$5:$L$8,4,TRUE))</f>
        <v>3.7900000000000003E-2</v>
      </c>
      <c r="K551">
        <f t="shared" si="387"/>
        <v>1</v>
      </c>
      <c r="L551">
        <f t="shared" si="415"/>
        <v>8.3333333333333329E-2</v>
      </c>
      <c r="M551">
        <f t="shared" si="427"/>
        <v>3.2145624959929453E-3</v>
      </c>
      <c r="N551">
        <f t="shared" si="428"/>
        <v>1.3532327134914532E-4</v>
      </c>
      <c r="O551" s="8">
        <f t="shared" si="399"/>
        <v>4.175428275519117E-2</v>
      </c>
      <c r="P551">
        <f t="shared" si="400"/>
        <v>1.0153190239195116</v>
      </c>
      <c r="Q551">
        <f t="shared" si="416"/>
        <v>2.076766517196682</v>
      </c>
      <c r="R551" s="89">
        <f t="shared" si="388"/>
        <v>5000</v>
      </c>
      <c r="S551">
        <f t="shared" si="389"/>
        <v>1</v>
      </c>
      <c r="U551">
        <f>O550*AV550*'Real assumptions'!$B$33/12+AX551*'Real assumptions'!$B$34</f>
        <v>0.76217683427375771</v>
      </c>
      <c r="V551">
        <f>IF(P551=0,0,IF(E551&lt;=$C$7,$AN$5*O550,0))*'Real assumptions'!$D$28</f>
        <v>0</v>
      </c>
      <c r="X551" s="94">
        <f t="shared" si="401"/>
        <v>0</v>
      </c>
      <c r="Y551">
        <f t="shared" si="390"/>
        <v>24</v>
      </c>
      <c r="Z551">
        <f t="shared" si="417"/>
        <v>54</v>
      </c>
      <c r="AA551">
        <f t="shared" si="391"/>
        <v>54</v>
      </c>
      <c r="AB551">
        <f t="shared" si="402"/>
        <v>50.505050505050505</v>
      </c>
      <c r="AC551">
        <f t="shared" si="429"/>
        <v>2727.2727272727275</v>
      </c>
      <c r="AD551">
        <f t="shared" si="403"/>
        <v>80.505050505050505</v>
      </c>
      <c r="AE551">
        <f t="shared" si="404"/>
        <v>217.36363636363635</v>
      </c>
      <c r="AF551" s="94">
        <f t="shared" si="405"/>
        <v>2055.363636363636</v>
      </c>
      <c r="AG551">
        <f t="shared" si="418"/>
        <v>0.27813853108480235</v>
      </c>
      <c r="AH551">
        <f t="shared" si="406"/>
        <v>85.820234437465189</v>
      </c>
      <c r="AI551">
        <f>HLOOKUP(AW551,'Real assumptions'!$A$21:$AK$24,2,TRUE)</f>
        <v>0</v>
      </c>
      <c r="AJ551" s="123">
        <f t="shared" si="430"/>
        <v>0</v>
      </c>
      <c r="AK551" s="122">
        <f>(1+HLOOKUP(YEAR(A551),'Real assumptions'!$A$21:$AK$24,2,TRUE)/100)^(1/12)-1</f>
        <v>0</v>
      </c>
      <c r="AL551">
        <f t="shared" si="419"/>
        <v>0.76217683427375771</v>
      </c>
      <c r="AM551">
        <f>('Real assumptions'!$B$33/12)*O550*AV550</f>
        <v>0.7383606522766607</v>
      </c>
      <c r="AN551">
        <f t="shared" si="407"/>
        <v>87.012975379999432</v>
      </c>
      <c r="AO551">
        <f t="shared" si="431"/>
        <v>0</v>
      </c>
      <c r="AP551" s="121">
        <f t="shared" si="408"/>
        <v>0</v>
      </c>
      <c r="AQ551">
        <f t="shared" si="409"/>
        <v>0</v>
      </c>
      <c r="AR551">
        <v>0</v>
      </c>
      <c r="AS551">
        <f t="shared" si="392"/>
        <v>0</v>
      </c>
      <c r="AT551">
        <f t="shared" si="410"/>
        <v>0</v>
      </c>
      <c r="AU551">
        <f>IFERROR(HLOOKUP(B551,'Real assumptions'!$B$43:$AL$44,2,TRUE)*($W$3/$U$2),0)</f>
        <v>0</v>
      </c>
      <c r="AV551">
        <f>AV550*(1+'Real assumptions'!$B$35)^(1/12)</f>
        <v>1.7471365487305428</v>
      </c>
      <c r="AW551">
        <f t="shared" si="393"/>
        <v>2063</v>
      </c>
      <c r="AX551">
        <f t="shared" si="420"/>
        <v>86.9378843659849</v>
      </c>
      <c r="AY551">
        <f t="shared" si="421"/>
        <v>0.17805117563122747</v>
      </c>
      <c r="AZ551">
        <f t="shared" si="394"/>
        <v>177.82740653441289</v>
      </c>
      <c r="BA551">
        <f t="shared" si="411"/>
        <v>2.3549050482814842</v>
      </c>
      <c r="BB551">
        <f t="shared" si="412"/>
        <v>54</v>
      </c>
      <c r="BC551">
        <f t="shared" si="395"/>
        <v>32.4</v>
      </c>
      <c r="BD551">
        <f t="shared" si="413"/>
        <v>0</v>
      </c>
      <c r="BE551">
        <f t="shared" si="396"/>
        <v>24</v>
      </c>
      <c r="BF551">
        <f t="shared" si="422"/>
        <v>5000</v>
      </c>
      <c r="BU551"/>
      <c r="DW551" s="89"/>
      <c r="DX551" s="89"/>
      <c r="FD551"/>
      <c r="FE551"/>
    </row>
    <row r="552" spans="1:161" x14ac:dyDescent="0.25">
      <c r="A552" s="7">
        <f t="shared" si="414"/>
        <v>59901</v>
      </c>
      <c r="B552">
        <f t="shared" si="397"/>
        <v>541</v>
      </c>
      <c r="C552">
        <f t="shared" si="423"/>
        <v>45</v>
      </c>
      <c r="D552">
        <f t="shared" si="424"/>
        <v>1</v>
      </c>
      <c r="E552">
        <f t="shared" si="398"/>
        <v>97</v>
      </c>
      <c r="F552">
        <f>IF(C552&gt;=$T$2,0,VLOOKUP($E552,EKM_F05!$A$3:$C$128,2,TRUE))</f>
        <v>0.29521782051282053</v>
      </c>
      <c r="G552">
        <f>F552*'Real assumptions'!$B$3</f>
        <v>0.12319439650000001</v>
      </c>
      <c r="H552">
        <f t="shared" si="425"/>
        <v>1.0896034452733683E-2</v>
      </c>
      <c r="I552">
        <f t="shared" si="426"/>
        <v>4.5422486103601054E-4</v>
      </c>
      <c r="J552">
        <f>IF(B552&gt;$AJ$2,0,HLOOKUP(C552,'Real assumptions'!$B$5:$L$8,4,TRUE))</f>
        <v>3.7900000000000003E-2</v>
      </c>
      <c r="K552">
        <f t="shared" si="387"/>
        <v>1</v>
      </c>
      <c r="L552">
        <f t="shared" si="415"/>
        <v>8.3333333333333329E-2</v>
      </c>
      <c r="M552">
        <f t="shared" si="427"/>
        <v>3.2145624959929453E-3</v>
      </c>
      <c r="N552">
        <f t="shared" si="428"/>
        <v>1.334905089781862E-4</v>
      </c>
      <c r="O552" s="8">
        <f t="shared" si="399"/>
        <v>4.1166567385176975E-2</v>
      </c>
      <c r="P552">
        <f t="shared" si="400"/>
        <v>1.0021027861245881</v>
      </c>
      <c r="Q552">
        <f t="shared" si="416"/>
        <v>2.2711243051800527</v>
      </c>
      <c r="R552" s="89">
        <f t="shared" si="388"/>
        <v>5000</v>
      </c>
      <c r="S552">
        <f t="shared" si="389"/>
        <v>0.9166666666666643</v>
      </c>
      <c r="U552">
        <f>O551*AV551*'Real assumptions'!$B$33/12+AX552*'Real assumptions'!$B$34</f>
        <v>0.75306248356228211</v>
      </c>
      <c r="V552">
        <f>IF(P552=0,0,IF(E552&lt;=$C$7,$AN$5*O551,0))*'Real assumptions'!$D$28</f>
        <v>0</v>
      </c>
      <c r="X552" s="94">
        <f t="shared" si="401"/>
        <v>0</v>
      </c>
      <c r="Y552">
        <f t="shared" si="390"/>
        <v>24</v>
      </c>
      <c r="Z552">
        <f t="shared" si="417"/>
        <v>54</v>
      </c>
      <c r="AA552">
        <f t="shared" si="391"/>
        <v>53.916666666666664</v>
      </c>
      <c r="AB552">
        <f t="shared" si="402"/>
        <v>50.505050505050505</v>
      </c>
      <c r="AC552">
        <f t="shared" si="429"/>
        <v>2723.0639730639728</v>
      </c>
      <c r="AD552">
        <f t="shared" si="403"/>
        <v>80.505050505050505</v>
      </c>
      <c r="AE552">
        <f t="shared" si="404"/>
        <v>217.02819865319864</v>
      </c>
      <c r="AF552" s="94">
        <f t="shared" si="405"/>
        <v>2059.9078282828286</v>
      </c>
      <c r="AG552">
        <f t="shared" si="418"/>
        <v>0.27497814444562496</v>
      </c>
      <c r="AH552">
        <f t="shared" si="406"/>
        <v>84.799334420258631</v>
      </c>
      <c r="AI552">
        <f>HLOOKUP(AW552,'Real assumptions'!$A$21:$AK$24,2,TRUE)</f>
        <v>0</v>
      </c>
      <c r="AJ552" s="123">
        <f t="shared" si="430"/>
        <v>0</v>
      </c>
      <c r="AK552" s="122">
        <f>(1+HLOOKUP(YEAR(A552),'Real assumptions'!$A$21:$AK$24,2,TRUE)/100)^(1/12)-1</f>
        <v>0</v>
      </c>
      <c r="AL552">
        <f t="shared" si="419"/>
        <v>0.75306248356228211</v>
      </c>
      <c r="AM552">
        <f>('Real assumptions'!$B$33/12)*O551*AV551</f>
        <v>0.72950433467623921</v>
      </c>
      <c r="AN552">
        <f t="shared" si="407"/>
        <v>86.069274740027481</v>
      </c>
      <c r="AO552">
        <f t="shared" si="431"/>
        <v>0</v>
      </c>
      <c r="AP552" s="121">
        <f t="shared" si="408"/>
        <v>0</v>
      </c>
      <c r="AQ552">
        <f t="shared" si="409"/>
        <v>0</v>
      </c>
      <c r="AR552">
        <v>0</v>
      </c>
      <c r="AS552">
        <f t="shared" si="392"/>
        <v>0</v>
      </c>
      <c r="AT552">
        <f t="shared" si="410"/>
        <v>0</v>
      </c>
      <c r="AU552">
        <f>IFERROR(HLOOKUP(B552,'Real assumptions'!$B$43:$AL$44,2,TRUE)*($W$3/$U$2),0)</f>
        <v>0</v>
      </c>
      <c r="AV552">
        <f>AV551*(1+'Real assumptions'!$B$35)^(1/12)</f>
        <v>1.7489461384480243</v>
      </c>
      <c r="AW552">
        <f t="shared" si="393"/>
        <v>2063</v>
      </c>
      <c r="AX552">
        <f t="shared" si="420"/>
        <v>85.995967950744614</v>
      </c>
      <c r="AY552">
        <f t="shared" si="421"/>
        <v>0.1757335132794241</v>
      </c>
      <c r="AZ552">
        <f t="shared" si="394"/>
        <v>175.53034438734954</v>
      </c>
      <c r="BA552">
        <f t="shared" si="411"/>
        <v>2.5461024496256774</v>
      </c>
      <c r="BB552">
        <f t="shared" si="412"/>
        <v>53.916666666666664</v>
      </c>
      <c r="BC552">
        <f t="shared" si="395"/>
        <v>32.349999999999994</v>
      </c>
      <c r="BD552">
        <f t="shared" si="413"/>
        <v>0</v>
      </c>
      <c r="BE552">
        <f t="shared" si="396"/>
        <v>24</v>
      </c>
      <c r="BF552">
        <f t="shared" si="422"/>
        <v>5000</v>
      </c>
      <c r="BU552"/>
      <c r="DW552" s="89"/>
      <c r="DX552" s="89"/>
      <c r="FD552"/>
      <c r="FE552"/>
    </row>
    <row r="553" spans="1:161" x14ac:dyDescent="0.25">
      <c r="A553" s="7">
        <f t="shared" si="414"/>
        <v>59932</v>
      </c>
      <c r="B553">
        <f t="shared" si="397"/>
        <v>542</v>
      </c>
      <c r="C553">
        <f t="shared" si="423"/>
        <v>45.083333333333336</v>
      </c>
      <c r="D553">
        <f t="shared" si="424"/>
        <v>0</v>
      </c>
      <c r="E553">
        <f t="shared" si="398"/>
        <v>97</v>
      </c>
      <c r="F553">
        <f>IF(C553&gt;=$T$2,0,VLOOKUP($E553,EKM_F05!$A$3:$C$128,2,TRUE))</f>
        <v>0.29521782051282053</v>
      </c>
      <c r="G553">
        <f>F553*'Real assumptions'!$B$3</f>
        <v>0.12319439650000001</v>
      </c>
      <c r="H553">
        <f t="shared" si="425"/>
        <v>1.0896034452733683E-2</v>
      </c>
      <c r="I553">
        <f t="shared" si="426"/>
        <v>4.4783138677042194E-4</v>
      </c>
      <c r="J553">
        <f>IF(B553&gt;$AJ$2,0,HLOOKUP(C553,'Real assumptions'!$B$5:$L$8,4,TRUE))</f>
        <v>3.7900000000000003E-2</v>
      </c>
      <c r="K553">
        <f t="shared" si="387"/>
        <v>1</v>
      </c>
      <c r="L553">
        <f t="shared" si="415"/>
        <v>8.3333333333333329E-2</v>
      </c>
      <c r="M553">
        <f t="shared" si="427"/>
        <v>3.2145624959929453E-3</v>
      </c>
      <c r="N553">
        <f t="shared" si="428"/>
        <v>1.3161155384590714E-4</v>
      </c>
      <c r="O553" s="8">
        <f t="shared" si="399"/>
        <v>4.0587124444560641E-2</v>
      </c>
      <c r="P553">
        <f t="shared" si="400"/>
        <v>0.98799761724424739</v>
      </c>
      <c r="Q553">
        <f t="shared" si="416"/>
        <v>2.2391569338521098</v>
      </c>
      <c r="R553" s="89">
        <f t="shared" si="388"/>
        <v>5000</v>
      </c>
      <c r="S553">
        <f t="shared" si="389"/>
        <v>0.8333333333333357</v>
      </c>
      <c r="U553">
        <f>O552*AV552*'Real assumptions'!$B$33/12+AX553*'Real assumptions'!$B$34</f>
        <v>0.74325889162595726</v>
      </c>
      <c r="V553">
        <f>IF(P553=0,0,IF(E553&lt;=$C$7,$AN$5*O552,0))*'Real assumptions'!$D$28</f>
        <v>0</v>
      </c>
      <c r="X553" s="94">
        <f t="shared" si="401"/>
        <v>0</v>
      </c>
      <c r="Y553">
        <f t="shared" si="390"/>
        <v>24</v>
      </c>
      <c r="Z553">
        <f t="shared" si="417"/>
        <v>53</v>
      </c>
      <c r="AA553">
        <f t="shared" si="391"/>
        <v>53.833333333333336</v>
      </c>
      <c r="AB553">
        <f t="shared" si="402"/>
        <v>50.505050505050505</v>
      </c>
      <c r="AC553">
        <f t="shared" si="429"/>
        <v>2718.8552188552189</v>
      </c>
      <c r="AD553">
        <f t="shared" si="403"/>
        <v>80.505050505050505</v>
      </c>
      <c r="AE553">
        <f t="shared" si="404"/>
        <v>216.69276094276094</v>
      </c>
      <c r="AF553" s="94">
        <f t="shared" si="405"/>
        <v>2064.4520202020203</v>
      </c>
      <c r="AG553">
        <f t="shared" si="418"/>
        <v>0.27170573821910998</v>
      </c>
      <c r="AH553">
        <f t="shared" si="406"/>
        <v>83.790171053764013</v>
      </c>
      <c r="AI553">
        <f>HLOOKUP(AW553,'Real assumptions'!$A$21:$AK$24,2,TRUE)</f>
        <v>0</v>
      </c>
      <c r="AJ553" s="123">
        <f t="shared" si="430"/>
        <v>0</v>
      </c>
      <c r="AK553" s="122">
        <f>(1+HLOOKUP(YEAR(A553),'Real assumptions'!$A$21:$AK$24,2,TRUE)/100)^(1/12)-1</f>
        <v>0</v>
      </c>
      <c r="AL553">
        <f t="shared" si="419"/>
        <v>0.74325889162595726</v>
      </c>
      <c r="AM553">
        <f>('Real assumptions'!$B$33/12)*O552*AV552</f>
        <v>0.71998109061465654</v>
      </c>
      <c r="AN553">
        <f t="shared" si="407"/>
        <v>85.044073145876922</v>
      </c>
      <c r="AO553">
        <f t="shared" si="431"/>
        <v>0</v>
      </c>
      <c r="AP553" s="121">
        <f t="shared" si="408"/>
        <v>0</v>
      </c>
      <c r="AQ553">
        <f t="shared" si="409"/>
        <v>0</v>
      </c>
      <c r="AR553">
        <v>0</v>
      </c>
      <c r="AS553">
        <f t="shared" si="392"/>
        <v>0</v>
      </c>
      <c r="AT553">
        <f t="shared" si="410"/>
        <v>0</v>
      </c>
      <c r="AU553">
        <f>IFERROR(HLOOKUP(B553,'Real assumptions'!$B$43:$AL$44,2,TRUE)*($W$3/$U$2),0)</f>
        <v>0</v>
      </c>
      <c r="AV553">
        <f>AV552*(1+'Real assumptions'!$B$35)^(1/12)</f>
        <v>1.750757602440844</v>
      </c>
      <c r="AW553">
        <f t="shared" si="393"/>
        <v>2064</v>
      </c>
      <c r="AX553">
        <f t="shared" si="420"/>
        <v>84.972594384000956</v>
      </c>
      <c r="AY553">
        <f t="shared" si="421"/>
        <v>0.17325996374232733</v>
      </c>
      <c r="AZ553">
        <f t="shared" si="394"/>
        <v>173.26422044089659</v>
      </c>
      <c r="BA553">
        <f t="shared" si="411"/>
        <v>2.5108626720712199</v>
      </c>
      <c r="BB553">
        <f t="shared" si="412"/>
        <v>53.833333333333336</v>
      </c>
      <c r="BC553">
        <f t="shared" si="395"/>
        <v>32.299999999999997</v>
      </c>
      <c r="BD553">
        <f t="shared" si="413"/>
        <v>0</v>
      </c>
      <c r="BE553">
        <f t="shared" si="396"/>
        <v>24</v>
      </c>
      <c r="BF553">
        <f t="shared" si="422"/>
        <v>5000</v>
      </c>
      <c r="BU553"/>
      <c r="DW553" s="89"/>
      <c r="DX553" s="89"/>
      <c r="FD553"/>
      <c r="FE553"/>
    </row>
    <row r="554" spans="1:161" x14ac:dyDescent="0.25">
      <c r="A554" s="7">
        <f t="shared" si="414"/>
        <v>59961</v>
      </c>
      <c r="B554">
        <f t="shared" si="397"/>
        <v>543</v>
      </c>
      <c r="C554">
        <f t="shared" si="423"/>
        <v>45.166666666666664</v>
      </c>
      <c r="D554">
        <f t="shared" si="424"/>
        <v>0</v>
      </c>
      <c r="E554">
        <f t="shared" si="398"/>
        <v>97</v>
      </c>
      <c r="F554">
        <f>IF(C554&gt;=$T$2,0,VLOOKUP($E554,EKM_F05!$A$3:$C$128,2,TRUE))</f>
        <v>0.29521782051282053</v>
      </c>
      <c r="G554">
        <f>F554*'Real assumptions'!$B$3</f>
        <v>0.12319439650000001</v>
      </c>
      <c r="H554">
        <f t="shared" si="425"/>
        <v>1.0896034452733683E-2</v>
      </c>
      <c r="I554">
        <f t="shared" si="426"/>
        <v>4.4152790430557155E-4</v>
      </c>
      <c r="J554">
        <f>IF(B554&gt;$AJ$2,0,HLOOKUP(C554,'Real assumptions'!$B$5:$L$8,4,TRUE))</f>
        <v>3.7900000000000003E-2</v>
      </c>
      <c r="K554">
        <f t="shared" si="387"/>
        <v>1</v>
      </c>
      <c r="L554">
        <f t="shared" si="415"/>
        <v>8.3333333333333329E-2</v>
      </c>
      <c r="M554">
        <f t="shared" si="427"/>
        <v>3.2145624959929453E-3</v>
      </c>
      <c r="N554">
        <f t="shared" si="428"/>
        <v>1.297590460799325E-4</v>
      </c>
      <c r="O554" s="8">
        <f t="shared" si="399"/>
        <v>4.0015837494175137E-2</v>
      </c>
      <c r="P554">
        <f t="shared" si="400"/>
        <v>0.97409098666945537</v>
      </c>
      <c r="Q554">
        <f t="shared" si="416"/>
        <v>2.2076395215278577</v>
      </c>
      <c r="R554" s="89">
        <f t="shared" si="388"/>
        <v>5000</v>
      </c>
      <c r="S554">
        <f t="shared" si="389"/>
        <v>0.75</v>
      </c>
      <c r="U554">
        <f>O553*AV553*'Real assumptions'!$B$33/12+AX554*'Real assumptions'!$B$34</f>
        <v>0.73358284469418289</v>
      </c>
      <c r="V554">
        <f>IF(P554=0,0,IF(E554&lt;=$C$7,$AN$5*O553,0))*'Real assumptions'!$D$28</f>
        <v>0</v>
      </c>
      <c r="X554" s="94">
        <f t="shared" si="401"/>
        <v>0</v>
      </c>
      <c r="Y554">
        <f t="shared" si="390"/>
        <v>24</v>
      </c>
      <c r="Z554">
        <f t="shared" si="417"/>
        <v>53</v>
      </c>
      <c r="AA554">
        <f t="shared" si="391"/>
        <v>53.75</v>
      </c>
      <c r="AB554">
        <f t="shared" si="402"/>
        <v>50.505050505050505</v>
      </c>
      <c r="AC554">
        <f t="shared" si="429"/>
        <v>2714.6464646464647</v>
      </c>
      <c r="AD554">
        <f t="shared" si="403"/>
        <v>80.505050505050505</v>
      </c>
      <c r="AE554">
        <f t="shared" si="404"/>
        <v>216.35732323232321</v>
      </c>
      <c r="AF554" s="94">
        <f t="shared" si="405"/>
        <v>2068.996212121212</v>
      </c>
      <c r="AG554">
        <f t="shared" si="418"/>
        <v>0.26847097482784216</v>
      </c>
      <c r="AH554">
        <f t="shared" si="406"/>
        <v>82.792616200306327</v>
      </c>
      <c r="AI554">
        <f>HLOOKUP(AW554,'Real assumptions'!$A$21:$AK$24,2,TRUE)</f>
        <v>0</v>
      </c>
      <c r="AJ554" s="123">
        <f t="shared" si="430"/>
        <v>0</v>
      </c>
      <c r="AK554" s="122">
        <f>(1+HLOOKUP(YEAR(A554),'Real assumptions'!$A$21:$AK$24,2,TRUE)/100)^(1/12)-1</f>
        <v>0</v>
      </c>
      <c r="AL554">
        <f t="shared" si="419"/>
        <v>0.73358284469418289</v>
      </c>
      <c r="AM554">
        <f>('Real assumptions'!$B$33/12)*O553*AV553</f>
        <v>0.71058216682527164</v>
      </c>
      <c r="AN554">
        <f t="shared" si="407"/>
        <v>84.030679195739282</v>
      </c>
      <c r="AO554">
        <f t="shared" si="431"/>
        <v>0</v>
      </c>
      <c r="AP554" s="121">
        <f t="shared" si="408"/>
        <v>0</v>
      </c>
      <c r="AQ554">
        <f t="shared" si="409"/>
        <v>0</v>
      </c>
      <c r="AR554">
        <v>0</v>
      </c>
      <c r="AS554">
        <f t="shared" si="392"/>
        <v>0</v>
      </c>
      <c r="AT554">
        <f t="shared" si="410"/>
        <v>0</v>
      </c>
      <c r="AU554">
        <f>IFERROR(HLOOKUP(B554,'Real assumptions'!$B$43:$AL$44,2,TRUE)*($W$3/$U$2),0)</f>
        <v>0</v>
      </c>
      <c r="AV554">
        <f>AV553*(1+'Real assumptions'!$B$35)^(1/12)</f>
        <v>1.7525709426502749</v>
      </c>
      <c r="AW554">
        <f t="shared" si="393"/>
        <v>2064</v>
      </c>
      <c r="AX554">
        <f t="shared" si="420"/>
        <v>83.960992284591285</v>
      </c>
      <c r="AY554">
        <f t="shared" si="421"/>
        <v>0.17082123082727541</v>
      </c>
      <c r="AZ554">
        <f t="shared" si="394"/>
        <v>171.02861808651619</v>
      </c>
      <c r="BA554">
        <f t="shared" si="411"/>
        <v>2.4761104963556999</v>
      </c>
      <c r="BB554">
        <f t="shared" si="412"/>
        <v>53.75</v>
      </c>
      <c r="BC554">
        <f t="shared" si="395"/>
        <v>32.25</v>
      </c>
      <c r="BD554">
        <f t="shared" si="413"/>
        <v>0</v>
      </c>
      <c r="BE554">
        <f t="shared" si="396"/>
        <v>24</v>
      </c>
      <c r="BF554">
        <f t="shared" si="422"/>
        <v>5000</v>
      </c>
      <c r="BU554"/>
      <c r="DW554" s="89"/>
      <c r="DX554" s="89"/>
      <c r="FD554"/>
      <c r="FE554"/>
    </row>
    <row r="555" spans="1:161" x14ac:dyDescent="0.25">
      <c r="A555" s="7">
        <f t="shared" si="414"/>
        <v>59992</v>
      </c>
      <c r="B555">
        <f t="shared" si="397"/>
        <v>544</v>
      </c>
      <c r="C555">
        <f t="shared" si="423"/>
        <v>45.25</v>
      </c>
      <c r="D555">
        <f t="shared" si="424"/>
        <v>0</v>
      </c>
      <c r="E555">
        <f t="shared" si="398"/>
        <v>97</v>
      </c>
      <c r="F555">
        <f>IF(C555&gt;=$T$2,0,VLOOKUP($E555,EKM_F05!$A$3:$C$128,2,TRUE))</f>
        <v>0.29521782051282053</v>
      </c>
      <c r="G555">
        <f>F555*'Real assumptions'!$B$3</f>
        <v>0.12319439650000001</v>
      </c>
      <c r="H555">
        <f t="shared" si="425"/>
        <v>1.0896034452733683E-2</v>
      </c>
      <c r="I555">
        <f t="shared" si="426"/>
        <v>4.3531314695548201E-4</v>
      </c>
      <c r="J555">
        <f>IF(B555&gt;$AJ$2,0,HLOOKUP(C555,'Real assumptions'!$B$5:$L$8,4,TRUE))</f>
        <v>3.7900000000000003E-2</v>
      </c>
      <c r="K555">
        <f t="shared" si="387"/>
        <v>1</v>
      </c>
      <c r="L555">
        <f t="shared" si="415"/>
        <v>8.3333333333333329E-2</v>
      </c>
      <c r="M555">
        <f t="shared" si="427"/>
        <v>3.2145624959929453E-3</v>
      </c>
      <c r="N555">
        <f t="shared" si="428"/>
        <v>1.2793261341848114E-4</v>
      </c>
      <c r="O555" s="8">
        <f t="shared" si="399"/>
        <v>3.9452591733801175E-2</v>
      </c>
      <c r="P555">
        <f t="shared" si="400"/>
        <v>0.96038009986020323</v>
      </c>
      <c r="Q555">
        <f t="shared" si="416"/>
        <v>2.1765657347774101</v>
      </c>
      <c r="R555" s="89">
        <f t="shared" si="388"/>
        <v>5000</v>
      </c>
      <c r="S555">
        <f t="shared" si="389"/>
        <v>0.6666666666666643</v>
      </c>
      <c r="U555">
        <f>O554*AV554*'Real assumptions'!$B$33/12+AX555*'Real assumptions'!$B$34</f>
        <v>0.72403268460304093</v>
      </c>
      <c r="V555">
        <f>IF(P555=0,0,IF(E555&lt;=$C$7,$AN$5*O554,0))*'Real assumptions'!$D$28</f>
        <v>0</v>
      </c>
      <c r="X555" s="94">
        <f t="shared" si="401"/>
        <v>0</v>
      </c>
      <c r="Y555">
        <f t="shared" si="390"/>
        <v>24</v>
      </c>
      <c r="Z555">
        <f t="shared" si="417"/>
        <v>53</v>
      </c>
      <c r="AA555">
        <f t="shared" si="391"/>
        <v>53.666666666666664</v>
      </c>
      <c r="AB555">
        <f t="shared" si="402"/>
        <v>50.505050505050505</v>
      </c>
      <c r="AC555">
        <f t="shared" si="429"/>
        <v>2710.4377104377104</v>
      </c>
      <c r="AD555">
        <f t="shared" si="403"/>
        <v>80.505050505050505</v>
      </c>
      <c r="AE555">
        <f t="shared" si="404"/>
        <v>216.02188552188551</v>
      </c>
      <c r="AF555" s="94">
        <f t="shared" si="405"/>
        <v>2073.5404040404042</v>
      </c>
      <c r="AG555">
        <f t="shared" si="418"/>
        <v>0.26527344291770222</v>
      </c>
      <c r="AH555">
        <f t="shared" si="406"/>
        <v>81.806543004147201</v>
      </c>
      <c r="AI555">
        <f>HLOOKUP(AW555,'Real assumptions'!$A$21:$AK$24,2,TRUE)</f>
        <v>0</v>
      </c>
      <c r="AJ555" s="123">
        <f t="shared" si="430"/>
        <v>0</v>
      </c>
      <c r="AK555" s="122">
        <f>(1+HLOOKUP(YEAR(A555),'Real assumptions'!$A$21:$AK$24,2,TRUE)/100)^(1/12)-1</f>
        <v>0</v>
      </c>
      <c r="AL555">
        <f t="shared" si="419"/>
        <v>0.72403268460304093</v>
      </c>
      <c r="AM555">
        <f>('Real assumptions'!$B$33/12)*O554*AV554</f>
        <v>0.70130594038106742</v>
      </c>
      <c r="AN555">
        <f t="shared" si="407"/>
        <v>83.028963615563484</v>
      </c>
      <c r="AO555">
        <f t="shared" si="431"/>
        <v>0</v>
      </c>
      <c r="AP555" s="121">
        <f t="shared" si="408"/>
        <v>0</v>
      </c>
      <c r="AQ555">
        <f t="shared" si="409"/>
        <v>0</v>
      </c>
      <c r="AR555">
        <v>0</v>
      </c>
      <c r="AS555">
        <f t="shared" si="392"/>
        <v>0</v>
      </c>
      <c r="AT555">
        <f t="shared" si="410"/>
        <v>0</v>
      </c>
      <c r="AU555">
        <f>IFERROR(HLOOKUP(B555,'Real assumptions'!$B$43:$AL$44,2,TRUE)*($W$3/$U$2),0)</f>
        <v>0</v>
      </c>
      <c r="AV555">
        <f>AV554*(1+'Real assumptions'!$B$35)^(1/12)</f>
        <v>1.754386161019601</v>
      </c>
      <c r="AW555">
        <f t="shared" si="393"/>
        <v>2064</v>
      </c>
      <c r="AX555">
        <f t="shared" si="420"/>
        <v>82.961033024776768</v>
      </c>
      <c r="AY555">
        <f t="shared" si="421"/>
        <v>0.16841682447043407</v>
      </c>
      <c r="AZ555">
        <f t="shared" si="394"/>
        <v>168.82312632407826</v>
      </c>
      <c r="BA555">
        <f t="shared" si="411"/>
        <v>2.4418391776951123</v>
      </c>
      <c r="BB555">
        <f t="shared" si="412"/>
        <v>53.666666666666664</v>
      </c>
      <c r="BC555">
        <f t="shared" si="395"/>
        <v>32.199999999999996</v>
      </c>
      <c r="BD555">
        <f t="shared" si="413"/>
        <v>0</v>
      </c>
      <c r="BE555">
        <f t="shared" si="396"/>
        <v>24</v>
      </c>
      <c r="BF555">
        <f t="shared" si="422"/>
        <v>5000</v>
      </c>
      <c r="BU555"/>
      <c r="DW555" s="89"/>
      <c r="DX555" s="89"/>
      <c r="FD555"/>
      <c r="FE555"/>
    </row>
    <row r="556" spans="1:161" x14ac:dyDescent="0.25">
      <c r="A556" s="7">
        <f t="shared" si="414"/>
        <v>60022</v>
      </c>
      <c r="B556">
        <f t="shared" si="397"/>
        <v>545</v>
      </c>
      <c r="C556">
        <f t="shared" si="423"/>
        <v>45.333333333333336</v>
      </c>
      <c r="D556">
        <f t="shared" si="424"/>
        <v>0</v>
      </c>
      <c r="E556">
        <f t="shared" si="398"/>
        <v>97</v>
      </c>
      <c r="F556">
        <f>IF(C556&gt;=$T$2,0,VLOOKUP($E556,EKM_F05!$A$3:$C$128,2,TRUE))</f>
        <v>0.29521782051282053</v>
      </c>
      <c r="G556">
        <f>F556*'Real assumptions'!$B$3</f>
        <v>0.12319439650000001</v>
      </c>
      <c r="H556">
        <f t="shared" si="425"/>
        <v>1.0896034452733683E-2</v>
      </c>
      <c r="I556">
        <f t="shared" si="426"/>
        <v>4.29185865863504E-4</v>
      </c>
      <c r="J556">
        <f>IF(B556&gt;$AJ$2,0,HLOOKUP(C556,'Real assumptions'!$B$5:$L$8,4,TRUE))</f>
        <v>3.7900000000000003E-2</v>
      </c>
      <c r="K556">
        <f t="shared" si="387"/>
        <v>1</v>
      </c>
      <c r="L556">
        <f t="shared" si="415"/>
        <v>8.3333333333333329E-2</v>
      </c>
      <c r="M556">
        <f t="shared" si="427"/>
        <v>3.2145624959929453E-3</v>
      </c>
      <c r="N556">
        <f t="shared" si="428"/>
        <v>1.2613188883956887E-4</v>
      </c>
      <c r="O556" s="8">
        <f t="shared" si="399"/>
        <v>3.8897273979098104E-2</v>
      </c>
      <c r="P556">
        <f t="shared" si="400"/>
        <v>0.94686220161122825</v>
      </c>
      <c r="Q556">
        <f t="shared" si="416"/>
        <v>2.1459293293175201</v>
      </c>
      <c r="R556" s="89">
        <f t="shared" si="388"/>
        <v>5000</v>
      </c>
      <c r="S556">
        <f t="shared" si="389"/>
        <v>0.5833333333333357</v>
      </c>
      <c r="U556">
        <f>O555*AV555*'Real assumptions'!$B$33/12+AX556*'Real assumptions'!$B$34</f>
        <v>0.71460677472802692</v>
      </c>
      <c r="V556">
        <f>IF(P556=0,0,IF(E556&lt;=$C$7,$AN$5*O555,0))*'Real assumptions'!$D$28</f>
        <v>0</v>
      </c>
      <c r="X556" s="94">
        <f t="shared" si="401"/>
        <v>0</v>
      </c>
      <c r="Y556">
        <f t="shared" si="390"/>
        <v>24</v>
      </c>
      <c r="Z556">
        <f t="shared" si="417"/>
        <v>53</v>
      </c>
      <c r="AA556">
        <f t="shared" si="391"/>
        <v>53.583333333333336</v>
      </c>
      <c r="AB556">
        <f t="shared" si="402"/>
        <v>50.505050505050505</v>
      </c>
      <c r="AC556">
        <f t="shared" si="429"/>
        <v>2706.2289562289566</v>
      </c>
      <c r="AD556">
        <f t="shared" si="403"/>
        <v>80.505050505050505</v>
      </c>
      <c r="AE556">
        <f t="shared" si="404"/>
        <v>215.68644781144781</v>
      </c>
      <c r="AF556" s="94">
        <f t="shared" si="405"/>
        <v>2078.0845959595954</v>
      </c>
      <c r="AG556">
        <f t="shared" si="418"/>
        <v>0.26211273525679607</v>
      </c>
      <c r="AH556">
        <f t="shared" si="406"/>
        <v>80.831825880783768</v>
      </c>
      <c r="AI556">
        <f>HLOOKUP(AW556,'Real assumptions'!$A$21:$AK$24,2,TRUE)</f>
        <v>0</v>
      </c>
      <c r="AJ556" s="123">
        <f t="shared" si="430"/>
        <v>0</v>
      </c>
      <c r="AK556" s="122">
        <f>(1+HLOOKUP(YEAR(A556),'Real assumptions'!$A$21:$AK$24,2,TRUE)/100)^(1/12)-1</f>
        <v>0</v>
      </c>
      <c r="AL556">
        <f t="shared" si="419"/>
        <v>0.71460677472802692</v>
      </c>
      <c r="AM556">
        <f>('Real assumptions'!$B$33/12)*O555*AV555</f>
        <v>0.69215080954137087</v>
      </c>
      <c r="AN556">
        <f t="shared" si="407"/>
        <v>82.038798431030401</v>
      </c>
      <c r="AO556">
        <f t="shared" si="431"/>
        <v>0</v>
      </c>
      <c r="AP556" s="121">
        <f t="shared" si="408"/>
        <v>0</v>
      </c>
      <c r="AQ556">
        <f t="shared" si="409"/>
        <v>0</v>
      </c>
      <c r="AR556">
        <v>0</v>
      </c>
      <c r="AS556">
        <f t="shared" si="392"/>
        <v>0</v>
      </c>
      <c r="AT556">
        <f t="shared" si="410"/>
        <v>0</v>
      </c>
      <c r="AU556">
        <f>IFERROR(HLOOKUP(B556,'Real assumptions'!$B$43:$AL$44,2,TRUE)*($W$3/$U$2),0)</f>
        <v>0</v>
      </c>
      <c r="AV556">
        <f>AV555*(1+'Real assumptions'!$B$35)^(1/12)</f>
        <v>1.756203259494119</v>
      </c>
      <c r="AW556">
        <f t="shared" si="393"/>
        <v>2064</v>
      </c>
      <c r="AX556">
        <f t="shared" si="420"/>
        <v>81.972589265653099</v>
      </c>
      <c r="AY556">
        <f t="shared" si="421"/>
        <v>0.16604626150589719</v>
      </c>
      <c r="AZ556">
        <f t="shared" si="394"/>
        <v>166.64733968638714</v>
      </c>
      <c r="BA556">
        <f t="shared" si="411"/>
        <v>2.4080420645743161</v>
      </c>
      <c r="BB556">
        <f t="shared" si="412"/>
        <v>53.583333333333336</v>
      </c>
      <c r="BC556">
        <f t="shared" si="395"/>
        <v>32.15</v>
      </c>
      <c r="BD556">
        <f t="shared" si="413"/>
        <v>0</v>
      </c>
      <c r="BE556">
        <f t="shared" si="396"/>
        <v>24</v>
      </c>
      <c r="BF556">
        <f t="shared" si="422"/>
        <v>5000</v>
      </c>
      <c r="BU556"/>
      <c r="DW556" s="89"/>
      <c r="DX556" s="89"/>
      <c r="FD556"/>
      <c r="FE556"/>
    </row>
    <row r="557" spans="1:161" x14ac:dyDescent="0.25">
      <c r="A557" s="7">
        <f t="shared" si="414"/>
        <v>60053</v>
      </c>
      <c r="B557">
        <f t="shared" si="397"/>
        <v>546</v>
      </c>
      <c r="C557">
        <f t="shared" si="423"/>
        <v>45.416666666666664</v>
      </c>
      <c r="D557">
        <f t="shared" si="424"/>
        <v>0</v>
      </c>
      <c r="E557">
        <f t="shared" si="398"/>
        <v>97</v>
      </c>
      <c r="F557">
        <f>IF(C557&gt;=$T$2,0,VLOOKUP($E557,EKM_F05!$A$3:$C$128,2,TRUE))</f>
        <v>0.29521782051282053</v>
      </c>
      <c r="G557">
        <f>F557*'Real assumptions'!$B$3</f>
        <v>0.12319439650000001</v>
      </c>
      <c r="H557">
        <f t="shared" si="425"/>
        <v>1.0896034452733683E-2</v>
      </c>
      <c r="I557">
        <f t="shared" si="426"/>
        <v>4.2314482975135885E-4</v>
      </c>
      <c r="J557">
        <f>IF(B557&gt;$AJ$2,0,HLOOKUP(C557,'Real assumptions'!$B$5:$L$8,4,TRUE))</f>
        <v>3.7900000000000003E-2</v>
      </c>
      <c r="K557">
        <f t="shared" si="387"/>
        <v>1</v>
      </c>
      <c r="L557">
        <f t="shared" si="415"/>
        <v>8.3333333333333329E-2</v>
      </c>
      <c r="M557">
        <f t="shared" si="427"/>
        <v>3.2145624959929453E-3</v>
      </c>
      <c r="N557">
        <f t="shared" si="428"/>
        <v>1.2435651048725552E-4</v>
      </c>
      <c r="O557" s="8">
        <f t="shared" si="399"/>
        <v>3.834977263885949E-2</v>
      </c>
      <c r="P557">
        <f t="shared" si="400"/>
        <v>0.9335345754983545</v>
      </c>
      <c r="Q557">
        <f t="shared" si="416"/>
        <v>2.1157241487567942</v>
      </c>
      <c r="R557" s="89">
        <f t="shared" si="388"/>
        <v>5000</v>
      </c>
      <c r="S557">
        <f t="shared" si="389"/>
        <v>0.5</v>
      </c>
      <c r="U557">
        <f>O556*AV556*'Real assumptions'!$B$33/12+AX557*'Real assumptions'!$B$34</f>
        <v>0.70530349970451678</v>
      </c>
      <c r="V557">
        <f>IF(P557=0,0,IF(E557&lt;=$C$7,$AN$5*O556,0))*'Real assumptions'!$D$28</f>
        <v>0</v>
      </c>
      <c r="X557" s="94">
        <f t="shared" si="401"/>
        <v>0</v>
      </c>
      <c r="Y557">
        <f t="shared" si="390"/>
        <v>24</v>
      </c>
      <c r="Z557">
        <f t="shared" si="417"/>
        <v>53</v>
      </c>
      <c r="AA557">
        <f t="shared" si="391"/>
        <v>53.5</v>
      </c>
      <c r="AB557">
        <f t="shared" si="402"/>
        <v>50.505050505050505</v>
      </c>
      <c r="AC557">
        <f t="shared" si="429"/>
        <v>2702.0202020202019</v>
      </c>
      <c r="AD557">
        <f t="shared" si="403"/>
        <v>80.505050505050505</v>
      </c>
      <c r="AE557">
        <f t="shared" si="404"/>
        <v>215.3510101010101</v>
      </c>
      <c r="AF557" s="94">
        <f t="shared" si="405"/>
        <v>2082.628787878788</v>
      </c>
      <c r="AG557">
        <f t="shared" si="418"/>
        <v>0.25898844870090876</v>
      </c>
      <c r="AH557">
        <f t="shared" si="406"/>
        <v>79.868340506295056</v>
      </c>
      <c r="AI557">
        <f>HLOOKUP(AW557,'Real assumptions'!$A$21:$AK$24,2,TRUE)</f>
        <v>0</v>
      </c>
      <c r="AJ557" s="123">
        <f t="shared" si="430"/>
        <v>0</v>
      </c>
      <c r="AK557" s="122">
        <f>(1+HLOOKUP(YEAR(A557),'Real assumptions'!$A$21:$AK$24,2,TRUE)/100)^(1/12)-1</f>
        <v>0</v>
      </c>
      <c r="AL557">
        <f t="shared" si="419"/>
        <v>0.70530349970451678</v>
      </c>
      <c r="AM557">
        <f>('Real assumptions'!$B$33/12)*O556*AV556</f>
        <v>0.68311519347527871</v>
      </c>
      <c r="AN557">
        <f t="shared" si="407"/>
        <v>81.060056956577611</v>
      </c>
      <c r="AO557">
        <f t="shared" si="431"/>
        <v>0</v>
      </c>
      <c r="AP557" s="121">
        <f t="shared" si="408"/>
        <v>0</v>
      </c>
      <c r="AQ557">
        <f t="shared" si="409"/>
        <v>0</v>
      </c>
      <c r="AR557">
        <v>0</v>
      </c>
      <c r="AS557">
        <f t="shared" si="392"/>
        <v>0</v>
      </c>
      <c r="AT557">
        <f t="shared" si="410"/>
        <v>0</v>
      </c>
      <c r="AU557">
        <f>IFERROR(HLOOKUP(B557,'Real assumptions'!$B$43:$AL$44,2,TRUE)*($W$3/$U$2),0)</f>
        <v>0</v>
      </c>
      <c r="AV557">
        <f>AV556*(1+'Real assumptions'!$B$35)^(1/12)</f>
        <v>1.7580222400211403</v>
      </c>
      <c r="AW557">
        <f t="shared" si="393"/>
        <v>2064</v>
      </c>
      <c r="AX557">
        <f t="shared" si="420"/>
        <v>80.995534946352365</v>
      </c>
      <c r="AY557">
        <f t="shared" si="421"/>
        <v>0.16370906556859471</v>
      </c>
      <c r="AZ557">
        <f t="shared" si="394"/>
        <v>164.50085816472327</v>
      </c>
      <c r="BA557">
        <f t="shared" si="411"/>
        <v>2.374712597457703</v>
      </c>
      <c r="BB557">
        <f t="shared" si="412"/>
        <v>53.5</v>
      </c>
      <c r="BC557">
        <f t="shared" si="395"/>
        <v>32.099999999999994</v>
      </c>
      <c r="BD557">
        <f t="shared" si="413"/>
        <v>0</v>
      </c>
      <c r="BE557">
        <f t="shared" si="396"/>
        <v>24</v>
      </c>
      <c r="BF557">
        <f t="shared" si="422"/>
        <v>5000</v>
      </c>
      <c r="BU557"/>
      <c r="DW557" s="89"/>
      <c r="DX557" s="89"/>
      <c r="FD557"/>
      <c r="FE557"/>
    </row>
    <row r="558" spans="1:161" x14ac:dyDescent="0.25">
      <c r="A558" s="7">
        <f t="shared" si="414"/>
        <v>60083</v>
      </c>
      <c r="B558">
        <f t="shared" si="397"/>
        <v>547</v>
      </c>
      <c r="C558">
        <f t="shared" si="423"/>
        <v>45.5</v>
      </c>
      <c r="D558">
        <f t="shared" si="424"/>
        <v>0</v>
      </c>
      <c r="E558">
        <f t="shared" si="398"/>
        <v>97</v>
      </c>
      <c r="F558">
        <f>IF(C558&gt;=$T$2,0,VLOOKUP($E558,EKM_F05!$A$3:$C$128,2,TRUE))</f>
        <v>0.29521782051282053</v>
      </c>
      <c r="G558">
        <f>F558*'Real assumptions'!$B$3</f>
        <v>0.12319439650000001</v>
      </c>
      <c r="H558">
        <f t="shared" si="425"/>
        <v>1.0896034452733683E-2</v>
      </c>
      <c r="I558">
        <f t="shared" si="426"/>
        <v>4.1718882467171235E-4</v>
      </c>
      <c r="J558">
        <f>IF(B558&gt;$AJ$2,0,HLOOKUP(C558,'Real assumptions'!$B$5:$L$8,4,TRUE))</f>
        <v>3.7900000000000003E-2</v>
      </c>
      <c r="K558">
        <f t="shared" si="387"/>
        <v>1</v>
      </c>
      <c r="L558">
        <f t="shared" si="415"/>
        <v>8.3333333333333329E-2</v>
      </c>
      <c r="M558">
        <f t="shared" si="427"/>
        <v>3.2145624959929453E-3</v>
      </c>
      <c r="N558">
        <f t="shared" si="428"/>
        <v>1.2260612159892994E-4</v>
      </c>
      <c r="O558" s="8">
        <f t="shared" si="399"/>
        <v>3.7809977692588849E-2</v>
      </c>
      <c r="P558">
        <f t="shared" si="400"/>
        <v>0.92039454333262771</v>
      </c>
      <c r="Q558">
        <f t="shared" si="416"/>
        <v>2.0859441233585616</v>
      </c>
      <c r="R558" s="89">
        <f t="shared" si="388"/>
        <v>5000</v>
      </c>
      <c r="S558">
        <f t="shared" si="389"/>
        <v>0.4166666666666643</v>
      </c>
      <c r="U558">
        <f>O557*AV557*'Real assumptions'!$B$33/12+AX558*'Real assumptions'!$B$34</f>
        <v>0.69612126515185846</v>
      </c>
      <c r="V558">
        <f>IF(P558=0,0,IF(E558&lt;=$C$7,$AN$5*O557,0))*'Real assumptions'!$D$28</f>
        <v>0</v>
      </c>
      <c r="X558" s="94">
        <f t="shared" si="401"/>
        <v>0</v>
      </c>
      <c r="Y558">
        <f t="shared" si="390"/>
        <v>24</v>
      </c>
      <c r="Z558">
        <f t="shared" si="417"/>
        <v>53</v>
      </c>
      <c r="AA558">
        <f t="shared" si="391"/>
        <v>53.416666666666664</v>
      </c>
      <c r="AB558">
        <f t="shared" si="402"/>
        <v>50.505050505050505</v>
      </c>
      <c r="AC558">
        <f t="shared" si="429"/>
        <v>2697.8114478114476</v>
      </c>
      <c r="AD558">
        <f t="shared" si="403"/>
        <v>80.505050505050505</v>
      </c>
      <c r="AE558">
        <f t="shared" si="404"/>
        <v>215.01557239057237</v>
      </c>
      <c r="AF558" s="94">
        <f t="shared" si="405"/>
        <v>2087.1729797979801</v>
      </c>
      <c r="AG558">
        <f t="shared" si="418"/>
        <v>0.25590018415911209</v>
      </c>
      <c r="AH558">
        <f t="shared" si="406"/>
        <v>78.915963806735832</v>
      </c>
      <c r="AI558">
        <f>HLOOKUP(AW558,'Real assumptions'!$A$21:$AK$24,2,TRUE)</f>
        <v>0</v>
      </c>
      <c r="AJ558" s="123">
        <f t="shared" si="430"/>
        <v>0</v>
      </c>
      <c r="AK558" s="122">
        <f>(1+HLOOKUP(YEAR(A558),'Real assumptions'!$A$21:$AK$24,2,TRUE)/100)^(1/12)-1</f>
        <v>0</v>
      </c>
      <c r="AL558">
        <f t="shared" si="419"/>
        <v>0.69612126515185846</v>
      </c>
      <c r="AM558">
        <f>('Real assumptions'!$B$33/12)*O557*AV557</f>
        <v>0.67419753198869203</v>
      </c>
      <c r="AN558">
        <f t="shared" si="407"/>
        <v>80.09261378447583</v>
      </c>
      <c r="AO558">
        <f t="shared" si="431"/>
        <v>0</v>
      </c>
      <c r="AP558" s="121">
        <f t="shared" si="408"/>
        <v>0</v>
      </c>
      <c r="AQ558">
        <f t="shared" si="409"/>
        <v>0</v>
      </c>
      <c r="AR558">
        <v>0</v>
      </c>
      <c r="AS558">
        <f t="shared" si="392"/>
        <v>0</v>
      </c>
      <c r="AT558">
        <f t="shared" si="410"/>
        <v>0</v>
      </c>
      <c r="AU558">
        <f>IFERROR(HLOOKUP(B558,'Real assumptions'!$B$43:$AL$44,2,TRUE)*($W$3/$U$2),0)</f>
        <v>0</v>
      </c>
      <c r="AV558">
        <f>AV557*(1+'Real assumptions'!$B$35)^(1/12)</f>
        <v>1.7598431045499932</v>
      </c>
      <c r="AW558">
        <f t="shared" si="393"/>
        <v>2064</v>
      </c>
      <c r="AX558">
        <f t="shared" si="420"/>
        <v>80.029745273293628</v>
      </c>
      <c r="AY558">
        <f t="shared" si="421"/>
        <v>0.16140476699856687</v>
      </c>
      <c r="AZ558">
        <f t="shared" si="394"/>
        <v>162.38328713538638</v>
      </c>
      <c r="BA558">
        <f t="shared" si="411"/>
        <v>2.3418443075176736</v>
      </c>
      <c r="BB558">
        <f t="shared" si="412"/>
        <v>53.416666666666664</v>
      </c>
      <c r="BC558">
        <f t="shared" si="395"/>
        <v>32.049999999999997</v>
      </c>
      <c r="BD558">
        <f t="shared" si="413"/>
        <v>0</v>
      </c>
      <c r="BE558">
        <f t="shared" si="396"/>
        <v>24</v>
      </c>
      <c r="BF558">
        <f t="shared" si="422"/>
        <v>5000</v>
      </c>
      <c r="BU558"/>
      <c r="DW558" s="89"/>
      <c r="DX558" s="89"/>
      <c r="FD558"/>
      <c r="FE558"/>
    </row>
    <row r="559" spans="1:161" x14ac:dyDescent="0.25">
      <c r="A559" s="7">
        <f t="shared" si="414"/>
        <v>60114</v>
      </c>
      <c r="B559">
        <f t="shared" si="397"/>
        <v>548</v>
      </c>
      <c r="C559">
        <f t="shared" si="423"/>
        <v>45.583333333333336</v>
      </c>
      <c r="D559">
        <f t="shared" si="424"/>
        <v>0</v>
      </c>
      <c r="E559">
        <f t="shared" si="398"/>
        <v>97</v>
      </c>
      <c r="F559">
        <f>IF(C559&gt;=$T$2,0,VLOOKUP($E559,EKM_F05!$A$3:$C$128,2,TRUE))</f>
        <v>0.29521782051282053</v>
      </c>
      <c r="G559">
        <f>F559*'Real assumptions'!$B$3</f>
        <v>0.12319439650000001</v>
      </c>
      <c r="H559">
        <f t="shared" si="425"/>
        <v>1.0896034452733683E-2</v>
      </c>
      <c r="I559">
        <f t="shared" si="426"/>
        <v>4.1131665376423248E-4</v>
      </c>
      <c r="J559">
        <f>IF(B559&gt;$AJ$2,0,HLOOKUP(C559,'Real assumptions'!$B$5:$L$8,4,TRUE))</f>
        <v>3.7900000000000003E-2</v>
      </c>
      <c r="K559">
        <f t="shared" si="387"/>
        <v>1</v>
      </c>
      <c r="L559">
        <f t="shared" si="415"/>
        <v>8.3333333333333329E-2</v>
      </c>
      <c r="M559">
        <f t="shared" si="427"/>
        <v>3.2145624959929453E-3</v>
      </c>
      <c r="N559">
        <f t="shared" si="428"/>
        <v>1.2088037043361834E-4</v>
      </c>
      <c r="O559" s="8">
        <f t="shared" si="399"/>
        <v>3.7277780668390999E-2</v>
      </c>
      <c r="P559">
        <f t="shared" si="400"/>
        <v>0.90743946462213243</v>
      </c>
      <c r="Q559">
        <f t="shared" si="416"/>
        <v>2.0565832688211625</v>
      </c>
      <c r="R559" s="89">
        <f t="shared" si="388"/>
        <v>5000</v>
      </c>
      <c r="S559">
        <f t="shared" si="389"/>
        <v>0.3333333333333357</v>
      </c>
      <c r="U559">
        <f>O558*AV558*'Real assumptions'!$B$33/12+AX559*'Real assumptions'!$B$34</f>
        <v>0.68705849740103853</v>
      </c>
      <c r="V559">
        <f>IF(P559=0,0,IF(E559&lt;=$C$7,$AN$5*O558,0))*'Real assumptions'!$D$28</f>
        <v>0</v>
      </c>
      <c r="X559" s="94">
        <f t="shared" si="401"/>
        <v>0</v>
      </c>
      <c r="Y559">
        <f t="shared" si="390"/>
        <v>24</v>
      </c>
      <c r="Z559">
        <f t="shared" si="417"/>
        <v>53</v>
      </c>
      <c r="AA559">
        <f t="shared" si="391"/>
        <v>53.333333333333336</v>
      </c>
      <c r="AB559">
        <f t="shared" si="402"/>
        <v>50.505050505050505</v>
      </c>
      <c r="AC559">
        <f t="shared" si="429"/>
        <v>2693.6026936026938</v>
      </c>
      <c r="AD559">
        <f t="shared" si="403"/>
        <v>80.505050505050505</v>
      </c>
      <c r="AE559">
        <f t="shared" si="404"/>
        <v>214.68013468013467</v>
      </c>
      <c r="AF559" s="94">
        <f t="shared" si="405"/>
        <v>2091.7171717171714</v>
      </c>
      <c r="AG559">
        <f t="shared" si="418"/>
        <v>0.25284754655953212</v>
      </c>
      <c r="AH559">
        <f t="shared" si="406"/>
        <v>77.97457394757987</v>
      </c>
      <c r="AI559">
        <f>HLOOKUP(AW559,'Real assumptions'!$A$21:$AK$24,2,TRUE)</f>
        <v>0</v>
      </c>
      <c r="AJ559" s="123">
        <f t="shared" si="430"/>
        <v>0</v>
      </c>
      <c r="AK559" s="122">
        <f>(1+HLOOKUP(YEAR(A559),'Real assumptions'!$A$21:$AK$24,2,TRUE)/100)^(1/12)-1</f>
        <v>0</v>
      </c>
      <c r="AL559">
        <f t="shared" si="419"/>
        <v>0.68705849740103853</v>
      </c>
      <c r="AM559">
        <f>('Real assumptions'!$B$33/12)*O558*AV558</f>
        <v>0.66539628525491545</v>
      </c>
      <c r="AN559">
        <f t="shared" si="407"/>
        <v>79.136344773956921</v>
      </c>
      <c r="AO559">
        <f t="shared" si="431"/>
        <v>0</v>
      </c>
      <c r="AP559" s="121">
        <f t="shared" si="408"/>
        <v>0</v>
      </c>
      <c r="AQ559">
        <f t="shared" si="409"/>
        <v>0</v>
      </c>
      <c r="AR559">
        <v>0</v>
      </c>
      <c r="AS559">
        <f t="shared" si="392"/>
        <v>0</v>
      </c>
      <c r="AT559">
        <f t="shared" si="410"/>
        <v>0</v>
      </c>
      <c r="AU559">
        <f>IFERROR(HLOOKUP(B559,'Real assumptions'!$B$43:$AL$44,2,TRUE)*($W$3/$U$2),0)</f>
        <v>0</v>
      </c>
      <c r="AV559">
        <f>AV558*(1+'Real assumptions'!$B$35)^(1/12)</f>
        <v>1.7616658550320252</v>
      </c>
      <c r="AW559">
        <f t="shared" si="393"/>
        <v>2064</v>
      </c>
      <c r="AX559">
        <f t="shared" si="420"/>
        <v>79.075096709482423</v>
      </c>
      <c r="AY559">
        <f t="shared" si="421"/>
        <v>0.15913290274658606</v>
      </c>
      <c r="AZ559">
        <f t="shared" si="394"/>
        <v>160.29423728722679</v>
      </c>
      <c r="BA559">
        <f t="shared" si="411"/>
        <v>2.3094308153806944</v>
      </c>
      <c r="BB559">
        <f t="shared" si="412"/>
        <v>53.333333333333336</v>
      </c>
      <c r="BC559">
        <f t="shared" si="395"/>
        <v>32</v>
      </c>
      <c r="BD559">
        <f t="shared" si="413"/>
        <v>0</v>
      </c>
      <c r="BE559">
        <f t="shared" si="396"/>
        <v>24</v>
      </c>
      <c r="BF559">
        <f t="shared" si="422"/>
        <v>5000</v>
      </c>
      <c r="BU559"/>
      <c r="DW559" s="89"/>
      <c r="DX559" s="89"/>
      <c r="FD559"/>
      <c r="FE559"/>
    </row>
    <row r="560" spans="1:161" x14ac:dyDescent="0.25">
      <c r="A560" s="7">
        <f t="shared" si="414"/>
        <v>60145</v>
      </c>
      <c r="B560">
        <f t="shared" si="397"/>
        <v>549</v>
      </c>
      <c r="C560">
        <f t="shared" si="423"/>
        <v>45.666666666666664</v>
      </c>
      <c r="D560">
        <f t="shared" si="424"/>
        <v>0</v>
      </c>
      <c r="E560">
        <f t="shared" si="398"/>
        <v>97</v>
      </c>
      <c r="F560">
        <f>IF(C560&gt;=$T$2,0,VLOOKUP($E560,EKM_F05!$A$3:$C$128,2,TRUE))</f>
        <v>0.29521782051282053</v>
      </c>
      <c r="G560">
        <f>F560*'Real assumptions'!$B$3</f>
        <v>0.12319439650000001</v>
      </c>
      <c r="H560">
        <f t="shared" si="425"/>
        <v>1.0896034452733683E-2</v>
      </c>
      <c r="I560">
        <f t="shared" si="426"/>
        <v>4.0552713701507949E-4</v>
      </c>
      <c r="J560">
        <f>IF(B560&gt;$AJ$2,0,HLOOKUP(C560,'Real assumptions'!$B$5:$L$8,4,TRUE))</f>
        <v>3.7900000000000003E-2</v>
      </c>
      <c r="K560">
        <f t="shared" si="387"/>
        <v>1</v>
      </c>
      <c r="L560">
        <f t="shared" si="415"/>
        <v>8.3333333333333329E-2</v>
      </c>
      <c r="M560">
        <f t="shared" si="427"/>
        <v>3.2145624959929453E-3</v>
      </c>
      <c r="N560">
        <f t="shared" si="428"/>
        <v>1.1917891020130207E-4</v>
      </c>
      <c r="O560" s="8">
        <f t="shared" si="399"/>
        <v>3.6753074621174615E-2</v>
      </c>
      <c r="P560">
        <f t="shared" si="400"/>
        <v>0.89466673604138403</v>
      </c>
      <c r="Q560">
        <f t="shared" si="416"/>
        <v>2.0276356850753974</v>
      </c>
      <c r="R560" s="89">
        <f t="shared" si="388"/>
        <v>5000</v>
      </c>
      <c r="S560">
        <f t="shared" si="389"/>
        <v>0.25</v>
      </c>
      <c r="U560">
        <f>O559*AV559*'Real assumptions'!$B$33/12+AX560*'Real assumptions'!$B$34</f>
        <v>0.67811364322588075</v>
      </c>
      <c r="V560">
        <f>IF(P560=0,0,IF(E560&lt;=$C$7,$AN$5*O559,0))*'Real assumptions'!$D$28</f>
        <v>0</v>
      </c>
      <c r="X560" s="94">
        <f t="shared" si="401"/>
        <v>0</v>
      </c>
      <c r="Y560">
        <f t="shared" si="390"/>
        <v>24</v>
      </c>
      <c r="Z560">
        <f t="shared" si="417"/>
        <v>53</v>
      </c>
      <c r="AA560">
        <f t="shared" si="391"/>
        <v>53.25</v>
      </c>
      <c r="AB560">
        <f t="shared" si="402"/>
        <v>50.505050505050505</v>
      </c>
      <c r="AC560">
        <f t="shared" si="429"/>
        <v>2689.3939393939395</v>
      </c>
      <c r="AD560">
        <f t="shared" si="403"/>
        <v>80.505050505050505</v>
      </c>
      <c r="AE560">
        <f t="shared" si="404"/>
        <v>214.34469696969697</v>
      </c>
      <c r="AF560" s="94">
        <f t="shared" si="405"/>
        <v>2096.2613636363635</v>
      </c>
      <c r="AG560">
        <f t="shared" si="418"/>
        <v>0.24983014481527718</v>
      </c>
      <c r="AH560">
        <f t="shared" si="406"/>
        <v>77.044050323212517</v>
      </c>
      <c r="AI560">
        <f>HLOOKUP(AW560,'Real assumptions'!$A$21:$AK$24,2,TRUE)</f>
        <v>0</v>
      </c>
      <c r="AJ560" s="123">
        <f t="shared" si="430"/>
        <v>0</v>
      </c>
      <c r="AK560" s="122">
        <f>(1+HLOOKUP(YEAR(A560),'Real assumptions'!$A$21:$AK$24,2,TRUE)/100)^(1/12)-1</f>
        <v>0</v>
      </c>
      <c r="AL560">
        <f t="shared" si="419"/>
        <v>0.67811364322588075</v>
      </c>
      <c r="AM560">
        <f>('Real assumptions'!$B$33/12)*O559*AV559</f>
        <v>0.65670993354877327</v>
      </c>
      <c r="AN560">
        <f t="shared" si="407"/>
        <v>78.191127040395372</v>
      </c>
      <c r="AO560">
        <f t="shared" si="431"/>
        <v>0</v>
      </c>
      <c r="AP560" s="121">
        <f t="shared" si="408"/>
        <v>0</v>
      </c>
      <c r="AQ560">
        <f t="shared" si="409"/>
        <v>0</v>
      </c>
      <c r="AR560">
        <v>0</v>
      </c>
      <c r="AS560">
        <f t="shared" si="392"/>
        <v>0</v>
      </c>
      <c r="AT560">
        <f t="shared" si="410"/>
        <v>0</v>
      </c>
      <c r="AU560">
        <f>IFERROR(HLOOKUP(B560,'Real assumptions'!$B$43:$AL$44,2,TRUE)*($W$3/$U$2),0)</f>
        <v>0</v>
      </c>
      <c r="AV560">
        <f>AV559*(1+'Real assumptions'!$B$35)^(1/12)</f>
        <v>1.7634904934206048</v>
      </c>
      <c r="AW560">
        <f t="shared" si="393"/>
        <v>2064</v>
      </c>
      <c r="AX560">
        <f t="shared" si="420"/>
        <v>78.131466963860973</v>
      </c>
      <c r="AY560">
        <f t="shared" si="421"/>
        <v>0.15689301628110688</v>
      </c>
      <c r="AZ560">
        <f t="shared" si="394"/>
        <v>158.23332455015162</v>
      </c>
      <c r="BA560">
        <f t="shared" si="411"/>
        <v>2.2774658298906747</v>
      </c>
      <c r="BB560">
        <f t="shared" si="412"/>
        <v>53.25</v>
      </c>
      <c r="BC560">
        <f t="shared" si="395"/>
        <v>31.95</v>
      </c>
      <c r="BD560">
        <f t="shared" si="413"/>
        <v>0</v>
      </c>
      <c r="BE560">
        <f t="shared" si="396"/>
        <v>24</v>
      </c>
      <c r="BF560">
        <f t="shared" si="422"/>
        <v>5000</v>
      </c>
      <c r="BU560"/>
      <c r="DW560" s="89"/>
      <c r="DX560" s="89"/>
      <c r="FD560"/>
      <c r="FE560"/>
    </row>
    <row r="561" spans="1:161" x14ac:dyDescent="0.25">
      <c r="A561" s="7">
        <f t="shared" si="414"/>
        <v>60175</v>
      </c>
      <c r="B561">
        <f t="shared" si="397"/>
        <v>550</v>
      </c>
      <c r="C561">
        <f t="shared" si="423"/>
        <v>45.75</v>
      </c>
      <c r="D561">
        <f t="shared" si="424"/>
        <v>0</v>
      </c>
      <c r="E561">
        <f t="shared" si="398"/>
        <v>97</v>
      </c>
      <c r="F561">
        <f>IF(C561&gt;=$T$2,0,VLOOKUP($E561,EKM_F05!$A$3:$C$128,2,TRUE))</f>
        <v>0.29521782051282053</v>
      </c>
      <c r="G561">
        <f>F561*'Real assumptions'!$B$3</f>
        <v>0.12319439650000001</v>
      </c>
      <c r="H561">
        <f t="shared" si="425"/>
        <v>1.0896034452733683E-2</v>
      </c>
      <c r="I561">
        <f t="shared" si="426"/>
        <v>3.9981911101978244E-4</v>
      </c>
      <c r="J561">
        <f>IF(B561&gt;$AJ$2,0,HLOOKUP(C561,'Real assumptions'!$B$5:$L$8,4,TRUE))</f>
        <v>3.7900000000000003E-2</v>
      </c>
      <c r="K561">
        <f t="shared" si="387"/>
        <v>1</v>
      </c>
      <c r="L561">
        <f t="shared" si="415"/>
        <v>8.3333333333333329E-2</v>
      </c>
      <c r="M561">
        <f t="shared" si="427"/>
        <v>3.2145624959929453E-3</v>
      </c>
      <c r="N561">
        <f t="shared" si="428"/>
        <v>1.1750139899322991E-4</v>
      </c>
      <c r="O561" s="8">
        <f t="shared" si="399"/>
        <v>3.6235754111161603E-2</v>
      </c>
      <c r="P561">
        <f t="shared" si="400"/>
        <v>0.88207379090819082</v>
      </c>
      <c r="Q561">
        <f t="shared" si="416"/>
        <v>1.9990955550989122</v>
      </c>
      <c r="R561" s="89">
        <f t="shared" si="388"/>
        <v>5000</v>
      </c>
      <c r="S561">
        <f t="shared" si="389"/>
        <v>0.1666666666666643</v>
      </c>
      <c r="U561">
        <f>O560*AV560*'Real assumptions'!$B$33/12+AX561*'Real assumptions'!$B$34</f>
        <v>0.66928516957772921</v>
      </c>
      <c r="V561">
        <f>IF(P561=0,0,IF(E561&lt;=$C$7,$AN$5*O560,0))*'Real assumptions'!$D$28</f>
        <v>0</v>
      </c>
      <c r="X561" s="94">
        <f t="shared" si="401"/>
        <v>0</v>
      </c>
      <c r="Y561">
        <f t="shared" si="390"/>
        <v>24</v>
      </c>
      <c r="Z561">
        <f t="shared" si="417"/>
        <v>53</v>
      </c>
      <c r="AA561">
        <f t="shared" si="391"/>
        <v>53.166666666666664</v>
      </c>
      <c r="AB561">
        <f t="shared" si="402"/>
        <v>50.505050505050505</v>
      </c>
      <c r="AC561">
        <f t="shared" si="429"/>
        <v>2685.1851851851852</v>
      </c>
      <c r="AD561">
        <f t="shared" si="403"/>
        <v>80.505050505050505</v>
      </c>
      <c r="AE561">
        <f t="shared" si="404"/>
        <v>214.00925925925924</v>
      </c>
      <c r="AF561" s="94">
        <f t="shared" si="405"/>
        <v>2100.8055555555557</v>
      </c>
      <c r="AG561">
        <f t="shared" si="418"/>
        <v>0.24684759179052737</v>
      </c>
      <c r="AH561">
        <f t="shared" si="406"/>
        <v>76.124273546473361</v>
      </c>
      <c r="AI561">
        <f>HLOOKUP(AW561,'Real assumptions'!$A$21:$AK$24,2,TRUE)</f>
        <v>0</v>
      </c>
      <c r="AJ561" s="123">
        <f t="shared" si="430"/>
        <v>0</v>
      </c>
      <c r="AK561" s="122">
        <f>(1+HLOOKUP(YEAR(A561),'Real assumptions'!$A$21:$AK$24,2,TRUE)/100)^(1/12)-1</f>
        <v>0</v>
      </c>
      <c r="AL561">
        <f t="shared" si="419"/>
        <v>0.66928516957772921</v>
      </c>
      <c r="AM561">
        <f>('Real assumptions'!$B$33/12)*O560*AV560</f>
        <v>0.64813697698419526</v>
      </c>
      <c r="AN561">
        <f t="shared" si="407"/>
        <v>77.256838944542977</v>
      </c>
      <c r="AO561">
        <f t="shared" si="431"/>
        <v>0</v>
      </c>
      <c r="AP561" s="121">
        <f t="shared" si="408"/>
        <v>0</v>
      </c>
      <c r="AQ561">
        <f t="shared" si="409"/>
        <v>0</v>
      </c>
      <c r="AR561">
        <v>0</v>
      </c>
      <c r="AS561">
        <f t="shared" si="392"/>
        <v>0</v>
      </c>
      <c r="AT561">
        <f t="shared" si="410"/>
        <v>0</v>
      </c>
      <c r="AU561">
        <f>IFERROR(HLOOKUP(B561,'Real assumptions'!$B$43:$AL$44,2,TRUE)*($W$3/$U$2),0)</f>
        <v>0</v>
      </c>
      <c r="AV561">
        <f>AV560*(1+'Real assumptions'!$B$35)^(1/12)</f>
        <v>1.7653170216711236</v>
      </c>
      <c r="AW561">
        <f t="shared" si="393"/>
        <v>2064</v>
      </c>
      <c r="AX561">
        <f t="shared" si="420"/>
        <v>77.198734980709048</v>
      </c>
      <c r="AY561">
        <f t="shared" si="421"/>
        <v>0.15468465749652616</v>
      </c>
      <c r="AZ561">
        <f t="shared" si="394"/>
        <v>156.20017002459264</v>
      </c>
      <c r="BA561">
        <f t="shared" si="411"/>
        <v>2.2459431468894397</v>
      </c>
      <c r="BB561">
        <f t="shared" si="412"/>
        <v>53.166666666666664</v>
      </c>
      <c r="BC561">
        <f t="shared" si="395"/>
        <v>31.9</v>
      </c>
      <c r="BD561">
        <f t="shared" si="413"/>
        <v>0</v>
      </c>
      <c r="BE561">
        <f t="shared" si="396"/>
        <v>24</v>
      </c>
      <c r="BF561">
        <f t="shared" si="422"/>
        <v>5000</v>
      </c>
      <c r="BU561"/>
      <c r="DW561" s="89"/>
      <c r="DX561" s="89"/>
      <c r="FD561"/>
      <c r="FE561"/>
    </row>
    <row r="562" spans="1:161" x14ac:dyDescent="0.25">
      <c r="A562" s="7">
        <f t="shared" si="414"/>
        <v>60206</v>
      </c>
      <c r="B562">
        <f t="shared" si="397"/>
        <v>551</v>
      </c>
      <c r="C562">
        <f t="shared" si="423"/>
        <v>45.833333333333336</v>
      </c>
      <c r="D562">
        <f t="shared" si="424"/>
        <v>0</v>
      </c>
      <c r="E562">
        <f t="shared" si="398"/>
        <v>97</v>
      </c>
      <c r="F562">
        <f>IF(C562&gt;=$T$2,0,VLOOKUP($E562,EKM_F05!$A$3:$C$128,2,TRUE))</f>
        <v>0.29521782051282053</v>
      </c>
      <c r="G562">
        <f>F562*'Real assumptions'!$B$3</f>
        <v>0.12319439650000001</v>
      </c>
      <c r="H562">
        <f t="shared" si="425"/>
        <v>1.0896034452733683E-2</v>
      </c>
      <c r="I562">
        <f t="shared" si="426"/>
        <v>3.9419142874945234E-4</v>
      </c>
      <c r="J562">
        <f>IF(B562&gt;$AJ$2,0,HLOOKUP(C562,'Real assumptions'!$B$5:$L$8,4,TRUE))</f>
        <v>3.7900000000000003E-2</v>
      </c>
      <c r="K562">
        <f t="shared" si="387"/>
        <v>1</v>
      </c>
      <c r="L562">
        <f t="shared" si="415"/>
        <v>8.3333333333333329E-2</v>
      </c>
      <c r="M562">
        <f t="shared" si="427"/>
        <v>3.2145624959929453E-3</v>
      </c>
      <c r="N562">
        <f t="shared" si="428"/>
        <v>1.1584749971321161E-4</v>
      </c>
      <c r="O562" s="8">
        <f t="shared" si="399"/>
        <v>3.5725715182698937E-2</v>
      </c>
      <c r="P562">
        <f t="shared" si="400"/>
        <v>0.86965809866787847</v>
      </c>
      <c r="Q562">
        <f t="shared" si="416"/>
        <v>1.9709571437472617</v>
      </c>
      <c r="R562" s="89">
        <f t="shared" si="388"/>
        <v>5000</v>
      </c>
      <c r="S562">
        <f t="shared" si="389"/>
        <v>8.3333333333335702E-2</v>
      </c>
      <c r="U562">
        <f>O561*AV561*'Real assumptions'!$B$33/12+AX562*'Real assumptions'!$B$34</f>
        <v>0.6605715633235707</v>
      </c>
      <c r="V562">
        <f>IF(P562=0,0,IF(E562&lt;=$C$7,$AN$5*O561,0))*'Real assumptions'!$D$28</f>
        <v>0</v>
      </c>
      <c r="X562" s="94">
        <f t="shared" si="401"/>
        <v>0</v>
      </c>
      <c r="Y562">
        <f t="shared" si="390"/>
        <v>24</v>
      </c>
      <c r="Z562">
        <f t="shared" si="417"/>
        <v>53</v>
      </c>
      <c r="AA562">
        <f t="shared" si="391"/>
        <v>53.083333333333336</v>
      </c>
      <c r="AB562">
        <f t="shared" si="402"/>
        <v>50.505050505050505</v>
      </c>
      <c r="AC562">
        <f t="shared" si="429"/>
        <v>2680.9764309764309</v>
      </c>
      <c r="AD562">
        <f t="shared" si="403"/>
        <v>80.505050505050505</v>
      </c>
      <c r="AE562">
        <f t="shared" si="404"/>
        <v>213.67382154882154</v>
      </c>
      <c r="AF562" s="94">
        <f t="shared" si="405"/>
        <v>2105.3497474747473</v>
      </c>
      <c r="AG562">
        <f t="shared" si="418"/>
        <v>0.24389950426679094</v>
      </c>
      <c r="AH562">
        <f t="shared" si="406"/>
        <v>75.215125438249956</v>
      </c>
      <c r="AI562">
        <f>HLOOKUP(AW562,'Real assumptions'!$A$21:$AK$24,2,TRUE)</f>
        <v>0</v>
      </c>
      <c r="AJ562" s="123">
        <f t="shared" si="430"/>
        <v>0</v>
      </c>
      <c r="AK562" s="122">
        <f>(1+HLOOKUP(YEAR(A562),'Real assumptions'!$A$21:$AK$24,2,TRUE)/100)^(1/12)-1</f>
        <v>0</v>
      </c>
      <c r="AL562">
        <f t="shared" si="419"/>
        <v>0.6605715633235707</v>
      </c>
      <c r="AM562">
        <f>('Real assumptions'!$B$33/12)*O561*AV561</f>
        <v>0.6396759352552297</v>
      </c>
      <c r="AN562">
        <f t="shared" si="407"/>
        <v>76.333360081817673</v>
      </c>
      <c r="AO562">
        <f t="shared" si="431"/>
        <v>0</v>
      </c>
      <c r="AP562" s="121">
        <f t="shared" si="408"/>
        <v>0</v>
      </c>
      <c r="AQ562">
        <f t="shared" si="409"/>
        <v>0</v>
      </c>
      <c r="AR562">
        <v>0</v>
      </c>
      <c r="AS562">
        <f t="shared" si="392"/>
        <v>0</v>
      </c>
      <c r="AT562">
        <f t="shared" si="410"/>
        <v>0</v>
      </c>
      <c r="AU562">
        <f>IFERROR(HLOOKUP(B562,'Real assumptions'!$B$43:$AL$44,2,TRUE)*($W$3/$U$2),0)</f>
        <v>0</v>
      </c>
      <c r="AV562">
        <f>AV561*(1+'Real assumptions'!$B$35)^(1/12)</f>
        <v>1.7671454417409986</v>
      </c>
      <c r="AW562">
        <f t="shared" si="393"/>
        <v>2064</v>
      </c>
      <c r="AX562">
        <f t="shared" si="420"/>
        <v>76.276780929096091</v>
      </c>
      <c r="AY562">
        <f t="shared" si="421"/>
        <v>0.152507382622734</v>
      </c>
      <c r="AZ562">
        <f t="shared" si="394"/>
        <v>154.19439991192289</v>
      </c>
      <c r="BA562">
        <f t="shared" si="411"/>
        <v>2.2148566480140528</v>
      </c>
      <c r="BB562">
        <f t="shared" si="412"/>
        <v>53.083333333333336</v>
      </c>
      <c r="BC562">
        <f t="shared" si="395"/>
        <v>31.85</v>
      </c>
      <c r="BD562">
        <f t="shared" si="413"/>
        <v>0</v>
      </c>
      <c r="BE562">
        <f t="shared" si="396"/>
        <v>24</v>
      </c>
      <c r="BF562">
        <f t="shared" si="422"/>
        <v>5000</v>
      </c>
      <c r="BU562"/>
      <c r="DW562" s="89"/>
      <c r="DX562" s="89"/>
      <c r="FD562"/>
      <c r="FE562"/>
    </row>
    <row r="563" spans="1:161" x14ac:dyDescent="0.25">
      <c r="A563" s="7">
        <f t="shared" si="414"/>
        <v>60236</v>
      </c>
      <c r="B563">
        <f t="shared" si="397"/>
        <v>552</v>
      </c>
      <c r="C563">
        <f t="shared" si="423"/>
        <v>45.916666666666664</v>
      </c>
      <c r="D563">
        <f t="shared" si="424"/>
        <v>0</v>
      </c>
      <c r="E563">
        <f t="shared" si="398"/>
        <v>97</v>
      </c>
      <c r="F563">
        <f>IF(C563&gt;=$T$2,0,VLOOKUP($E563,EKM_F05!$A$3:$C$128,2,TRUE))</f>
        <v>0.29521782051282053</v>
      </c>
      <c r="G563">
        <f>F563*'Real assumptions'!$B$3</f>
        <v>0.12319439650000001</v>
      </c>
      <c r="H563">
        <f t="shared" si="425"/>
        <v>1.0896034452733683E-2</v>
      </c>
      <c r="I563">
        <f t="shared" si="426"/>
        <v>3.8864295932028681E-4</v>
      </c>
      <c r="J563">
        <f>IF(B563&gt;$AJ$2,0,HLOOKUP(C563,'Real assumptions'!$B$5:$L$8,4,TRUE))</f>
        <v>3.7900000000000003E-2</v>
      </c>
      <c r="K563">
        <f t="shared" si="387"/>
        <v>1</v>
      </c>
      <c r="L563">
        <f t="shared" si="415"/>
        <v>8.3333333333333329E-2</v>
      </c>
      <c r="M563">
        <f t="shared" si="427"/>
        <v>3.2145624959929453E-3</v>
      </c>
      <c r="N563">
        <f t="shared" si="428"/>
        <v>1.1421688000987817E-4</v>
      </c>
      <c r="O563" s="8">
        <f t="shared" si="399"/>
        <v>3.5222855343368775E-2</v>
      </c>
      <c r="P563">
        <f t="shared" si="400"/>
        <v>0.85741716438477455</v>
      </c>
      <c r="Q563">
        <f t="shared" si="416"/>
        <v>1.9432147966014339</v>
      </c>
      <c r="R563" s="89">
        <f t="shared" si="388"/>
        <v>5000</v>
      </c>
      <c r="S563">
        <f t="shared" si="389"/>
        <v>1</v>
      </c>
      <c r="U563">
        <f>O562*AV562*'Real assumptions'!$B$33/12+AX563*'Real assumptions'!$B$34</f>
        <v>0.65197133098755333</v>
      </c>
      <c r="V563">
        <f>IF(P563=0,0,IF(E563&lt;=$C$7,$AN$5*O562,0))*'Real assumptions'!$D$28</f>
        <v>0</v>
      </c>
      <c r="X563" s="94">
        <f t="shared" si="401"/>
        <v>0</v>
      </c>
      <c r="Y563">
        <f t="shared" si="390"/>
        <v>24</v>
      </c>
      <c r="Z563">
        <f t="shared" si="417"/>
        <v>53</v>
      </c>
      <c r="AA563">
        <f t="shared" si="391"/>
        <v>53</v>
      </c>
      <c r="AB563">
        <f t="shared" si="402"/>
        <v>50.505050505050505</v>
      </c>
      <c r="AC563">
        <f t="shared" si="429"/>
        <v>2676.7676767676767</v>
      </c>
      <c r="AD563">
        <f t="shared" si="403"/>
        <v>80.505050505050505</v>
      </c>
      <c r="AE563">
        <f t="shared" si="404"/>
        <v>213.33838383838383</v>
      </c>
      <c r="AF563" s="94">
        <f t="shared" si="405"/>
        <v>2109.8939393939395</v>
      </c>
      <c r="AG563">
        <f t="shared" si="418"/>
        <v>0.24098550290932674</v>
      </c>
      <c r="AH563">
        <f t="shared" si="406"/>
        <v>74.316489017123217</v>
      </c>
      <c r="AI563">
        <f>HLOOKUP(AW563,'Real assumptions'!$A$21:$AK$24,2,TRUE)</f>
        <v>0</v>
      </c>
      <c r="AJ563" s="123">
        <f t="shared" si="430"/>
        <v>0</v>
      </c>
      <c r="AK563" s="122">
        <f>(1+HLOOKUP(YEAR(A563),'Real assumptions'!$A$21:$AK$24,2,TRUE)/100)^(1/12)-1</f>
        <v>0</v>
      </c>
      <c r="AL563">
        <f t="shared" si="419"/>
        <v>0.65197133098755333</v>
      </c>
      <c r="AM563">
        <f>('Real assumptions'!$B$33/12)*O562*AV562</f>
        <v>0.63132534738043611</v>
      </c>
      <c r="AN563">
        <f t="shared" si="407"/>
        <v>75.420571271647177</v>
      </c>
      <c r="AO563">
        <f t="shared" si="431"/>
        <v>0</v>
      </c>
      <c r="AP563" s="121">
        <f t="shared" si="408"/>
        <v>0</v>
      </c>
      <c r="AQ563">
        <f t="shared" si="409"/>
        <v>0</v>
      </c>
      <c r="AR563">
        <v>0</v>
      </c>
      <c r="AS563">
        <f t="shared" si="392"/>
        <v>0</v>
      </c>
      <c r="AT563">
        <f t="shared" si="410"/>
        <v>0</v>
      </c>
      <c r="AU563">
        <f>IFERROR(HLOOKUP(B563,'Real assumptions'!$B$43:$AL$44,2,TRUE)*($W$3/$U$2),0)</f>
        <v>0</v>
      </c>
      <c r="AV563">
        <f>AV562*(1+'Real assumptions'!$B$35)^(1/12)</f>
        <v>1.7689757555896743</v>
      </c>
      <c r="AW563">
        <f t="shared" si="393"/>
        <v>2064</v>
      </c>
      <c r="AX563">
        <f t="shared" si="420"/>
        <v>75.365486192385887</v>
      </c>
      <c r="AY563">
        <f t="shared" si="421"/>
        <v>0.15036075413593827</v>
      </c>
      <c r="AZ563">
        <f t="shared" si="394"/>
        <v>152.21564544580934</v>
      </c>
      <c r="BA563">
        <f t="shared" si="411"/>
        <v>2.1842002995107608</v>
      </c>
      <c r="BB563">
        <f t="shared" si="412"/>
        <v>53</v>
      </c>
      <c r="BC563">
        <f t="shared" si="395"/>
        <v>31.799999999999997</v>
      </c>
      <c r="BD563">
        <f t="shared" si="413"/>
        <v>0</v>
      </c>
      <c r="BE563">
        <f t="shared" si="396"/>
        <v>24</v>
      </c>
      <c r="BF563">
        <f t="shared" si="422"/>
        <v>5000</v>
      </c>
      <c r="BU563"/>
      <c r="DW563" s="89"/>
      <c r="DX563" s="89"/>
      <c r="FD563"/>
      <c r="FE563"/>
    </row>
    <row r="564" spans="1:161" x14ac:dyDescent="0.25">
      <c r="A564" s="7">
        <f t="shared" si="414"/>
        <v>60267</v>
      </c>
      <c r="B564">
        <f t="shared" si="397"/>
        <v>553</v>
      </c>
      <c r="C564">
        <f t="shared" si="423"/>
        <v>46</v>
      </c>
      <c r="D564">
        <f t="shared" si="424"/>
        <v>1</v>
      </c>
      <c r="E564">
        <f t="shared" si="398"/>
        <v>98</v>
      </c>
      <c r="F564">
        <f>IF(C564&gt;=$T$2,0,VLOOKUP($E564,EKM_F05!$A$3:$C$128,2,TRUE))</f>
        <v>0.32504435897435896</v>
      </c>
      <c r="G564">
        <f>F564*'Real assumptions'!$B$3</f>
        <v>0.13564101100000001</v>
      </c>
      <c r="H564">
        <f t="shared" si="425"/>
        <v>1.2073778214548248E-2</v>
      </c>
      <c r="I564">
        <f t="shared" si="426"/>
        <v>4.2458941027158413E-4</v>
      </c>
      <c r="J564">
        <f>IF(B564&gt;$AJ$2,0,HLOOKUP(C564,'Real assumptions'!$B$5:$L$8,4,TRUE))</f>
        <v>3.7900000000000003E-2</v>
      </c>
      <c r="K564">
        <f t="shared" si="387"/>
        <v>1</v>
      </c>
      <c r="L564">
        <f t="shared" si="415"/>
        <v>8.3333333333333329E-2</v>
      </c>
      <c r="M564">
        <f t="shared" si="427"/>
        <v>3.2145624959929453E-3</v>
      </c>
      <c r="N564">
        <f t="shared" si="428"/>
        <v>1.1254253656121185E-4</v>
      </c>
      <c r="O564" s="8">
        <f t="shared" si="399"/>
        <v>3.4685723396535979E-2</v>
      </c>
      <c r="P564">
        <f t="shared" si="400"/>
        <v>0.84534852824085061</v>
      </c>
      <c r="Q564">
        <f t="shared" si="416"/>
        <v>2.1229470513579205</v>
      </c>
      <c r="R564" s="89">
        <f t="shared" si="388"/>
        <v>5000</v>
      </c>
      <c r="S564">
        <f t="shared" si="389"/>
        <v>0.9166666666666643</v>
      </c>
      <c r="U564">
        <f>O563*AV563*'Real assumptions'!$B$33/12+AX564*'Real assumptions'!$B$34</f>
        <v>0.64348299849585544</v>
      </c>
      <c r="V564">
        <f>IF(P564=0,0,IF(E564&lt;=$C$7,$AN$5*O563,0))*'Real assumptions'!$D$28</f>
        <v>0</v>
      </c>
      <c r="X564" s="94">
        <f t="shared" si="401"/>
        <v>0</v>
      </c>
      <c r="Y564">
        <f t="shared" si="390"/>
        <v>24</v>
      </c>
      <c r="Z564">
        <f t="shared" si="417"/>
        <v>53</v>
      </c>
      <c r="AA564">
        <f t="shared" si="391"/>
        <v>52.916666666666664</v>
      </c>
      <c r="AB564">
        <f t="shared" si="402"/>
        <v>50.505050505050505</v>
      </c>
      <c r="AC564">
        <f t="shared" si="429"/>
        <v>2672.5589225589224</v>
      </c>
      <c r="AD564">
        <f t="shared" si="403"/>
        <v>80.505050505050505</v>
      </c>
      <c r="AE564">
        <f t="shared" si="404"/>
        <v>213.0029461279461</v>
      </c>
      <c r="AF564" s="94">
        <f t="shared" si="405"/>
        <v>2114.4381313131316</v>
      </c>
      <c r="AG564">
        <f t="shared" si="418"/>
        <v>0.23796423069972858</v>
      </c>
      <c r="AH564">
        <f t="shared" si="406"/>
        <v>73.34081616181571</v>
      </c>
      <c r="AI564">
        <f>HLOOKUP(AW564,'Real assumptions'!$A$21:$AK$24,2,TRUE)</f>
        <v>0</v>
      </c>
      <c r="AJ564" s="123">
        <f t="shared" si="430"/>
        <v>0</v>
      </c>
      <c r="AK564" s="122">
        <f>(1+HLOOKUP(YEAR(A564),'Real assumptions'!$A$21:$AK$24,2,TRUE)/100)^(1/12)-1</f>
        <v>0</v>
      </c>
      <c r="AL564">
        <f t="shared" si="419"/>
        <v>0.64348299849585544</v>
      </c>
      <c r="AM564">
        <f>('Real assumptions'!$B$33/12)*O563*AV563</f>
        <v>0.62308377145061578</v>
      </c>
      <c r="AN564">
        <f t="shared" si="407"/>
        <v>74.51835454686821</v>
      </c>
      <c r="AO564">
        <f t="shared" si="431"/>
        <v>0</v>
      </c>
      <c r="AP564" s="121">
        <f t="shared" si="408"/>
        <v>0</v>
      </c>
      <c r="AQ564">
        <f t="shared" si="409"/>
        <v>0</v>
      </c>
      <c r="AR564">
        <v>0</v>
      </c>
      <c r="AS564">
        <f t="shared" si="392"/>
        <v>0</v>
      </c>
      <c r="AT564">
        <f t="shared" si="410"/>
        <v>0</v>
      </c>
      <c r="AU564">
        <f>IFERROR(HLOOKUP(B564,'Real assumptions'!$B$43:$AL$44,2,TRUE)*($W$3/$U$2),0)</f>
        <v>0</v>
      </c>
      <c r="AV564">
        <f>AV563*(1+'Real assumptions'!$B$35)^(1/12)</f>
        <v>1.7708079651786244</v>
      </c>
      <c r="AW564">
        <f t="shared" si="393"/>
        <v>2064</v>
      </c>
      <c r="AX564">
        <f t="shared" si="420"/>
        <v>74.464733357793961</v>
      </c>
      <c r="AY564">
        <f t="shared" si="421"/>
        <v>0.14824434067074399</v>
      </c>
      <c r="AZ564">
        <f t="shared" si="394"/>
        <v>150.05659969349668</v>
      </c>
      <c r="BA564">
        <f t="shared" si="411"/>
        <v>2.360911282057649</v>
      </c>
      <c r="BB564">
        <f t="shared" si="412"/>
        <v>52.916666666666664</v>
      </c>
      <c r="BC564">
        <f t="shared" si="395"/>
        <v>31.75</v>
      </c>
      <c r="BD564">
        <f t="shared" si="413"/>
        <v>0</v>
      </c>
      <c r="BE564">
        <f t="shared" si="396"/>
        <v>24</v>
      </c>
      <c r="BF564">
        <f t="shared" si="422"/>
        <v>5000</v>
      </c>
      <c r="BU564"/>
      <c r="DW564" s="89"/>
      <c r="DX564" s="89"/>
      <c r="FD564"/>
      <c r="FE564"/>
    </row>
    <row r="565" spans="1:161" x14ac:dyDescent="0.25">
      <c r="A565" s="7">
        <f t="shared" si="414"/>
        <v>60298</v>
      </c>
      <c r="B565">
        <f t="shared" si="397"/>
        <v>554</v>
      </c>
      <c r="C565">
        <f t="shared" si="423"/>
        <v>46.083333333333336</v>
      </c>
      <c r="D565">
        <f t="shared" si="424"/>
        <v>0</v>
      </c>
      <c r="E565">
        <f t="shared" si="398"/>
        <v>98</v>
      </c>
      <c r="F565">
        <f>IF(C565&gt;=$T$2,0,VLOOKUP($E565,EKM_F05!$A$3:$C$128,2,TRUE))</f>
        <v>0.32504435897435896</v>
      </c>
      <c r="G565">
        <f>F565*'Real assumptions'!$B$3</f>
        <v>0.13564101100000001</v>
      </c>
      <c r="H565">
        <f t="shared" si="425"/>
        <v>1.2073778214548248E-2</v>
      </c>
      <c r="I565">
        <f t="shared" si="426"/>
        <v>4.1811462183321012E-4</v>
      </c>
      <c r="J565">
        <f>IF(B565&gt;$AJ$2,0,HLOOKUP(C565,'Real assumptions'!$B$5:$L$8,4,TRUE))</f>
        <v>3.7900000000000003E-2</v>
      </c>
      <c r="K565">
        <f t="shared" si="387"/>
        <v>1</v>
      </c>
      <c r="L565">
        <f t="shared" si="415"/>
        <v>8.3333333333333329E-2</v>
      </c>
      <c r="M565">
        <f t="shared" si="427"/>
        <v>3.2145624959929453E-3</v>
      </c>
      <c r="N565">
        <f t="shared" si="428"/>
        <v>1.1082631590915715E-4</v>
      </c>
      <c r="O565" s="8">
        <f t="shared" si="399"/>
        <v>3.4156782458793618E-2</v>
      </c>
      <c r="P565">
        <f t="shared" si="400"/>
        <v>0.83245736151686356</v>
      </c>
      <c r="Q565">
        <f t="shared" si="416"/>
        <v>2.0905731091660504</v>
      </c>
      <c r="R565" s="89">
        <f t="shared" si="388"/>
        <v>5000</v>
      </c>
      <c r="S565">
        <f t="shared" si="389"/>
        <v>0.8333333333333357</v>
      </c>
      <c r="U565">
        <f>O564*AV564*'Real assumptions'!$B$33/12+AX565*'Real assumptions'!$B$34</f>
        <v>0.63434887992332789</v>
      </c>
      <c r="V565">
        <f>IF(P565=0,0,IF(E565&lt;=$C$7,$AN$5*O564,0))*'Real assumptions'!$D$28</f>
        <v>0</v>
      </c>
      <c r="X565" s="94">
        <f t="shared" si="401"/>
        <v>0</v>
      </c>
      <c r="Y565">
        <f t="shared" si="390"/>
        <v>24</v>
      </c>
      <c r="Z565">
        <f t="shared" si="417"/>
        <v>52</v>
      </c>
      <c r="AA565">
        <f t="shared" si="391"/>
        <v>52.833333333333336</v>
      </c>
      <c r="AB565">
        <f t="shared" si="402"/>
        <v>50.505050505050505</v>
      </c>
      <c r="AC565">
        <f t="shared" si="429"/>
        <v>2668.3501683501686</v>
      </c>
      <c r="AD565">
        <f t="shared" si="403"/>
        <v>80.505050505050505</v>
      </c>
      <c r="AE565">
        <f t="shared" si="404"/>
        <v>212.66750841750843</v>
      </c>
      <c r="AF565" s="94">
        <f t="shared" si="405"/>
        <v>2118.9823232323229</v>
      </c>
      <c r="AG565">
        <f t="shared" si="418"/>
        <v>0.23483900436046518</v>
      </c>
      <c r="AH565">
        <f t="shared" si="406"/>
        <v>72.37761824867556</v>
      </c>
      <c r="AI565">
        <f>HLOOKUP(AW565,'Real assumptions'!$A$21:$AK$24,2,TRUE)</f>
        <v>0</v>
      </c>
      <c r="AJ565" s="123">
        <f t="shared" si="430"/>
        <v>0</v>
      </c>
      <c r="AK565" s="122">
        <f>(1+HLOOKUP(YEAR(A565),'Real assumptions'!$A$21:$AK$24,2,TRUE)/100)^(1/12)-1</f>
        <v>0</v>
      </c>
      <c r="AL565">
        <f t="shared" si="419"/>
        <v>0.63434887992332789</v>
      </c>
      <c r="AM565">
        <f>('Real assumptions'!$B$33/12)*O564*AV564</f>
        <v>0.61421755268568479</v>
      </c>
      <c r="AN565">
        <f t="shared" si="407"/>
        <v>73.538924643409246</v>
      </c>
      <c r="AO565">
        <f t="shared" si="431"/>
        <v>0</v>
      </c>
      <c r="AP565" s="121">
        <f t="shared" si="408"/>
        <v>0</v>
      </c>
      <c r="AQ565">
        <f t="shared" si="409"/>
        <v>0</v>
      </c>
      <c r="AR565">
        <v>0</v>
      </c>
      <c r="AS565">
        <f t="shared" si="392"/>
        <v>0</v>
      </c>
      <c r="AT565">
        <f t="shared" si="410"/>
        <v>0</v>
      </c>
      <c r="AU565">
        <f>IFERROR(HLOOKUP(B565,'Real assumptions'!$B$43:$AL$44,2,TRUE)*($W$3/$U$2),0)</f>
        <v>0</v>
      </c>
      <c r="AV565">
        <f>AV564*(1+'Real assumptions'!$B$35)^(1/12)</f>
        <v>1.7726420724713543</v>
      </c>
      <c r="AW565">
        <f t="shared" si="393"/>
        <v>2065</v>
      </c>
      <c r="AX565">
        <f t="shared" si="420"/>
        <v>73.486799846144564</v>
      </c>
      <c r="AY565">
        <f t="shared" si="421"/>
        <v>0.14598368432885511</v>
      </c>
      <c r="AZ565">
        <f t="shared" si="394"/>
        <v>147.92929606156372</v>
      </c>
      <c r="BA565">
        <f t="shared" si="411"/>
        <v>2.3254121135265158</v>
      </c>
      <c r="BB565">
        <f t="shared" si="412"/>
        <v>52.833333333333336</v>
      </c>
      <c r="BC565">
        <f t="shared" si="395"/>
        <v>31.700000000000003</v>
      </c>
      <c r="BD565">
        <f t="shared" si="413"/>
        <v>0</v>
      </c>
      <c r="BE565">
        <f t="shared" si="396"/>
        <v>24</v>
      </c>
      <c r="BF565">
        <f t="shared" si="422"/>
        <v>5000</v>
      </c>
      <c r="BU565"/>
      <c r="DW565" s="89"/>
      <c r="DX565" s="89"/>
      <c r="FD565"/>
      <c r="FE565"/>
    </row>
    <row r="566" spans="1:161" x14ac:dyDescent="0.25">
      <c r="A566" s="7">
        <f t="shared" si="414"/>
        <v>60326</v>
      </c>
      <c r="B566">
        <f t="shared" si="397"/>
        <v>555</v>
      </c>
      <c r="C566">
        <f t="shared" si="423"/>
        <v>46.166666666666664</v>
      </c>
      <c r="D566">
        <f t="shared" si="424"/>
        <v>0</v>
      </c>
      <c r="E566">
        <f t="shared" si="398"/>
        <v>98</v>
      </c>
      <c r="F566">
        <f>IF(C566&gt;=$T$2,0,VLOOKUP($E566,EKM_F05!$A$3:$C$128,2,TRUE))</f>
        <v>0.32504435897435896</v>
      </c>
      <c r="G566">
        <f>F566*'Real assumptions'!$B$3</f>
        <v>0.13564101100000001</v>
      </c>
      <c r="H566">
        <f t="shared" si="425"/>
        <v>1.2073778214548248E-2</v>
      </c>
      <c r="I566">
        <f t="shared" si="426"/>
        <v>4.1173857086757455E-4</v>
      </c>
      <c r="J566">
        <f>IF(B566&gt;$AJ$2,0,HLOOKUP(C566,'Real assumptions'!$B$5:$L$8,4,TRUE))</f>
        <v>3.7900000000000003E-2</v>
      </c>
      <c r="K566">
        <f t="shared" si="387"/>
        <v>1</v>
      </c>
      <c r="L566">
        <f t="shared" si="415"/>
        <v>8.3333333333333329E-2</v>
      </c>
      <c r="M566">
        <f t="shared" si="427"/>
        <v>3.2145624959929453E-3</v>
      </c>
      <c r="N566">
        <f t="shared" si="428"/>
        <v>1.091362668133561E-4</v>
      </c>
      <c r="O566" s="8">
        <f t="shared" si="399"/>
        <v>3.3635907621112682E-2</v>
      </c>
      <c r="P566">
        <f t="shared" si="400"/>
        <v>0.81976277901104688</v>
      </c>
      <c r="Q566">
        <f t="shared" si="416"/>
        <v>2.0586928543378726</v>
      </c>
      <c r="R566" s="89">
        <f t="shared" si="388"/>
        <v>5000</v>
      </c>
      <c r="S566">
        <f t="shared" si="389"/>
        <v>0.75</v>
      </c>
      <c r="U566">
        <f>O565*AV565*'Real assumptions'!$B$33/12+AX566*'Real assumptions'!$B$34</f>
        <v>0.62534435078672623</v>
      </c>
      <c r="V566">
        <f>IF(P566=0,0,IF(E566&lt;=$C$7,$AN$5*O565,0))*'Real assumptions'!$D$28</f>
        <v>0</v>
      </c>
      <c r="X566" s="94">
        <f t="shared" si="401"/>
        <v>0</v>
      </c>
      <c r="Y566">
        <f t="shared" si="390"/>
        <v>24</v>
      </c>
      <c r="Z566">
        <f t="shared" si="417"/>
        <v>52</v>
      </c>
      <c r="AA566">
        <f t="shared" si="391"/>
        <v>52.75</v>
      </c>
      <c r="AB566">
        <f t="shared" si="402"/>
        <v>50.505050505050505</v>
      </c>
      <c r="AC566">
        <f t="shared" si="429"/>
        <v>2664.1414141414143</v>
      </c>
      <c r="AD566">
        <f t="shared" si="403"/>
        <v>80.505050505050505</v>
      </c>
      <c r="AE566">
        <f t="shared" si="404"/>
        <v>212.3320707070707</v>
      </c>
      <c r="AF566" s="94">
        <f t="shared" si="405"/>
        <v>2123.526515151515</v>
      </c>
      <c r="AG566">
        <f t="shared" si="418"/>
        <v>0.23175375634281201</v>
      </c>
      <c r="AH566">
        <f t="shared" si="406"/>
        <v>71.426741694619693</v>
      </c>
      <c r="AI566">
        <f>HLOOKUP(AW566,'Real assumptions'!$A$21:$AK$24,2,TRUE)</f>
        <v>0</v>
      </c>
      <c r="AJ566" s="123">
        <f t="shared" si="430"/>
        <v>0</v>
      </c>
      <c r="AK566" s="122">
        <f>(1+HLOOKUP(YEAR(A566),'Real assumptions'!$A$21:$AK$24,2,TRUE)/100)^(1/12)-1</f>
        <v>0</v>
      </c>
      <c r="AL566">
        <f t="shared" si="419"/>
        <v>0.62534435078672623</v>
      </c>
      <c r="AM566">
        <f>('Real assumptions'!$B$33/12)*O565*AV565</f>
        <v>0.60547749646709115</v>
      </c>
      <c r="AN566">
        <f t="shared" si="407"/>
        <v>72.57203667689987</v>
      </c>
      <c r="AO566">
        <f t="shared" si="431"/>
        <v>0</v>
      </c>
      <c r="AP566" s="121">
        <f t="shared" si="408"/>
        <v>0</v>
      </c>
      <c r="AQ566">
        <f t="shared" si="409"/>
        <v>0</v>
      </c>
      <c r="AR566">
        <v>0</v>
      </c>
      <c r="AS566">
        <f t="shared" si="392"/>
        <v>0</v>
      </c>
      <c r="AT566">
        <f t="shared" si="410"/>
        <v>0</v>
      </c>
      <c r="AU566">
        <f>IFERROR(HLOOKUP(B566,'Real assumptions'!$B$43:$AL$44,2,TRUE)*($W$3/$U$2),0)</f>
        <v>0</v>
      </c>
      <c r="AV566">
        <f>AV565*(1+'Real assumptions'!$B$35)^(1/12)</f>
        <v>1.7744780794334032</v>
      </c>
      <c r="AW566">
        <f t="shared" si="393"/>
        <v>2065</v>
      </c>
      <c r="AX566">
        <f t="shared" si="420"/>
        <v>72.521375750606509</v>
      </c>
      <c r="AY566">
        <f t="shared" si="421"/>
        <v>0.14375750193094955</v>
      </c>
      <c r="AZ566">
        <f t="shared" si="394"/>
        <v>145.83326787910738</v>
      </c>
      <c r="BA566">
        <f t="shared" si="411"/>
        <v>2.2904466106806844</v>
      </c>
      <c r="BB566">
        <f t="shared" si="412"/>
        <v>52.75</v>
      </c>
      <c r="BC566">
        <f t="shared" si="395"/>
        <v>31.65</v>
      </c>
      <c r="BD566">
        <f t="shared" si="413"/>
        <v>0</v>
      </c>
      <c r="BE566">
        <f t="shared" si="396"/>
        <v>24</v>
      </c>
      <c r="BF566">
        <f t="shared" si="422"/>
        <v>5000</v>
      </c>
      <c r="BU566"/>
      <c r="DW566" s="89"/>
      <c r="DX566" s="89"/>
      <c r="FD566"/>
      <c r="FE566"/>
    </row>
    <row r="567" spans="1:161" x14ac:dyDescent="0.25">
      <c r="A567" s="7">
        <f t="shared" si="414"/>
        <v>60357</v>
      </c>
      <c r="B567">
        <f t="shared" si="397"/>
        <v>556</v>
      </c>
      <c r="C567">
        <f t="shared" si="423"/>
        <v>46.25</v>
      </c>
      <c r="D567">
        <f t="shared" si="424"/>
        <v>0</v>
      </c>
      <c r="E567">
        <f t="shared" si="398"/>
        <v>98</v>
      </c>
      <c r="F567">
        <f>IF(C567&gt;=$T$2,0,VLOOKUP($E567,EKM_F05!$A$3:$C$128,2,TRUE))</f>
        <v>0.32504435897435896</v>
      </c>
      <c r="G567">
        <f>F567*'Real assumptions'!$B$3</f>
        <v>0.13564101100000001</v>
      </c>
      <c r="H567">
        <f t="shared" si="425"/>
        <v>1.2073778214548248E-2</v>
      </c>
      <c r="I567">
        <f t="shared" si="426"/>
        <v>4.0545975167474349E-4</v>
      </c>
      <c r="J567">
        <f>IF(B567&gt;$AJ$2,0,HLOOKUP(C567,'Real assumptions'!$B$5:$L$8,4,TRUE))</f>
        <v>3.7900000000000003E-2</v>
      </c>
      <c r="K567">
        <f t="shared" si="387"/>
        <v>1</v>
      </c>
      <c r="L567">
        <f t="shared" si="415"/>
        <v>8.3333333333333329E-2</v>
      </c>
      <c r="M567">
        <f t="shared" si="427"/>
        <v>3.2145624959929453E-3</v>
      </c>
      <c r="N567">
        <f t="shared" si="428"/>
        <v>1.0747199016990793E-4</v>
      </c>
      <c r="O567" s="8">
        <f t="shared" si="399"/>
        <v>3.3122975879268032E-2</v>
      </c>
      <c r="P567">
        <f t="shared" si="400"/>
        <v>0.80726178290670436</v>
      </c>
      <c r="Q567">
        <f t="shared" si="416"/>
        <v>2.0272987583737176</v>
      </c>
      <c r="R567" s="89">
        <f t="shared" si="388"/>
        <v>5000</v>
      </c>
      <c r="S567">
        <f t="shared" si="389"/>
        <v>0.6666666666666643</v>
      </c>
      <c r="U567">
        <f>O566*AV566*'Real assumptions'!$B$33/12+AX567*'Real assumptions'!$B$34</f>
        <v>0.6164675736290256</v>
      </c>
      <c r="V567">
        <f>IF(P567=0,0,IF(E567&lt;=$C$7,$AN$5*O566,0))*'Real assumptions'!$D$28</f>
        <v>0</v>
      </c>
      <c r="X567" s="94">
        <f t="shared" si="401"/>
        <v>0</v>
      </c>
      <c r="Y567">
        <f t="shared" si="390"/>
        <v>24</v>
      </c>
      <c r="Z567">
        <f t="shared" si="417"/>
        <v>52</v>
      </c>
      <c r="AA567">
        <f t="shared" si="391"/>
        <v>52.666666666666664</v>
      </c>
      <c r="AB567">
        <f t="shared" si="402"/>
        <v>50.505050505050505</v>
      </c>
      <c r="AC567">
        <f t="shared" si="429"/>
        <v>2659.93265993266</v>
      </c>
      <c r="AD567">
        <f t="shared" si="403"/>
        <v>80.505050505050505</v>
      </c>
      <c r="AE567">
        <f t="shared" si="404"/>
        <v>211.99663299663297</v>
      </c>
      <c r="AF567" s="94">
        <f t="shared" si="405"/>
        <v>2128.0707070707072</v>
      </c>
      <c r="AG567">
        <f t="shared" si="418"/>
        <v>0.22870799411117204</v>
      </c>
      <c r="AH567">
        <f t="shared" si="406"/>
        <v>70.488034699679901</v>
      </c>
      <c r="AI567">
        <f>HLOOKUP(AW567,'Real assumptions'!$A$21:$AK$24,2,TRUE)</f>
        <v>0</v>
      </c>
      <c r="AJ567" s="123">
        <f t="shared" si="430"/>
        <v>0</v>
      </c>
      <c r="AK567" s="122">
        <f>(1+HLOOKUP(YEAR(A567),'Real assumptions'!$A$21:$AK$24,2,TRUE)/100)^(1/12)-1</f>
        <v>0</v>
      </c>
      <c r="AL567">
        <f t="shared" si="419"/>
        <v>0.6164675736290256</v>
      </c>
      <c r="AM567">
        <f>('Real assumptions'!$B$33/12)*O566*AV566</f>
        <v>0.59686180755511398</v>
      </c>
      <c r="AN567">
        <f t="shared" si="407"/>
        <v>71.617535903897377</v>
      </c>
      <c r="AO567">
        <f t="shared" si="431"/>
        <v>0</v>
      </c>
      <c r="AP567" s="121">
        <f t="shared" si="408"/>
        <v>0</v>
      </c>
      <c r="AQ567">
        <f t="shared" si="409"/>
        <v>0</v>
      </c>
      <c r="AR567">
        <v>0</v>
      </c>
      <c r="AS567">
        <f t="shared" si="392"/>
        <v>0</v>
      </c>
      <c r="AT567">
        <f t="shared" si="410"/>
        <v>0</v>
      </c>
      <c r="AU567">
        <f>IFERROR(HLOOKUP(B567,'Real assumptions'!$B$43:$AL$44,2,TRUE)*($W$3/$U$2),0)</f>
        <v>0</v>
      </c>
      <c r="AV567">
        <f>AV566*(1+'Real assumptions'!$B$35)^(1/12)</f>
        <v>1.776315988032346</v>
      </c>
      <c r="AW567">
        <f t="shared" si="393"/>
        <v>2065</v>
      </c>
      <c r="AX567">
        <f t="shared" si="420"/>
        <v>71.568306962385321</v>
      </c>
      <c r="AY567">
        <f t="shared" si="421"/>
        <v>0.14156526776562575</v>
      </c>
      <c r="AZ567">
        <f t="shared" si="394"/>
        <v>143.76805533590016</v>
      </c>
      <c r="BA567">
        <f t="shared" si="411"/>
        <v>2.2560067524848897</v>
      </c>
      <c r="BB567">
        <f t="shared" si="412"/>
        <v>52.666666666666664</v>
      </c>
      <c r="BC567">
        <f t="shared" si="395"/>
        <v>31.599999999999994</v>
      </c>
      <c r="BD567">
        <f t="shared" si="413"/>
        <v>0</v>
      </c>
      <c r="BE567">
        <f t="shared" si="396"/>
        <v>24</v>
      </c>
      <c r="BF567">
        <f t="shared" si="422"/>
        <v>5000</v>
      </c>
      <c r="BU567"/>
      <c r="DW567" s="89"/>
      <c r="DX567" s="89"/>
      <c r="FD567"/>
      <c r="FE567"/>
    </row>
    <row r="568" spans="1:161" x14ac:dyDescent="0.25">
      <c r="A568" s="7">
        <f t="shared" si="414"/>
        <v>60387</v>
      </c>
      <c r="B568">
        <f t="shared" si="397"/>
        <v>557</v>
      </c>
      <c r="C568">
        <f t="shared" si="423"/>
        <v>46.333333333333336</v>
      </c>
      <c r="D568">
        <f t="shared" si="424"/>
        <v>0</v>
      </c>
      <c r="E568">
        <f t="shared" si="398"/>
        <v>98</v>
      </c>
      <c r="F568">
        <f>IF(C568&gt;=$T$2,0,VLOOKUP($E568,EKM_F05!$A$3:$C$128,2,TRUE))</f>
        <v>0.32504435897435896</v>
      </c>
      <c r="G568">
        <f>F568*'Real assumptions'!$B$3</f>
        <v>0.13564101100000001</v>
      </c>
      <c r="H568">
        <f t="shared" si="425"/>
        <v>1.2073778214548248E-2</v>
      </c>
      <c r="I568">
        <f t="shared" si="426"/>
        <v>3.9927668151599794E-4</v>
      </c>
      <c r="J568">
        <f>IF(B568&gt;$AJ$2,0,HLOOKUP(C568,'Real assumptions'!$B$5:$L$8,4,TRUE))</f>
        <v>3.7900000000000003E-2</v>
      </c>
      <c r="K568">
        <f t="shared" si="387"/>
        <v>1</v>
      </c>
      <c r="L568">
        <f t="shared" si="415"/>
        <v>8.3333333333333329E-2</v>
      </c>
      <c r="M568">
        <f t="shared" si="427"/>
        <v>3.2145624959929453E-3</v>
      </c>
      <c r="N568">
        <f t="shared" si="428"/>
        <v>1.0583309296105841E-4</v>
      </c>
      <c r="O568" s="8">
        <f t="shared" si="399"/>
        <v>3.2617866104790977E-2</v>
      </c>
      <c r="P568">
        <f t="shared" si="400"/>
        <v>0.79495142110243278</v>
      </c>
      <c r="Q568">
        <f t="shared" si="416"/>
        <v>1.9963834075799898</v>
      </c>
      <c r="R568" s="89">
        <f t="shared" si="388"/>
        <v>5000</v>
      </c>
      <c r="S568">
        <f t="shared" si="389"/>
        <v>0.5833333333333357</v>
      </c>
      <c r="U568">
        <f>O567*AV567*'Real assumptions'!$B$33/12+AX568*'Real assumptions'!$B$34</f>
        <v>0.60771673702937545</v>
      </c>
      <c r="V568">
        <f>IF(P568=0,0,IF(E568&lt;=$C$7,$AN$5*O567,0))*'Real assumptions'!$D$28</f>
        <v>0</v>
      </c>
      <c r="X568" s="94">
        <f t="shared" si="401"/>
        <v>0</v>
      </c>
      <c r="Y568">
        <f t="shared" si="390"/>
        <v>24</v>
      </c>
      <c r="Z568">
        <f t="shared" si="417"/>
        <v>52</v>
      </c>
      <c r="AA568">
        <f t="shared" si="391"/>
        <v>52.583333333333336</v>
      </c>
      <c r="AB568">
        <f t="shared" si="402"/>
        <v>50.505050505050505</v>
      </c>
      <c r="AC568">
        <f t="shared" si="429"/>
        <v>2655.7239057239058</v>
      </c>
      <c r="AD568">
        <f t="shared" si="403"/>
        <v>80.505050505050505</v>
      </c>
      <c r="AE568">
        <f t="shared" si="404"/>
        <v>211.66119528619529</v>
      </c>
      <c r="AF568" s="94">
        <f t="shared" si="405"/>
        <v>2132.6148989898988</v>
      </c>
      <c r="AG568">
        <f t="shared" si="418"/>
        <v>0.22570123085493615</v>
      </c>
      <c r="AH568">
        <f t="shared" si="406"/>
        <v>69.561347228334853</v>
      </c>
      <c r="AI568">
        <f>HLOOKUP(AW568,'Real assumptions'!$A$21:$AK$24,2,TRUE)</f>
        <v>0</v>
      </c>
      <c r="AJ568" s="123">
        <f t="shared" si="430"/>
        <v>0</v>
      </c>
      <c r="AK568" s="122">
        <f>(1+HLOOKUP(YEAR(A568),'Real assumptions'!$A$21:$AK$24,2,TRUE)/100)^(1/12)-1</f>
        <v>0</v>
      </c>
      <c r="AL568">
        <f t="shared" si="419"/>
        <v>0.60771673702937545</v>
      </c>
      <c r="AM568">
        <f>('Real assumptions'!$B$33/12)*O567*AV567</f>
        <v>0.58836871625553566</v>
      </c>
      <c r="AN568">
        <f t="shared" si="407"/>
        <v>70.675269383752962</v>
      </c>
      <c r="AO568">
        <f t="shared" si="431"/>
        <v>0</v>
      </c>
      <c r="AP568" s="121">
        <f t="shared" si="408"/>
        <v>0</v>
      </c>
      <c r="AQ568">
        <f t="shared" si="409"/>
        <v>0</v>
      </c>
      <c r="AR568">
        <v>0</v>
      </c>
      <c r="AS568">
        <f t="shared" si="392"/>
        <v>0</v>
      </c>
      <c r="AT568">
        <f t="shared" si="410"/>
        <v>0</v>
      </c>
      <c r="AU568">
        <f>IFERROR(HLOOKUP(B568,'Real assumptions'!$B$43:$AL$44,2,TRUE)*($W$3/$U$2),0)</f>
        <v>0</v>
      </c>
      <c r="AV568">
        <f>AV567*(1+'Real assumptions'!$B$35)^(1/12)</f>
        <v>1.7781558002377955</v>
      </c>
      <c r="AW568">
        <f t="shared" si="393"/>
        <v>2065</v>
      </c>
      <c r="AX568">
        <f t="shared" si="420"/>
        <v>70.627441163818233</v>
      </c>
      <c r="AY568">
        <f t="shared" si="421"/>
        <v>0.13940646413833346</v>
      </c>
      <c r="AZ568">
        <f t="shared" si="394"/>
        <v>141.73320538153831</v>
      </c>
      <c r="BA568">
        <f t="shared" si="411"/>
        <v>2.222084638434926</v>
      </c>
      <c r="BB568">
        <f t="shared" si="412"/>
        <v>52.583333333333336</v>
      </c>
      <c r="BC568">
        <f t="shared" si="395"/>
        <v>31.549999999999997</v>
      </c>
      <c r="BD568">
        <f t="shared" si="413"/>
        <v>0</v>
      </c>
      <c r="BE568">
        <f t="shared" si="396"/>
        <v>24</v>
      </c>
      <c r="BF568">
        <f t="shared" si="422"/>
        <v>5000</v>
      </c>
      <c r="BU568"/>
      <c r="DW568" s="89"/>
      <c r="DX568" s="89"/>
      <c r="FD568"/>
      <c r="FE568"/>
    </row>
    <row r="569" spans="1:161" x14ac:dyDescent="0.25">
      <c r="A569" s="7">
        <f t="shared" si="414"/>
        <v>60418</v>
      </c>
      <c r="B569">
        <f t="shared" si="397"/>
        <v>558</v>
      </c>
      <c r="C569">
        <f t="shared" si="423"/>
        <v>46.416666666666664</v>
      </c>
      <c r="D569">
        <f t="shared" si="424"/>
        <v>0</v>
      </c>
      <c r="E569">
        <f t="shared" si="398"/>
        <v>98</v>
      </c>
      <c r="F569">
        <f>IF(C569&gt;=$T$2,0,VLOOKUP($E569,EKM_F05!$A$3:$C$128,2,TRUE))</f>
        <v>0.32504435897435896</v>
      </c>
      <c r="G569">
        <f>F569*'Real assumptions'!$B$3</f>
        <v>0.13564101100000001</v>
      </c>
      <c r="H569">
        <f t="shared" si="425"/>
        <v>1.2073778214548248E-2</v>
      </c>
      <c r="I569">
        <f t="shared" si="426"/>
        <v>3.9318790026368524E-4</v>
      </c>
      <c r="J569">
        <f>IF(B569&gt;$AJ$2,0,HLOOKUP(C569,'Real assumptions'!$B$5:$L$8,4,TRUE))</f>
        <v>3.7900000000000003E-2</v>
      </c>
      <c r="K569">
        <f t="shared" si="387"/>
        <v>1</v>
      </c>
      <c r="L569">
        <f t="shared" si="415"/>
        <v>8.3333333333333329E-2</v>
      </c>
      <c r="M569">
        <f t="shared" si="427"/>
        <v>3.2145624959929453E-3</v>
      </c>
      <c r="N569">
        <f t="shared" si="428"/>
        <v>1.0421918816238877E-4</v>
      </c>
      <c r="O569" s="8">
        <f t="shared" si="399"/>
        <v>3.21204590163649E-2</v>
      </c>
      <c r="P569">
        <f t="shared" si="400"/>
        <v>0.78282878651498344</v>
      </c>
      <c r="Q569">
        <f t="shared" si="416"/>
        <v>1.9659395013184262</v>
      </c>
      <c r="R569" s="89">
        <f t="shared" si="388"/>
        <v>5000</v>
      </c>
      <c r="S569">
        <f t="shared" si="389"/>
        <v>0.5</v>
      </c>
      <c r="U569">
        <f>O568*AV568*'Real assumptions'!$B$33/12+AX569*'Real assumptions'!$B$34</f>
        <v>0.59909005523444936</v>
      </c>
      <c r="V569">
        <f>IF(P569=0,0,IF(E569&lt;=$C$7,$AN$5*O568,0))*'Real assumptions'!$D$28</f>
        <v>0</v>
      </c>
      <c r="X569" s="94">
        <f t="shared" si="401"/>
        <v>0</v>
      </c>
      <c r="Y569">
        <f t="shared" si="390"/>
        <v>24</v>
      </c>
      <c r="Z569">
        <f t="shared" si="417"/>
        <v>52</v>
      </c>
      <c r="AA569">
        <f t="shared" si="391"/>
        <v>52.5</v>
      </c>
      <c r="AB569">
        <f t="shared" si="402"/>
        <v>50.505050505050505</v>
      </c>
      <c r="AC569">
        <f t="shared" si="429"/>
        <v>2651.5151515151515</v>
      </c>
      <c r="AD569">
        <f t="shared" si="403"/>
        <v>80.505050505050505</v>
      </c>
      <c r="AE569">
        <f t="shared" si="404"/>
        <v>211.32575757575756</v>
      </c>
      <c r="AF569" s="94">
        <f t="shared" si="405"/>
        <v>2137.159090909091</v>
      </c>
      <c r="AG569">
        <f t="shared" si="418"/>
        <v>0.2227329854284143</v>
      </c>
      <c r="AH569">
        <f t="shared" si="406"/>
        <v>68.646530990997121</v>
      </c>
      <c r="AI569">
        <f>HLOOKUP(AW569,'Real assumptions'!$A$21:$AK$24,2,TRUE)</f>
        <v>0</v>
      </c>
      <c r="AJ569" s="123">
        <f t="shared" si="430"/>
        <v>0</v>
      </c>
      <c r="AK569" s="122">
        <f>(1+HLOOKUP(YEAR(A569),'Real assumptions'!$A$21:$AK$24,2,TRUE)/100)^(1/12)-1</f>
        <v>0</v>
      </c>
      <c r="AL569">
        <f t="shared" si="419"/>
        <v>0.59909005523444936</v>
      </c>
      <c r="AM569">
        <f>('Real assumptions'!$B$33/12)*O568*AV568</f>
        <v>0.57999647805613863</v>
      </c>
      <c r="AN569">
        <f t="shared" si="407"/>
        <v>69.74508595961538</v>
      </c>
      <c r="AO569">
        <f t="shared" si="431"/>
        <v>0</v>
      </c>
      <c r="AP569" s="121">
        <f t="shared" si="408"/>
        <v>0</v>
      </c>
      <c r="AQ569">
        <f t="shared" si="409"/>
        <v>0</v>
      </c>
      <c r="AR569">
        <v>0</v>
      </c>
      <c r="AS569">
        <f t="shared" si="392"/>
        <v>0</v>
      </c>
      <c r="AT569">
        <f t="shared" si="410"/>
        <v>0</v>
      </c>
      <c r="AU569">
        <f>IFERROR(HLOOKUP(B569,'Real assumptions'!$B$43:$AL$44,2,TRUE)*($W$3/$U$2),0)</f>
        <v>0</v>
      </c>
      <c r="AV569">
        <f>AV568*(1+'Real assumptions'!$B$35)^(1/12)</f>
        <v>1.7799975180214045</v>
      </c>
      <c r="AW569">
        <f t="shared" si="393"/>
        <v>2065</v>
      </c>
      <c r="AX569">
        <f t="shared" si="420"/>
        <v>69.698627809583968</v>
      </c>
      <c r="AY569">
        <f t="shared" si="421"/>
        <v>0.13728058124912026</v>
      </c>
      <c r="AZ569">
        <f t="shared" si="394"/>
        <v>139.728271626072</v>
      </c>
      <c r="BA569">
        <f t="shared" si="411"/>
        <v>2.1886724867468406</v>
      </c>
      <c r="BB569">
        <f t="shared" si="412"/>
        <v>52.5</v>
      </c>
      <c r="BC569">
        <f t="shared" si="395"/>
        <v>31.5</v>
      </c>
      <c r="BD569">
        <f t="shared" si="413"/>
        <v>0</v>
      </c>
      <c r="BE569">
        <f t="shared" si="396"/>
        <v>24</v>
      </c>
      <c r="BF569">
        <f t="shared" si="422"/>
        <v>5000</v>
      </c>
      <c r="BU569"/>
      <c r="DW569" s="89"/>
      <c r="DX569" s="89"/>
      <c r="FD569"/>
      <c r="FE569"/>
    </row>
    <row r="570" spans="1:161" x14ac:dyDescent="0.25">
      <c r="A570" s="7">
        <f t="shared" si="414"/>
        <v>60448</v>
      </c>
      <c r="B570">
        <f t="shared" si="397"/>
        <v>559</v>
      </c>
      <c r="C570">
        <f t="shared" si="423"/>
        <v>46.5</v>
      </c>
      <c r="D570">
        <f t="shared" si="424"/>
        <v>0</v>
      </c>
      <c r="E570">
        <f t="shared" si="398"/>
        <v>98</v>
      </c>
      <c r="F570">
        <f>IF(C570&gt;=$T$2,0,VLOOKUP($E570,EKM_F05!$A$3:$C$128,2,TRUE))</f>
        <v>0.32504435897435896</v>
      </c>
      <c r="G570">
        <f>F570*'Real assumptions'!$B$3</f>
        <v>0.13564101100000001</v>
      </c>
      <c r="H570">
        <f t="shared" si="425"/>
        <v>1.2073778214548248E-2</v>
      </c>
      <c r="I570">
        <f t="shared" si="426"/>
        <v>3.8719197005641161E-4</v>
      </c>
      <c r="J570">
        <f>IF(B570&gt;$AJ$2,0,HLOOKUP(C570,'Real assumptions'!$B$5:$L$8,4,TRUE))</f>
        <v>3.7900000000000003E-2</v>
      </c>
      <c r="K570">
        <f t="shared" si="387"/>
        <v>1</v>
      </c>
      <c r="L570">
        <f t="shared" si="415"/>
        <v>8.3333333333333329E-2</v>
      </c>
      <c r="M570">
        <f t="shared" si="427"/>
        <v>3.2145624959929453E-3</v>
      </c>
      <c r="N570">
        <f t="shared" si="428"/>
        <v>1.0262989465142028E-4</v>
      </c>
      <c r="O570" s="8">
        <f t="shared" si="399"/>
        <v>3.1630637151657065E-2</v>
      </c>
      <c r="P570">
        <f t="shared" si="400"/>
        <v>0.77089101639275759</v>
      </c>
      <c r="Q570">
        <f t="shared" si="416"/>
        <v>1.9359598502820581</v>
      </c>
      <c r="R570" s="89">
        <f t="shared" si="388"/>
        <v>5000</v>
      </c>
      <c r="S570">
        <f t="shared" si="389"/>
        <v>0.4166666666666643</v>
      </c>
      <c r="U570">
        <f>O569*AV569*'Real assumptions'!$B$33/12+AX570*'Real assumptions'!$B$34</f>
        <v>0.59058576779501193</v>
      </c>
      <c r="V570">
        <f>IF(P570=0,0,IF(E570&lt;=$C$7,$AN$5*O569,0))*'Real assumptions'!$D$28</f>
        <v>0</v>
      </c>
      <c r="X570" s="94">
        <f t="shared" si="401"/>
        <v>0</v>
      </c>
      <c r="Y570">
        <f t="shared" si="390"/>
        <v>24</v>
      </c>
      <c r="Z570">
        <f t="shared" si="417"/>
        <v>52</v>
      </c>
      <c r="AA570">
        <f t="shared" si="391"/>
        <v>52.416666666666664</v>
      </c>
      <c r="AB570">
        <f t="shared" si="402"/>
        <v>50.505050505050505</v>
      </c>
      <c r="AC570">
        <f t="shared" si="429"/>
        <v>2647.3063973063972</v>
      </c>
      <c r="AD570">
        <f t="shared" si="403"/>
        <v>80.505050505050505</v>
      </c>
      <c r="AE570">
        <f t="shared" si="404"/>
        <v>210.99031986531983</v>
      </c>
      <c r="AF570" s="94">
        <f t="shared" si="405"/>
        <v>2141.7032828282831</v>
      </c>
      <c r="AG570">
        <f t="shared" si="418"/>
        <v>0.21980278229126768</v>
      </c>
      <c r="AH570">
        <f t="shared" si="406"/>
        <v>67.743439425654188</v>
      </c>
      <c r="AI570">
        <f>HLOOKUP(AW570,'Real assumptions'!$A$21:$AK$24,2,TRUE)</f>
        <v>0</v>
      </c>
      <c r="AJ570" s="123">
        <f t="shared" si="430"/>
        <v>0</v>
      </c>
      <c r="AK570" s="122">
        <f>(1+HLOOKUP(YEAR(A570),'Real assumptions'!$A$21:$AK$24,2,TRUE)/100)^(1/12)-1</f>
        <v>0</v>
      </c>
      <c r="AL570">
        <f t="shared" si="419"/>
        <v>0.59058576779501193</v>
      </c>
      <c r="AM570">
        <f>('Real assumptions'!$B$33/12)*O569*AV569</f>
        <v>0.57174337326837765</v>
      </c>
      <c r="AN570">
        <f t="shared" si="407"/>
        <v>68.826836239594869</v>
      </c>
      <c r="AO570">
        <f t="shared" si="431"/>
        <v>0</v>
      </c>
      <c r="AP570" s="121">
        <f t="shared" si="408"/>
        <v>0</v>
      </c>
      <c r="AQ570">
        <f t="shared" si="409"/>
        <v>0</v>
      </c>
      <c r="AR570">
        <v>0</v>
      </c>
      <c r="AS570">
        <f t="shared" si="392"/>
        <v>0</v>
      </c>
      <c r="AT570">
        <f t="shared" si="410"/>
        <v>0</v>
      </c>
      <c r="AU570">
        <f>IFERROR(HLOOKUP(B570,'Real assumptions'!$B$43:$AL$44,2,TRUE)*($W$3/$U$2),0)</f>
        <v>0</v>
      </c>
      <c r="AV570">
        <f>AV569*(1+'Real assumptions'!$B$35)^(1/12)</f>
        <v>1.7818411433568682</v>
      </c>
      <c r="AW570">
        <f t="shared" si="393"/>
        <v>2065</v>
      </c>
      <c r="AX570">
        <f t="shared" si="420"/>
        <v>68.78171810806937</v>
      </c>
      <c r="AY570">
        <f t="shared" si="421"/>
        <v>0.13518711707224285</v>
      </c>
      <c r="AZ570">
        <f t="shared" si="394"/>
        <v>137.75281424209643</v>
      </c>
      <c r="BA570">
        <f t="shared" si="411"/>
        <v>2.1557626325733259</v>
      </c>
      <c r="BB570">
        <f t="shared" si="412"/>
        <v>52.416666666666664</v>
      </c>
      <c r="BC570">
        <f t="shared" si="395"/>
        <v>31.449999999999996</v>
      </c>
      <c r="BD570">
        <f t="shared" si="413"/>
        <v>0</v>
      </c>
      <c r="BE570">
        <f t="shared" si="396"/>
        <v>24</v>
      </c>
      <c r="BF570">
        <f t="shared" si="422"/>
        <v>5000</v>
      </c>
      <c r="BU570"/>
      <c r="DW570" s="89"/>
      <c r="DX570" s="89"/>
      <c r="FD570"/>
      <c r="FE570"/>
    </row>
    <row r="571" spans="1:161" x14ac:dyDescent="0.25">
      <c r="A571" s="7">
        <f t="shared" si="414"/>
        <v>60479</v>
      </c>
      <c r="B571">
        <f t="shared" si="397"/>
        <v>560</v>
      </c>
      <c r="C571">
        <f t="shared" si="423"/>
        <v>46.583333333333336</v>
      </c>
      <c r="D571">
        <f t="shared" si="424"/>
        <v>0</v>
      </c>
      <c r="E571">
        <f t="shared" si="398"/>
        <v>98</v>
      </c>
      <c r="F571">
        <f>IF(C571&gt;=$T$2,0,VLOOKUP($E571,EKM_F05!$A$3:$C$128,2,TRUE))</f>
        <v>0.32504435897435896</v>
      </c>
      <c r="G571">
        <f>F571*'Real assumptions'!$B$3</f>
        <v>0.13564101100000001</v>
      </c>
      <c r="H571">
        <f t="shared" si="425"/>
        <v>1.2073778214548248E-2</v>
      </c>
      <c r="I571">
        <f t="shared" si="426"/>
        <v>3.8128747495949205E-4</v>
      </c>
      <c r="J571">
        <f>IF(B571&gt;$AJ$2,0,HLOOKUP(C571,'Real assumptions'!$B$5:$L$8,4,TRUE))</f>
        <v>3.7900000000000003E-2</v>
      </c>
      <c r="K571">
        <f t="shared" si="387"/>
        <v>1</v>
      </c>
      <c r="L571">
        <f t="shared" si="415"/>
        <v>8.3333333333333329E-2</v>
      </c>
      <c r="M571">
        <f t="shared" si="427"/>
        <v>3.2145624959929453E-3</v>
      </c>
      <c r="N571">
        <f t="shared" si="428"/>
        <v>1.0106483711761246E-4</v>
      </c>
      <c r="O571" s="8">
        <f t="shared" si="399"/>
        <v>3.1148284839579959E-2</v>
      </c>
      <c r="P571">
        <f t="shared" si="400"/>
        <v>0.75913529163976956</v>
      </c>
      <c r="Q571">
        <f t="shared" si="416"/>
        <v>1.9064373747974603</v>
      </c>
      <c r="R571" s="89">
        <f t="shared" si="388"/>
        <v>5000</v>
      </c>
      <c r="S571">
        <f t="shared" si="389"/>
        <v>0.3333333333333357</v>
      </c>
      <c r="U571">
        <f>O570*AV570*'Real assumptions'!$B$33/12+AX571*'Real assumptions'!$B$34</f>
        <v>0.58220213920762709</v>
      </c>
      <c r="V571">
        <f>IF(P571=0,0,IF(E571&lt;=$C$7,$AN$5*O570,0))*'Real assumptions'!$D$28</f>
        <v>0</v>
      </c>
      <c r="X571" s="94">
        <f t="shared" si="401"/>
        <v>0</v>
      </c>
      <c r="Y571">
        <f t="shared" si="390"/>
        <v>24</v>
      </c>
      <c r="Z571">
        <f t="shared" si="417"/>
        <v>52</v>
      </c>
      <c r="AA571">
        <f t="shared" si="391"/>
        <v>52.333333333333336</v>
      </c>
      <c r="AB571">
        <f t="shared" si="402"/>
        <v>50.505050505050505</v>
      </c>
      <c r="AC571">
        <f t="shared" si="429"/>
        <v>2643.0976430976434</v>
      </c>
      <c r="AD571">
        <f t="shared" si="403"/>
        <v>80.505050505050505</v>
      </c>
      <c r="AE571">
        <f t="shared" si="404"/>
        <v>210.65488215488216</v>
      </c>
      <c r="AF571" s="94">
        <f t="shared" si="405"/>
        <v>2146.2474747474744</v>
      </c>
      <c r="AG571">
        <f t="shared" si="418"/>
        <v>0.21691015144944056</v>
      </c>
      <c r="AH571">
        <f t="shared" si="406"/>
        <v>66.851927679663532</v>
      </c>
      <c r="AI571">
        <f>HLOOKUP(AW571,'Real assumptions'!$A$21:$AK$24,2,TRUE)</f>
        <v>0</v>
      </c>
      <c r="AJ571" s="123">
        <f t="shared" si="430"/>
        <v>0</v>
      </c>
      <c r="AK571" s="122">
        <f>(1+HLOOKUP(YEAR(A571),'Real assumptions'!$A$21:$AK$24,2,TRUE)/100)^(1/12)-1</f>
        <v>0</v>
      </c>
      <c r="AL571">
        <f t="shared" si="419"/>
        <v>0.58220213920762709</v>
      </c>
      <c r="AM571">
        <f>('Real assumptions'!$B$33/12)*O570*AV570</f>
        <v>0.56360770667414861</v>
      </c>
      <c r="AN571">
        <f t="shared" si="407"/>
        <v>67.920372578086329</v>
      </c>
      <c r="AO571">
        <f t="shared" si="431"/>
        <v>0</v>
      </c>
      <c r="AP571" s="121">
        <f t="shared" si="408"/>
        <v>0</v>
      </c>
      <c r="AQ571">
        <f t="shared" si="409"/>
        <v>0</v>
      </c>
      <c r="AR571">
        <v>0</v>
      </c>
      <c r="AS571">
        <f t="shared" si="392"/>
        <v>0</v>
      </c>
      <c r="AT571">
        <f t="shared" si="410"/>
        <v>0</v>
      </c>
      <c r="AU571">
        <f>IFERROR(HLOOKUP(B571,'Real assumptions'!$B$43:$AL$44,2,TRUE)*($W$3/$U$2),0)</f>
        <v>0</v>
      </c>
      <c r="AV571">
        <f>AV570*(1+'Real assumptions'!$B$35)^(1/12)</f>
        <v>1.7836866782199257</v>
      </c>
      <c r="AW571">
        <f t="shared" si="393"/>
        <v>2065</v>
      </c>
      <c r="AX571">
        <f t="shared" si="420"/>
        <v>67.876565002891809</v>
      </c>
      <c r="AY571">
        <f t="shared" si="421"/>
        <v>0.1331255772376139</v>
      </c>
      <c r="AZ571">
        <f t="shared" si="394"/>
        <v>135.80639986828169</v>
      </c>
      <c r="BA571">
        <f t="shared" si="411"/>
        <v>2.123347526246901</v>
      </c>
      <c r="BB571">
        <f t="shared" si="412"/>
        <v>52.333333333333336</v>
      </c>
      <c r="BC571">
        <f t="shared" si="395"/>
        <v>31.4</v>
      </c>
      <c r="BD571">
        <f t="shared" si="413"/>
        <v>0</v>
      </c>
      <c r="BE571">
        <f t="shared" si="396"/>
        <v>24</v>
      </c>
      <c r="BF571">
        <f t="shared" si="422"/>
        <v>5000</v>
      </c>
      <c r="BU571"/>
      <c r="DW571" s="89"/>
      <c r="DX571" s="89"/>
      <c r="FD571"/>
      <c r="FE571"/>
    </row>
    <row r="572" spans="1:161" x14ac:dyDescent="0.25">
      <c r="A572" s="7">
        <f t="shared" si="414"/>
        <v>60510</v>
      </c>
      <c r="B572">
        <f t="shared" si="397"/>
        <v>561</v>
      </c>
      <c r="C572">
        <f t="shared" si="423"/>
        <v>46.666666666666664</v>
      </c>
      <c r="D572">
        <f t="shared" si="424"/>
        <v>0</v>
      </c>
      <c r="E572">
        <f t="shared" si="398"/>
        <v>98</v>
      </c>
      <c r="F572">
        <f>IF(C572&gt;=$T$2,0,VLOOKUP($E572,EKM_F05!$A$3:$C$128,2,TRUE))</f>
        <v>0.32504435897435896</v>
      </c>
      <c r="G572">
        <f>F572*'Real assumptions'!$B$3</f>
        <v>0.13564101100000001</v>
      </c>
      <c r="H572">
        <f t="shared" si="425"/>
        <v>1.2073778214548248E-2</v>
      </c>
      <c r="I572">
        <f t="shared" si="426"/>
        <v>3.7547302063057827E-4</v>
      </c>
      <c r="J572">
        <f>IF(B572&gt;$AJ$2,0,HLOOKUP(C572,'Real assumptions'!$B$5:$L$8,4,TRUE))</f>
        <v>3.7900000000000003E-2</v>
      </c>
      <c r="K572">
        <f t="shared" si="387"/>
        <v>1</v>
      </c>
      <c r="L572">
        <f t="shared" si="415"/>
        <v>8.3333333333333329E-2</v>
      </c>
      <c r="M572">
        <f t="shared" si="427"/>
        <v>3.2145624959929453E-3</v>
      </c>
      <c r="N572">
        <f t="shared" si="428"/>
        <v>9.9523645973733708E-5</v>
      </c>
      <c r="O572" s="8">
        <f t="shared" si="399"/>
        <v>3.0673288172975648E-2</v>
      </c>
      <c r="P572">
        <f t="shared" si="400"/>
        <v>0.74755883614991903</v>
      </c>
      <c r="Q572">
        <f t="shared" si="416"/>
        <v>1.8773651031528913</v>
      </c>
      <c r="R572" s="89">
        <f t="shared" si="388"/>
        <v>5000</v>
      </c>
      <c r="S572">
        <f t="shared" si="389"/>
        <v>0.25</v>
      </c>
      <c r="U572">
        <f>O571*AV571*'Real assumptions'!$B$33/12+AX572*'Real assumptions'!$B$34</f>
        <v>0.5739374585614333</v>
      </c>
      <c r="V572">
        <f>IF(P572=0,0,IF(E572&lt;=$C$7,$AN$5*O571,0))*'Real assumptions'!$D$28</f>
        <v>0</v>
      </c>
      <c r="X572" s="94">
        <f t="shared" si="401"/>
        <v>0</v>
      </c>
      <c r="Y572">
        <f t="shared" si="390"/>
        <v>24</v>
      </c>
      <c r="Z572">
        <f t="shared" si="417"/>
        <v>52</v>
      </c>
      <c r="AA572">
        <f t="shared" si="391"/>
        <v>52.25</v>
      </c>
      <c r="AB572">
        <f t="shared" si="402"/>
        <v>50.505050505050505</v>
      </c>
      <c r="AC572">
        <f t="shared" si="429"/>
        <v>2638.8888888888887</v>
      </c>
      <c r="AD572">
        <f t="shared" si="403"/>
        <v>80.505050505050505</v>
      </c>
      <c r="AE572">
        <f t="shared" si="404"/>
        <v>210.31944444444443</v>
      </c>
      <c r="AF572" s="94">
        <f t="shared" si="405"/>
        <v>2150.791666666667</v>
      </c>
      <c r="AG572">
        <f t="shared" si="418"/>
        <v>0.21405462839659004</v>
      </c>
      <c r="AH572">
        <f t="shared" si="406"/>
        <v>65.971852591701264</v>
      </c>
      <c r="AI572">
        <f>HLOOKUP(AW572,'Real assumptions'!$A$21:$AK$24,2,TRUE)</f>
        <v>0</v>
      </c>
      <c r="AJ572" s="123">
        <f t="shared" si="430"/>
        <v>0</v>
      </c>
      <c r="AK572" s="122">
        <f>(1+HLOOKUP(YEAR(A572),'Real assumptions'!$A$21:$AK$24,2,TRUE)/100)^(1/12)-1</f>
        <v>0</v>
      </c>
      <c r="AL572">
        <f t="shared" si="419"/>
        <v>0.5739374585614333</v>
      </c>
      <c r="AM572">
        <f>('Real assumptions'!$B$33/12)*O571*AV571</f>
        <v>0.55558780717758449</v>
      </c>
      <c r="AN572">
        <f t="shared" si="407"/>
        <v>67.025549057252022</v>
      </c>
      <c r="AO572">
        <f t="shared" si="431"/>
        <v>0</v>
      </c>
      <c r="AP572" s="121">
        <f t="shared" si="408"/>
        <v>0</v>
      </c>
      <c r="AQ572">
        <f t="shared" si="409"/>
        <v>0</v>
      </c>
      <c r="AR572">
        <v>0</v>
      </c>
      <c r="AS572">
        <f t="shared" si="392"/>
        <v>0</v>
      </c>
      <c r="AT572">
        <f t="shared" si="410"/>
        <v>0</v>
      </c>
      <c r="AU572">
        <f>IFERROR(HLOOKUP(B572,'Real assumptions'!$B$43:$AL$44,2,TRUE)*($W$3/$U$2),0)</f>
        <v>0</v>
      </c>
      <c r="AV572">
        <f>AV571*(1+'Real assumptions'!$B$35)^(1/12)</f>
        <v>1.7855341245883625</v>
      </c>
      <c r="AW572">
        <f t="shared" si="393"/>
        <v>2065</v>
      </c>
      <c r="AX572">
        <f t="shared" si="420"/>
        <v>66.983023154577594</v>
      </c>
      <c r="AY572">
        <f t="shared" si="421"/>
        <v>0.13109547491405707</v>
      </c>
      <c r="AZ572">
        <f t="shared" si="394"/>
        <v>133.8886015143207</v>
      </c>
      <c r="BA572">
        <f t="shared" si="411"/>
        <v>2.0914197315494811</v>
      </c>
      <c r="BB572">
        <f t="shared" si="412"/>
        <v>52.25</v>
      </c>
      <c r="BC572">
        <f t="shared" si="395"/>
        <v>31.349999999999998</v>
      </c>
      <c r="BD572">
        <f t="shared" si="413"/>
        <v>0</v>
      </c>
      <c r="BE572">
        <f t="shared" si="396"/>
        <v>24</v>
      </c>
      <c r="BF572">
        <f t="shared" si="422"/>
        <v>5000</v>
      </c>
      <c r="BU572"/>
      <c r="DW572" s="89"/>
      <c r="DX572" s="89"/>
      <c r="FD572"/>
      <c r="FE572"/>
    </row>
    <row r="573" spans="1:161" x14ac:dyDescent="0.25">
      <c r="A573" s="7">
        <f t="shared" si="414"/>
        <v>60540</v>
      </c>
      <c r="B573">
        <f t="shared" si="397"/>
        <v>562</v>
      </c>
      <c r="C573">
        <f t="shared" si="423"/>
        <v>46.75</v>
      </c>
      <c r="D573">
        <f t="shared" si="424"/>
        <v>0</v>
      </c>
      <c r="E573">
        <f t="shared" si="398"/>
        <v>98</v>
      </c>
      <c r="F573">
        <f>IF(C573&gt;=$T$2,0,VLOOKUP($E573,EKM_F05!$A$3:$C$128,2,TRUE))</f>
        <v>0.32504435897435896</v>
      </c>
      <c r="G573">
        <f>F573*'Real assumptions'!$B$3</f>
        <v>0.13564101100000001</v>
      </c>
      <c r="H573">
        <f t="shared" si="425"/>
        <v>1.2073778214548248E-2</v>
      </c>
      <c r="I573">
        <f t="shared" si="426"/>
        <v>3.6974723399038579E-4</v>
      </c>
      <c r="J573">
        <f>IF(B573&gt;$AJ$2,0,HLOOKUP(C573,'Real assumptions'!$B$5:$L$8,4,TRUE))</f>
        <v>3.7900000000000003E-2</v>
      </c>
      <c r="K573">
        <f t="shared" si="387"/>
        <v>1</v>
      </c>
      <c r="L573">
        <f t="shared" si="415"/>
        <v>8.3333333333333329E-2</v>
      </c>
      <c r="M573">
        <f t="shared" si="427"/>
        <v>3.2145624959929453E-3</v>
      </c>
      <c r="N573">
        <f t="shared" si="428"/>
        <v>9.8005957268583514E-5</v>
      </c>
      <c r="O573" s="8">
        <f t="shared" si="399"/>
        <v>3.0205534981716679E-2</v>
      </c>
      <c r="P573">
        <f t="shared" si="400"/>
        <v>0.73615891615141549</v>
      </c>
      <c r="Q573">
        <f t="shared" si="416"/>
        <v>1.8487361699519289</v>
      </c>
      <c r="R573" s="89">
        <f t="shared" si="388"/>
        <v>5000</v>
      </c>
      <c r="S573">
        <f t="shared" si="389"/>
        <v>0.1666666666666643</v>
      </c>
      <c r="U573">
        <f>O572*AV572*'Real assumptions'!$B$33/12+AX573*'Real assumptions'!$B$34</f>
        <v>0.56579003918991955</v>
      </c>
      <c r="V573">
        <f>IF(P573=0,0,IF(E573&lt;=$C$7,$AN$5*O572,0))*'Real assumptions'!$D$28</f>
        <v>0</v>
      </c>
      <c r="X573" s="94">
        <f t="shared" si="401"/>
        <v>0</v>
      </c>
      <c r="Y573">
        <f t="shared" si="390"/>
        <v>24</v>
      </c>
      <c r="Z573">
        <f t="shared" si="417"/>
        <v>52</v>
      </c>
      <c r="AA573">
        <f t="shared" si="391"/>
        <v>52.166666666666664</v>
      </c>
      <c r="AB573">
        <f t="shared" si="402"/>
        <v>50.505050505050505</v>
      </c>
      <c r="AC573">
        <f t="shared" si="429"/>
        <v>2634.6801346801344</v>
      </c>
      <c r="AD573">
        <f t="shared" si="403"/>
        <v>80.505050505050505</v>
      </c>
      <c r="AE573">
        <f t="shared" si="404"/>
        <v>209.98400673400673</v>
      </c>
      <c r="AF573" s="94">
        <f t="shared" si="405"/>
        <v>2155.3358585858587</v>
      </c>
      <c r="AG573">
        <f t="shared" si="418"/>
        <v>0.21123575405601142</v>
      </c>
      <c r="AH573">
        <f t="shared" si="406"/>
        <v>65.103072673863508</v>
      </c>
      <c r="AI573">
        <f>HLOOKUP(AW573,'Real assumptions'!$A$21:$AK$24,2,TRUE)</f>
        <v>0</v>
      </c>
      <c r="AJ573" s="123">
        <f t="shared" si="430"/>
        <v>0</v>
      </c>
      <c r="AK573" s="122">
        <f>(1+HLOOKUP(YEAR(A573),'Real assumptions'!$A$21:$AK$24,2,TRUE)/100)^(1/12)-1</f>
        <v>0</v>
      </c>
      <c r="AL573">
        <f t="shared" si="419"/>
        <v>0.56579003918991955</v>
      </c>
      <c r="AM573">
        <f>('Real assumptions'!$B$33/12)*O572*AV572</f>
        <v>0.5476820274618065</v>
      </c>
      <c r="AN573">
        <f t="shared" si="407"/>
        <v>66.142221468662754</v>
      </c>
      <c r="AO573">
        <f t="shared" si="431"/>
        <v>0</v>
      </c>
      <c r="AP573" s="121">
        <f t="shared" si="408"/>
        <v>0</v>
      </c>
      <c r="AQ573">
        <f t="shared" si="409"/>
        <v>0</v>
      </c>
      <c r="AR573">
        <v>0</v>
      </c>
      <c r="AS573">
        <f t="shared" si="392"/>
        <v>0</v>
      </c>
      <c r="AT573">
        <f t="shared" si="410"/>
        <v>0</v>
      </c>
      <c r="AU573">
        <f>IFERROR(HLOOKUP(B573,'Real assumptions'!$B$43:$AL$44,2,TRUE)*($W$3/$U$2),0)</f>
        <v>0</v>
      </c>
      <c r="AV573">
        <f>AV572*(1+'Real assumptions'!$B$35)^(1/12)</f>
        <v>1.7873834844420129</v>
      </c>
      <c r="AW573">
        <f t="shared" si="393"/>
        <v>2065</v>
      </c>
      <c r="AX573">
        <f t="shared" si="420"/>
        <v>66.100948922395602</v>
      </c>
      <c r="AY573">
        <f t="shared" si="421"/>
        <v>0.12909633069434195</v>
      </c>
      <c r="AZ573">
        <f t="shared" si="394"/>
        <v>131.99899846727425</v>
      </c>
      <c r="BA573">
        <f t="shared" si="411"/>
        <v>2.0599719240079404</v>
      </c>
      <c r="BB573">
        <f t="shared" si="412"/>
        <v>52.166666666666664</v>
      </c>
      <c r="BC573">
        <f t="shared" si="395"/>
        <v>31.299999999999997</v>
      </c>
      <c r="BD573">
        <f t="shared" si="413"/>
        <v>0</v>
      </c>
      <c r="BE573">
        <f t="shared" si="396"/>
        <v>24</v>
      </c>
      <c r="BF573">
        <f t="shared" si="422"/>
        <v>5000</v>
      </c>
      <c r="BU573"/>
      <c r="DW573" s="89"/>
      <c r="DX573" s="89"/>
      <c r="FD573"/>
      <c r="FE573"/>
    </row>
    <row r="574" spans="1:161" x14ac:dyDescent="0.25">
      <c r="A574" s="7">
        <f t="shared" si="414"/>
        <v>60571</v>
      </c>
      <c r="B574">
        <f t="shared" si="397"/>
        <v>563</v>
      </c>
      <c r="C574">
        <f t="shared" si="423"/>
        <v>46.833333333333336</v>
      </c>
      <c r="D574">
        <f t="shared" si="424"/>
        <v>0</v>
      </c>
      <c r="E574">
        <f t="shared" si="398"/>
        <v>98</v>
      </c>
      <c r="F574">
        <f>IF(C574&gt;=$T$2,0,VLOOKUP($E574,EKM_F05!$A$3:$C$128,2,TRUE))</f>
        <v>0.32504435897435896</v>
      </c>
      <c r="G574">
        <f>F574*'Real assumptions'!$B$3</f>
        <v>0.13564101100000001</v>
      </c>
      <c r="H574">
        <f t="shared" si="425"/>
        <v>1.2073778214548248E-2</v>
      </c>
      <c r="I574">
        <f t="shared" si="426"/>
        <v>3.641087628984422E-4</v>
      </c>
      <c r="J574">
        <f>IF(B574&gt;$AJ$2,0,HLOOKUP(C574,'Real assumptions'!$B$5:$L$8,4,TRUE))</f>
        <v>3.7900000000000003E-2</v>
      </c>
      <c r="K574">
        <f t="shared" si="387"/>
        <v>1</v>
      </c>
      <c r="L574">
        <f t="shared" si="415"/>
        <v>8.3333333333333329E-2</v>
      </c>
      <c r="M574">
        <f t="shared" si="427"/>
        <v>3.2145624959929453E-3</v>
      </c>
      <c r="N574">
        <f t="shared" si="428"/>
        <v>9.6511412601045748E-5</v>
      </c>
      <c r="O574" s="8">
        <f t="shared" si="399"/>
        <v>2.9744914806217194E-2</v>
      </c>
      <c r="P574">
        <f t="shared" si="400"/>
        <v>0.72493283956120025</v>
      </c>
      <c r="Q574">
        <f t="shared" si="416"/>
        <v>1.820543814492211</v>
      </c>
      <c r="R574" s="89">
        <f t="shared" si="388"/>
        <v>5000</v>
      </c>
      <c r="S574">
        <f t="shared" si="389"/>
        <v>8.3333333333335702E-2</v>
      </c>
      <c r="U574">
        <f>O573*AV573*'Real assumptions'!$B$33/12+AX574*'Real assumptions'!$B$34</f>
        <v>0.55775821832762473</v>
      </c>
      <c r="V574">
        <f>IF(P574=0,0,IF(E574&lt;=$C$7,$AN$5*O573,0))*'Real assumptions'!$D$28</f>
        <v>0</v>
      </c>
      <c r="X574" s="94">
        <f t="shared" si="401"/>
        <v>0</v>
      </c>
      <c r="Y574">
        <f t="shared" si="390"/>
        <v>24</v>
      </c>
      <c r="Z574">
        <f t="shared" si="417"/>
        <v>52</v>
      </c>
      <c r="AA574">
        <f t="shared" si="391"/>
        <v>52.083333333333336</v>
      </c>
      <c r="AB574">
        <f t="shared" si="402"/>
        <v>50.505050505050505</v>
      </c>
      <c r="AC574">
        <f t="shared" si="429"/>
        <v>2630.4713804713806</v>
      </c>
      <c r="AD574">
        <f t="shared" si="403"/>
        <v>80.505050505050505</v>
      </c>
      <c r="AE574">
        <f t="shared" si="404"/>
        <v>209.64856902356902</v>
      </c>
      <c r="AF574" s="94">
        <f t="shared" si="405"/>
        <v>2159.8800505050503</v>
      </c>
      <c r="AG574">
        <f t="shared" si="418"/>
        <v>0.20845307472306043</v>
      </c>
      <c r="AH574">
        <f t="shared" si="406"/>
        <v>64.245448093920814</v>
      </c>
      <c r="AI574">
        <f>HLOOKUP(AW574,'Real assumptions'!$A$21:$AK$24,2,TRUE)</f>
        <v>0</v>
      </c>
      <c r="AJ574" s="123">
        <f t="shared" si="430"/>
        <v>0</v>
      </c>
      <c r="AK574" s="122">
        <f>(1+HLOOKUP(YEAR(A574),'Real assumptions'!$A$21:$AK$24,2,TRUE)/100)^(1/12)-1</f>
        <v>0</v>
      </c>
      <c r="AL574">
        <f t="shared" si="419"/>
        <v>0.55775821832762473</v>
      </c>
      <c r="AM574">
        <f>('Real assumptions'!$B$33/12)*O573*AV573</f>
        <v>0.53988874365055872</v>
      </c>
      <c r="AN574">
        <f t="shared" si="407"/>
        <v>65.270247295097093</v>
      </c>
      <c r="AO574">
        <f t="shared" si="431"/>
        <v>0</v>
      </c>
      <c r="AP574" s="121">
        <f t="shared" si="408"/>
        <v>0</v>
      </c>
      <c r="AQ574">
        <f t="shared" si="409"/>
        <v>0</v>
      </c>
      <c r="AR574">
        <v>0</v>
      </c>
      <c r="AS574">
        <f t="shared" si="392"/>
        <v>0</v>
      </c>
      <c r="AT574">
        <f t="shared" si="410"/>
        <v>0</v>
      </c>
      <c r="AU574">
        <f>IFERROR(HLOOKUP(B574,'Real assumptions'!$B$43:$AL$44,2,TRUE)*($W$3/$U$2),0)</f>
        <v>0</v>
      </c>
      <c r="AV574">
        <f>AV573*(1+'Real assumptions'!$B$35)^(1/12)</f>
        <v>1.7892347597627614</v>
      </c>
      <c r="AW574">
        <f t="shared" si="393"/>
        <v>2065</v>
      </c>
      <c r="AX574">
        <f t="shared" si="420"/>
        <v>65.230200346345484</v>
      </c>
      <c r="AY574">
        <f t="shared" si="421"/>
        <v>0.12712767248197254</v>
      </c>
      <c r="AZ574">
        <f t="shared" si="394"/>
        <v>130.13717619929255</v>
      </c>
      <c r="BA574">
        <f t="shared" si="411"/>
        <v>2.0289968892152714</v>
      </c>
      <c r="BB574">
        <f t="shared" si="412"/>
        <v>52.083333333333336</v>
      </c>
      <c r="BC574">
        <f t="shared" si="395"/>
        <v>31.25</v>
      </c>
      <c r="BD574">
        <f t="shared" si="413"/>
        <v>0</v>
      </c>
      <c r="BE574">
        <f t="shared" si="396"/>
        <v>24</v>
      </c>
      <c r="BF574">
        <f t="shared" si="422"/>
        <v>5000</v>
      </c>
      <c r="BU574"/>
      <c r="DW574" s="89"/>
      <c r="DX574" s="89"/>
      <c r="FD574"/>
      <c r="FE574"/>
    </row>
    <row r="575" spans="1:161" x14ac:dyDescent="0.25">
      <c r="A575" s="7">
        <f t="shared" si="414"/>
        <v>60601</v>
      </c>
      <c r="B575">
        <f t="shared" si="397"/>
        <v>564</v>
      </c>
      <c r="C575">
        <f t="shared" si="423"/>
        <v>46.916666666666664</v>
      </c>
      <c r="D575">
        <f t="shared" si="424"/>
        <v>0</v>
      </c>
      <c r="E575">
        <f t="shared" si="398"/>
        <v>98</v>
      </c>
      <c r="F575">
        <f>IF(C575&gt;=$T$2,0,VLOOKUP($E575,EKM_F05!$A$3:$C$128,2,TRUE))</f>
        <v>0.32504435897435896</v>
      </c>
      <c r="G575">
        <f>F575*'Real assumptions'!$B$3</f>
        <v>0.13564101100000001</v>
      </c>
      <c r="H575">
        <f t="shared" si="425"/>
        <v>1.2073778214548248E-2</v>
      </c>
      <c r="I575">
        <f t="shared" si="426"/>
        <v>3.5855627583378013E-4</v>
      </c>
      <c r="J575">
        <f>IF(B575&gt;$AJ$2,0,HLOOKUP(C575,'Real assumptions'!$B$5:$L$8,4,TRUE))</f>
        <v>3.7900000000000003E-2</v>
      </c>
      <c r="K575">
        <f t="shared" si="387"/>
        <v>1</v>
      </c>
      <c r="L575">
        <f t="shared" si="415"/>
        <v>8.3333333333333329E-2</v>
      </c>
      <c r="M575">
        <f t="shared" si="427"/>
        <v>3.2145624959929453E-3</v>
      </c>
      <c r="N575">
        <f t="shared" si="428"/>
        <v>9.5039659035452373E-5</v>
      </c>
      <c r="O575" s="8">
        <f t="shared" si="399"/>
        <v>2.9291318871347963E-2</v>
      </c>
      <c r="P575">
        <f t="shared" si="400"/>
        <v>0.71387795534921272</v>
      </c>
      <c r="Q575">
        <f t="shared" si="416"/>
        <v>1.7927813791689007</v>
      </c>
      <c r="R575" s="89">
        <f t="shared" si="388"/>
        <v>5000</v>
      </c>
      <c r="S575">
        <f t="shared" si="389"/>
        <v>1</v>
      </c>
      <c r="U575">
        <f>O574*AV574*'Real assumptions'!$B$33/12+AX575*'Real assumptions'!$B$34</f>
        <v>0.54984035677169685</v>
      </c>
      <c r="V575">
        <f>IF(P575=0,0,IF(E575&lt;=$C$7,$AN$5*O574,0))*'Real assumptions'!$D$28</f>
        <v>0</v>
      </c>
      <c r="X575" s="94">
        <f t="shared" si="401"/>
        <v>0</v>
      </c>
      <c r="Y575">
        <f t="shared" si="390"/>
        <v>24</v>
      </c>
      <c r="Z575">
        <f t="shared" si="417"/>
        <v>52</v>
      </c>
      <c r="AA575">
        <f t="shared" si="391"/>
        <v>52</v>
      </c>
      <c r="AB575">
        <f t="shared" si="402"/>
        <v>50.505050505050505</v>
      </c>
      <c r="AC575">
        <f t="shared" si="429"/>
        <v>2626.2626262626263</v>
      </c>
      <c r="AD575">
        <f t="shared" si="403"/>
        <v>80.505050505050505</v>
      </c>
      <c r="AE575">
        <f t="shared" si="404"/>
        <v>209.31313131313129</v>
      </c>
      <c r="AF575" s="94">
        <f t="shared" si="405"/>
        <v>2164.4242424242425</v>
      </c>
      <c r="AG575">
        <f t="shared" si="418"/>
        <v>0.20570614200806731</v>
      </c>
      <c r="AH575">
        <f t="shared" si="406"/>
        <v>63.398840657724229</v>
      </c>
      <c r="AI575">
        <f>HLOOKUP(AW575,'Real assumptions'!$A$21:$AK$24,2,TRUE)</f>
        <v>0</v>
      </c>
      <c r="AJ575" s="123">
        <f t="shared" si="430"/>
        <v>0</v>
      </c>
      <c r="AK575" s="122">
        <f>(1+HLOOKUP(YEAR(A575),'Real assumptions'!$A$21:$AK$24,2,TRUE)/100)^(1/12)-1</f>
        <v>0</v>
      </c>
      <c r="AL575">
        <f t="shared" si="419"/>
        <v>0.54984035677169685</v>
      </c>
      <c r="AM575">
        <f>('Real assumptions'!$B$33/12)*O574*AV574</f>
        <v>0.53220635497465818</v>
      </c>
      <c r="AN575">
        <f t="shared" si="407"/>
        <v>64.409485692498336</v>
      </c>
      <c r="AO575">
        <f t="shared" si="431"/>
        <v>0</v>
      </c>
      <c r="AP575" s="121">
        <f t="shared" si="408"/>
        <v>0</v>
      </c>
      <c r="AQ575">
        <f t="shared" si="409"/>
        <v>0</v>
      </c>
      <c r="AR575">
        <v>0</v>
      </c>
      <c r="AS575">
        <f t="shared" si="392"/>
        <v>0</v>
      </c>
      <c r="AT575">
        <f t="shared" si="410"/>
        <v>0</v>
      </c>
      <c r="AU575">
        <f>IFERROR(HLOOKUP(B575,'Real assumptions'!$B$43:$AL$44,2,TRUE)*($W$3/$U$2),0)</f>
        <v>0</v>
      </c>
      <c r="AV575">
        <f>AV574*(1+'Real assumptions'!$B$35)^(1/12)</f>
        <v>1.7910879525345453</v>
      </c>
      <c r="AW575">
        <f t="shared" si="393"/>
        <v>2065</v>
      </c>
      <c r="AX575">
        <f t="shared" si="420"/>
        <v>64.370637129300519</v>
      </c>
      <c r="AY575">
        <f t="shared" si="421"/>
        <v>0.125189035379702</v>
      </c>
      <c r="AZ575">
        <f t="shared" si="394"/>
        <v>128.30272627669308</v>
      </c>
      <c r="BA575">
        <f t="shared" si="411"/>
        <v>1.9984875211769679</v>
      </c>
      <c r="BB575">
        <f t="shared" si="412"/>
        <v>52</v>
      </c>
      <c r="BC575">
        <f t="shared" si="395"/>
        <v>31.2</v>
      </c>
      <c r="BD575">
        <f t="shared" si="413"/>
        <v>0</v>
      </c>
      <c r="BE575">
        <f t="shared" si="396"/>
        <v>24</v>
      </c>
      <c r="BF575">
        <f t="shared" si="422"/>
        <v>5000</v>
      </c>
      <c r="BU575"/>
      <c r="DW575" s="89"/>
      <c r="DX575" s="89"/>
      <c r="FD575"/>
      <c r="FE575"/>
    </row>
    <row r="576" spans="1:161" x14ac:dyDescent="0.25">
      <c r="A576" s="7">
        <f t="shared" si="414"/>
        <v>60632</v>
      </c>
      <c r="B576">
        <f t="shared" si="397"/>
        <v>565</v>
      </c>
      <c r="C576">
        <f t="shared" si="423"/>
        <v>47</v>
      </c>
      <c r="D576">
        <f t="shared" si="424"/>
        <v>1</v>
      </c>
      <c r="E576">
        <f t="shared" si="398"/>
        <v>99</v>
      </c>
      <c r="F576">
        <f>IF(C576&gt;=$T$2,0,VLOOKUP($E576,EKM_F05!$A$3:$C$128,2,TRUE))</f>
        <v>0.35759371794871792</v>
      </c>
      <c r="G576">
        <f>F576*'Real assumptions'!$B$3</f>
        <v>0.1492238585</v>
      </c>
      <c r="H576">
        <f t="shared" si="425"/>
        <v>1.3376909696104944E-2</v>
      </c>
      <c r="I576">
        <f t="shared" si="426"/>
        <v>3.9119755070601863E-4</v>
      </c>
      <c r="J576">
        <f>IF(B576&gt;$AJ$2,0,HLOOKUP(C576,'Real assumptions'!$B$5:$L$8,4,TRUE))</f>
        <v>3.7900000000000003E-2</v>
      </c>
      <c r="K576">
        <f t="shared" si="387"/>
        <v>1</v>
      </c>
      <c r="L576">
        <f t="shared" si="415"/>
        <v>8.3333333333333329E-2</v>
      </c>
      <c r="M576">
        <f t="shared" si="427"/>
        <v>3.2145624959929453E-3</v>
      </c>
      <c r="N576">
        <f t="shared" si="428"/>
        <v>9.352899838618788E-5</v>
      </c>
      <c r="O576" s="8">
        <f t="shared" si="399"/>
        <v>2.8806592322255756E-2</v>
      </c>
      <c r="P576">
        <f t="shared" si="400"/>
        <v>0.70299165291235111</v>
      </c>
      <c r="Q576">
        <f t="shared" si="416"/>
        <v>1.9559877535300931</v>
      </c>
      <c r="R576" s="89">
        <f t="shared" si="388"/>
        <v>5000</v>
      </c>
      <c r="S576">
        <f t="shared" si="389"/>
        <v>0.9166666666666643</v>
      </c>
      <c r="U576">
        <f>O575*AV575*'Real assumptions'!$B$33/12+AX576*'Real assumptions'!$B$34</f>
        <v>0.5420348385482382</v>
      </c>
      <c r="V576">
        <f>IF(P576=0,0,IF(E576&lt;=$C$7,$AN$5*O575,0))*'Real assumptions'!$D$28</f>
        <v>0</v>
      </c>
      <c r="X576" s="94">
        <f t="shared" si="401"/>
        <v>0</v>
      </c>
      <c r="Y576">
        <f t="shared" si="390"/>
        <v>24</v>
      </c>
      <c r="Z576">
        <f t="shared" si="417"/>
        <v>52</v>
      </c>
      <c r="AA576">
        <f t="shared" si="391"/>
        <v>51.916666666666664</v>
      </c>
      <c r="AB576">
        <f t="shared" si="402"/>
        <v>50.505050505050505</v>
      </c>
      <c r="AC576">
        <f t="shared" si="429"/>
        <v>2622.0538720538721</v>
      </c>
      <c r="AD576">
        <f t="shared" si="403"/>
        <v>80.505050505050505</v>
      </c>
      <c r="AE576">
        <f t="shared" si="404"/>
        <v>208.97769360269359</v>
      </c>
      <c r="AF576" s="94">
        <f t="shared" si="405"/>
        <v>2168.9684343434342</v>
      </c>
      <c r="AG576">
        <f t="shared" si="418"/>
        <v>0.2028614451953995</v>
      </c>
      <c r="AH576">
        <f t="shared" si="406"/>
        <v>62.480589447972662</v>
      </c>
      <c r="AI576">
        <f>HLOOKUP(AW576,'Real assumptions'!$A$21:$AK$24,2,TRUE)</f>
        <v>0</v>
      </c>
      <c r="AJ576" s="123">
        <f t="shared" si="430"/>
        <v>0</v>
      </c>
      <c r="AK576" s="122">
        <f>(1+HLOOKUP(YEAR(A576),'Real assumptions'!$A$21:$AK$24,2,TRUE)/100)^(1/12)-1</f>
        <v>0</v>
      </c>
      <c r="AL576">
        <f t="shared" si="419"/>
        <v>0.5420348385482382</v>
      </c>
      <c r="AM576">
        <f>('Real assumptions'!$B$33/12)*O575*AV575</f>
        <v>0.52463328344319105</v>
      </c>
      <c r="AN576">
        <f t="shared" si="407"/>
        <v>63.559797472088341</v>
      </c>
      <c r="AO576">
        <f t="shared" si="431"/>
        <v>0</v>
      </c>
      <c r="AP576" s="121">
        <f t="shared" si="408"/>
        <v>0</v>
      </c>
      <c r="AQ576">
        <f t="shared" si="409"/>
        <v>0</v>
      </c>
      <c r="AR576">
        <v>0</v>
      </c>
      <c r="AS576">
        <f t="shared" si="392"/>
        <v>0</v>
      </c>
      <c r="AT576">
        <f t="shared" si="410"/>
        <v>0</v>
      </c>
      <c r="AU576">
        <f>IFERROR(HLOOKUP(B576,'Real assumptions'!$B$43:$AL$44,2,TRUE)*($W$3/$U$2),0)</f>
        <v>0</v>
      </c>
      <c r="AV576">
        <f>AV575*(1+'Real assumptions'!$B$35)^(1/12)</f>
        <v>1.7929430647433573</v>
      </c>
      <c r="AW576">
        <f t="shared" si="393"/>
        <v>2065</v>
      </c>
      <c r="AX576">
        <f t="shared" si="420"/>
        <v>63.522120619303976</v>
      </c>
      <c r="AY576">
        <f t="shared" si="421"/>
        <v>0.12327996157974731</v>
      </c>
      <c r="AZ576">
        <f t="shared" si="394"/>
        <v>126.30483389233169</v>
      </c>
      <c r="BA576">
        <f t="shared" si="411"/>
        <v>2.1588491987254925</v>
      </c>
      <c r="BB576">
        <f t="shared" si="412"/>
        <v>51.916666666666664</v>
      </c>
      <c r="BC576">
        <f t="shared" si="395"/>
        <v>31.15</v>
      </c>
      <c r="BD576">
        <f t="shared" si="413"/>
        <v>0</v>
      </c>
      <c r="BE576">
        <f t="shared" si="396"/>
        <v>24</v>
      </c>
      <c r="BF576">
        <f t="shared" si="422"/>
        <v>5000</v>
      </c>
      <c r="BU576"/>
      <c r="DW576" s="89"/>
      <c r="DX576" s="89"/>
      <c r="FD576"/>
      <c r="FE576"/>
    </row>
    <row r="577" spans="1:161" x14ac:dyDescent="0.25">
      <c r="A577" s="7">
        <f t="shared" si="414"/>
        <v>60663</v>
      </c>
      <c r="B577">
        <f t="shared" si="397"/>
        <v>566</v>
      </c>
      <c r="C577">
        <f t="shared" si="423"/>
        <v>47.083333333333336</v>
      </c>
      <c r="D577">
        <f t="shared" si="424"/>
        <v>0</v>
      </c>
      <c r="E577">
        <f t="shared" si="398"/>
        <v>99</v>
      </c>
      <c r="F577">
        <f>IF(C577&gt;=$T$2,0,VLOOKUP($E577,EKM_F05!$A$3:$C$128,2,TRUE))</f>
        <v>0.35759371794871792</v>
      </c>
      <c r="G577">
        <f>F577*'Real assumptions'!$B$3</f>
        <v>0.1492238585</v>
      </c>
      <c r="H577">
        <f t="shared" si="425"/>
        <v>1.3376909696104944E-2</v>
      </c>
      <c r="I577">
        <f t="shared" si="426"/>
        <v>3.8472382927340196E-4</v>
      </c>
      <c r="J577">
        <f>IF(B577&gt;$AJ$2,0,HLOOKUP(C577,'Real assumptions'!$B$5:$L$8,4,TRUE))</f>
        <v>3.7900000000000003E-2</v>
      </c>
      <c r="K577">
        <f t="shared" si="387"/>
        <v>1</v>
      </c>
      <c r="L577">
        <f t="shared" si="415"/>
        <v>8.3333333333333329E-2</v>
      </c>
      <c r="M577">
        <f t="shared" si="427"/>
        <v>3.2145624959929453E-3</v>
      </c>
      <c r="N577">
        <f t="shared" si="428"/>
        <v>9.198123644255843E-5</v>
      </c>
      <c r="O577" s="8">
        <f t="shared" si="399"/>
        <v>2.8329887256539794E-2</v>
      </c>
      <c r="P577">
        <f t="shared" si="400"/>
        <v>0.69135821573413814</v>
      </c>
      <c r="Q577">
        <f t="shared" si="416"/>
        <v>1.9236191463670098</v>
      </c>
      <c r="R577" s="89">
        <f t="shared" si="388"/>
        <v>5000</v>
      </c>
      <c r="S577">
        <f t="shared" si="389"/>
        <v>0.8333333333333357</v>
      </c>
      <c r="U577">
        <f>O576*AV576*'Real assumptions'!$B$33/12+AX577*'Real assumptions'!$B$34</f>
        <v>0.53363524531152629</v>
      </c>
      <c r="V577">
        <f>IF(P577=0,0,IF(E577&lt;=$C$7,$AN$5*O576,0))*'Real assumptions'!$D$28</f>
        <v>0</v>
      </c>
      <c r="X577" s="94">
        <f t="shared" si="401"/>
        <v>0</v>
      </c>
      <c r="Y577">
        <f t="shared" si="390"/>
        <v>24</v>
      </c>
      <c r="Z577">
        <f t="shared" si="417"/>
        <v>51</v>
      </c>
      <c r="AA577">
        <f t="shared" si="391"/>
        <v>51.833333333333336</v>
      </c>
      <c r="AB577">
        <f t="shared" si="402"/>
        <v>50.505050505050505</v>
      </c>
      <c r="AC577">
        <f t="shared" si="429"/>
        <v>2617.8451178451178</v>
      </c>
      <c r="AD577">
        <f t="shared" si="403"/>
        <v>80.505050505050505</v>
      </c>
      <c r="AE577">
        <f t="shared" si="404"/>
        <v>208.64225589225589</v>
      </c>
      <c r="AF577" s="94">
        <f t="shared" si="405"/>
        <v>2173.5126262626263</v>
      </c>
      <c r="AG577">
        <f t="shared" si="418"/>
        <v>0.19992237878714877</v>
      </c>
      <c r="AH577">
        <f t="shared" si="406"/>
        <v>61.575367652685919</v>
      </c>
      <c r="AI577">
        <f>HLOOKUP(AW577,'Real assumptions'!$A$21:$AK$24,2,TRUE)</f>
        <v>0</v>
      </c>
      <c r="AJ577" s="123">
        <f t="shared" si="430"/>
        <v>0</v>
      </c>
      <c r="AK577" s="122">
        <f>(1+HLOOKUP(YEAR(A577),'Real assumptions'!$A$21:$AK$24,2,TRUE)/100)^(1/12)-1</f>
        <v>0</v>
      </c>
      <c r="AL577">
        <f t="shared" si="419"/>
        <v>0.53363524531152629</v>
      </c>
      <c r="AM577">
        <f>('Real assumptions'!$B$33/12)*O576*AV576</f>
        <v>0.51648579923077698</v>
      </c>
      <c r="AN577">
        <f t="shared" si="407"/>
        <v>62.638312418395273</v>
      </c>
      <c r="AO577">
        <f t="shared" si="431"/>
        <v>0</v>
      </c>
      <c r="AP577" s="121">
        <f t="shared" si="408"/>
        <v>0</v>
      </c>
      <c r="AQ577">
        <f t="shared" si="409"/>
        <v>0</v>
      </c>
      <c r="AR577">
        <v>0</v>
      </c>
      <c r="AS577">
        <f t="shared" si="392"/>
        <v>0</v>
      </c>
      <c r="AT577">
        <f t="shared" si="410"/>
        <v>0</v>
      </c>
      <c r="AU577">
        <f>IFERROR(HLOOKUP(B577,'Real assumptions'!$B$43:$AL$44,2,TRUE)*($W$3/$U$2),0)</f>
        <v>0</v>
      </c>
      <c r="AV577">
        <f>AV576*(1+'Real assumptions'!$B$35)^(1/12)</f>
        <v>1.7948000983772463</v>
      </c>
      <c r="AW577">
        <f t="shared" si="393"/>
        <v>2066</v>
      </c>
      <c r="AX577">
        <f t="shared" si="420"/>
        <v>62.601829314648825</v>
      </c>
      <c r="AY577">
        <f t="shared" si="421"/>
        <v>0.12123986667616057</v>
      </c>
      <c r="AZ577">
        <f t="shared" si="394"/>
        <v>124.33901533760015</v>
      </c>
      <c r="BA577">
        <f t="shared" si="411"/>
        <v>2.1235415251541587</v>
      </c>
      <c r="BB577">
        <f t="shared" si="412"/>
        <v>51.833333333333336</v>
      </c>
      <c r="BC577">
        <f t="shared" si="395"/>
        <v>31.1</v>
      </c>
      <c r="BD577">
        <f t="shared" si="413"/>
        <v>0</v>
      </c>
      <c r="BE577">
        <f t="shared" si="396"/>
        <v>24</v>
      </c>
      <c r="BF577">
        <f t="shared" si="422"/>
        <v>5000</v>
      </c>
      <c r="BU577"/>
      <c r="DW577" s="89"/>
      <c r="DX577" s="89"/>
      <c r="FD577"/>
      <c r="FE577"/>
    </row>
    <row r="578" spans="1:161" x14ac:dyDescent="0.25">
      <c r="A578" s="7">
        <f t="shared" si="414"/>
        <v>60691</v>
      </c>
      <c r="B578">
        <f t="shared" si="397"/>
        <v>567</v>
      </c>
      <c r="C578">
        <f t="shared" si="423"/>
        <v>47.166666666666664</v>
      </c>
      <c r="D578">
        <f t="shared" si="424"/>
        <v>0</v>
      </c>
      <c r="E578">
        <f t="shared" si="398"/>
        <v>99</v>
      </c>
      <c r="F578">
        <f>IF(C578&gt;=$T$2,0,VLOOKUP($E578,EKM_F05!$A$3:$C$128,2,TRUE))</f>
        <v>0.35759371794871792</v>
      </c>
      <c r="G578">
        <f>F578*'Real assumptions'!$B$3</f>
        <v>0.1492238585</v>
      </c>
      <c r="H578">
        <f t="shared" si="425"/>
        <v>1.3376909696104944E-2</v>
      </c>
      <c r="I578">
        <f t="shared" si="426"/>
        <v>3.7835723803398701E-4</v>
      </c>
      <c r="J578">
        <f>IF(B578&gt;$AJ$2,0,HLOOKUP(C578,'Real assumptions'!$B$5:$L$8,4,TRUE))</f>
        <v>3.7900000000000003E-2</v>
      </c>
      <c r="K578">
        <f t="shared" si="387"/>
        <v>1</v>
      </c>
      <c r="L578">
        <f t="shared" si="415"/>
        <v>8.3333333333333329E-2</v>
      </c>
      <c r="M578">
        <f t="shared" si="427"/>
        <v>3.2145624959929453E-3</v>
      </c>
      <c r="N578">
        <f t="shared" si="428"/>
        <v>9.0459087593001221E-5</v>
      </c>
      <c r="O578" s="8">
        <f t="shared" si="399"/>
        <v>2.7861070930912807E-2</v>
      </c>
      <c r="P578">
        <f t="shared" si="400"/>
        <v>0.67991729415695512</v>
      </c>
      <c r="Q578">
        <f t="shared" si="416"/>
        <v>1.8917861901699351</v>
      </c>
      <c r="R578" s="89">
        <f t="shared" si="388"/>
        <v>5000</v>
      </c>
      <c r="S578">
        <f t="shared" si="389"/>
        <v>0.75</v>
      </c>
      <c r="U578">
        <f>O577*AV577*'Real assumptions'!$B$33/12+AX578*'Real assumptions'!$B$34</f>
        <v>0.52536575999592872</v>
      </c>
      <c r="V578">
        <f>IF(P578=0,0,IF(E578&lt;=$C$7,$AN$5*O577,0))*'Real assumptions'!$D$28</f>
        <v>0</v>
      </c>
      <c r="X578" s="94">
        <f t="shared" si="401"/>
        <v>0</v>
      </c>
      <c r="Y578">
        <f t="shared" si="390"/>
        <v>24</v>
      </c>
      <c r="Z578">
        <f t="shared" si="417"/>
        <v>51</v>
      </c>
      <c r="AA578">
        <f t="shared" si="391"/>
        <v>51.75</v>
      </c>
      <c r="AB578">
        <f t="shared" si="402"/>
        <v>50.505050505050505</v>
      </c>
      <c r="AC578">
        <f t="shared" si="429"/>
        <v>2613.6363636363635</v>
      </c>
      <c r="AD578">
        <f t="shared" si="403"/>
        <v>80.505050505050505</v>
      </c>
      <c r="AE578">
        <f t="shared" si="404"/>
        <v>208.30681818181819</v>
      </c>
      <c r="AF578" s="94">
        <f t="shared" si="405"/>
        <v>2178.0568181818185</v>
      </c>
      <c r="AG578">
        <f t="shared" si="418"/>
        <v>0.19702503249844266</v>
      </c>
      <c r="AH578">
        <f t="shared" si="406"/>
        <v>60.682995502921905</v>
      </c>
      <c r="AI578">
        <f>HLOOKUP(AW578,'Real assumptions'!$A$21:$AK$24,2,TRUE)</f>
        <v>0</v>
      </c>
      <c r="AJ578" s="123">
        <f t="shared" si="430"/>
        <v>0</v>
      </c>
      <c r="AK578" s="122">
        <f>(1+HLOOKUP(YEAR(A578),'Real assumptions'!$A$21:$AK$24,2,TRUE)/100)^(1/12)-1</f>
        <v>0</v>
      </c>
      <c r="AL578">
        <f t="shared" si="419"/>
        <v>0.52536575999592872</v>
      </c>
      <c r="AM578">
        <f>('Real assumptions'!$B$33/12)*O577*AV577</f>
        <v>0.50846484435053918</v>
      </c>
      <c r="AN578">
        <f t="shared" si="407"/>
        <v>61.729919186846949</v>
      </c>
      <c r="AO578">
        <f t="shared" si="431"/>
        <v>0</v>
      </c>
      <c r="AP578" s="121">
        <f t="shared" si="408"/>
        <v>0</v>
      </c>
      <c r="AQ578">
        <f t="shared" si="409"/>
        <v>0</v>
      </c>
      <c r="AR578">
        <v>0</v>
      </c>
      <c r="AS578">
        <f t="shared" si="392"/>
        <v>0</v>
      </c>
      <c r="AT578">
        <f t="shared" si="410"/>
        <v>0</v>
      </c>
      <c r="AU578">
        <f>IFERROR(HLOOKUP(B578,'Real assumptions'!$B$43:$AL$44,2,TRUE)*($W$3/$U$2),0)</f>
        <v>0</v>
      </c>
      <c r="AV578">
        <f>AV577*(1+'Real assumptions'!$B$35)^(1/12)</f>
        <v>1.7966590554263207</v>
      </c>
      <c r="AW578">
        <f t="shared" si="393"/>
        <v>2066</v>
      </c>
      <c r="AX578">
        <f t="shared" si="420"/>
        <v>61.694601184910411</v>
      </c>
      <c r="AY578">
        <f t="shared" si="421"/>
        <v>0.11923353222449408</v>
      </c>
      <c r="AZ578">
        <f t="shared" si="394"/>
        <v>122.40475564909278</v>
      </c>
      <c r="BA578">
        <f t="shared" si="411"/>
        <v>2.0888112226683777</v>
      </c>
      <c r="BB578">
        <f t="shared" si="412"/>
        <v>51.75</v>
      </c>
      <c r="BC578">
        <f t="shared" si="395"/>
        <v>31.049999999999997</v>
      </c>
      <c r="BD578">
        <f t="shared" si="413"/>
        <v>0</v>
      </c>
      <c r="BE578">
        <f t="shared" si="396"/>
        <v>24</v>
      </c>
      <c r="BF578">
        <f t="shared" si="422"/>
        <v>5000</v>
      </c>
      <c r="BU578"/>
      <c r="DW578" s="89"/>
      <c r="DX578" s="89"/>
      <c r="FD578"/>
      <c r="FE578"/>
    </row>
    <row r="579" spans="1:161" x14ac:dyDescent="0.25">
      <c r="A579" s="7">
        <f t="shared" si="414"/>
        <v>60722</v>
      </c>
      <c r="B579">
        <f t="shared" si="397"/>
        <v>568</v>
      </c>
      <c r="C579">
        <f t="shared" si="423"/>
        <v>47.25</v>
      </c>
      <c r="D579">
        <f t="shared" si="424"/>
        <v>0</v>
      </c>
      <c r="E579">
        <f t="shared" si="398"/>
        <v>99</v>
      </c>
      <c r="F579">
        <f>IF(C579&gt;=$T$2,0,VLOOKUP($E579,EKM_F05!$A$3:$C$128,2,TRUE))</f>
        <v>0.35759371794871792</v>
      </c>
      <c r="G579">
        <f>F579*'Real assumptions'!$B$3</f>
        <v>0.1492238585</v>
      </c>
      <c r="H579">
        <f t="shared" si="425"/>
        <v>1.3376909696104944E-2</v>
      </c>
      <c r="I579">
        <f t="shared" si="426"/>
        <v>3.7209600414684821E-4</v>
      </c>
      <c r="J579">
        <f>IF(B579&gt;$AJ$2,0,HLOOKUP(C579,'Real assumptions'!$B$5:$L$8,4,TRUE))</f>
        <v>3.7900000000000003E-2</v>
      </c>
      <c r="K579">
        <f t="shared" si="387"/>
        <v>1</v>
      </c>
      <c r="L579">
        <f t="shared" si="415"/>
        <v>8.3333333333333329E-2</v>
      </c>
      <c r="M579">
        <f t="shared" si="427"/>
        <v>3.2145624959929453E-3</v>
      </c>
      <c r="N579">
        <f t="shared" si="428"/>
        <v>8.8962127979964604E-5</v>
      </c>
      <c r="O579" s="8">
        <f t="shared" si="399"/>
        <v>2.7400012798785994E-2</v>
      </c>
      <c r="P579">
        <f t="shared" si="400"/>
        <v>0.66866570234190736</v>
      </c>
      <c r="Q579">
        <f t="shared" si="416"/>
        <v>1.8604800207342411</v>
      </c>
      <c r="R579" s="89">
        <f t="shared" si="388"/>
        <v>5000</v>
      </c>
      <c r="S579">
        <f t="shared" si="389"/>
        <v>0.6666666666666643</v>
      </c>
      <c r="U579">
        <f>O578*AV578*'Real assumptions'!$B$33/12+AX579*'Real assumptions'!$B$34</f>
        <v>0.51722436821814621</v>
      </c>
      <c r="V579">
        <f>IF(P579=0,0,IF(E579&lt;=$C$7,$AN$5*O578,0))*'Real assumptions'!$D$28</f>
        <v>0</v>
      </c>
      <c r="X579" s="94">
        <f t="shared" si="401"/>
        <v>0</v>
      </c>
      <c r="Y579">
        <f t="shared" si="390"/>
        <v>24</v>
      </c>
      <c r="Z579">
        <f t="shared" si="417"/>
        <v>51</v>
      </c>
      <c r="AA579">
        <f t="shared" si="391"/>
        <v>51.666666666666664</v>
      </c>
      <c r="AB579">
        <f t="shared" si="402"/>
        <v>50.505050505050505</v>
      </c>
      <c r="AC579">
        <f t="shared" si="429"/>
        <v>2609.4276094276092</v>
      </c>
      <c r="AD579">
        <f t="shared" si="403"/>
        <v>80.505050505050505</v>
      </c>
      <c r="AE579">
        <f t="shared" si="404"/>
        <v>207.97138047138046</v>
      </c>
      <c r="AF579" s="94">
        <f t="shared" si="405"/>
        <v>2182.6010101010102</v>
      </c>
      <c r="AG579">
        <f t="shared" si="418"/>
        <v>0.19416883038980609</v>
      </c>
      <c r="AH579">
        <f t="shared" si="406"/>
        <v>59.803295611410917</v>
      </c>
      <c r="AI579">
        <f>HLOOKUP(AW579,'Real assumptions'!$A$21:$AK$24,2,TRUE)</f>
        <v>0</v>
      </c>
      <c r="AJ579" s="123">
        <f t="shared" si="430"/>
        <v>0</v>
      </c>
      <c r="AK579" s="122">
        <f>(1+HLOOKUP(YEAR(A579),'Real assumptions'!$A$21:$AK$24,2,TRUE)/100)^(1/12)-1</f>
        <v>0</v>
      </c>
      <c r="AL579">
        <f t="shared" si="419"/>
        <v>0.51722436821814621</v>
      </c>
      <c r="AM579">
        <f>('Real assumptions'!$B$33/12)*O578*AV578</f>
        <v>0.50056845381899528</v>
      </c>
      <c r="AN579">
        <f t="shared" si="407"/>
        <v>60.834436837045665</v>
      </c>
      <c r="AO579">
        <f t="shared" si="431"/>
        <v>0</v>
      </c>
      <c r="AP579" s="121">
        <f t="shared" si="408"/>
        <v>0</v>
      </c>
      <c r="AQ579">
        <f t="shared" si="409"/>
        <v>0</v>
      </c>
      <c r="AR579">
        <v>0</v>
      </c>
      <c r="AS579">
        <f t="shared" si="392"/>
        <v>0</v>
      </c>
      <c r="AT579">
        <f t="shared" si="410"/>
        <v>0</v>
      </c>
      <c r="AU579">
        <f>IFERROR(HLOOKUP(B579,'Real assumptions'!$B$43:$AL$44,2,TRUE)*($W$3/$U$2),0)</f>
        <v>0</v>
      </c>
      <c r="AV579">
        <f>AV578*(1+'Real assumptions'!$B$35)^(1/12)</f>
        <v>1.7985199378827501</v>
      </c>
      <c r="AW579">
        <f t="shared" si="393"/>
        <v>2066</v>
      </c>
      <c r="AX579">
        <f t="shared" si="420"/>
        <v>60.800255902462787</v>
      </c>
      <c r="AY579">
        <f t="shared" si="421"/>
        <v>0.11726039954087882</v>
      </c>
      <c r="AZ579">
        <f t="shared" si="394"/>
        <v>120.50154813209249</v>
      </c>
      <c r="BA579">
        <f t="shared" si="411"/>
        <v>2.054648851124047</v>
      </c>
      <c r="BB579">
        <f t="shared" si="412"/>
        <v>51.666666666666664</v>
      </c>
      <c r="BC579">
        <f t="shared" si="395"/>
        <v>31</v>
      </c>
      <c r="BD579">
        <f t="shared" si="413"/>
        <v>0</v>
      </c>
      <c r="BE579">
        <f t="shared" si="396"/>
        <v>24</v>
      </c>
      <c r="BF579">
        <f t="shared" si="422"/>
        <v>5000</v>
      </c>
      <c r="BU579"/>
      <c r="DW579" s="89"/>
      <c r="DX579" s="89"/>
      <c r="FD579"/>
      <c r="FE579"/>
    </row>
    <row r="580" spans="1:161" x14ac:dyDescent="0.25">
      <c r="A580" s="7">
        <f t="shared" si="414"/>
        <v>60752</v>
      </c>
      <c r="B580">
        <f t="shared" si="397"/>
        <v>569</v>
      </c>
      <c r="C580">
        <f t="shared" si="423"/>
        <v>47.333333333333336</v>
      </c>
      <c r="D580">
        <f t="shared" si="424"/>
        <v>0</v>
      </c>
      <c r="E580">
        <f t="shared" si="398"/>
        <v>99</v>
      </c>
      <c r="F580">
        <f>IF(C580&gt;=$T$2,0,VLOOKUP($E580,EKM_F05!$A$3:$C$128,2,TRUE))</f>
        <v>0.35759371794871792</v>
      </c>
      <c r="G580">
        <f>F580*'Real assumptions'!$B$3</f>
        <v>0.1492238585</v>
      </c>
      <c r="H580">
        <f t="shared" si="425"/>
        <v>1.3376909696104944E-2</v>
      </c>
      <c r="I580">
        <f t="shared" si="426"/>
        <v>3.6593838410886722E-4</v>
      </c>
      <c r="J580">
        <f>IF(B580&gt;$AJ$2,0,HLOOKUP(C580,'Real assumptions'!$B$5:$L$8,4,TRUE))</f>
        <v>3.7900000000000003E-2</v>
      </c>
      <c r="K580">
        <f t="shared" si="387"/>
        <v>1</v>
      </c>
      <c r="L580">
        <f t="shared" si="415"/>
        <v>8.3333333333333329E-2</v>
      </c>
      <c r="M580">
        <f t="shared" si="427"/>
        <v>3.2145624959929453E-3</v>
      </c>
      <c r="N580">
        <f t="shared" si="428"/>
        <v>8.7489940760091466E-5</v>
      </c>
      <c r="O580" s="8">
        <f t="shared" si="399"/>
        <v>2.6946584473917037E-2</v>
      </c>
      <c r="P580">
        <f t="shared" si="400"/>
        <v>0.65760030717086382</v>
      </c>
      <c r="Q580">
        <f t="shared" si="416"/>
        <v>1.829691920544336</v>
      </c>
      <c r="R580" s="89">
        <f t="shared" si="388"/>
        <v>5000</v>
      </c>
      <c r="S580">
        <f t="shared" si="389"/>
        <v>0.5833333333333357</v>
      </c>
      <c r="U580">
        <f>O579*AV579*'Real assumptions'!$B$33/12+AX580*'Real assumptions'!$B$34</f>
        <v>0.50920908676578758</v>
      </c>
      <c r="V580">
        <f>IF(P580=0,0,IF(E580&lt;=$C$7,$AN$5*O579,0))*'Real assumptions'!$D$28</f>
        <v>0</v>
      </c>
      <c r="X580" s="94">
        <f t="shared" si="401"/>
        <v>0</v>
      </c>
      <c r="Y580">
        <f t="shared" si="390"/>
        <v>24</v>
      </c>
      <c r="Z580">
        <f t="shared" si="417"/>
        <v>51</v>
      </c>
      <c r="AA580">
        <f t="shared" si="391"/>
        <v>51.583333333333336</v>
      </c>
      <c r="AB580">
        <f t="shared" si="402"/>
        <v>50.505050505050505</v>
      </c>
      <c r="AC580">
        <f t="shared" si="429"/>
        <v>2605.2188552188554</v>
      </c>
      <c r="AD580">
        <f t="shared" si="403"/>
        <v>80.505050505050505</v>
      </c>
      <c r="AE580">
        <f t="shared" si="404"/>
        <v>207.63594276094275</v>
      </c>
      <c r="AF580" s="94">
        <f t="shared" si="405"/>
        <v>2187.1452020202019</v>
      </c>
      <c r="AG580">
        <f t="shared" si="418"/>
        <v>0.19135320415846574</v>
      </c>
      <c r="AH580">
        <f t="shared" si="406"/>
        <v>58.936092942959711</v>
      </c>
      <c r="AI580">
        <f>HLOOKUP(AW580,'Real assumptions'!$A$21:$AK$24,2,TRUE)</f>
        <v>0</v>
      </c>
      <c r="AJ580" s="123">
        <f t="shared" si="430"/>
        <v>0</v>
      </c>
      <c r="AK580" s="122">
        <f>(1+HLOOKUP(YEAR(A580),'Real assumptions'!$A$21:$AK$24,2,TRUE)/100)^(1/12)-1</f>
        <v>0</v>
      </c>
      <c r="AL580">
        <f t="shared" si="419"/>
        <v>0.50920908676578758</v>
      </c>
      <c r="AM580">
        <f>('Real assumptions'!$B$33/12)*O579*AV579</f>
        <v>0.49279469316859142</v>
      </c>
      <c r="AN580">
        <f t="shared" si="407"/>
        <v>59.951686831815998</v>
      </c>
      <c r="AO580">
        <f t="shared" si="431"/>
        <v>0</v>
      </c>
      <c r="AP580" s="121">
        <f t="shared" si="408"/>
        <v>0</v>
      </c>
      <c r="AQ580">
        <f t="shared" si="409"/>
        <v>0</v>
      </c>
      <c r="AR580">
        <v>0</v>
      </c>
      <c r="AS580">
        <f t="shared" si="392"/>
        <v>0</v>
      </c>
      <c r="AT580">
        <f t="shared" si="410"/>
        <v>0</v>
      </c>
      <c r="AU580">
        <f>IFERROR(HLOOKUP(B580,'Real assumptions'!$B$43:$AL$44,2,TRUE)*($W$3/$U$2),0)</f>
        <v>0</v>
      </c>
      <c r="AV580">
        <f>AV579*(1+'Real assumptions'!$B$35)^(1/12)</f>
        <v>1.8003827477407677</v>
      </c>
      <c r="AW580">
        <f t="shared" si="393"/>
        <v>2066</v>
      </c>
      <c r="AX580">
        <f t="shared" si="420"/>
        <v>59.918615530597727</v>
      </c>
      <c r="AY580">
        <f t="shared" si="421"/>
        <v>0.11531991918680973</v>
      </c>
      <c r="AZ580">
        <f t="shared" si="394"/>
        <v>118.62889422779476</v>
      </c>
      <c r="BA580">
        <f t="shared" si="411"/>
        <v>2.0210451247028018</v>
      </c>
      <c r="BB580">
        <f t="shared" si="412"/>
        <v>51.583333333333336</v>
      </c>
      <c r="BC580">
        <f t="shared" si="395"/>
        <v>30.950000000000003</v>
      </c>
      <c r="BD580">
        <f t="shared" si="413"/>
        <v>0</v>
      </c>
      <c r="BE580">
        <f t="shared" si="396"/>
        <v>24</v>
      </c>
      <c r="BF580">
        <f t="shared" si="422"/>
        <v>5000</v>
      </c>
      <c r="BU580"/>
      <c r="DW580" s="89"/>
      <c r="DX580" s="89"/>
      <c r="FD580"/>
      <c r="FE580"/>
    </row>
    <row r="581" spans="1:161" x14ac:dyDescent="0.25">
      <c r="A581" s="7">
        <f t="shared" si="414"/>
        <v>60783</v>
      </c>
      <c r="B581">
        <f t="shared" si="397"/>
        <v>570</v>
      </c>
      <c r="C581">
        <f t="shared" si="423"/>
        <v>47.416666666666664</v>
      </c>
      <c r="D581">
        <f t="shared" si="424"/>
        <v>0</v>
      </c>
      <c r="E581">
        <f t="shared" si="398"/>
        <v>99</v>
      </c>
      <c r="F581">
        <f>IF(C581&gt;=$T$2,0,VLOOKUP($E581,EKM_F05!$A$3:$C$128,2,TRUE))</f>
        <v>0.35759371794871792</v>
      </c>
      <c r="G581">
        <f>F581*'Real assumptions'!$B$3</f>
        <v>0.1492238585</v>
      </c>
      <c r="H581">
        <f t="shared" si="425"/>
        <v>1.3376909696104944E-2</v>
      </c>
      <c r="I581">
        <f t="shared" si="426"/>
        <v>3.5988266326923728E-4</v>
      </c>
      <c r="J581">
        <f>IF(B581&gt;$AJ$2,0,HLOOKUP(C581,'Real assumptions'!$B$5:$L$8,4,TRUE))</f>
        <v>3.7900000000000003E-2</v>
      </c>
      <c r="K581">
        <f t="shared" si="387"/>
        <v>1</v>
      </c>
      <c r="L581">
        <f t="shared" si="415"/>
        <v>8.3333333333333329E-2</v>
      </c>
      <c r="M581">
        <f t="shared" si="427"/>
        <v>3.2145624959929453E-3</v>
      </c>
      <c r="N581">
        <f t="shared" si="428"/>
        <v>8.6042115988145006E-5</v>
      </c>
      <c r="O581" s="8">
        <f t="shared" si="399"/>
        <v>2.6500659694659656E-2</v>
      </c>
      <c r="P581">
        <f t="shared" si="400"/>
        <v>0.64671802737400885</v>
      </c>
      <c r="Q581">
        <f t="shared" si="416"/>
        <v>1.7994133163461865</v>
      </c>
      <c r="R581" s="89">
        <f t="shared" si="388"/>
        <v>5000</v>
      </c>
      <c r="S581">
        <f t="shared" si="389"/>
        <v>0.5</v>
      </c>
      <c r="U581">
        <f>O580*AV580*'Real assumptions'!$B$33/12+AX581*'Real assumptions'!$B$34</f>
        <v>0.50131796311531251</v>
      </c>
      <c r="V581">
        <f>IF(P581=0,0,IF(E581&lt;=$C$7,$AN$5*O580,0))*'Real assumptions'!$D$28</f>
        <v>0</v>
      </c>
      <c r="X581" s="94">
        <f t="shared" si="401"/>
        <v>0</v>
      </c>
      <c r="Y581">
        <f t="shared" si="390"/>
        <v>24</v>
      </c>
      <c r="Z581">
        <f t="shared" si="417"/>
        <v>51</v>
      </c>
      <c r="AA581">
        <f t="shared" si="391"/>
        <v>51.5</v>
      </c>
      <c r="AB581">
        <f t="shared" si="402"/>
        <v>50.505050505050505</v>
      </c>
      <c r="AC581">
        <f t="shared" si="429"/>
        <v>2601.0101010101012</v>
      </c>
      <c r="AD581">
        <f t="shared" si="403"/>
        <v>80.505050505050505</v>
      </c>
      <c r="AE581">
        <f t="shared" si="404"/>
        <v>207.30050505050505</v>
      </c>
      <c r="AF581" s="94">
        <f t="shared" si="405"/>
        <v>2191.689393939394</v>
      </c>
      <c r="AG581">
        <f t="shared" si="418"/>
        <v>0.18857759304332056</v>
      </c>
      <c r="AH581">
        <f t="shared" si="406"/>
        <v>58.081214785182745</v>
      </c>
      <c r="AI581">
        <f>HLOOKUP(AW581,'Real assumptions'!$A$21:$AK$24,2,TRUE)</f>
        <v>0</v>
      </c>
      <c r="AJ581" s="123">
        <f t="shared" si="430"/>
        <v>0</v>
      </c>
      <c r="AK581" s="122">
        <f>(1+HLOOKUP(YEAR(A581),'Real assumptions'!$A$21:$AK$24,2,TRUE)/100)^(1/12)-1</f>
        <v>0</v>
      </c>
      <c r="AL581">
        <f t="shared" si="419"/>
        <v>0.50131796311531251</v>
      </c>
      <c r="AM581">
        <f>('Real assumptions'!$B$33/12)*O580*AV580</f>
        <v>0.4851416579737946</v>
      </c>
      <c r="AN581">
        <f t="shared" si="407"/>
        <v>59.081493007218405</v>
      </c>
      <c r="AO581">
        <f t="shared" si="431"/>
        <v>0</v>
      </c>
      <c r="AP581" s="121">
        <f t="shared" si="408"/>
        <v>0</v>
      </c>
      <c r="AQ581">
        <f t="shared" si="409"/>
        <v>0</v>
      </c>
      <c r="AR581">
        <v>0</v>
      </c>
      <c r="AS581">
        <f t="shared" si="392"/>
        <v>0</v>
      </c>
      <c r="AT581">
        <f t="shared" si="410"/>
        <v>0</v>
      </c>
      <c r="AU581">
        <f>IFERROR(HLOOKUP(B581,'Real assumptions'!$B$43:$AL$44,2,TRUE)*($W$3/$U$2),0)</f>
        <v>0</v>
      </c>
      <c r="AV581">
        <f>AV580*(1+'Real assumptions'!$B$35)^(1/12)</f>
        <v>1.8022474869966718</v>
      </c>
      <c r="AW581">
        <f t="shared" si="393"/>
        <v>2066</v>
      </c>
      <c r="AX581">
        <f t="shared" si="420"/>
        <v>59.049504493775856</v>
      </c>
      <c r="AY581">
        <f t="shared" si="421"/>
        <v>0.11341155081614913</v>
      </c>
      <c r="AZ581">
        <f t="shared" si="394"/>
        <v>116.78630338266395</v>
      </c>
      <c r="BA581">
        <f t="shared" si="411"/>
        <v>1.9879909093895072</v>
      </c>
      <c r="BB581">
        <f t="shared" si="412"/>
        <v>51.5</v>
      </c>
      <c r="BC581">
        <f t="shared" si="395"/>
        <v>30.9</v>
      </c>
      <c r="BD581">
        <f t="shared" si="413"/>
        <v>0</v>
      </c>
      <c r="BE581">
        <f t="shared" si="396"/>
        <v>24</v>
      </c>
      <c r="BF581">
        <f t="shared" si="422"/>
        <v>5000</v>
      </c>
      <c r="BU581"/>
      <c r="DW581" s="89"/>
      <c r="DX581" s="89"/>
      <c r="FD581"/>
      <c r="FE581"/>
    </row>
    <row r="582" spans="1:161" x14ac:dyDescent="0.25">
      <c r="A582" s="7">
        <f t="shared" si="414"/>
        <v>60813</v>
      </c>
      <c r="B582">
        <f t="shared" si="397"/>
        <v>571</v>
      </c>
      <c r="C582">
        <f t="shared" si="423"/>
        <v>47.5</v>
      </c>
      <c r="D582">
        <f t="shared" si="424"/>
        <v>0</v>
      </c>
      <c r="E582">
        <f t="shared" si="398"/>
        <v>99</v>
      </c>
      <c r="F582">
        <f>IF(C582&gt;=$T$2,0,VLOOKUP($E582,EKM_F05!$A$3:$C$128,2,TRUE))</f>
        <v>0.35759371794871792</v>
      </c>
      <c r="G582">
        <f>F582*'Real assumptions'!$B$3</f>
        <v>0.1492238585</v>
      </c>
      <c r="H582">
        <f t="shared" si="425"/>
        <v>1.3376909696104944E-2</v>
      </c>
      <c r="I582">
        <f t="shared" si="426"/>
        <v>3.5392715535200082E-4</v>
      </c>
      <c r="J582">
        <f>IF(B582&gt;$AJ$2,0,HLOOKUP(C582,'Real assumptions'!$B$5:$L$8,4,TRUE))</f>
        <v>3.7900000000000003E-2</v>
      </c>
      <c r="K582">
        <f t="shared" si="387"/>
        <v>1</v>
      </c>
      <c r="L582">
        <f t="shared" si="415"/>
        <v>8.3333333333333329E-2</v>
      </c>
      <c r="M582">
        <f t="shared" si="427"/>
        <v>3.2145624959929453E-3</v>
      </c>
      <c r="N582">
        <f t="shared" si="428"/>
        <v>8.4618250502855379E-5</v>
      </c>
      <c r="O582" s="8">
        <f t="shared" si="399"/>
        <v>2.6062114288804797E-2</v>
      </c>
      <c r="P582">
        <f t="shared" si="400"/>
        <v>0.6360158326718317</v>
      </c>
      <c r="Q582">
        <f t="shared" si="416"/>
        <v>1.7696357767600042</v>
      </c>
      <c r="R582" s="89">
        <f t="shared" si="388"/>
        <v>5000</v>
      </c>
      <c r="S582">
        <f t="shared" si="389"/>
        <v>0.4166666666666643</v>
      </c>
      <c r="U582">
        <f>O581*AV581*'Real assumptions'!$B$33/12+AX582*'Real assumptions'!$B$34</f>
        <v>0.4935490749574229</v>
      </c>
      <c r="V582">
        <f>IF(P582=0,0,IF(E582&lt;=$C$7,$AN$5*O581,0))*'Real assumptions'!$D$28</f>
        <v>0</v>
      </c>
      <c r="X582" s="94">
        <f t="shared" si="401"/>
        <v>0</v>
      </c>
      <c r="Y582">
        <f t="shared" si="390"/>
        <v>24</v>
      </c>
      <c r="Z582">
        <f t="shared" si="417"/>
        <v>51</v>
      </c>
      <c r="AA582">
        <f t="shared" si="391"/>
        <v>51.416666666666664</v>
      </c>
      <c r="AB582">
        <f t="shared" si="402"/>
        <v>50.505050505050505</v>
      </c>
      <c r="AC582">
        <f t="shared" si="429"/>
        <v>2596.8013468013469</v>
      </c>
      <c r="AD582">
        <f t="shared" si="403"/>
        <v>80.505050505050505</v>
      </c>
      <c r="AE582">
        <f t="shared" si="404"/>
        <v>206.96506734006732</v>
      </c>
      <c r="AF582" s="94">
        <f t="shared" si="405"/>
        <v>2196.2335858585857</v>
      </c>
      <c r="AG582">
        <f t="shared" si="418"/>
        <v>0.18584144373096614</v>
      </c>
      <c r="AH582">
        <f t="shared" si="406"/>
        <v>57.238490719558044</v>
      </c>
      <c r="AI582">
        <f>HLOOKUP(AW582,'Real assumptions'!$A$21:$AK$24,2,TRUE)</f>
        <v>0</v>
      </c>
      <c r="AJ582" s="123">
        <f t="shared" si="430"/>
        <v>0</v>
      </c>
      <c r="AK582" s="122">
        <f>(1+HLOOKUP(YEAR(A582),'Real assumptions'!$A$21:$AK$24,2,TRUE)/100)^(1/12)-1</f>
        <v>0</v>
      </c>
      <c r="AL582">
        <f t="shared" si="419"/>
        <v>0.4935490749574229</v>
      </c>
      <c r="AM582">
        <f>('Real assumptions'!$B$33/12)*O581*AV581</f>
        <v>0.47760747338454351</v>
      </c>
      <c r="AN582">
        <f t="shared" si="407"/>
        <v>58.223681542897154</v>
      </c>
      <c r="AO582">
        <f t="shared" si="431"/>
        <v>0</v>
      </c>
      <c r="AP582" s="121">
        <f t="shared" si="408"/>
        <v>0</v>
      </c>
      <c r="AQ582">
        <f t="shared" si="409"/>
        <v>0</v>
      </c>
      <c r="AR582">
        <v>0</v>
      </c>
      <c r="AS582">
        <f t="shared" si="392"/>
        <v>0</v>
      </c>
      <c r="AT582">
        <f t="shared" si="410"/>
        <v>0</v>
      </c>
      <c r="AU582">
        <f>IFERROR(HLOOKUP(B582,'Real assumptions'!$B$43:$AL$44,2,TRUE)*($W$3/$U$2),0)</f>
        <v>0</v>
      </c>
      <c r="AV582">
        <f>AV581*(1+'Real assumptions'!$B$35)^(1/12)</f>
        <v>1.8041141576488287</v>
      </c>
      <c r="AW582">
        <f t="shared" si="393"/>
        <v>2066</v>
      </c>
      <c r="AX582">
        <f t="shared" si="420"/>
        <v>58.192749548207409</v>
      </c>
      <c r="AY582">
        <f t="shared" si="421"/>
        <v>0.11153476302466184</v>
      </c>
      <c r="AZ582">
        <f t="shared" si="394"/>
        <v>114.97329291988737</v>
      </c>
      <c r="BA582">
        <f t="shared" si="411"/>
        <v>1.9554772204909703</v>
      </c>
      <c r="BB582">
        <f t="shared" si="412"/>
        <v>51.416666666666664</v>
      </c>
      <c r="BC582">
        <f t="shared" si="395"/>
        <v>30.849999999999994</v>
      </c>
      <c r="BD582">
        <f t="shared" si="413"/>
        <v>0</v>
      </c>
      <c r="BE582">
        <f t="shared" si="396"/>
        <v>24</v>
      </c>
      <c r="BF582">
        <f t="shared" si="422"/>
        <v>5000</v>
      </c>
      <c r="BU582"/>
      <c r="DW582" s="89"/>
      <c r="DX582" s="89"/>
      <c r="FD582"/>
      <c r="FE582"/>
    </row>
    <row r="583" spans="1:161" x14ac:dyDescent="0.25">
      <c r="A583" s="7">
        <f t="shared" si="414"/>
        <v>60844</v>
      </c>
      <c r="B583">
        <f t="shared" si="397"/>
        <v>572</v>
      </c>
      <c r="C583">
        <f t="shared" si="423"/>
        <v>47.583333333333336</v>
      </c>
      <c r="D583">
        <f t="shared" si="424"/>
        <v>0</v>
      </c>
      <c r="E583">
        <f t="shared" si="398"/>
        <v>99</v>
      </c>
      <c r="F583">
        <f>IF(C583&gt;=$T$2,0,VLOOKUP($E583,EKM_F05!$A$3:$C$128,2,TRUE))</f>
        <v>0.35759371794871792</v>
      </c>
      <c r="G583">
        <f>F583*'Real assumptions'!$B$3</f>
        <v>0.1492238585</v>
      </c>
      <c r="H583">
        <f t="shared" si="425"/>
        <v>1.3376909696104944E-2</v>
      </c>
      <c r="I583">
        <f t="shared" si="426"/>
        <v>3.4807020198648978E-4</v>
      </c>
      <c r="J583">
        <f>IF(B583&gt;$AJ$2,0,HLOOKUP(C583,'Real assumptions'!$B$5:$L$8,4,TRUE))</f>
        <v>3.7900000000000003E-2</v>
      </c>
      <c r="K583">
        <f t="shared" si="387"/>
        <v>1</v>
      </c>
      <c r="L583">
        <f t="shared" si="415"/>
        <v>8.3333333333333329E-2</v>
      </c>
      <c r="M583">
        <f t="shared" si="427"/>
        <v>3.2145624959929453E-3</v>
      </c>
      <c r="N583">
        <f t="shared" si="428"/>
        <v>8.3217947814655469E-5</v>
      </c>
      <c r="O583" s="8">
        <f t="shared" si="399"/>
        <v>2.5630826139003651E-2</v>
      </c>
      <c r="P583">
        <f t="shared" si="400"/>
        <v>0.62549074293131512</v>
      </c>
      <c r="Q583">
        <f t="shared" si="416"/>
        <v>1.7403510099324488</v>
      </c>
      <c r="R583" s="89">
        <f t="shared" si="388"/>
        <v>5000</v>
      </c>
      <c r="S583">
        <f t="shared" si="389"/>
        <v>0.3333333333333357</v>
      </c>
      <c r="U583">
        <f>O582*AV582*'Real assumptions'!$B$33/12+AX583*'Real assumptions'!$B$34</f>
        <v>0.48590052972979098</v>
      </c>
      <c r="V583">
        <f>IF(P583=0,0,IF(E583&lt;=$C$7,$AN$5*O582,0))*'Real assumptions'!$D$28</f>
        <v>0</v>
      </c>
      <c r="X583" s="94">
        <f t="shared" si="401"/>
        <v>0</v>
      </c>
      <c r="Y583">
        <f t="shared" si="390"/>
        <v>24</v>
      </c>
      <c r="Z583">
        <f t="shared" si="417"/>
        <v>51</v>
      </c>
      <c r="AA583">
        <f t="shared" si="391"/>
        <v>51.333333333333336</v>
      </c>
      <c r="AB583">
        <f t="shared" si="402"/>
        <v>50.505050505050505</v>
      </c>
      <c r="AC583">
        <f t="shared" si="429"/>
        <v>2592.5925925925926</v>
      </c>
      <c r="AD583">
        <f t="shared" si="403"/>
        <v>80.505050505050505</v>
      </c>
      <c r="AE583">
        <f t="shared" si="404"/>
        <v>206.62962962962962</v>
      </c>
      <c r="AF583" s="94">
        <f t="shared" si="405"/>
        <v>2200.7777777777778</v>
      </c>
      <c r="AG583">
        <f t="shared" si="418"/>
        <v>0.18314421026276453</v>
      </c>
      <c r="AH583">
        <f t="shared" si="406"/>
        <v>56.407752592805039</v>
      </c>
      <c r="AI583">
        <f>HLOOKUP(AW583,'Real assumptions'!$A$21:$AK$24,2,TRUE)</f>
        <v>0</v>
      </c>
      <c r="AJ583" s="123">
        <f t="shared" si="430"/>
        <v>0</v>
      </c>
      <c r="AK583" s="122">
        <f>(1+HLOOKUP(YEAR(A583),'Real assumptions'!$A$21:$AK$24,2,TRUE)/100)^(1/12)-1</f>
        <v>0</v>
      </c>
      <c r="AL583">
        <f t="shared" si="419"/>
        <v>0.48590052972979098</v>
      </c>
      <c r="AM583">
        <f>('Real assumptions'!$B$33/12)*O582*AV582</f>
        <v>0.47019029366694565</v>
      </c>
      <c r="AN583">
        <f t="shared" si="407"/>
        <v>57.378080932759566</v>
      </c>
      <c r="AO583">
        <f t="shared" si="431"/>
        <v>0</v>
      </c>
      <c r="AP583" s="121">
        <f t="shared" si="408"/>
        <v>0</v>
      </c>
      <c r="AQ583">
        <f t="shared" si="409"/>
        <v>0</v>
      </c>
      <c r="AR583">
        <v>0</v>
      </c>
      <c r="AS583">
        <f t="shared" si="392"/>
        <v>0</v>
      </c>
      <c r="AT583">
        <f t="shared" si="410"/>
        <v>0</v>
      </c>
      <c r="AU583">
        <f>IFERROR(HLOOKUP(B583,'Real assumptions'!$B$43:$AL$44,2,TRUE)*($W$3/$U$2),0)</f>
        <v>0</v>
      </c>
      <c r="AV583">
        <f>AV582*(1+'Real assumptions'!$B$35)^(1/12)</f>
        <v>1.8059827616976742</v>
      </c>
      <c r="AW583">
        <f t="shared" si="393"/>
        <v>2066</v>
      </c>
      <c r="AX583">
        <f t="shared" si="420"/>
        <v>57.348179752760082</v>
      </c>
      <c r="AY583">
        <f t="shared" si="421"/>
        <v>0.10968903320204039</v>
      </c>
      <c r="AZ583">
        <f t="shared" si="394"/>
        <v>113.18938791289369</v>
      </c>
      <c r="BA583">
        <f t="shared" si="411"/>
        <v>1.9234952201952134</v>
      </c>
      <c r="BB583">
        <f t="shared" si="412"/>
        <v>51.333333333333336</v>
      </c>
      <c r="BC583">
        <f t="shared" si="395"/>
        <v>30.799999999999997</v>
      </c>
      <c r="BD583">
        <f t="shared" si="413"/>
        <v>0</v>
      </c>
      <c r="BE583">
        <f t="shared" si="396"/>
        <v>24</v>
      </c>
      <c r="BF583">
        <f t="shared" si="422"/>
        <v>5000</v>
      </c>
      <c r="BU583"/>
      <c r="DW583" s="89"/>
      <c r="DX583" s="89"/>
      <c r="FD583"/>
      <c r="FE583"/>
    </row>
    <row r="584" spans="1:161" x14ac:dyDescent="0.25">
      <c r="A584" s="7">
        <f t="shared" si="414"/>
        <v>60875</v>
      </c>
      <c r="B584">
        <f t="shared" si="397"/>
        <v>573</v>
      </c>
      <c r="C584">
        <f t="shared" si="423"/>
        <v>47.666666666666664</v>
      </c>
      <c r="D584">
        <f t="shared" si="424"/>
        <v>0</v>
      </c>
      <c r="E584">
        <f t="shared" si="398"/>
        <v>99</v>
      </c>
      <c r="F584">
        <f>IF(C584&gt;=$T$2,0,VLOOKUP($E584,EKM_F05!$A$3:$C$128,2,TRUE))</f>
        <v>0.35759371794871792</v>
      </c>
      <c r="G584">
        <f>F584*'Real assumptions'!$B$3</f>
        <v>0.1492238585</v>
      </c>
      <c r="H584">
        <f t="shared" si="425"/>
        <v>1.3376909696104944E-2</v>
      </c>
      <c r="I584">
        <f t="shared" si="426"/>
        <v>3.4231017224553556E-4</v>
      </c>
      <c r="J584">
        <f>IF(B584&gt;$AJ$2,0,HLOOKUP(C584,'Real assumptions'!$B$5:$L$8,4,TRUE))</f>
        <v>3.7900000000000003E-2</v>
      </c>
      <c r="K584">
        <f t="shared" si="387"/>
        <v>1</v>
      </c>
      <c r="L584">
        <f t="shared" si="415"/>
        <v>8.3333333333333329E-2</v>
      </c>
      <c r="M584">
        <f t="shared" si="427"/>
        <v>3.2145624959929453E-3</v>
      </c>
      <c r="N584">
        <f t="shared" si="428"/>
        <v>8.1840817995274383E-5</v>
      </c>
      <c r="O584" s="8">
        <f t="shared" si="399"/>
        <v>2.520667514876284E-2</v>
      </c>
      <c r="P584">
        <f t="shared" si="400"/>
        <v>0.61513982733608763</v>
      </c>
      <c r="Q584">
        <f t="shared" si="416"/>
        <v>1.7115508612276777</v>
      </c>
      <c r="R584" s="89">
        <f t="shared" si="388"/>
        <v>5000</v>
      </c>
      <c r="S584">
        <f t="shared" si="389"/>
        <v>0.25</v>
      </c>
      <c r="U584">
        <f>O583*AV583*'Real assumptions'!$B$33/12+AX584*'Real assumptions'!$B$34</f>
        <v>0.47837046415700762</v>
      </c>
      <c r="V584">
        <f>IF(P584=0,0,IF(E584&lt;=$C$7,$AN$5*O583,0))*'Real assumptions'!$D$28</f>
        <v>0</v>
      </c>
      <c r="X584" s="94">
        <f t="shared" si="401"/>
        <v>0</v>
      </c>
      <c r="Y584">
        <f t="shared" si="390"/>
        <v>24</v>
      </c>
      <c r="Z584">
        <f t="shared" si="417"/>
        <v>51</v>
      </c>
      <c r="AA584">
        <f t="shared" si="391"/>
        <v>51.25</v>
      </c>
      <c r="AB584">
        <f t="shared" si="402"/>
        <v>50.505050505050505</v>
      </c>
      <c r="AC584">
        <f t="shared" si="429"/>
        <v>2588.3838383838383</v>
      </c>
      <c r="AD584">
        <f t="shared" si="403"/>
        <v>80.505050505050505</v>
      </c>
      <c r="AE584">
        <f t="shared" si="404"/>
        <v>206.29419191919192</v>
      </c>
      <c r="AF584" s="94">
        <f t="shared" si="405"/>
        <v>2205.32196969697</v>
      </c>
      <c r="AG584">
        <f t="shared" si="418"/>
        <v>0.18048535394294973</v>
      </c>
      <c r="AH584">
        <f t="shared" si="406"/>
        <v>55.588834488581327</v>
      </c>
      <c r="AI584">
        <f>HLOOKUP(AW584,'Real assumptions'!$A$21:$AK$24,2,TRUE)</f>
        <v>0</v>
      </c>
      <c r="AJ584" s="123">
        <f t="shared" si="430"/>
        <v>0</v>
      </c>
      <c r="AK584" s="122">
        <f>(1+HLOOKUP(YEAR(A584),'Real assumptions'!$A$21:$AK$24,2,TRUE)/100)^(1/12)-1</f>
        <v>0</v>
      </c>
      <c r="AL584">
        <f t="shared" si="419"/>
        <v>0.47837046415700762</v>
      </c>
      <c r="AM584">
        <f>('Real assumptions'!$B$33/12)*O583*AV583</f>
        <v>0.46288830175110746</v>
      </c>
      <c r="AN584">
        <f t="shared" si="407"/>
        <v>56.544521955984116</v>
      </c>
      <c r="AO584">
        <f t="shared" si="431"/>
        <v>0</v>
      </c>
      <c r="AP584" s="121">
        <f t="shared" si="408"/>
        <v>0</v>
      </c>
      <c r="AQ584">
        <f t="shared" si="409"/>
        <v>0</v>
      </c>
      <c r="AR584">
        <v>0</v>
      </c>
      <c r="AS584">
        <f t="shared" si="392"/>
        <v>0</v>
      </c>
      <c r="AT584">
        <f t="shared" si="410"/>
        <v>0</v>
      </c>
      <c r="AU584">
        <f>IFERROR(HLOOKUP(B584,'Real assumptions'!$B$43:$AL$44,2,TRUE)*($W$3/$U$2),0)</f>
        <v>0</v>
      </c>
      <c r="AV584">
        <f>AV583*(1+'Real assumptions'!$B$35)^(1/12)</f>
        <v>1.8078533011457165</v>
      </c>
      <c r="AW584">
        <f t="shared" si="393"/>
        <v>2066</v>
      </c>
      <c r="AX584">
        <f t="shared" si="420"/>
        <v>56.515626440191419</v>
      </c>
      <c r="AY584">
        <f t="shared" si="421"/>
        <v>0.10787384738637899</v>
      </c>
      <c r="AZ584">
        <f t="shared" si="394"/>
        <v>111.43412106090214</v>
      </c>
      <c r="BA584">
        <f t="shared" si="411"/>
        <v>1.8920362151706276</v>
      </c>
      <c r="BB584">
        <f t="shared" si="412"/>
        <v>51.25</v>
      </c>
      <c r="BC584">
        <f t="shared" si="395"/>
        <v>30.75</v>
      </c>
      <c r="BD584">
        <f t="shared" si="413"/>
        <v>0</v>
      </c>
      <c r="BE584">
        <f t="shared" si="396"/>
        <v>24</v>
      </c>
      <c r="BF584">
        <f t="shared" si="422"/>
        <v>5000</v>
      </c>
      <c r="BU584"/>
      <c r="DW584" s="89"/>
      <c r="DX584" s="89"/>
      <c r="FD584"/>
      <c r="FE584"/>
    </row>
    <row r="585" spans="1:161" x14ac:dyDescent="0.25">
      <c r="A585" s="7">
        <f t="shared" si="414"/>
        <v>60905</v>
      </c>
      <c r="B585">
        <f t="shared" si="397"/>
        <v>574</v>
      </c>
      <c r="C585">
        <f t="shared" si="423"/>
        <v>47.75</v>
      </c>
      <c r="D585">
        <f t="shared" si="424"/>
        <v>0</v>
      </c>
      <c r="E585">
        <f t="shared" si="398"/>
        <v>99</v>
      </c>
      <c r="F585">
        <f>IF(C585&gt;=$T$2,0,VLOOKUP($E585,EKM_F05!$A$3:$C$128,2,TRUE))</f>
        <v>0.35759371794871792</v>
      </c>
      <c r="G585">
        <f>F585*'Real assumptions'!$B$3</f>
        <v>0.1492238585</v>
      </c>
      <c r="H585">
        <f t="shared" si="425"/>
        <v>1.3376909696104944E-2</v>
      </c>
      <c r="I585">
        <f t="shared" si="426"/>
        <v>3.3664546219132075E-4</v>
      </c>
      <c r="J585">
        <f>IF(B585&gt;$AJ$2,0,HLOOKUP(C585,'Real assumptions'!$B$5:$L$8,4,TRUE))</f>
        <v>3.7900000000000003E-2</v>
      </c>
      <c r="K585">
        <f t="shared" si="387"/>
        <v>1</v>
      </c>
      <c r="L585">
        <f t="shared" si="415"/>
        <v>8.3333333333333329E-2</v>
      </c>
      <c r="M585">
        <f t="shared" si="427"/>
        <v>3.2145624959929453E-3</v>
      </c>
      <c r="N585">
        <f t="shared" si="428"/>
        <v>8.0486477569157981E-5</v>
      </c>
      <c r="O585" s="8">
        <f t="shared" si="399"/>
        <v>2.4789543209002361E-2</v>
      </c>
      <c r="P585">
        <f t="shared" si="400"/>
        <v>0.60496020357030811</v>
      </c>
      <c r="Q585">
        <f t="shared" si="416"/>
        <v>1.6832273109566038</v>
      </c>
      <c r="R585" s="89">
        <f t="shared" si="388"/>
        <v>5000</v>
      </c>
      <c r="S585">
        <f t="shared" si="389"/>
        <v>0.1666666666666643</v>
      </c>
      <c r="U585">
        <f>O584*AV584*'Real assumptions'!$B$33/12+AX585*'Real assumptions'!$B$34</f>
        <v>0.47095704379764236</v>
      </c>
      <c r="V585">
        <f>IF(P585=0,0,IF(E585&lt;=$C$7,$AN$5*O584,0))*'Real assumptions'!$D$28</f>
        <v>0</v>
      </c>
      <c r="X585" s="94">
        <f t="shared" si="401"/>
        <v>0</v>
      </c>
      <c r="Y585">
        <f t="shared" si="390"/>
        <v>24</v>
      </c>
      <c r="Z585">
        <f t="shared" si="417"/>
        <v>51</v>
      </c>
      <c r="AA585">
        <f t="shared" si="391"/>
        <v>51.166666666666664</v>
      </c>
      <c r="AB585">
        <f t="shared" si="402"/>
        <v>50.505050505050505</v>
      </c>
      <c r="AC585">
        <f t="shared" si="429"/>
        <v>2584.1750841750841</v>
      </c>
      <c r="AD585">
        <f t="shared" si="403"/>
        <v>80.505050505050505</v>
      </c>
      <c r="AE585">
        <f t="shared" si="404"/>
        <v>205.95875420875419</v>
      </c>
      <c r="AF585" s="94">
        <f t="shared" si="405"/>
        <v>2209.8661616161617</v>
      </c>
      <c r="AG585">
        <f t="shared" si="418"/>
        <v>0.17786434324776043</v>
      </c>
      <c r="AH585">
        <f t="shared" si="406"/>
        <v>54.781572699496031</v>
      </c>
      <c r="AI585">
        <f>HLOOKUP(AW585,'Real assumptions'!$A$21:$AK$24,2,TRUE)</f>
        <v>0</v>
      </c>
      <c r="AJ585" s="123">
        <f t="shared" si="430"/>
        <v>0</v>
      </c>
      <c r="AK585" s="122">
        <f>(1+HLOOKUP(YEAR(A585),'Real assumptions'!$A$21:$AK$24,2,TRUE)/100)^(1/12)-1</f>
        <v>0</v>
      </c>
      <c r="AL585">
        <f t="shared" si="419"/>
        <v>0.47095704379764236</v>
      </c>
      <c r="AM585">
        <f>('Real assumptions'!$B$33/12)*O584*AV584</f>
        <v>0.45569970878598598</v>
      </c>
      <c r="AN585">
        <f t="shared" si="407"/>
        <v>55.722837648353995</v>
      </c>
      <c r="AO585">
        <f t="shared" si="431"/>
        <v>0</v>
      </c>
      <c r="AP585" s="121">
        <f t="shared" si="408"/>
        <v>0</v>
      </c>
      <c r="AQ585">
        <f t="shared" si="409"/>
        <v>0</v>
      </c>
      <c r="AR585">
        <v>0</v>
      </c>
      <c r="AS585">
        <f t="shared" si="392"/>
        <v>0</v>
      </c>
      <c r="AT585">
        <f t="shared" si="410"/>
        <v>0</v>
      </c>
      <c r="AU585">
        <f>IFERROR(HLOOKUP(B585,'Real assumptions'!$B$43:$AL$44,2,TRUE)*($W$3/$U$2),0)</f>
        <v>0</v>
      </c>
      <c r="AV585">
        <f>AV584*(1+'Real assumptions'!$B$35)^(1/12)</f>
        <v>1.8097257779975375</v>
      </c>
      <c r="AW585">
        <f t="shared" si="393"/>
        <v>2066</v>
      </c>
      <c r="AX585">
        <f t="shared" si="420"/>
        <v>55.694923188702383</v>
      </c>
      <c r="AY585">
        <f t="shared" si="421"/>
        <v>0.10608870012105572</v>
      </c>
      <c r="AZ585">
        <f t="shared" si="394"/>
        <v>109.70703256647046</v>
      </c>
      <c r="BA585">
        <f t="shared" si="411"/>
        <v>1.8610916542043643</v>
      </c>
      <c r="BB585">
        <f t="shared" si="412"/>
        <v>51.166666666666664</v>
      </c>
      <c r="BC585">
        <f t="shared" si="395"/>
        <v>30.699999999999996</v>
      </c>
      <c r="BD585">
        <f t="shared" si="413"/>
        <v>0</v>
      </c>
      <c r="BE585">
        <f t="shared" si="396"/>
        <v>24</v>
      </c>
      <c r="BF585">
        <f t="shared" si="422"/>
        <v>5000</v>
      </c>
      <c r="BU585"/>
      <c r="DW585" s="89"/>
      <c r="DX585" s="89"/>
      <c r="FD585"/>
      <c r="FE585"/>
    </row>
    <row r="586" spans="1:161" x14ac:dyDescent="0.25">
      <c r="A586" s="7">
        <f t="shared" si="414"/>
        <v>60936</v>
      </c>
      <c r="B586">
        <f t="shared" si="397"/>
        <v>575</v>
      </c>
      <c r="C586">
        <f t="shared" si="423"/>
        <v>47.833333333333336</v>
      </c>
      <c r="D586">
        <f t="shared" si="424"/>
        <v>0</v>
      </c>
      <c r="E586">
        <f t="shared" si="398"/>
        <v>99</v>
      </c>
      <c r="F586">
        <f>IF(C586&gt;=$T$2,0,VLOOKUP($E586,EKM_F05!$A$3:$C$128,2,TRUE))</f>
        <v>0.35759371794871792</v>
      </c>
      <c r="G586">
        <f>F586*'Real assumptions'!$B$3</f>
        <v>0.1492238585</v>
      </c>
      <c r="H586">
        <f t="shared" si="425"/>
        <v>1.3376909696104944E-2</v>
      </c>
      <c r="I586">
        <f t="shared" si="426"/>
        <v>3.3107449442874691E-4</v>
      </c>
      <c r="J586">
        <f>IF(B586&gt;$AJ$2,0,HLOOKUP(C586,'Real assumptions'!$B$5:$L$8,4,TRUE))</f>
        <v>3.7900000000000003E-2</v>
      </c>
      <c r="K586">
        <f t="shared" si="387"/>
        <v>1</v>
      </c>
      <c r="L586">
        <f t="shared" si="415"/>
        <v>8.3333333333333329E-2</v>
      </c>
      <c r="M586">
        <f t="shared" si="427"/>
        <v>3.2145624959929453E-3</v>
      </c>
      <c r="N586">
        <f t="shared" si="428"/>
        <v>7.9154549406686346E-5</v>
      </c>
      <c r="O586" s="8">
        <f t="shared" si="399"/>
        <v>2.4379314165166928E-2</v>
      </c>
      <c r="P586">
        <f t="shared" si="400"/>
        <v>0.59494903701605661</v>
      </c>
      <c r="Q586">
        <f t="shared" si="416"/>
        <v>1.6553724721437346</v>
      </c>
      <c r="R586" s="89">
        <f t="shared" si="388"/>
        <v>5000</v>
      </c>
      <c r="S586">
        <f t="shared" si="389"/>
        <v>8.3333333333335702E-2</v>
      </c>
      <c r="U586">
        <f>O585*AV585*'Real assumptions'!$B$33/12+AX586*'Real assumptions'!$B$34</f>
        <v>0.46365846259830212</v>
      </c>
      <c r="V586">
        <f>IF(P586=0,0,IF(E586&lt;=$C$7,$AN$5*O585,0))*'Real assumptions'!$D$28</f>
        <v>0</v>
      </c>
      <c r="X586" s="94">
        <f t="shared" si="401"/>
        <v>0</v>
      </c>
      <c r="Y586">
        <f t="shared" si="390"/>
        <v>24</v>
      </c>
      <c r="Z586">
        <f t="shared" si="417"/>
        <v>51</v>
      </c>
      <c r="AA586">
        <f t="shared" si="391"/>
        <v>51.083333333333336</v>
      </c>
      <c r="AB586">
        <f t="shared" si="402"/>
        <v>50.505050505050505</v>
      </c>
      <c r="AC586">
        <f t="shared" si="429"/>
        <v>2579.9663299663302</v>
      </c>
      <c r="AD586">
        <f t="shared" si="403"/>
        <v>80.505050505050505</v>
      </c>
      <c r="AE586">
        <f t="shared" si="404"/>
        <v>205.62331649831651</v>
      </c>
      <c r="AF586" s="94">
        <f t="shared" si="405"/>
        <v>2214.4103535353534</v>
      </c>
      <c r="AG586">
        <f t="shared" si="418"/>
        <v>0.1752806537355919</v>
      </c>
      <c r="AH586">
        <f t="shared" si="406"/>
        <v>53.985805699436746</v>
      </c>
      <c r="AI586">
        <f>HLOOKUP(AW586,'Real assumptions'!$A$21:$AK$24,2,TRUE)</f>
        <v>0</v>
      </c>
      <c r="AJ586" s="123">
        <f t="shared" si="430"/>
        <v>0</v>
      </c>
      <c r="AK586" s="122">
        <f>(1+HLOOKUP(YEAR(A586),'Real assumptions'!$A$21:$AK$24,2,TRUE)/100)^(1/12)-1</f>
        <v>0</v>
      </c>
      <c r="AL586">
        <f t="shared" si="419"/>
        <v>0.46365846259830212</v>
      </c>
      <c r="AM586">
        <f>('Real assumptions'!$B$33/12)*O585*AV585</f>
        <v>0.44862275370115373</v>
      </c>
      <c r="AN586">
        <f t="shared" si="407"/>
        <v>54.912863273913786</v>
      </c>
      <c r="AO586">
        <f t="shared" si="431"/>
        <v>0</v>
      </c>
      <c r="AP586" s="121">
        <f t="shared" si="408"/>
        <v>0</v>
      </c>
      <c r="AQ586">
        <f t="shared" si="409"/>
        <v>0</v>
      </c>
      <c r="AR586">
        <v>0</v>
      </c>
      <c r="AS586">
        <f t="shared" si="392"/>
        <v>0</v>
      </c>
      <c r="AT586">
        <f t="shared" si="410"/>
        <v>0</v>
      </c>
      <c r="AU586">
        <f>IFERROR(HLOOKUP(B586,'Real assumptions'!$B$43:$AL$44,2,TRUE)*($W$3/$U$2),0)</f>
        <v>0</v>
      </c>
      <c r="AV586">
        <f>AV585*(1+'Real assumptions'!$B$35)^(1/12)</f>
        <v>1.8116001942597955</v>
      </c>
      <c r="AW586">
        <f t="shared" si="393"/>
        <v>2066</v>
      </c>
      <c r="AX586">
        <f t="shared" si="420"/>
        <v>54.885905793810018</v>
      </c>
      <c r="AY586">
        <f t="shared" si="421"/>
        <v>0.10433309431398299</v>
      </c>
      <c r="AZ586">
        <f t="shared" si="394"/>
        <v>108.00767001500888</v>
      </c>
      <c r="BA586">
        <f t="shared" si="411"/>
        <v>1.8306531258793266</v>
      </c>
      <c r="BB586">
        <f t="shared" si="412"/>
        <v>51.083333333333336</v>
      </c>
      <c r="BC586">
        <f t="shared" si="395"/>
        <v>30.65</v>
      </c>
      <c r="BD586">
        <f t="shared" si="413"/>
        <v>0</v>
      </c>
      <c r="BE586">
        <f t="shared" si="396"/>
        <v>24</v>
      </c>
      <c r="BF586">
        <f t="shared" si="422"/>
        <v>5000</v>
      </c>
      <c r="BU586"/>
      <c r="DW586" s="89"/>
      <c r="DX586" s="89"/>
      <c r="FD586"/>
      <c r="FE586"/>
    </row>
    <row r="587" spans="1:161" x14ac:dyDescent="0.25">
      <c r="A587" s="7">
        <f t="shared" si="414"/>
        <v>60966</v>
      </c>
      <c r="B587">
        <f t="shared" si="397"/>
        <v>576</v>
      </c>
      <c r="C587">
        <f t="shared" si="423"/>
        <v>47.916666666666664</v>
      </c>
      <c r="D587">
        <f t="shared" si="424"/>
        <v>0</v>
      </c>
      <c r="E587">
        <f t="shared" si="398"/>
        <v>99</v>
      </c>
      <c r="F587">
        <f>IF(C587&gt;=$T$2,0,VLOOKUP($E587,EKM_F05!$A$3:$C$128,2,TRUE))</f>
        <v>0.35759371794871792</v>
      </c>
      <c r="G587">
        <f>F587*'Real assumptions'!$B$3</f>
        <v>0.1492238585</v>
      </c>
      <c r="H587">
        <f t="shared" si="425"/>
        <v>1.3376909696104944E-2</v>
      </c>
      <c r="I587">
        <f t="shared" si="426"/>
        <v>3.2559571766619316E-4</v>
      </c>
      <c r="J587">
        <f>IF(B587&gt;$AJ$2,0,HLOOKUP(C587,'Real assumptions'!$B$5:$L$8,4,TRUE))</f>
        <v>3.7900000000000003E-2</v>
      </c>
      <c r="K587">
        <f t="shared" si="387"/>
        <v>1</v>
      </c>
      <c r="L587">
        <f t="shared" si="415"/>
        <v>8.3333333333333329E-2</v>
      </c>
      <c r="M587">
        <f t="shared" si="427"/>
        <v>3.2145624959929453E-3</v>
      </c>
      <c r="N587">
        <f t="shared" si="428"/>
        <v>7.7844662619158241E-5</v>
      </c>
      <c r="O587" s="8">
        <f t="shared" si="399"/>
        <v>2.3975873784881578E-2</v>
      </c>
      <c r="P587">
        <f t="shared" si="400"/>
        <v>0.58510353996400633</v>
      </c>
      <c r="Q587">
        <f t="shared" si="416"/>
        <v>1.6279785883309659</v>
      </c>
      <c r="R587" s="89">
        <f t="shared" si="388"/>
        <v>5000</v>
      </c>
      <c r="S587">
        <f t="shared" si="389"/>
        <v>1</v>
      </c>
      <c r="U587">
        <f>O586*AV586*'Real assumptions'!$B$33/12+AX587*'Real assumptions'!$B$34</f>
        <v>0.45647294245458414</v>
      </c>
      <c r="V587">
        <f>IF(P587=0,0,IF(E587&lt;=$C$7,$AN$5*O586,0))*'Real assumptions'!$D$28</f>
        <v>0</v>
      </c>
      <c r="X587" s="94">
        <f t="shared" si="401"/>
        <v>0</v>
      </c>
      <c r="Y587">
        <f t="shared" si="390"/>
        <v>24</v>
      </c>
      <c r="Z587">
        <f t="shared" si="417"/>
        <v>51</v>
      </c>
      <c r="AA587">
        <f t="shared" si="391"/>
        <v>51</v>
      </c>
      <c r="AB587">
        <f t="shared" si="402"/>
        <v>50.505050505050505</v>
      </c>
      <c r="AC587">
        <f t="shared" si="429"/>
        <v>2575.757575757576</v>
      </c>
      <c r="AD587">
        <f t="shared" si="403"/>
        <v>80.505050505050505</v>
      </c>
      <c r="AE587">
        <f t="shared" si="404"/>
        <v>205.28787878787878</v>
      </c>
      <c r="AF587" s="94">
        <f t="shared" si="405"/>
        <v>2218.954545454545</v>
      </c>
      <c r="AG587">
        <f t="shared" si="418"/>
        <v>0.17273376795815668</v>
      </c>
      <c r="AH587">
        <f t="shared" si="406"/>
        <v>53.201374116207447</v>
      </c>
      <c r="AI587">
        <f>HLOOKUP(AW587,'Real assumptions'!$A$21:$AK$24,2,TRUE)</f>
        <v>0</v>
      </c>
      <c r="AJ587" s="123">
        <f t="shared" si="430"/>
        <v>0</v>
      </c>
      <c r="AK587" s="122">
        <f>(1+HLOOKUP(YEAR(A587),'Real assumptions'!$A$21:$AK$24,2,TRUE)/100)^(1/12)-1</f>
        <v>0</v>
      </c>
      <c r="AL587">
        <f t="shared" si="419"/>
        <v>0.45647294245458414</v>
      </c>
      <c r="AM587">
        <f>('Real assumptions'!$B$33/12)*O586*AV586</f>
        <v>0.44165570277536986</v>
      </c>
      <c r="AN587">
        <f t="shared" si="407"/>
        <v>54.114436296946174</v>
      </c>
      <c r="AO587">
        <f t="shared" si="431"/>
        <v>0</v>
      </c>
      <c r="AP587" s="121">
        <f t="shared" si="408"/>
        <v>0</v>
      </c>
      <c r="AQ587">
        <f t="shared" si="409"/>
        <v>0</v>
      </c>
      <c r="AR587">
        <v>0</v>
      </c>
      <c r="AS587">
        <f t="shared" si="392"/>
        <v>0</v>
      </c>
      <c r="AT587">
        <f t="shared" si="410"/>
        <v>0</v>
      </c>
      <c r="AU587">
        <f>IFERROR(HLOOKUP(B587,'Real assumptions'!$B$43:$AL$44,2,TRUE)*($W$3/$U$2),0)</f>
        <v>0</v>
      </c>
      <c r="AV587">
        <f>AV586*(1+'Real assumptions'!$B$35)^(1/12)</f>
        <v>1.8134765519412268</v>
      </c>
      <c r="AW587">
        <f t="shared" si="393"/>
        <v>2066</v>
      </c>
      <c r="AX587">
        <f t="shared" si="420"/>
        <v>54.088412240535931</v>
      </c>
      <c r="AY587">
        <f t="shared" si="421"/>
        <v>0.1026065410991874</v>
      </c>
      <c r="AZ587">
        <f t="shared" si="394"/>
        <v>106.33558825622919</v>
      </c>
      <c r="BA587">
        <f t="shared" si="411"/>
        <v>1.8007123562891225</v>
      </c>
      <c r="BB587">
        <f t="shared" si="412"/>
        <v>51</v>
      </c>
      <c r="BC587">
        <f t="shared" si="395"/>
        <v>30.599999999999998</v>
      </c>
      <c r="BD587">
        <f t="shared" si="413"/>
        <v>0</v>
      </c>
      <c r="BE587">
        <f t="shared" si="396"/>
        <v>24</v>
      </c>
      <c r="BF587">
        <f t="shared" si="422"/>
        <v>5000</v>
      </c>
      <c r="BU587"/>
      <c r="DW587" s="89"/>
      <c r="DX587" s="89"/>
      <c r="FD587"/>
      <c r="FE587"/>
    </row>
    <row r="588" spans="1:161" x14ac:dyDescent="0.25">
      <c r="A588" s="7">
        <f t="shared" si="414"/>
        <v>60997</v>
      </c>
      <c r="B588">
        <f t="shared" si="397"/>
        <v>577</v>
      </c>
      <c r="C588">
        <f t="shared" si="423"/>
        <v>48</v>
      </c>
      <c r="D588">
        <f t="shared" si="424"/>
        <v>1</v>
      </c>
      <c r="E588">
        <f t="shared" si="398"/>
        <v>100</v>
      </c>
      <c r="F588">
        <f>IF(C588&gt;=$T$2,0,VLOOKUP($E588,EKM_F05!$A$3:$C$128,2,TRUE))</f>
        <v>0.39298769230769226</v>
      </c>
      <c r="G588">
        <f>F588*'Real assumptions'!$B$3</f>
        <v>0.16399376399999999</v>
      </c>
      <c r="H588">
        <f t="shared" si="425"/>
        <v>1.4815751068280814E-2</v>
      </c>
      <c r="I588">
        <f t="shared" si="426"/>
        <v>3.5464963826797982E-4</v>
      </c>
      <c r="J588">
        <f>IF(B588&gt;$AJ$2,0,HLOOKUP(C588,'Real assumptions'!$B$5:$L$8,4,TRUE))</f>
        <v>3.7900000000000003E-2</v>
      </c>
      <c r="K588">
        <f t="shared" ref="K588:K651" si="432">IF(B588&gt;$AJ$2,0,IF(($U$2*(B588+11))/12-INT(($U$2*(B588+11))/12)=0,1,0))</f>
        <v>1</v>
      </c>
      <c r="L588">
        <f t="shared" si="415"/>
        <v>8.3333333333333329E-2</v>
      </c>
      <c r="M588">
        <f t="shared" si="427"/>
        <v>3.2145624959929453E-3</v>
      </c>
      <c r="N588">
        <f t="shared" si="428"/>
        <v>7.6501005304195375E-5</v>
      </c>
      <c r="O588" s="8">
        <f t="shared" si="399"/>
        <v>2.3544723141309405E-2</v>
      </c>
      <c r="P588">
        <f t="shared" si="400"/>
        <v>0.57542097083715782</v>
      </c>
      <c r="Q588">
        <f t="shared" si="416"/>
        <v>1.7732481913398992</v>
      </c>
      <c r="R588" s="89">
        <f t="shared" ref="R588:R651" si="433">$AI$2</f>
        <v>5000</v>
      </c>
      <c r="S588">
        <f t="shared" ref="S588:S651" si="434">INT(B588/12)+1-B588/12</f>
        <v>0.9166666666666643</v>
      </c>
      <c r="U588">
        <f>O587*AV587*'Real assumptions'!$B$33/12+AX588*'Real assumptions'!$B$34</f>
        <v>0.4493987327788132</v>
      </c>
      <c r="V588">
        <f>IF(P588=0,0,IF(E588&lt;=$C$7,$AN$5*O587,0))*'Real assumptions'!$D$28</f>
        <v>0</v>
      </c>
      <c r="X588" s="94">
        <f t="shared" si="401"/>
        <v>0</v>
      </c>
      <c r="Y588">
        <f t="shared" ref="Y588:Y651" si="435">IF(P588=0,0,$AN$5)</f>
        <v>24</v>
      </c>
      <c r="Z588">
        <f t="shared" si="417"/>
        <v>51</v>
      </c>
      <c r="AA588">
        <f t="shared" ref="AA588:AA651" si="436">99-(B588/12)</f>
        <v>50.916666666666664</v>
      </c>
      <c r="AB588">
        <f t="shared" si="402"/>
        <v>50.505050505050505</v>
      </c>
      <c r="AC588">
        <f t="shared" si="429"/>
        <v>2571.5488215488213</v>
      </c>
      <c r="AD588">
        <f t="shared" si="403"/>
        <v>80.505050505050505</v>
      </c>
      <c r="AE588">
        <f t="shared" si="404"/>
        <v>204.95244107744105</v>
      </c>
      <c r="AF588" s="94">
        <f t="shared" si="405"/>
        <v>2223.4987373737376</v>
      </c>
      <c r="AG588">
        <f t="shared" si="418"/>
        <v>0.17009988870170001</v>
      </c>
      <c r="AH588">
        <f t="shared" si="406"/>
        <v>52.351662176515681</v>
      </c>
      <c r="AI588">
        <f>HLOOKUP(AW588,'Real assumptions'!$A$21:$AK$24,2,TRUE)</f>
        <v>0</v>
      </c>
      <c r="AJ588" s="123">
        <f t="shared" si="430"/>
        <v>0</v>
      </c>
      <c r="AK588" s="122">
        <f>(1+HLOOKUP(YEAR(A588),'Real assumptions'!$A$21:$AK$24,2,TRUE)/100)^(1/12)-1</f>
        <v>0</v>
      </c>
      <c r="AL588">
        <f t="shared" si="419"/>
        <v>0.4493987327788132</v>
      </c>
      <c r="AM588">
        <f>('Real assumptions'!$B$33/12)*O587*AV587</f>
        <v>0.43479684921185097</v>
      </c>
      <c r="AN588">
        <f t="shared" si="407"/>
        <v>53.327396354265794</v>
      </c>
      <c r="AO588">
        <f t="shared" si="431"/>
        <v>0</v>
      </c>
      <c r="AP588" s="121">
        <f t="shared" si="408"/>
        <v>0</v>
      </c>
      <c r="AQ588">
        <f t="shared" si="409"/>
        <v>0</v>
      </c>
      <c r="AR588">
        <v>0</v>
      </c>
      <c r="AS588">
        <f t="shared" ref="AS588:AS651" si="437">IF(B588&gt;$B$12,IF(B588&lt;=$AJ$2,AT588,0),0)</f>
        <v>0</v>
      </c>
      <c r="AT588">
        <f t="shared" si="410"/>
        <v>0</v>
      </c>
      <c r="AU588">
        <f>IFERROR(HLOOKUP(B588,'Real assumptions'!$B$43:$AL$44,2,TRUE)*($W$3/$U$2),0)</f>
        <v>0</v>
      </c>
      <c r="AV588">
        <f>AV587*(1+'Real assumptions'!$B$35)^(1/12)</f>
        <v>1.8153548530526489</v>
      </c>
      <c r="AW588">
        <f t="shared" ref="AW588:AW651" si="438">YEAR(A588)</f>
        <v>2066</v>
      </c>
      <c r="AX588">
        <f t="shared" si="420"/>
        <v>53.302282675908124</v>
      </c>
      <c r="AY588">
        <f t="shared" si="421"/>
        <v>0.10090855970068004</v>
      </c>
      <c r="AZ588">
        <f t="shared" ref="AZ588:AZ651" si="439">(AZ589+BA589-P589+U589+AQ589)/((1+AJ589))</f>
        <v>104.51826241424592</v>
      </c>
      <c r="BA588">
        <f t="shared" si="411"/>
        <v>1.9433480800415992</v>
      </c>
      <c r="BB588">
        <f t="shared" si="412"/>
        <v>50.916666666666664</v>
      </c>
      <c r="BC588">
        <f t="shared" ref="BC588:BC651" si="440">$AQ$5*BB588+IF($W$3=0,0,$AP$5*AA588)</f>
        <v>30.549999999999997</v>
      </c>
      <c r="BD588">
        <f t="shared" si="413"/>
        <v>0</v>
      </c>
      <c r="BE588">
        <f t="shared" ref="BE588:BE651" si="441">IF(B588=1,$AR$5,IF(P588=0,0,$W$3/$U$2))</f>
        <v>24</v>
      </c>
      <c r="BF588">
        <f t="shared" si="422"/>
        <v>5000</v>
      </c>
      <c r="BU588"/>
      <c r="DW588" s="89"/>
      <c r="DX588" s="89"/>
      <c r="FD588"/>
      <c r="FE588"/>
    </row>
    <row r="589" spans="1:161" x14ac:dyDescent="0.25">
      <c r="A589" s="7">
        <f t="shared" si="414"/>
        <v>61028</v>
      </c>
      <c r="B589">
        <f t="shared" ref="B589:B652" si="442">B588+1</f>
        <v>578</v>
      </c>
      <c r="C589">
        <f t="shared" si="423"/>
        <v>48.083333333333336</v>
      </c>
      <c r="D589">
        <f t="shared" si="424"/>
        <v>0</v>
      </c>
      <c r="E589">
        <f t="shared" ref="E589:E652" si="443">$C$2+INT($C589)</f>
        <v>100</v>
      </c>
      <c r="F589">
        <f>IF(C589&gt;=$T$2,0,VLOOKUP($E589,EKM_F05!$A$3:$C$128,2,TRUE))</f>
        <v>0.39298769230769226</v>
      </c>
      <c r="G589">
        <f>F589*'Real assumptions'!$B$3</f>
        <v>0.16399376399999999</v>
      </c>
      <c r="H589">
        <f t="shared" si="425"/>
        <v>1.4815751068280814E-2</v>
      </c>
      <c r="I589">
        <f t="shared" si="426"/>
        <v>3.4827208468416436E-4</v>
      </c>
      <c r="J589">
        <f>IF(B589&gt;$AJ$2,0,HLOOKUP(C589,'Real assumptions'!$B$5:$L$8,4,TRUE))</f>
        <v>3.7900000000000003E-2</v>
      </c>
      <c r="K589">
        <f t="shared" si="432"/>
        <v>1</v>
      </c>
      <c r="L589">
        <f t="shared" si="415"/>
        <v>8.3333333333333329E-2</v>
      </c>
      <c r="M589">
        <f t="shared" si="427"/>
        <v>3.2145624959929453E-3</v>
      </c>
      <c r="N589">
        <f t="shared" si="428"/>
        <v>7.5125311639523984E-5</v>
      </c>
      <c r="O589" s="8">
        <f t="shared" ref="O589:O652" si="444">IF(E590&gt;$C$5,0,IF(B589&gt;$AJ$2,0,O588-I589-N589))</f>
        <v>2.3121325744985714E-2</v>
      </c>
      <c r="P589">
        <f t="shared" ref="P589:P652" si="445">IF($U$2=0,0,$W$3/$U$2*K589*O588)</f>
        <v>0.56507335539142578</v>
      </c>
      <c r="Q589">
        <f t="shared" si="416"/>
        <v>1.7413604234208218</v>
      </c>
      <c r="R589" s="89">
        <f t="shared" si="433"/>
        <v>5000</v>
      </c>
      <c r="S589">
        <f t="shared" si="434"/>
        <v>0.8333333333333357</v>
      </c>
      <c r="U589">
        <f>O588*AV588*'Real assumptions'!$B$33/12+AX589*'Real assumptions'!$B$34</f>
        <v>0.44178888647459452</v>
      </c>
      <c r="V589">
        <f>IF(P589=0,0,IF(E589&lt;=$C$7,$AN$5*O588,0))*'Real assumptions'!$D$28</f>
        <v>0</v>
      </c>
      <c r="X589" s="94">
        <f t="shared" ref="X589:X652" si="446">IF($U$2=12,0,IF($AM$2&lt;&gt;0,0,X588+Y589-($AN$5*($U$2/12))))</f>
        <v>0</v>
      </c>
      <c r="Y589">
        <f t="shared" si="435"/>
        <v>24</v>
      </c>
      <c r="Z589">
        <f t="shared" si="417"/>
        <v>50</v>
      </c>
      <c r="AA589">
        <f t="shared" si="436"/>
        <v>50.833333333333336</v>
      </c>
      <c r="AB589">
        <f t="shared" ref="AB589:AB652" si="447">IF($AM$2&lt;&gt;0,0,R589/99)</f>
        <v>50.505050505050505</v>
      </c>
      <c r="AC589">
        <f t="shared" si="429"/>
        <v>2567.3400673400674</v>
      </c>
      <c r="AD589">
        <f t="shared" ref="AD589:AD652" si="448">IF($AM$2&lt;&gt;0,0,AB589+$Q$4*$AI$2+$Q$5*$AI$2)</f>
        <v>80.505050505050505</v>
      </c>
      <c r="AE589">
        <f t="shared" ref="AE589:AE652" si="449">MIN($C$6*AD589*AA589,$AI$2-AC589+BD589)</f>
        <v>204.61700336700338</v>
      </c>
      <c r="AF589" s="94">
        <f t="shared" ref="AF589:AF652" si="450">MAX(($AI$2+$Y$2-AC589-AE589+X589+BD589),0)</f>
        <v>2228.0429292929293</v>
      </c>
      <c r="AG589">
        <f t="shared" si="418"/>
        <v>0.16738241940936921</v>
      </c>
      <c r="AH589">
        <f t="shared" ref="AH589:AH652" si="451">AF589*O589</f>
        <v>51.515306341993991</v>
      </c>
      <c r="AI589">
        <f>HLOOKUP(AW589,'Real assumptions'!$A$21:$AK$24,2,TRUE)</f>
        <v>0</v>
      </c>
      <c r="AJ589" s="123">
        <f t="shared" si="430"/>
        <v>0</v>
      </c>
      <c r="AK589" s="122">
        <f>(1+HLOOKUP(YEAR(A589),'Real assumptions'!$A$21:$AK$24,2,TRUE)/100)^(1/12)-1</f>
        <v>0</v>
      </c>
      <c r="AL589">
        <f t="shared" si="419"/>
        <v>0.44178888647459452</v>
      </c>
      <c r="AM589">
        <f>('Real assumptions'!$B$33/12)*O588*AV588</f>
        <v>0.42742027418357031</v>
      </c>
      <c r="AN589">
        <f t="shared" ref="AN589:AN652" si="452">AP588+P589+AH588-V589-AL589</f>
        <v>52.47494664543251</v>
      </c>
      <c r="AO589">
        <f t="shared" si="431"/>
        <v>0</v>
      </c>
      <c r="AP589" s="121">
        <f t="shared" ref="AP589:AP652" si="453">IF(MONTH(A589)=12,0,AP588+AO589)</f>
        <v>0</v>
      </c>
      <c r="AQ589">
        <f t="shared" ref="AQ589:AQ652" si="454">IF(P589=0,0,AR589+AS589)</f>
        <v>0</v>
      </c>
      <c r="AR589">
        <v>0</v>
      </c>
      <c r="AS589">
        <f t="shared" si="437"/>
        <v>0</v>
      </c>
      <c r="AT589">
        <f t="shared" ref="AT589:AT652" si="455">IF(OR(B589&lt;=$B$12,B589&gt;$AJ$2),0,AU589*O588)</f>
        <v>0</v>
      </c>
      <c r="AU589">
        <f>IFERROR(HLOOKUP(B589,'Real assumptions'!$B$43:$AL$44,2,TRUE)*($W$3/$U$2),0)</f>
        <v>0</v>
      </c>
      <c r="AV589">
        <f>AV588*(1+'Real assumptions'!$B$35)^(1/12)</f>
        <v>1.8172350996069615</v>
      </c>
      <c r="AW589">
        <f t="shared" si="438"/>
        <v>2067</v>
      </c>
      <c r="AX589">
        <f t="shared" si="420"/>
        <v>52.450756129130617</v>
      </c>
      <c r="AY589">
        <f t="shared" si="421"/>
        <v>9.9093952614938571E-2</v>
      </c>
      <c r="AZ589">
        <f t="shared" si="439"/>
        <v>102.73280404033255</v>
      </c>
      <c r="BA589">
        <f t="shared" ref="BA589:BA652" si="456">AG589+V589+Q589</f>
        <v>1.9087428428301909</v>
      </c>
      <c r="BB589">
        <f t="shared" ref="BB589:BB652" si="457">Z590+IF(S589=1,0,S589)</f>
        <v>50.833333333333336</v>
      </c>
      <c r="BC589">
        <f t="shared" si="440"/>
        <v>30.5</v>
      </c>
      <c r="BD589">
        <f t="shared" ref="BD589:BD652" si="458">(BC589/100)*($AI$2+$Y$2)-AA589*(AD589-AB589)</f>
        <v>0</v>
      </c>
      <c r="BE589">
        <f t="shared" si="441"/>
        <v>24</v>
      </c>
      <c r="BF589">
        <f t="shared" si="422"/>
        <v>5000</v>
      </c>
      <c r="BU589"/>
      <c r="DW589" s="89"/>
      <c r="DX589" s="89"/>
      <c r="FD589"/>
      <c r="FE589"/>
    </row>
    <row r="590" spans="1:161" x14ac:dyDescent="0.25">
      <c r="A590" s="7">
        <f t="shared" ref="A590:A653" si="459">DATE(YEAR(A589),MONTH(A589)+2,1)-1</f>
        <v>61056</v>
      </c>
      <c r="B590">
        <f t="shared" si="442"/>
        <v>579</v>
      </c>
      <c r="C590">
        <f t="shared" si="423"/>
        <v>48.166666666666664</v>
      </c>
      <c r="D590">
        <f t="shared" si="424"/>
        <v>0</v>
      </c>
      <c r="E590">
        <f t="shared" si="443"/>
        <v>100</v>
      </c>
      <c r="F590">
        <f>IF(C590&gt;=$T$2,0,VLOOKUP($E590,EKM_F05!$A$3:$C$128,2,TRUE))</f>
        <v>0.39298769230769226</v>
      </c>
      <c r="G590">
        <f>F590*'Real assumptions'!$B$3</f>
        <v>0.16399376399999999</v>
      </c>
      <c r="H590">
        <f t="shared" si="425"/>
        <v>1.4815751068280814E-2</v>
      </c>
      <c r="I590">
        <f t="shared" si="426"/>
        <v>3.4200921665286513E-4</v>
      </c>
      <c r="J590">
        <f>IF(B590&gt;$AJ$2,0,HLOOKUP(C590,'Real assumptions'!$B$5:$L$8,4,TRUE))</f>
        <v>3.7900000000000003E-2</v>
      </c>
      <c r="K590">
        <f t="shared" si="432"/>
        <v>1</v>
      </c>
      <c r="L590">
        <f t="shared" ref="L590:L653" si="460">IF(B590&gt;$AJ$2,0,1/12)</f>
        <v>8.3333333333333329E-2</v>
      </c>
      <c r="M590">
        <f t="shared" si="427"/>
        <v>3.2145624959929453E-3</v>
      </c>
      <c r="N590">
        <f t="shared" si="428"/>
        <v>7.3774356643991536E-5</v>
      </c>
      <c r="O590" s="8">
        <f t="shared" si="444"/>
        <v>2.2705542171688856E-2</v>
      </c>
      <c r="P590">
        <f t="shared" si="445"/>
        <v>0.55491181787965715</v>
      </c>
      <c r="Q590">
        <f t="shared" ref="Q590:Q653" si="461">BF590*I590</f>
        <v>1.7100460832643256</v>
      </c>
      <c r="R590" s="89">
        <f t="shared" si="433"/>
        <v>5000</v>
      </c>
      <c r="S590">
        <f t="shared" si="434"/>
        <v>0.75</v>
      </c>
      <c r="U590">
        <f>O589*AV589*'Real assumptions'!$B$33/12+AX590*'Real assumptions'!$B$34</f>
        <v>0.43430785572232028</v>
      </c>
      <c r="V590">
        <f>IF(P590=0,0,IF(E590&lt;=$C$7,$AN$5*O589,0))*'Real assumptions'!$D$28</f>
        <v>0</v>
      </c>
      <c r="X590" s="94">
        <f t="shared" si="446"/>
        <v>0</v>
      </c>
      <c r="Y590">
        <f t="shared" si="435"/>
        <v>24</v>
      </c>
      <c r="Z590">
        <f t="shared" ref="Z590:Z653" si="462">IF(S588=1,Z589-1,Z589)</f>
        <v>50</v>
      </c>
      <c r="AA590">
        <f t="shared" si="436"/>
        <v>50.75</v>
      </c>
      <c r="AB590">
        <f t="shared" si="447"/>
        <v>50.505050505050505</v>
      </c>
      <c r="AC590">
        <f t="shared" si="429"/>
        <v>2563.1313131313132</v>
      </c>
      <c r="AD590">
        <f t="shared" si="448"/>
        <v>80.505050505050505</v>
      </c>
      <c r="AE590">
        <f t="shared" si="449"/>
        <v>204.28156565656565</v>
      </c>
      <c r="AF590" s="94">
        <f t="shared" si="450"/>
        <v>2232.587121212121</v>
      </c>
      <c r="AG590">
        <f t="shared" ref="AG590:AG653" si="463">IF(B590&lt;=$C$8,0,AF590*N590)</f>
        <v>0.16470767851908538</v>
      </c>
      <c r="AH590">
        <f t="shared" si="451"/>
        <v>50.692101032651237</v>
      </c>
      <c r="AI590">
        <f>HLOOKUP(AW590,'Real assumptions'!$A$21:$AK$24,2,TRUE)</f>
        <v>0</v>
      </c>
      <c r="AJ590" s="123">
        <f t="shared" si="430"/>
        <v>0</v>
      </c>
      <c r="AK590" s="122">
        <f>(1+HLOOKUP(YEAR(A590),'Real assumptions'!$A$21:$AK$24,2,TRUE)/100)^(1/12)-1</f>
        <v>0</v>
      </c>
      <c r="AL590">
        <f t="shared" ref="AL590:AL653" si="464">AQ590+U590</f>
        <v>0.43430785572232028</v>
      </c>
      <c r="AM590">
        <f>('Real assumptions'!$B$33/12)*O589*AV589</f>
        <v>0.42016884693234113</v>
      </c>
      <c r="AN590">
        <f t="shared" si="452"/>
        <v>51.635910304151324</v>
      </c>
      <c r="AO590">
        <f t="shared" si="431"/>
        <v>0</v>
      </c>
      <c r="AP590" s="121">
        <f t="shared" si="453"/>
        <v>0</v>
      </c>
      <c r="AQ590">
        <f t="shared" si="454"/>
        <v>0</v>
      </c>
      <c r="AR590">
        <v>0</v>
      </c>
      <c r="AS590">
        <f t="shared" si="437"/>
        <v>0</v>
      </c>
      <c r="AT590">
        <f t="shared" si="455"/>
        <v>0</v>
      </c>
      <c r="AU590">
        <f>IFERROR(HLOOKUP(B590,'Real assumptions'!$B$43:$AL$44,2,TRUE)*($W$3/$U$2),0)</f>
        <v>0</v>
      </c>
      <c r="AV590">
        <f>AV589*(1+'Real assumptions'!$B$35)^(1/12)</f>
        <v>1.8191172936191493</v>
      </c>
      <c r="AW590">
        <f t="shared" si="438"/>
        <v>2067</v>
      </c>
      <c r="AX590">
        <f t="shared" ref="AX590:AX653" si="465">MAX(0,AH589+AP589-V590+AY590)</f>
        <v>51.612618319035178</v>
      </c>
      <c r="AY590">
        <f t="shared" ref="AY590:AY653" si="466">IF(P590=0,0,(AB590/$U$2)*O589)</f>
        <v>9.731197704118566E-2</v>
      </c>
      <c r="AZ590">
        <f t="shared" si="439"/>
        <v>100.97865424070648</v>
      </c>
      <c r="BA590">
        <f t="shared" si="456"/>
        <v>1.8747537617834109</v>
      </c>
      <c r="BB590">
        <f t="shared" si="457"/>
        <v>50.75</v>
      </c>
      <c r="BC590">
        <f t="shared" si="440"/>
        <v>30.45</v>
      </c>
      <c r="BD590">
        <f t="shared" si="458"/>
        <v>0</v>
      </c>
      <c r="BE590">
        <f t="shared" si="441"/>
        <v>24</v>
      </c>
      <c r="BF590">
        <f t="shared" ref="BF590:BF653" si="467">((IF(B590&lt;13,BF589+BE590,$AI$2+$Y$2)))</f>
        <v>5000</v>
      </c>
      <c r="BU590"/>
      <c r="DW590" s="89"/>
      <c r="DX590" s="89"/>
      <c r="FD590"/>
      <c r="FE590"/>
    </row>
    <row r="591" spans="1:161" x14ac:dyDescent="0.25">
      <c r="A591" s="7">
        <f t="shared" si="459"/>
        <v>61087</v>
      </c>
      <c r="B591">
        <f t="shared" si="442"/>
        <v>580</v>
      </c>
      <c r="C591">
        <f t="shared" si="423"/>
        <v>48.25</v>
      </c>
      <c r="D591">
        <f t="shared" si="424"/>
        <v>0</v>
      </c>
      <c r="E591">
        <f t="shared" si="443"/>
        <v>100</v>
      </c>
      <c r="F591">
        <f>IF(C591&gt;=$T$2,0,VLOOKUP($E591,EKM_F05!$A$3:$C$128,2,TRUE))</f>
        <v>0.39298769230769226</v>
      </c>
      <c r="G591">
        <f>F591*'Real assumptions'!$B$3</f>
        <v>0.16399376399999999</v>
      </c>
      <c r="H591">
        <f t="shared" si="425"/>
        <v>1.4815751068280814E-2</v>
      </c>
      <c r="I591">
        <f t="shared" si="426"/>
        <v>3.3585897181964111E-4</v>
      </c>
      <c r="J591">
        <f>IF(B591&gt;$AJ$2,0,HLOOKUP(C591,'Real assumptions'!$B$5:$L$8,4,TRUE))</f>
        <v>3.7900000000000003E-2</v>
      </c>
      <c r="K591">
        <f t="shared" si="432"/>
        <v>1</v>
      </c>
      <c r="L591">
        <f t="shared" si="460"/>
        <v>8.3333333333333329E-2</v>
      </c>
      <c r="M591">
        <f t="shared" si="427"/>
        <v>3.2145624959929453E-3</v>
      </c>
      <c r="N591">
        <f t="shared" si="428"/>
        <v>7.2447695449844067E-5</v>
      </c>
      <c r="O591" s="8">
        <f t="shared" si="444"/>
        <v>2.2297235504419373E-2</v>
      </c>
      <c r="P591">
        <f t="shared" si="445"/>
        <v>0.54493301212053258</v>
      </c>
      <c r="Q591">
        <f t="shared" si="461"/>
        <v>1.6792948590982055</v>
      </c>
      <c r="R591" s="89">
        <f t="shared" si="433"/>
        <v>5000</v>
      </c>
      <c r="S591">
        <f t="shared" si="434"/>
        <v>0.6666666666666643</v>
      </c>
      <c r="U591">
        <f>O590*AV590*'Real assumptions'!$B$33/12+AX591*'Real assumptions'!$B$34</f>
        <v>0.42695346084068542</v>
      </c>
      <c r="V591">
        <f>IF(P591=0,0,IF(E591&lt;=$C$7,$AN$5*O590,0))*'Real assumptions'!$D$28</f>
        <v>0</v>
      </c>
      <c r="X591" s="94">
        <f t="shared" si="446"/>
        <v>0</v>
      </c>
      <c r="Y591">
        <f t="shared" si="435"/>
        <v>24</v>
      </c>
      <c r="Z591">
        <f t="shared" si="462"/>
        <v>50</v>
      </c>
      <c r="AA591">
        <f t="shared" si="436"/>
        <v>50.666666666666664</v>
      </c>
      <c r="AB591">
        <f t="shared" si="447"/>
        <v>50.505050505050505</v>
      </c>
      <c r="AC591">
        <f t="shared" si="429"/>
        <v>2558.9225589225589</v>
      </c>
      <c r="AD591">
        <f t="shared" si="448"/>
        <v>80.505050505050505</v>
      </c>
      <c r="AE591">
        <f t="shared" si="449"/>
        <v>203.94612794612792</v>
      </c>
      <c r="AF591" s="94">
        <f t="shared" si="450"/>
        <v>2237.1313131313132</v>
      </c>
      <c r="AG591">
        <f t="shared" si="463"/>
        <v>0.16207500805504713</v>
      </c>
      <c r="AH591">
        <f t="shared" si="451"/>
        <v>49.881843743199852</v>
      </c>
      <c r="AI591">
        <f>HLOOKUP(AW591,'Real assumptions'!$A$21:$AK$24,2,TRUE)</f>
        <v>0</v>
      </c>
      <c r="AJ591" s="123">
        <f t="shared" si="430"/>
        <v>0</v>
      </c>
      <c r="AK591" s="122">
        <f>(1+HLOOKUP(YEAR(A591),'Real assumptions'!$A$21:$AK$24,2,TRUE)/100)^(1/12)-1</f>
        <v>0</v>
      </c>
      <c r="AL591">
        <f t="shared" si="464"/>
        <v>0.42695346084068542</v>
      </c>
      <c r="AM591">
        <f>('Real assumptions'!$B$33/12)*O590*AV590</f>
        <v>0.41304044425518094</v>
      </c>
      <c r="AN591">
        <f t="shared" si="452"/>
        <v>50.810080583931082</v>
      </c>
      <c r="AO591">
        <f t="shared" si="431"/>
        <v>0</v>
      </c>
      <c r="AP591" s="121">
        <f t="shared" si="453"/>
        <v>0</v>
      </c>
      <c r="AQ591">
        <f t="shared" si="454"/>
        <v>0</v>
      </c>
      <c r="AR591">
        <v>0</v>
      </c>
      <c r="AS591">
        <f t="shared" si="437"/>
        <v>0</v>
      </c>
      <c r="AT591">
        <f t="shared" si="455"/>
        <v>0</v>
      </c>
      <c r="AU591">
        <f>IFERROR(HLOOKUP(B591,'Real assumptions'!$B$43:$AL$44,2,TRUE)*($W$3/$U$2),0)</f>
        <v>0</v>
      </c>
      <c r="AV591">
        <f>AV590*(1+'Real assumptions'!$B$35)^(1/12)</f>
        <v>1.8210014371062841</v>
      </c>
      <c r="AW591">
        <f t="shared" si="438"/>
        <v>2067</v>
      </c>
      <c r="AX591">
        <f t="shared" si="465"/>
        <v>50.78766307882838</v>
      </c>
      <c r="AY591">
        <f t="shared" si="466"/>
        <v>9.5562046177141646E-2</v>
      </c>
      <c r="AZ591">
        <f t="shared" si="439"/>
        <v>99.255263924833088</v>
      </c>
      <c r="BA591">
        <f t="shared" si="456"/>
        <v>1.8413698671532526</v>
      </c>
      <c r="BB591">
        <f t="shared" si="457"/>
        <v>50.666666666666664</v>
      </c>
      <c r="BC591">
        <f t="shared" si="440"/>
        <v>30.4</v>
      </c>
      <c r="BD591">
        <f t="shared" si="458"/>
        <v>0</v>
      </c>
      <c r="BE591">
        <f t="shared" si="441"/>
        <v>24</v>
      </c>
      <c r="BF591">
        <f t="shared" si="467"/>
        <v>5000</v>
      </c>
      <c r="BU591"/>
      <c r="DW591" s="89"/>
      <c r="DX591" s="89"/>
      <c r="FD591"/>
      <c r="FE591"/>
    </row>
    <row r="592" spans="1:161" x14ac:dyDescent="0.25">
      <c r="A592" s="7">
        <f t="shared" si="459"/>
        <v>61117</v>
      </c>
      <c r="B592">
        <f t="shared" si="442"/>
        <v>581</v>
      </c>
      <c r="C592">
        <f t="shared" si="423"/>
        <v>48.333333333333336</v>
      </c>
      <c r="D592">
        <f t="shared" si="424"/>
        <v>0</v>
      </c>
      <c r="E592">
        <f t="shared" si="443"/>
        <v>100</v>
      </c>
      <c r="F592">
        <f>IF(C592&gt;=$T$2,0,VLOOKUP($E592,EKM_F05!$A$3:$C$128,2,TRUE))</f>
        <v>0.39298769230769226</v>
      </c>
      <c r="G592">
        <f>F592*'Real assumptions'!$B$3</f>
        <v>0.16399376399999999</v>
      </c>
      <c r="H592">
        <f t="shared" si="425"/>
        <v>1.4815751068280814E-2</v>
      </c>
      <c r="I592">
        <f t="shared" si="426"/>
        <v>3.2981932491672674E-4</v>
      </c>
      <c r="J592">
        <f>IF(B592&gt;$AJ$2,0,HLOOKUP(C592,'Real assumptions'!$B$5:$L$8,4,TRUE))</f>
        <v>3.7900000000000003E-2</v>
      </c>
      <c r="K592">
        <f t="shared" si="432"/>
        <v>1</v>
      </c>
      <c r="L592">
        <f t="shared" si="460"/>
        <v>8.3333333333333329E-2</v>
      </c>
      <c r="M592">
        <f t="shared" si="427"/>
        <v>3.2145624959929453E-3</v>
      </c>
      <c r="N592">
        <f t="shared" si="428"/>
        <v>7.1144891189245347E-5</v>
      </c>
      <c r="O592" s="8">
        <f t="shared" si="444"/>
        <v>2.1896271288313399E-2</v>
      </c>
      <c r="P592">
        <f t="shared" si="445"/>
        <v>0.53513365210606501</v>
      </c>
      <c r="Q592">
        <f t="shared" si="461"/>
        <v>1.6490966245836336</v>
      </c>
      <c r="R592" s="89">
        <f t="shared" si="433"/>
        <v>5000</v>
      </c>
      <c r="S592">
        <f t="shared" si="434"/>
        <v>0.5833333333333357</v>
      </c>
      <c r="U592">
        <f>O591*AV591*'Real assumptions'!$B$33/12+AX592*'Real assumptions'!$B$34</f>
        <v>0.41972355901491709</v>
      </c>
      <c r="V592">
        <f>IF(P592=0,0,IF(E592&lt;=$C$7,$AN$5*O591,0))*'Real assumptions'!$D$28</f>
        <v>0</v>
      </c>
      <c r="X592" s="94">
        <f t="shared" si="446"/>
        <v>0</v>
      </c>
      <c r="Y592">
        <f t="shared" si="435"/>
        <v>24</v>
      </c>
      <c r="Z592">
        <f t="shared" si="462"/>
        <v>50</v>
      </c>
      <c r="AA592">
        <f t="shared" si="436"/>
        <v>50.583333333333336</v>
      </c>
      <c r="AB592">
        <f t="shared" si="447"/>
        <v>50.505050505050505</v>
      </c>
      <c r="AC592">
        <f t="shared" si="429"/>
        <v>2554.7138047138046</v>
      </c>
      <c r="AD592">
        <f t="shared" si="448"/>
        <v>80.505050505050505</v>
      </c>
      <c r="AE592">
        <f t="shared" si="449"/>
        <v>203.61069023569024</v>
      </c>
      <c r="AF592" s="94">
        <f t="shared" si="450"/>
        <v>2241.6755050505053</v>
      </c>
      <c r="AG592">
        <f t="shared" si="463"/>
        <v>0.15948375988841482</v>
      </c>
      <c r="AH592">
        <f t="shared" si="451"/>
        <v>49.084334998952819</v>
      </c>
      <c r="AI592">
        <f>HLOOKUP(AW592,'Real assumptions'!$A$21:$AK$24,2,TRUE)</f>
        <v>0</v>
      </c>
      <c r="AJ592" s="123">
        <f t="shared" si="430"/>
        <v>0</v>
      </c>
      <c r="AK592" s="122">
        <f>(1+HLOOKUP(YEAR(A592),'Real assumptions'!$A$21:$AK$24,2,TRUE)/100)^(1/12)-1</f>
        <v>0</v>
      </c>
      <c r="AL592">
        <f t="shared" si="464"/>
        <v>0.41972355901491709</v>
      </c>
      <c r="AM592">
        <f>('Real assumptions'!$B$33/12)*O591*AV591</f>
        <v>0.40603297897044938</v>
      </c>
      <c r="AN592">
        <f t="shared" si="452"/>
        <v>49.997253836290994</v>
      </c>
      <c r="AO592">
        <f t="shared" si="431"/>
        <v>0</v>
      </c>
      <c r="AP592" s="121">
        <f t="shared" si="453"/>
        <v>0</v>
      </c>
      <c r="AQ592">
        <f t="shared" si="454"/>
        <v>0</v>
      </c>
      <c r="AR592">
        <v>0</v>
      </c>
      <c r="AS592">
        <f t="shared" si="437"/>
        <v>0</v>
      </c>
      <c r="AT592">
        <f t="shared" si="455"/>
        <v>0</v>
      </c>
      <c r="AU592">
        <f>IFERROR(HLOOKUP(B592,'Real assumptions'!$B$43:$AL$44,2,TRUE)*($W$3/$U$2),0)</f>
        <v>0</v>
      </c>
      <c r="AV592">
        <f>AV591*(1+'Real assumptions'!$B$35)^(1/12)</f>
        <v>1.8228875320875271</v>
      </c>
      <c r="AW592">
        <f t="shared" si="438"/>
        <v>2067</v>
      </c>
      <c r="AX592">
        <f t="shared" si="465"/>
        <v>49.975687326972661</v>
      </c>
      <c r="AY592">
        <f t="shared" si="466"/>
        <v>9.3843583772808797E-2</v>
      </c>
      <c r="AZ592">
        <f t="shared" si="439"/>
        <v>97.562093633452193</v>
      </c>
      <c r="BA592">
        <f t="shared" si="456"/>
        <v>1.8085803844720485</v>
      </c>
      <c r="BB592">
        <f t="shared" si="457"/>
        <v>50.583333333333336</v>
      </c>
      <c r="BC592">
        <f t="shared" si="440"/>
        <v>30.35</v>
      </c>
      <c r="BD592">
        <f t="shared" si="458"/>
        <v>0</v>
      </c>
      <c r="BE592">
        <f t="shared" si="441"/>
        <v>24</v>
      </c>
      <c r="BF592">
        <f t="shared" si="467"/>
        <v>5000</v>
      </c>
      <c r="BU592"/>
      <c r="DW592" s="89"/>
      <c r="DX592" s="89"/>
      <c r="FD592"/>
      <c r="FE592"/>
    </row>
    <row r="593" spans="1:161" x14ac:dyDescent="0.25">
      <c r="A593" s="7">
        <f t="shared" si="459"/>
        <v>61148</v>
      </c>
      <c r="B593">
        <f t="shared" si="442"/>
        <v>582</v>
      </c>
      <c r="C593">
        <f t="shared" si="423"/>
        <v>48.416666666666664</v>
      </c>
      <c r="D593">
        <f t="shared" si="424"/>
        <v>0</v>
      </c>
      <c r="E593">
        <f t="shared" si="443"/>
        <v>100</v>
      </c>
      <c r="F593">
        <f>IF(C593&gt;=$T$2,0,VLOOKUP($E593,EKM_F05!$A$3:$C$128,2,TRUE))</f>
        <v>0.39298769230769226</v>
      </c>
      <c r="G593">
        <f>F593*'Real assumptions'!$B$3</f>
        <v>0.16399376399999999</v>
      </c>
      <c r="H593">
        <f t="shared" si="425"/>
        <v>1.4815751068280814E-2</v>
      </c>
      <c r="I593">
        <f t="shared" si="426"/>
        <v>3.2388828709611325E-4</v>
      </c>
      <c r="J593">
        <f>IF(B593&gt;$AJ$2,0,HLOOKUP(C593,'Real assumptions'!$B$5:$L$8,4,TRUE))</f>
        <v>3.7900000000000003E-2</v>
      </c>
      <c r="K593">
        <f t="shared" si="432"/>
        <v>1</v>
      </c>
      <c r="L593">
        <f t="shared" si="460"/>
        <v>8.3333333333333329E-2</v>
      </c>
      <c r="M593">
        <f t="shared" si="427"/>
        <v>3.2145624959929453E-3</v>
      </c>
      <c r="N593">
        <f t="shared" si="428"/>
        <v>6.9865514850416853E-5</v>
      </c>
      <c r="O593" s="8">
        <f t="shared" si="444"/>
        <v>2.1502517486366869E-2</v>
      </c>
      <c r="P593">
        <f t="shared" si="445"/>
        <v>0.52551051091952161</v>
      </c>
      <c r="Q593">
        <f t="shared" si="461"/>
        <v>1.6194414354805662</v>
      </c>
      <c r="R593" s="89">
        <f t="shared" si="433"/>
        <v>5000</v>
      </c>
      <c r="S593">
        <f t="shared" si="434"/>
        <v>0.5</v>
      </c>
      <c r="U593">
        <f>O592*AV592*'Real assumptions'!$B$33/12+AX593*'Real assumptions'!$B$34</f>
        <v>0.41261604367351795</v>
      </c>
      <c r="V593">
        <f>IF(P593=0,0,IF(E593&lt;=$C$7,$AN$5*O592,0))*'Real assumptions'!$D$28</f>
        <v>0</v>
      </c>
      <c r="X593" s="94">
        <f t="shared" si="446"/>
        <v>0</v>
      </c>
      <c r="Y593">
        <f t="shared" si="435"/>
        <v>24</v>
      </c>
      <c r="Z593">
        <f t="shared" si="462"/>
        <v>50</v>
      </c>
      <c r="AA593">
        <f t="shared" si="436"/>
        <v>50.5</v>
      </c>
      <c r="AB593">
        <f t="shared" si="447"/>
        <v>50.505050505050505</v>
      </c>
      <c r="AC593">
        <f t="shared" si="429"/>
        <v>2550.5050505050503</v>
      </c>
      <c r="AD593">
        <f t="shared" si="448"/>
        <v>80.505050505050505</v>
      </c>
      <c r="AE593">
        <f t="shared" si="449"/>
        <v>203.27525252525251</v>
      </c>
      <c r="AF593" s="94">
        <f t="shared" si="450"/>
        <v>2246.219696969697</v>
      </c>
      <c r="AG593">
        <f t="shared" si="463"/>
        <v>0.15693329559593522</v>
      </c>
      <c r="AH593">
        <f t="shared" si="451"/>
        <v>48.299378312312598</v>
      </c>
      <c r="AI593">
        <f>HLOOKUP(AW593,'Real assumptions'!$A$21:$AK$24,2,TRUE)</f>
        <v>0</v>
      </c>
      <c r="AJ593" s="123">
        <f t="shared" si="430"/>
        <v>0</v>
      </c>
      <c r="AK593" s="122">
        <f>(1+HLOOKUP(YEAR(A593),'Real assumptions'!$A$21:$AK$24,2,TRUE)/100)^(1/12)-1</f>
        <v>0</v>
      </c>
      <c r="AL593">
        <f t="shared" si="464"/>
        <v>0.41261604367351795</v>
      </c>
      <c r="AM593">
        <f>('Real assumptions'!$B$33/12)*O592*AV592</f>
        <v>0.39914439930672591</v>
      </c>
      <c r="AN593">
        <f t="shared" si="452"/>
        <v>49.197229466198827</v>
      </c>
      <c r="AO593">
        <f t="shared" si="431"/>
        <v>0</v>
      </c>
      <c r="AP593" s="121">
        <f t="shared" si="453"/>
        <v>0</v>
      </c>
      <c r="AQ593">
        <f t="shared" si="454"/>
        <v>0</v>
      </c>
      <c r="AR593">
        <v>0</v>
      </c>
      <c r="AS593">
        <f t="shared" si="437"/>
        <v>0</v>
      </c>
      <c r="AT593">
        <f t="shared" si="455"/>
        <v>0</v>
      </c>
      <c r="AU593">
        <f>IFERROR(HLOOKUP(B593,'Real assumptions'!$B$43:$AL$44,2,TRUE)*($W$3/$U$2),0)</f>
        <v>0</v>
      </c>
      <c r="AV593">
        <f>AV592*(1+'Real assumptions'!$B$35)^(1/12)</f>
        <v>1.8247755805841301</v>
      </c>
      <c r="AW593">
        <f t="shared" si="438"/>
        <v>2067</v>
      </c>
      <c r="AX593">
        <f t="shared" si="465"/>
        <v>49.176491022893529</v>
      </c>
      <c r="AY593">
        <f t="shared" si="466"/>
        <v>9.2156023940712956E-2</v>
      </c>
      <c r="AZ593">
        <f t="shared" si="439"/>
        <v>95.898613369621685</v>
      </c>
      <c r="BA593">
        <f t="shared" si="456"/>
        <v>1.7763747310765015</v>
      </c>
      <c r="BB593">
        <f t="shared" si="457"/>
        <v>50.5</v>
      </c>
      <c r="BC593">
        <f t="shared" si="440"/>
        <v>30.299999999999997</v>
      </c>
      <c r="BD593">
        <f t="shared" si="458"/>
        <v>0</v>
      </c>
      <c r="BE593">
        <f t="shared" si="441"/>
        <v>24</v>
      </c>
      <c r="BF593">
        <f t="shared" si="467"/>
        <v>5000</v>
      </c>
      <c r="BU593"/>
      <c r="DW593" s="89"/>
      <c r="DX593" s="89"/>
      <c r="FD593"/>
      <c r="FE593"/>
    </row>
    <row r="594" spans="1:161" x14ac:dyDescent="0.25">
      <c r="A594" s="7">
        <f t="shared" si="459"/>
        <v>61178</v>
      </c>
      <c r="B594">
        <f t="shared" si="442"/>
        <v>583</v>
      </c>
      <c r="C594">
        <f t="shared" si="423"/>
        <v>48.5</v>
      </c>
      <c r="D594">
        <f t="shared" si="424"/>
        <v>0</v>
      </c>
      <c r="E594">
        <f t="shared" si="443"/>
        <v>100</v>
      </c>
      <c r="F594">
        <f>IF(C594&gt;=$T$2,0,VLOOKUP($E594,EKM_F05!$A$3:$C$128,2,TRUE))</f>
        <v>0.39298769230769226</v>
      </c>
      <c r="G594">
        <f>F594*'Real assumptions'!$B$3</f>
        <v>0.16399376399999999</v>
      </c>
      <c r="H594">
        <f t="shared" si="425"/>
        <v>1.4815751068280814E-2</v>
      </c>
      <c r="I594">
        <f t="shared" si="426"/>
        <v>3.1806390527462419E-4</v>
      </c>
      <c r="J594">
        <f>IF(B594&gt;$AJ$2,0,HLOOKUP(C594,'Real assumptions'!$B$5:$L$8,4,TRUE))</f>
        <v>3.7900000000000003E-2</v>
      </c>
      <c r="K594">
        <f t="shared" si="432"/>
        <v>1</v>
      </c>
      <c r="L594">
        <f t="shared" si="460"/>
        <v>8.3333333333333329E-2</v>
      </c>
      <c r="M594">
        <f t="shared" si="427"/>
        <v>3.2145624959929453E-3</v>
      </c>
      <c r="N594">
        <f t="shared" si="428"/>
        <v>6.8609145136364847E-5</v>
      </c>
      <c r="O594" s="8">
        <f t="shared" si="444"/>
        <v>2.1115844435955881E-2</v>
      </c>
      <c r="P594">
        <f t="shared" si="445"/>
        <v>0.51606041967280492</v>
      </c>
      <c r="Q594">
        <f t="shared" si="461"/>
        <v>1.5903195263731209</v>
      </c>
      <c r="R594" s="89">
        <f t="shared" si="433"/>
        <v>5000</v>
      </c>
      <c r="S594">
        <f t="shared" si="434"/>
        <v>0.4166666666666643</v>
      </c>
      <c r="U594">
        <f>O593*AV593*'Real assumptions'!$B$33/12+AX594*'Real assumptions'!$B$34</f>
        <v>0.40562884387554132</v>
      </c>
      <c r="V594">
        <f>IF(P594=0,0,IF(E594&lt;=$C$7,$AN$5*O593,0))*'Real assumptions'!$D$28</f>
        <v>0</v>
      </c>
      <c r="X594" s="94">
        <f t="shared" si="446"/>
        <v>0</v>
      </c>
      <c r="Y594">
        <f t="shared" si="435"/>
        <v>24</v>
      </c>
      <c r="Z594">
        <f t="shared" si="462"/>
        <v>50</v>
      </c>
      <c r="AA594">
        <f t="shared" si="436"/>
        <v>50.416666666666664</v>
      </c>
      <c r="AB594">
        <f t="shared" si="447"/>
        <v>50.505050505050505</v>
      </c>
      <c r="AC594">
        <f t="shared" si="429"/>
        <v>2546.2962962962961</v>
      </c>
      <c r="AD594">
        <f t="shared" si="448"/>
        <v>80.505050505050505</v>
      </c>
      <c r="AE594">
        <f t="shared" si="449"/>
        <v>202.93981481481481</v>
      </c>
      <c r="AF594" s="94">
        <f t="shared" si="450"/>
        <v>2250.7638888888891</v>
      </c>
      <c r="AG594">
        <f t="shared" si="463"/>
        <v>0.15442298632046675</v>
      </c>
      <c r="AH594">
        <f t="shared" si="451"/>
        <v>47.526780139844867</v>
      </c>
      <c r="AI594">
        <f>HLOOKUP(AW594,'Real assumptions'!$A$21:$AK$24,2,TRUE)</f>
        <v>0</v>
      </c>
      <c r="AJ594" s="123">
        <f t="shared" si="430"/>
        <v>0</v>
      </c>
      <c r="AK594" s="122">
        <f>(1+HLOOKUP(YEAR(A594),'Real assumptions'!$A$21:$AK$24,2,TRUE)/100)^(1/12)-1</f>
        <v>0</v>
      </c>
      <c r="AL594">
        <f t="shared" si="464"/>
        <v>0.40562884387554132</v>
      </c>
      <c r="AM594">
        <f>('Real assumptions'!$B$33/12)*O593*AV593</f>
        <v>0.39237268830205513</v>
      </c>
      <c r="AN594">
        <f t="shared" si="452"/>
        <v>48.409809888109862</v>
      </c>
      <c r="AO594">
        <f t="shared" si="431"/>
        <v>0</v>
      </c>
      <c r="AP594" s="121">
        <f t="shared" si="453"/>
        <v>0</v>
      </c>
      <c r="AQ594">
        <f t="shared" si="454"/>
        <v>0</v>
      </c>
      <c r="AR594">
        <v>0</v>
      </c>
      <c r="AS594">
        <f t="shared" si="437"/>
        <v>0</v>
      </c>
      <c r="AT594">
        <f t="shared" si="455"/>
        <v>0</v>
      </c>
      <c r="AU594">
        <f>IFERROR(HLOOKUP(B594,'Real assumptions'!$B$43:$AL$44,2,TRUE)*($W$3/$U$2),0)</f>
        <v>0</v>
      </c>
      <c r="AV594">
        <f>AV593*(1+'Real assumptions'!$B$35)^(1/12)</f>
        <v>1.8266655846194391</v>
      </c>
      <c r="AW594">
        <f t="shared" si="438"/>
        <v>2067</v>
      </c>
      <c r="AX594">
        <f t="shared" si="465"/>
        <v>48.389877123282155</v>
      </c>
      <c r="AY594">
        <f t="shared" si="466"/>
        <v>9.049881096955753E-2</v>
      </c>
      <c r="AZ594">
        <f t="shared" si="439"/>
        <v>94.264302432725358</v>
      </c>
      <c r="BA594">
        <f t="shared" si="456"/>
        <v>1.7447425126935876</v>
      </c>
      <c r="BB594">
        <f t="shared" si="457"/>
        <v>50.416666666666664</v>
      </c>
      <c r="BC594">
        <f t="shared" si="440"/>
        <v>30.25</v>
      </c>
      <c r="BD594">
        <f t="shared" si="458"/>
        <v>0</v>
      </c>
      <c r="BE594">
        <f t="shared" si="441"/>
        <v>24</v>
      </c>
      <c r="BF594">
        <f t="shared" si="467"/>
        <v>5000</v>
      </c>
      <c r="BU594"/>
      <c r="DW594" s="89"/>
      <c r="DX594" s="89"/>
      <c r="FD594"/>
      <c r="FE594"/>
    </row>
    <row r="595" spans="1:161" x14ac:dyDescent="0.25">
      <c r="A595" s="7">
        <f t="shared" si="459"/>
        <v>61209</v>
      </c>
      <c r="B595">
        <f t="shared" si="442"/>
        <v>584</v>
      </c>
      <c r="C595">
        <f t="shared" si="423"/>
        <v>48.583333333333336</v>
      </c>
      <c r="D595">
        <f t="shared" si="424"/>
        <v>0</v>
      </c>
      <c r="E595">
        <f t="shared" si="443"/>
        <v>100</v>
      </c>
      <c r="F595">
        <f>IF(C595&gt;=$T$2,0,VLOOKUP($E595,EKM_F05!$A$3:$C$128,2,TRUE))</f>
        <v>0.39298769230769226</v>
      </c>
      <c r="G595">
        <f>F595*'Real assumptions'!$B$3</f>
        <v>0.16399376399999999</v>
      </c>
      <c r="H595">
        <f t="shared" si="425"/>
        <v>1.4815751068280814E-2</v>
      </c>
      <c r="I595">
        <f t="shared" si="426"/>
        <v>3.123442614907674E-4</v>
      </c>
      <c r="J595">
        <f>IF(B595&gt;$AJ$2,0,HLOOKUP(C595,'Real assumptions'!$B$5:$L$8,4,TRUE))</f>
        <v>3.7900000000000003E-2</v>
      </c>
      <c r="K595">
        <f t="shared" si="432"/>
        <v>1</v>
      </c>
      <c r="L595">
        <f t="shared" si="460"/>
        <v>8.3333333333333329E-2</v>
      </c>
      <c r="M595">
        <f t="shared" si="427"/>
        <v>3.2145624959929453E-3</v>
      </c>
      <c r="N595">
        <f t="shared" si="428"/>
        <v>6.7375368326147683E-5</v>
      </c>
      <c r="O595" s="8">
        <f t="shared" si="444"/>
        <v>2.0736124806138963E-2</v>
      </c>
      <c r="P595">
        <f t="shared" si="445"/>
        <v>0.50678026646294116</v>
      </c>
      <c r="Q595">
        <f t="shared" si="461"/>
        <v>1.561721307453837</v>
      </c>
      <c r="R595" s="89">
        <f t="shared" si="433"/>
        <v>5000</v>
      </c>
      <c r="S595">
        <f t="shared" si="434"/>
        <v>0.3333333333333357</v>
      </c>
      <c r="U595">
        <f>O594*AV594*'Real assumptions'!$B$33/12+AX595*'Real assumptions'!$B$34</f>
        <v>0.39875992370821944</v>
      </c>
      <c r="V595">
        <f>IF(P595=0,0,IF(E595&lt;=$C$7,$AN$5*O594,0))*'Real assumptions'!$D$28</f>
        <v>0</v>
      </c>
      <c r="X595" s="94">
        <f t="shared" si="446"/>
        <v>0</v>
      </c>
      <c r="Y595">
        <f t="shared" si="435"/>
        <v>24</v>
      </c>
      <c r="Z595">
        <f t="shared" si="462"/>
        <v>50</v>
      </c>
      <c r="AA595">
        <f t="shared" si="436"/>
        <v>50.333333333333336</v>
      </c>
      <c r="AB595">
        <f t="shared" si="447"/>
        <v>50.505050505050505</v>
      </c>
      <c r="AC595">
        <f t="shared" si="429"/>
        <v>2542.0875420875423</v>
      </c>
      <c r="AD595">
        <f t="shared" si="448"/>
        <v>80.505050505050505</v>
      </c>
      <c r="AE595">
        <f t="shared" si="449"/>
        <v>202.60437710437711</v>
      </c>
      <c r="AF595" s="94">
        <f t="shared" si="450"/>
        <v>2255.3080808080808</v>
      </c>
      <c r="AG595">
        <f t="shared" si="463"/>
        <v>0.15195221263338168</v>
      </c>
      <c r="AH595">
        <f t="shared" si="451"/>
        <v>46.766349839930101</v>
      </c>
      <c r="AI595">
        <f>HLOOKUP(AW595,'Real assumptions'!$A$21:$AK$24,2,TRUE)</f>
        <v>0</v>
      </c>
      <c r="AJ595" s="123">
        <f t="shared" si="430"/>
        <v>0</v>
      </c>
      <c r="AK595" s="122">
        <f>(1+HLOOKUP(YEAR(A595),'Real assumptions'!$A$21:$AK$24,2,TRUE)/100)^(1/12)-1</f>
        <v>0</v>
      </c>
      <c r="AL595">
        <f t="shared" si="464"/>
        <v>0.39875992370821944</v>
      </c>
      <c r="AM595">
        <f>('Real assumptions'!$B$33/12)*O594*AV594</f>
        <v>0.38571586321338475</v>
      </c>
      <c r="AN595">
        <f t="shared" si="452"/>
        <v>47.634800482599587</v>
      </c>
      <c r="AO595">
        <f t="shared" si="431"/>
        <v>0</v>
      </c>
      <c r="AP595" s="121">
        <f t="shared" si="453"/>
        <v>0</v>
      </c>
      <c r="AQ595">
        <f t="shared" si="454"/>
        <v>0</v>
      </c>
      <c r="AR595">
        <v>0</v>
      </c>
      <c r="AS595">
        <f t="shared" si="437"/>
        <v>0</v>
      </c>
      <c r="AT595">
        <f t="shared" si="455"/>
        <v>0</v>
      </c>
      <c r="AU595">
        <f>IFERROR(HLOOKUP(B595,'Real assumptions'!$B$43:$AL$44,2,TRUE)*($W$3/$U$2),0)</f>
        <v>0</v>
      </c>
      <c r="AV595">
        <f>AV594*(1+'Real assumptions'!$B$35)^(1/12)</f>
        <v>1.8285575462188952</v>
      </c>
      <c r="AW595">
        <f t="shared" si="438"/>
        <v>2067</v>
      </c>
      <c r="AX595">
        <f t="shared" si="465"/>
        <v>47.615651538986093</v>
      </c>
      <c r="AY595">
        <f t="shared" si="466"/>
        <v>8.8871399141228449E-2</v>
      </c>
      <c r="AZ595">
        <f t="shared" si="439"/>
        <v>92.658649255392859</v>
      </c>
      <c r="BA595">
        <f t="shared" si="456"/>
        <v>1.7136735200872186</v>
      </c>
      <c r="BB595">
        <f t="shared" si="457"/>
        <v>50.333333333333336</v>
      </c>
      <c r="BC595">
        <f t="shared" si="440"/>
        <v>30.200000000000003</v>
      </c>
      <c r="BD595">
        <f t="shared" si="458"/>
        <v>0</v>
      </c>
      <c r="BE595">
        <f t="shared" si="441"/>
        <v>24</v>
      </c>
      <c r="BF595">
        <f t="shared" si="467"/>
        <v>5000</v>
      </c>
      <c r="BU595"/>
      <c r="DW595" s="89"/>
      <c r="DX595" s="89"/>
      <c r="FD595"/>
      <c r="FE595"/>
    </row>
    <row r="596" spans="1:161" x14ac:dyDescent="0.25">
      <c r="A596" s="7">
        <f t="shared" si="459"/>
        <v>61240</v>
      </c>
      <c r="B596">
        <f t="shared" si="442"/>
        <v>585</v>
      </c>
      <c r="C596">
        <f t="shared" si="423"/>
        <v>48.666666666666664</v>
      </c>
      <c r="D596">
        <f t="shared" si="424"/>
        <v>0</v>
      </c>
      <c r="E596">
        <f t="shared" si="443"/>
        <v>100</v>
      </c>
      <c r="F596">
        <f>IF(C596&gt;=$T$2,0,VLOOKUP($E596,EKM_F05!$A$3:$C$128,2,TRUE))</f>
        <v>0.39298769230769226</v>
      </c>
      <c r="G596">
        <f>F596*'Real assumptions'!$B$3</f>
        <v>0.16399376399999999</v>
      </c>
      <c r="H596">
        <f t="shared" si="425"/>
        <v>1.4815751068280814E-2</v>
      </c>
      <c r="I596">
        <f t="shared" si="426"/>
        <v>3.0672747227315241E-4</v>
      </c>
      <c r="J596">
        <f>IF(B596&gt;$AJ$2,0,HLOOKUP(C596,'Real assumptions'!$B$5:$L$8,4,TRUE))</f>
        <v>3.7900000000000003E-2</v>
      </c>
      <c r="K596">
        <f t="shared" si="432"/>
        <v>1</v>
      </c>
      <c r="L596">
        <f t="shared" si="460"/>
        <v>8.3333333333333329E-2</v>
      </c>
      <c r="M596">
        <f t="shared" si="427"/>
        <v>3.2145624959929453E-3</v>
      </c>
      <c r="N596">
        <f t="shared" si="428"/>
        <v>6.6163778138638102E-5</v>
      </c>
      <c r="O596" s="8">
        <f t="shared" si="444"/>
        <v>2.0363233555727174E-2</v>
      </c>
      <c r="P596">
        <f t="shared" si="445"/>
        <v>0.49766699534733511</v>
      </c>
      <c r="Q596">
        <f t="shared" si="461"/>
        <v>1.5336373613657621</v>
      </c>
      <c r="R596" s="89">
        <f t="shared" si="433"/>
        <v>5000</v>
      </c>
      <c r="S596">
        <f t="shared" si="434"/>
        <v>0.25</v>
      </c>
      <c r="U596">
        <f>O595*AV595*'Real assumptions'!$B$33/12+AX596*'Real assumptions'!$B$34</f>
        <v>0.39200728169476962</v>
      </c>
      <c r="V596">
        <f>IF(P596=0,0,IF(E596&lt;=$C$7,$AN$5*O595,0))*'Real assumptions'!$D$28</f>
        <v>0</v>
      </c>
      <c r="X596" s="94">
        <f t="shared" si="446"/>
        <v>0</v>
      </c>
      <c r="Y596">
        <f t="shared" si="435"/>
        <v>24</v>
      </c>
      <c r="Z596">
        <f t="shared" si="462"/>
        <v>50</v>
      </c>
      <c r="AA596">
        <f t="shared" si="436"/>
        <v>50.25</v>
      </c>
      <c r="AB596">
        <f t="shared" si="447"/>
        <v>50.505050505050505</v>
      </c>
      <c r="AC596">
        <f t="shared" si="429"/>
        <v>2537.878787878788</v>
      </c>
      <c r="AD596">
        <f t="shared" si="448"/>
        <v>80.505050505050505</v>
      </c>
      <c r="AE596">
        <f t="shared" si="449"/>
        <v>202.26893939393938</v>
      </c>
      <c r="AF596" s="94">
        <f t="shared" si="450"/>
        <v>2259.8522727272725</v>
      </c>
      <c r="AG596">
        <f t="shared" si="463"/>
        <v>0.14952036439882435</v>
      </c>
      <c r="AH596">
        <f t="shared" si="451"/>
        <v>46.017899630986314</v>
      </c>
      <c r="AI596">
        <f>HLOOKUP(AW596,'Real assumptions'!$A$21:$AK$24,2,TRUE)</f>
        <v>0</v>
      </c>
      <c r="AJ596" s="123">
        <f t="shared" si="430"/>
        <v>0</v>
      </c>
      <c r="AK596" s="122">
        <f>(1+HLOOKUP(YEAR(A596),'Real assumptions'!$A$21:$AK$24,2,TRUE)/100)^(1/12)-1</f>
        <v>0</v>
      </c>
      <c r="AL596">
        <f t="shared" si="464"/>
        <v>0.39200728169476962</v>
      </c>
      <c r="AM596">
        <f>('Real assumptions'!$B$33/12)*O595*AV595</f>
        <v>0.37917197493602223</v>
      </c>
      <c r="AN596">
        <f t="shared" si="452"/>
        <v>46.872009553582672</v>
      </c>
      <c r="AO596">
        <f t="shared" si="431"/>
        <v>0</v>
      </c>
      <c r="AP596" s="121">
        <f t="shared" si="453"/>
        <v>0</v>
      </c>
      <c r="AQ596">
        <f t="shared" si="454"/>
        <v>0</v>
      </c>
      <c r="AR596">
        <v>0</v>
      </c>
      <c r="AS596">
        <f t="shared" si="437"/>
        <v>0</v>
      </c>
      <c r="AT596">
        <f t="shared" si="455"/>
        <v>0</v>
      </c>
      <c r="AU596">
        <f>IFERROR(HLOOKUP(B596,'Real assumptions'!$B$43:$AL$44,2,TRUE)*($W$3/$U$2),0)</f>
        <v>0</v>
      </c>
      <c r="AV596">
        <f>AV595*(1+'Real assumptions'!$B$35)^(1/12)</f>
        <v>1.8304514674100381</v>
      </c>
      <c r="AW596">
        <f t="shared" si="438"/>
        <v>2067</v>
      </c>
      <c r="AX596">
        <f t="shared" si="465"/>
        <v>46.853623092481193</v>
      </c>
      <c r="AY596">
        <f t="shared" si="466"/>
        <v>8.7273252551089905E-2</v>
      </c>
      <c r="AZ596">
        <f t="shared" si="439"/>
        <v>91.081151243280829</v>
      </c>
      <c r="BA596">
        <f t="shared" si="456"/>
        <v>1.6831577257645864</v>
      </c>
      <c r="BB596">
        <f t="shared" si="457"/>
        <v>50.25</v>
      </c>
      <c r="BC596">
        <f t="shared" si="440"/>
        <v>30.15</v>
      </c>
      <c r="BD596">
        <f t="shared" si="458"/>
        <v>0</v>
      </c>
      <c r="BE596">
        <f t="shared" si="441"/>
        <v>24</v>
      </c>
      <c r="BF596">
        <f t="shared" si="467"/>
        <v>5000</v>
      </c>
      <c r="BU596"/>
      <c r="DW596" s="89"/>
      <c r="DX596" s="89"/>
      <c r="FD596"/>
      <c r="FE596"/>
    </row>
    <row r="597" spans="1:161" x14ac:dyDescent="0.25">
      <c r="A597" s="7">
        <f t="shared" si="459"/>
        <v>61270</v>
      </c>
      <c r="B597">
        <f t="shared" si="442"/>
        <v>586</v>
      </c>
      <c r="C597">
        <f t="shared" si="423"/>
        <v>48.75</v>
      </c>
      <c r="D597">
        <f t="shared" si="424"/>
        <v>0</v>
      </c>
      <c r="E597">
        <f t="shared" si="443"/>
        <v>100</v>
      </c>
      <c r="F597">
        <f>IF(C597&gt;=$T$2,0,VLOOKUP($E597,EKM_F05!$A$3:$C$128,2,TRUE))</f>
        <v>0.39298769230769226</v>
      </c>
      <c r="G597">
        <f>F597*'Real assumptions'!$B$3</f>
        <v>0.16399376399999999</v>
      </c>
      <c r="H597">
        <f t="shared" si="425"/>
        <v>1.4815751068280814E-2</v>
      </c>
      <c r="I597">
        <f t="shared" si="426"/>
        <v>3.0121168802026626E-4</v>
      </c>
      <c r="J597">
        <f>IF(B597&gt;$AJ$2,0,HLOOKUP(C597,'Real assumptions'!$B$5:$L$8,4,TRUE))</f>
        <v>3.7900000000000003E-2</v>
      </c>
      <c r="K597">
        <f t="shared" si="432"/>
        <v>1</v>
      </c>
      <c r="L597">
        <f t="shared" si="460"/>
        <v>8.3333333333333329E-2</v>
      </c>
      <c r="M597">
        <f t="shared" si="427"/>
        <v>3.2145624959929453E-3</v>
      </c>
      <c r="N597">
        <f t="shared" si="428"/>
        <v>6.4973975598735332E-5</v>
      </c>
      <c r="O597" s="8">
        <f t="shared" si="444"/>
        <v>1.9997047892108172E-2</v>
      </c>
      <c r="P597">
        <f t="shared" si="445"/>
        <v>0.48871760533745218</v>
      </c>
      <c r="Q597">
        <f t="shared" si="461"/>
        <v>1.5060584401013313</v>
      </c>
      <c r="R597" s="89">
        <f t="shared" si="433"/>
        <v>5000</v>
      </c>
      <c r="S597">
        <f t="shared" si="434"/>
        <v>0.1666666666666643</v>
      </c>
      <c r="U597">
        <f>O596*AV596*'Real assumptions'!$B$33/12+AX597*'Real assumptions'!$B$34</f>
        <v>0.38536895021220802</v>
      </c>
      <c r="V597">
        <f>IF(P597=0,0,IF(E597&lt;=$C$7,$AN$5*O596,0))*'Real assumptions'!$D$28</f>
        <v>0</v>
      </c>
      <c r="X597" s="94">
        <f t="shared" si="446"/>
        <v>0</v>
      </c>
      <c r="Y597">
        <f t="shared" si="435"/>
        <v>24</v>
      </c>
      <c r="Z597">
        <f t="shared" si="462"/>
        <v>50</v>
      </c>
      <c r="AA597">
        <f t="shared" si="436"/>
        <v>50.166666666666664</v>
      </c>
      <c r="AB597">
        <f t="shared" si="447"/>
        <v>50.505050505050505</v>
      </c>
      <c r="AC597">
        <f t="shared" si="429"/>
        <v>2533.6700336700337</v>
      </c>
      <c r="AD597">
        <f t="shared" si="448"/>
        <v>80.505050505050505</v>
      </c>
      <c r="AE597">
        <f t="shared" si="449"/>
        <v>201.93350168350167</v>
      </c>
      <c r="AF597" s="94">
        <f t="shared" si="450"/>
        <v>2264.3964646464647</v>
      </c>
      <c r="AG597">
        <f t="shared" si="463"/>
        <v>0.14712684063980194</v>
      </c>
      <c r="AH597">
        <f t="shared" si="451"/>
        <v>45.281244550255785</v>
      </c>
      <c r="AI597">
        <f>HLOOKUP(AW597,'Real assumptions'!$A$21:$AK$24,2,TRUE)</f>
        <v>0</v>
      </c>
      <c r="AJ597" s="123">
        <f t="shared" si="430"/>
        <v>0</v>
      </c>
      <c r="AK597" s="122">
        <f>(1+HLOOKUP(YEAR(A597),'Real assumptions'!$A$21:$AK$24,2,TRUE)/100)^(1/12)-1</f>
        <v>0</v>
      </c>
      <c r="AL597">
        <f t="shared" si="464"/>
        <v>0.38536895021220802</v>
      </c>
      <c r="AM597">
        <f>('Real assumptions'!$B$33/12)*O596*AV596</f>
        <v>0.37273910743294131</v>
      </c>
      <c r="AN597">
        <f t="shared" si="452"/>
        <v>46.121248286111552</v>
      </c>
      <c r="AO597">
        <f t="shared" si="431"/>
        <v>0</v>
      </c>
      <c r="AP597" s="121">
        <f t="shared" si="453"/>
        <v>0</v>
      </c>
      <c r="AQ597">
        <f t="shared" si="454"/>
        <v>0</v>
      </c>
      <c r="AR597">
        <v>0</v>
      </c>
      <c r="AS597">
        <f t="shared" si="437"/>
        <v>0</v>
      </c>
      <c r="AT597">
        <f t="shared" si="455"/>
        <v>0</v>
      </c>
      <c r="AU597">
        <f>IFERROR(HLOOKUP(B597,'Real assumptions'!$B$43:$AL$44,2,TRUE)*($W$3/$U$2),0)</f>
        <v>0</v>
      </c>
      <c r="AV597">
        <f>AV596*(1+'Real assumptions'!$B$35)^(1/12)</f>
        <v>1.8323473502225067</v>
      </c>
      <c r="AW597">
        <f t="shared" si="438"/>
        <v>2067</v>
      </c>
      <c r="AX597">
        <f t="shared" si="465"/>
        <v>46.103603475917822</v>
      </c>
      <c r="AY597">
        <f t="shared" si="466"/>
        <v>8.5703844931511675E-2</v>
      </c>
      <c r="AZ597">
        <f t="shared" si="439"/>
        <v>89.531314617664947</v>
      </c>
      <c r="BA597">
        <f t="shared" si="456"/>
        <v>1.6531852807411331</v>
      </c>
      <c r="BB597">
        <f t="shared" si="457"/>
        <v>50.166666666666664</v>
      </c>
      <c r="BC597">
        <f t="shared" si="440"/>
        <v>30.099999999999994</v>
      </c>
      <c r="BD597">
        <f t="shared" si="458"/>
        <v>0</v>
      </c>
      <c r="BE597">
        <f t="shared" si="441"/>
        <v>24</v>
      </c>
      <c r="BF597">
        <f t="shared" si="467"/>
        <v>5000</v>
      </c>
      <c r="BU597"/>
      <c r="DW597" s="89"/>
      <c r="DX597" s="89"/>
      <c r="FD597"/>
      <c r="FE597"/>
    </row>
    <row r="598" spans="1:161" x14ac:dyDescent="0.25">
      <c r="A598" s="7">
        <f t="shared" si="459"/>
        <v>61301</v>
      </c>
      <c r="B598">
        <f t="shared" si="442"/>
        <v>587</v>
      </c>
      <c r="C598">
        <f t="shared" si="423"/>
        <v>48.833333333333336</v>
      </c>
      <c r="D598">
        <f t="shared" si="424"/>
        <v>0</v>
      </c>
      <c r="E598">
        <f t="shared" si="443"/>
        <v>100</v>
      </c>
      <c r="F598">
        <f>IF(C598&gt;=$T$2,0,VLOOKUP($E598,EKM_F05!$A$3:$C$128,2,TRUE))</f>
        <v>0.39298769230769226</v>
      </c>
      <c r="G598">
        <f>F598*'Real assumptions'!$B$3</f>
        <v>0.16399376399999999</v>
      </c>
      <c r="H598">
        <f t="shared" si="425"/>
        <v>1.4815751068280814E-2</v>
      </c>
      <c r="I598">
        <f t="shared" si="426"/>
        <v>2.9579509239140167E-4</v>
      </c>
      <c r="J598">
        <f>IF(B598&gt;$AJ$2,0,HLOOKUP(C598,'Real assumptions'!$B$5:$L$8,4,TRUE))</f>
        <v>3.7900000000000003E-2</v>
      </c>
      <c r="K598">
        <f t="shared" si="432"/>
        <v>1</v>
      </c>
      <c r="L598">
        <f t="shared" si="460"/>
        <v>8.3333333333333329E-2</v>
      </c>
      <c r="M598">
        <f t="shared" si="427"/>
        <v>3.2145624959929453E-3</v>
      </c>
      <c r="N598">
        <f t="shared" si="428"/>
        <v>6.380556890598313E-5</v>
      </c>
      <c r="O598" s="8">
        <f t="shared" si="444"/>
        <v>1.9637447230810789E-2</v>
      </c>
      <c r="P598">
        <f t="shared" si="445"/>
        <v>0.47992914941059617</v>
      </c>
      <c r="Q598">
        <f t="shared" si="461"/>
        <v>1.4789754619570084</v>
      </c>
      <c r="R598" s="89">
        <f t="shared" si="433"/>
        <v>5000</v>
      </c>
      <c r="S598">
        <f t="shared" si="434"/>
        <v>8.3333333333335702E-2</v>
      </c>
      <c r="U598">
        <f>O597*AV597*'Real assumptions'!$B$33/12+AX598*'Real assumptions'!$B$34</f>
        <v>0.37884299491899948</v>
      </c>
      <c r="V598">
        <f>IF(P598=0,0,IF(E598&lt;=$C$7,$AN$5*O597,0))*'Real assumptions'!$D$28</f>
        <v>0</v>
      </c>
      <c r="X598" s="94">
        <f t="shared" si="446"/>
        <v>0</v>
      </c>
      <c r="Y598">
        <f t="shared" si="435"/>
        <v>24</v>
      </c>
      <c r="Z598">
        <f t="shared" si="462"/>
        <v>50</v>
      </c>
      <c r="AA598">
        <f t="shared" si="436"/>
        <v>50.083333333333336</v>
      </c>
      <c r="AB598">
        <f t="shared" si="447"/>
        <v>50.505050505050505</v>
      </c>
      <c r="AC598">
        <f t="shared" si="429"/>
        <v>2529.4612794612794</v>
      </c>
      <c r="AD598">
        <f t="shared" si="448"/>
        <v>80.505050505050505</v>
      </c>
      <c r="AE598">
        <f t="shared" si="449"/>
        <v>201.59806397306397</v>
      </c>
      <c r="AF598" s="94">
        <f t="shared" si="450"/>
        <v>2268.9406565656564</v>
      </c>
      <c r="AG598">
        <f t="shared" si="463"/>
        <v>0.14477104940608659</v>
      </c>
      <c r="AH598">
        <f t="shared" si="451"/>
        <v>44.556202413149265</v>
      </c>
      <c r="AI598">
        <f>HLOOKUP(AW598,'Real assumptions'!$A$21:$AK$24,2,TRUE)</f>
        <v>0</v>
      </c>
      <c r="AJ598" s="123">
        <f t="shared" si="430"/>
        <v>0</v>
      </c>
      <c r="AK598" s="122">
        <f>(1+HLOOKUP(YEAR(A598),'Real assumptions'!$A$21:$AK$24,2,TRUE)/100)^(1/12)-1</f>
        <v>0</v>
      </c>
      <c r="AL598">
        <f t="shared" si="464"/>
        <v>0.37884299491899948</v>
      </c>
      <c r="AM598">
        <f>('Real assumptions'!$B$33/12)*O597*AV597</f>
        <v>0.36641537717376971</v>
      </c>
      <c r="AN598">
        <f t="shared" si="452"/>
        <v>45.382330704747382</v>
      </c>
      <c r="AO598">
        <f t="shared" si="431"/>
        <v>0</v>
      </c>
      <c r="AP598" s="121">
        <f t="shared" si="453"/>
        <v>0</v>
      </c>
      <c r="AQ598">
        <f t="shared" si="454"/>
        <v>0</v>
      </c>
      <c r="AR598">
        <v>0</v>
      </c>
      <c r="AS598">
        <f t="shared" si="437"/>
        <v>0</v>
      </c>
      <c r="AT598">
        <f t="shared" si="455"/>
        <v>0</v>
      </c>
      <c r="AU598">
        <f>IFERROR(HLOOKUP(B598,'Real assumptions'!$B$43:$AL$44,2,TRUE)*($W$3/$U$2),0)</f>
        <v>0</v>
      </c>
      <c r="AV598">
        <f>AV597*(1+'Real assumptions'!$B$35)^(1/12)</f>
        <v>1.8342451966880429</v>
      </c>
      <c r="AW598">
        <f t="shared" si="438"/>
        <v>2067</v>
      </c>
      <c r="AX598">
        <f t="shared" si="465"/>
        <v>45.365407209734357</v>
      </c>
      <c r="AY598">
        <f t="shared" si="466"/>
        <v>8.416265947856974E-2</v>
      </c>
      <c r="AZ598">
        <f t="shared" si="439"/>
        <v>88.008654260793449</v>
      </c>
      <c r="BA598">
        <f t="shared" si="456"/>
        <v>1.6237465113630949</v>
      </c>
      <c r="BB598">
        <f t="shared" si="457"/>
        <v>50.083333333333336</v>
      </c>
      <c r="BC598">
        <f t="shared" si="440"/>
        <v>30.049999999999997</v>
      </c>
      <c r="BD598">
        <f t="shared" si="458"/>
        <v>0</v>
      </c>
      <c r="BE598">
        <f t="shared" si="441"/>
        <v>24</v>
      </c>
      <c r="BF598">
        <f t="shared" si="467"/>
        <v>5000</v>
      </c>
      <c r="BU598"/>
      <c r="DW598" s="89"/>
      <c r="DX598" s="89"/>
      <c r="FD598"/>
      <c r="FE598"/>
    </row>
    <row r="599" spans="1:161" x14ac:dyDescent="0.25">
      <c r="A599" s="7">
        <f t="shared" si="459"/>
        <v>61331</v>
      </c>
      <c r="B599">
        <f t="shared" si="442"/>
        <v>588</v>
      </c>
      <c r="C599">
        <f t="shared" si="423"/>
        <v>48.916666666666664</v>
      </c>
      <c r="D599">
        <f t="shared" si="424"/>
        <v>0</v>
      </c>
      <c r="E599">
        <f t="shared" si="443"/>
        <v>100</v>
      </c>
      <c r="F599">
        <f>IF(C599&gt;=$T$2,0,VLOOKUP($E599,EKM_F05!$A$3:$C$128,2,TRUE))</f>
        <v>0.39298769230769226</v>
      </c>
      <c r="G599">
        <f>F599*'Real assumptions'!$B$3</f>
        <v>0.16399376399999999</v>
      </c>
      <c r="H599">
        <f t="shared" si="425"/>
        <v>1.4815751068280814E-2</v>
      </c>
      <c r="I599">
        <f t="shared" si="426"/>
        <v>2.9047590170853862E-4</v>
      </c>
      <c r="J599">
        <f>IF(B599&gt;$AJ$2,0,HLOOKUP(C599,'Real assumptions'!$B$5:$L$8,4,TRUE))</f>
        <v>3.7900000000000003E-2</v>
      </c>
      <c r="K599">
        <f t="shared" si="432"/>
        <v>1</v>
      </c>
      <c r="L599">
        <f t="shared" si="460"/>
        <v>8.3333333333333329E-2</v>
      </c>
      <c r="M599">
        <f t="shared" si="427"/>
        <v>3.2145624959929453E-3</v>
      </c>
      <c r="N599">
        <f t="shared" si="428"/>
        <v>6.2658173305550421E-5</v>
      </c>
      <c r="O599" s="8">
        <f t="shared" si="444"/>
        <v>1.9284313155796699E-2</v>
      </c>
      <c r="P599">
        <f t="shared" si="445"/>
        <v>0.47129873353945895</v>
      </c>
      <c r="Q599">
        <f t="shared" si="461"/>
        <v>1.4523795085426932</v>
      </c>
      <c r="R599" s="89">
        <f t="shared" si="433"/>
        <v>5000</v>
      </c>
      <c r="S599">
        <f t="shared" si="434"/>
        <v>1</v>
      </c>
      <c r="U599">
        <f>O598*AV598*'Real assumptions'!$B$33/12+AX599*'Real assumptions'!$B$34</f>
        <v>0.37242751419238068</v>
      </c>
      <c r="V599">
        <f>IF(P599=0,0,IF(E599&lt;=$C$7,$AN$5*O598,0))*'Real assumptions'!$D$28</f>
        <v>0</v>
      </c>
      <c r="X599" s="94">
        <f t="shared" si="446"/>
        <v>0</v>
      </c>
      <c r="Y599">
        <f t="shared" si="435"/>
        <v>24</v>
      </c>
      <c r="Z599">
        <f t="shared" si="462"/>
        <v>50</v>
      </c>
      <c r="AA599">
        <f t="shared" si="436"/>
        <v>50</v>
      </c>
      <c r="AB599">
        <f t="shared" si="447"/>
        <v>50.505050505050505</v>
      </c>
      <c r="AC599">
        <f t="shared" si="429"/>
        <v>2525.2525252525252</v>
      </c>
      <c r="AD599">
        <f t="shared" si="448"/>
        <v>80.505050505050505</v>
      </c>
      <c r="AE599">
        <f t="shared" si="449"/>
        <v>201.26262626262624</v>
      </c>
      <c r="AF599" s="94">
        <f t="shared" si="450"/>
        <v>2273.4848484848485</v>
      </c>
      <c r="AG599">
        <f t="shared" si="463"/>
        <v>0.14245240764390668</v>
      </c>
      <c r="AH599">
        <f t="shared" si="451"/>
        <v>43.842593773140827</v>
      </c>
      <c r="AI599">
        <f>HLOOKUP(AW599,'Real assumptions'!$A$21:$AK$24,2,TRUE)</f>
        <v>0</v>
      </c>
      <c r="AJ599" s="123">
        <f t="shared" si="430"/>
        <v>0</v>
      </c>
      <c r="AK599" s="122">
        <f>(1+HLOOKUP(YEAR(A599),'Real assumptions'!$A$21:$AK$24,2,TRUE)/100)^(1/12)-1</f>
        <v>0</v>
      </c>
      <c r="AL599">
        <f t="shared" si="464"/>
        <v>0.37242751419238068</v>
      </c>
      <c r="AM599">
        <f>('Real assumptions'!$B$33/12)*O598*AV598</f>
        <v>0.36019893258329599</v>
      </c>
      <c r="AN599">
        <f t="shared" si="452"/>
        <v>44.65507363249634</v>
      </c>
      <c r="AO599">
        <f t="shared" si="431"/>
        <v>0</v>
      </c>
      <c r="AP599" s="121">
        <f t="shared" si="453"/>
        <v>0</v>
      </c>
      <c r="AQ599">
        <f t="shared" si="454"/>
        <v>0</v>
      </c>
      <c r="AR599">
        <v>0</v>
      </c>
      <c r="AS599">
        <f t="shared" si="437"/>
        <v>0</v>
      </c>
      <c r="AT599">
        <f t="shared" si="455"/>
        <v>0</v>
      </c>
      <c r="AU599">
        <f>IFERROR(HLOOKUP(B599,'Real assumptions'!$B$43:$AL$44,2,TRUE)*($W$3/$U$2),0)</f>
        <v>0</v>
      </c>
      <c r="AV599">
        <f>AV598*(1+'Real assumptions'!$B$35)^(1/12)</f>
        <v>1.836145008840492</v>
      </c>
      <c r="AW599">
        <f t="shared" si="438"/>
        <v>2067</v>
      </c>
      <c r="AX599">
        <f t="shared" si="465"/>
        <v>44.638851601831128</v>
      </c>
      <c r="AY599">
        <f t="shared" si="466"/>
        <v>8.2649188681863592E-2</v>
      </c>
      <c r="AZ599">
        <f t="shared" si="439"/>
        <v>86.512693563953917</v>
      </c>
      <c r="BA599">
        <f t="shared" si="456"/>
        <v>1.5948319161865998</v>
      </c>
      <c r="BB599">
        <f t="shared" si="457"/>
        <v>50</v>
      </c>
      <c r="BC599">
        <f t="shared" si="440"/>
        <v>30</v>
      </c>
      <c r="BD599">
        <f t="shared" si="458"/>
        <v>0</v>
      </c>
      <c r="BE599">
        <f t="shared" si="441"/>
        <v>24</v>
      </c>
      <c r="BF599">
        <f t="shared" si="467"/>
        <v>5000</v>
      </c>
      <c r="BU599"/>
      <c r="DW599" s="89"/>
      <c r="DX599" s="89"/>
      <c r="FD599"/>
      <c r="FE599"/>
    </row>
    <row r="600" spans="1:161" x14ac:dyDescent="0.25">
      <c r="A600" s="7">
        <f t="shared" si="459"/>
        <v>61362</v>
      </c>
      <c r="B600">
        <f t="shared" si="442"/>
        <v>589</v>
      </c>
      <c r="C600">
        <f t="shared" si="423"/>
        <v>49</v>
      </c>
      <c r="D600">
        <f t="shared" si="424"/>
        <v>1</v>
      </c>
      <c r="E600">
        <f t="shared" si="443"/>
        <v>101</v>
      </c>
      <c r="F600">
        <f>IF(C600&gt;=$T$2,0,VLOOKUP($E600,EKM_F05!$A$3:$C$128,2,TRUE))</f>
        <v>0.43133692307692306</v>
      </c>
      <c r="G600">
        <f>F600*'Real assumptions'!$B$3</f>
        <v>0.17999689799999999</v>
      </c>
      <c r="H600">
        <f t="shared" si="425"/>
        <v>1.6401273115522197E-2</v>
      </c>
      <c r="I600">
        <f t="shared" si="426"/>
        <v>3.1577892428824372E-4</v>
      </c>
      <c r="J600">
        <f>IF(B600&gt;$AJ$2,0,HLOOKUP(C600,'Real assumptions'!$B$5:$L$8,4,TRUE))</f>
        <v>3.7900000000000003E-2</v>
      </c>
      <c r="K600">
        <f t="shared" si="432"/>
        <v>1</v>
      </c>
      <c r="L600">
        <f t="shared" si="460"/>
        <v>8.3333333333333329E-2</v>
      </c>
      <c r="M600">
        <f t="shared" si="427"/>
        <v>3.2145624959929453E-3</v>
      </c>
      <c r="N600">
        <f t="shared" si="428"/>
        <v>6.1482267206371713E-5</v>
      </c>
      <c r="O600" s="8">
        <f t="shared" si="444"/>
        <v>1.8907051964302084E-2</v>
      </c>
      <c r="P600">
        <f t="shared" si="445"/>
        <v>0.46282351573912078</v>
      </c>
      <c r="Q600">
        <f t="shared" si="461"/>
        <v>1.5788946214412185</v>
      </c>
      <c r="R600" s="89">
        <f t="shared" si="433"/>
        <v>5000</v>
      </c>
      <c r="S600">
        <f t="shared" si="434"/>
        <v>0.9166666666666643</v>
      </c>
      <c r="U600">
        <f>O599*AV599*'Real assumptions'!$B$33/12+AX600*'Real assumptions'!$B$34</f>
        <v>0.36612063857518912</v>
      </c>
      <c r="V600">
        <f>IF(P600=0,0,IF(E600&lt;=$C$7,$AN$5*O599,0))*'Real assumptions'!$D$28</f>
        <v>0</v>
      </c>
      <c r="X600" s="94">
        <f t="shared" si="446"/>
        <v>0</v>
      </c>
      <c r="Y600">
        <f t="shared" si="435"/>
        <v>24</v>
      </c>
      <c r="Z600">
        <f t="shared" si="462"/>
        <v>50</v>
      </c>
      <c r="AA600">
        <f t="shared" si="436"/>
        <v>49.916666666666664</v>
      </c>
      <c r="AB600">
        <f t="shared" si="447"/>
        <v>50.505050505050505</v>
      </c>
      <c r="AC600">
        <f t="shared" si="429"/>
        <v>2521.0437710437709</v>
      </c>
      <c r="AD600">
        <f t="shared" si="448"/>
        <v>80.505050505050505</v>
      </c>
      <c r="AE600">
        <f t="shared" si="449"/>
        <v>200.92718855218854</v>
      </c>
      <c r="AF600" s="94">
        <f t="shared" si="450"/>
        <v>2278.0290404040406</v>
      </c>
      <c r="AG600">
        <f t="shared" si="463"/>
        <v>0.14005839016599578</v>
      </c>
      <c r="AH600">
        <f t="shared" si="451"/>
        <v>43.070813443108406</v>
      </c>
      <c r="AI600">
        <f>HLOOKUP(AW600,'Real assumptions'!$A$21:$AK$24,2,TRUE)</f>
        <v>0</v>
      </c>
      <c r="AJ600" s="123">
        <f t="shared" si="430"/>
        <v>0</v>
      </c>
      <c r="AK600" s="122">
        <f>(1+HLOOKUP(YEAR(A600),'Real assumptions'!$A$21:$AK$24,2,TRUE)/100)^(1/12)-1</f>
        <v>0</v>
      </c>
      <c r="AL600">
        <f t="shared" si="464"/>
        <v>0.36612063857518912</v>
      </c>
      <c r="AM600">
        <f>('Real assumptions'!$B$33/12)*O599*AV599</f>
        <v>0.35408795349933148</v>
      </c>
      <c r="AN600">
        <f t="shared" si="452"/>
        <v>43.939296650304755</v>
      </c>
      <c r="AO600">
        <f t="shared" si="431"/>
        <v>0</v>
      </c>
      <c r="AP600" s="121">
        <f t="shared" si="453"/>
        <v>0</v>
      </c>
      <c r="AQ600">
        <f t="shared" si="454"/>
        <v>0</v>
      </c>
      <c r="AR600">
        <v>0</v>
      </c>
      <c r="AS600">
        <f t="shared" si="437"/>
        <v>0</v>
      </c>
      <c r="AT600">
        <f t="shared" si="455"/>
        <v>0</v>
      </c>
      <c r="AU600">
        <f>IFERROR(HLOOKUP(B600,'Real assumptions'!$B$43:$AL$44,2,TRUE)*($W$3/$U$2),0)</f>
        <v>0</v>
      </c>
      <c r="AV600">
        <f>AV599*(1+'Real assumptions'!$B$35)^(1/12)</f>
        <v>1.838046788715807</v>
      </c>
      <c r="AW600">
        <f t="shared" si="438"/>
        <v>2067</v>
      </c>
      <c r="AX600">
        <f t="shared" si="465"/>
        <v>43.923756707298217</v>
      </c>
      <c r="AY600">
        <f t="shared" si="466"/>
        <v>8.1162934157393507E-2</v>
      </c>
      <c r="AZ600">
        <f t="shared" si="439"/>
        <v>84.89044342951064</v>
      </c>
      <c r="BA600">
        <f t="shared" si="456"/>
        <v>1.7189530116072143</v>
      </c>
      <c r="BB600">
        <f t="shared" si="457"/>
        <v>49.916666666666664</v>
      </c>
      <c r="BC600">
        <f t="shared" si="440"/>
        <v>29.949999999999996</v>
      </c>
      <c r="BD600">
        <f t="shared" si="458"/>
        <v>0</v>
      </c>
      <c r="BE600">
        <f t="shared" si="441"/>
        <v>24</v>
      </c>
      <c r="BF600">
        <f t="shared" si="467"/>
        <v>5000</v>
      </c>
      <c r="BU600"/>
      <c r="DW600" s="89"/>
      <c r="DX600" s="89"/>
      <c r="FD600"/>
      <c r="FE600"/>
    </row>
    <row r="601" spans="1:161" x14ac:dyDescent="0.25">
      <c r="A601" s="7">
        <f t="shared" si="459"/>
        <v>61393</v>
      </c>
      <c r="B601">
        <f t="shared" si="442"/>
        <v>590</v>
      </c>
      <c r="C601">
        <f t="shared" si="423"/>
        <v>49.083333333333336</v>
      </c>
      <c r="D601">
        <f t="shared" si="424"/>
        <v>0</v>
      </c>
      <c r="E601">
        <f t="shared" si="443"/>
        <v>101</v>
      </c>
      <c r="F601">
        <f>IF(C601&gt;=$T$2,0,VLOOKUP($E601,EKM_F05!$A$3:$C$128,2,TRUE))</f>
        <v>0.43133692307692306</v>
      </c>
      <c r="G601">
        <f>F601*'Real assumptions'!$B$3</f>
        <v>0.17999689799999999</v>
      </c>
      <c r="H601">
        <f t="shared" si="425"/>
        <v>1.6401273115522197E-2</v>
      </c>
      <c r="I601">
        <f t="shared" si="426"/>
        <v>3.0960130560598014E-4</v>
      </c>
      <c r="J601">
        <f>IF(B601&gt;$AJ$2,0,HLOOKUP(C601,'Real assumptions'!$B$5:$L$8,4,TRUE))</f>
        <v>3.7900000000000003E-2</v>
      </c>
      <c r="K601">
        <f t="shared" si="432"/>
        <v>1</v>
      </c>
      <c r="L601">
        <f t="shared" si="460"/>
        <v>8.3333333333333329E-2</v>
      </c>
      <c r="M601">
        <f t="shared" si="427"/>
        <v>3.2145624959929453E-3</v>
      </c>
      <c r="N601">
        <f t="shared" si="428"/>
        <v>6.0279482684326445E-5</v>
      </c>
      <c r="O601" s="8">
        <f t="shared" si="444"/>
        <v>1.8537171176011776E-2</v>
      </c>
      <c r="P601">
        <f t="shared" si="445"/>
        <v>0.45376924714325001</v>
      </c>
      <c r="Q601">
        <f t="shared" si="461"/>
        <v>1.5480065280299007</v>
      </c>
      <c r="R601" s="89">
        <f t="shared" si="433"/>
        <v>5000</v>
      </c>
      <c r="S601">
        <f t="shared" si="434"/>
        <v>0.8333333333333357</v>
      </c>
      <c r="U601">
        <f>O600*AV600*'Real assumptions'!$B$33/12+AX601*'Real assumptions'!$B$34</f>
        <v>0.35934128636313478</v>
      </c>
      <c r="V601">
        <f>IF(P601=0,0,IF(E601&lt;=$C$7,$AN$5*O600,0))*'Real assumptions'!$D$28</f>
        <v>0</v>
      </c>
      <c r="X601" s="94">
        <f t="shared" si="446"/>
        <v>0</v>
      </c>
      <c r="Y601">
        <f t="shared" si="435"/>
        <v>24</v>
      </c>
      <c r="Z601">
        <f t="shared" si="462"/>
        <v>49</v>
      </c>
      <c r="AA601">
        <f t="shared" si="436"/>
        <v>49.833333333333336</v>
      </c>
      <c r="AB601">
        <f t="shared" si="447"/>
        <v>50.505050505050505</v>
      </c>
      <c r="AC601">
        <f t="shared" si="429"/>
        <v>2516.8350168350171</v>
      </c>
      <c r="AD601">
        <f t="shared" si="448"/>
        <v>80.505050505050505</v>
      </c>
      <c r="AE601">
        <f t="shared" si="449"/>
        <v>200.59175084175084</v>
      </c>
      <c r="AF601" s="94">
        <f t="shared" si="450"/>
        <v>2282.5732323232319</v>
      </c>
      <c r="AG601">
        <f t="shared" si="463"/>
        <v>0.13759233363353529</v>
      </c>
      <c r="AH601">
        <f t="shared" si="451"/>
        <v>42.312450729358247</v>
      </c>
      <c r="AI601">
        <f>HLOOKUP(AW601,'Real assumptions'!$A$21:$AK$24,2,TRUE)</f>
        <v>0</v>
      </c>
      <c r="AJ601" s="123">
        <f t="shared" si="430"/>
        <v>0</v>
      </c>
      <c r="AK601" s="122">
        <f>(1+HLOOKUP(YEAR(A601),'Real assumptions'!$A$21:$AK$24,2,TRUE)/100)^(1/12)-1</f>
        <v>0</v>
      </c>
      <c r="AL601">
        <f t="shared" si="464"/>
        <v>0.35934128636313478</v>
      </c>
      <c r="AM601">
        <f>('Real assumptions'!$B$33/12)*O600*AV600</f>
        <v>0.34752046147068338</v>
      </c>
      <c r="AN601">
        <f t="shared" si="452"/>
        <v>43.165241403888523</v>
      </c>
      <c r="AO601">
        <f t="shared" si="431"/>
        <v>0</v>
      </c>
      <c r="AP601" s="121">
        <f t="shared" si="453"/>
        <v>0</v>
      </c>
      <c r="AQ601">
        <f t="shared" si="454"/>
        <v>0</v>
      </c>
      <c r="AR601">
        <v>0</v>
      </c>
      <c r="AS601">
        <f t="shared" si="437"/>
        <v>0</v>
      </c>
      <c r="AT601">
        <f t="shared" si="455"/>
        <v>0</v>
      </c>
      <c r="AU601">
        <f>IFERROR(HLOOKUP(B601,'Real assumptions'!$B$43:$AL$44,2,TRUE)*($W$3/$U$2),0)</f>
        <v>0</v>
      </c>
      <c r="AV601">
        <f>AV600*(1+'Real assumptions'!$B$35)^(1/12)</f>
        <v>1.8399505383520485</v>
      </c>
      <c r="AW601">
        <f t="shared" si="438"/>
        <v>2068</v>
      </c>
      <c r="AX601">
        <f t="shared" si="465"/>
        <v>43.150388577638296</v>
      </c>
      <c r="AY601">
        <f t="shared" si="466"/>
        <v>7.9575134529890915E-2</v>
      </c>
      <c r="AZ601">
        <f t="shared" si="439"/>
        <v>83.299272528627327</v>
      </c>
      <c r="BA601">
        <f t="shared" si="456"/>
        <v>1.6855988616634359</v>
      </c>
      <c r="BB601">
        <f t="shared" si="457"/>
        <v>49.833333333333336</v>
      </c>
      <c r="BC601">
        <f t="shared" si="440"/>
        <v>29.9</v>
      </c>
      <c r="BD601">
        <f t="shared" si="458"/>
        <v>0</v>
      </c>
      <c r="BE601">
        <f t="shared" si="441"/>
        <v>24</v>
      </c>
      <c r="BF601">
        <f t="shared" si="467"/>
        <v>5000</v>
      </c>
      <c r="BU601"/>
      <c r="DW601" s="89"/>
      <c r="DX601" s="89"/>
      <c r="FD601"/>
      <c r="FE601"/>
    </row>
    <row r="602" spans="1:161" x14ac:dyDescent="0.25">
      <c r="A602" s="7">
        <f t="shared" si="459"/>
        <v>61422</v>
      </c>
      <c r="B602">
        <f t="shared" si="442"/>
        <v>591</v>
      </c>
      <c r="C602">
        <f t="shared" si="423"/>
        <v>49.166666666666664</v>
      </c>
      <c r="D602">
        <f t="shared" si="424"/>
        <v>0</v>
      </c>
      <c r="E602">
        <f t="shared" si="443"/>
        <v>101</v>
      </c>
      <c r="F602">
        <f>IF(C602&gt;=$T$2,0,VLOOKUP($E602,EKM_F05!$A$3:$C$128,2,TRUE))</f>
        <v>0.43133692307692306</v>
      </c>
      <c r="G602">
        <f>F602*'Real assumptions'!$B$3</f>
        <v>0.17999689799999999</v>
      </c>
      <c r="H602">
        <f t="shared" si="425"/>
        <v>1.6401273115522197E-2</v>
      </c>
      <c r="I602">
        <f t="shared" si="426"/>
        <v>3.0354454037417866E-4</v>
      </c>
      <c r="J602">
        <f>IF(B602&gt;$AJ$2,0,HLOOKUP(C602,'Real assumptions'!$B$5:$L$8,4,TRUE))</f>
        <v>3.7900000000000003E-2</v>
      </c>
      <c r="K602">
        <f t="shared" si="432"/>
        <v>1</v>
      </c>
      <c r="L602">
        <f t="shared" si="460"/>
        <v>8.3333333333333329E-2</v>
      </c>
      <c r="M602">
        <f t="shared" si="427"/>
        <v>3.2145624959929453E-3</v>
      </c>
      <c r="N602">
        <f t="shared" si="428"/>
        <v>5.9100228371432638E-5</v>
      </c>
      <c r="O602" s="8">
        <f t="shared" si="444"/>
        <v>1.8174526407266165E-2</v>
      </c>
      <c r="P602">
        <f t="shared" si="445"/>
        <v>0.4448921082242826</v>
      </c>
      <c r="Q602">
        <f t="shared" si="461"/>
        <v>1.5177227018708934</v>
      </c>
      <c r="R602" s="89">
        <f t="shared" si="433"/>
        <v>5000</v>
      </c>
      <c r="S602">
        <f t="shared" si="434"/>
        <v>0.75</v>
      </c>
      <c r="U602">
        <f>O601*AV601*'Real assumptions'!$B$33/12+AX602*'Real assumptions'!$B$34</f>
        <v>0.35268742975298062</v>
      </c>
      <c r="V602">
        <f>IF(P602=0,0,IF(E602&lt;=$C$7,$AN$5*O601,0))*'Real assumptions'!$D$28</f>
        <v>0</v>
      </c>
      <c r="X602" s="94">
        <f t="shared" si="446"/>
        <v>0</v>
      </c>
      <c r="Y602">
        <f t="shared" si="435"/>
        <v>24</v>
      </c>
      <c r="Z602">
        <f t="shared" si="462"/>
        <v>49</v>
      </c>
      <c r="AA602">
        <f t="shared" si="436"/>
        <v>49.75</v>
      </c>
      <c r="AB602">
        <f t="shared" si="447"/>
        <v>50.505050505050505</v>
      </c>
      <c r="AC602">
        <f t="shared" si="429"/>
        <v>2512.6262626262628</v>
      </c>
      <c r="AD602">
        <f t="shared" si="448"/>
        <v>80.505050505050505</v>
      </c>
      <c r="AE602">
        <f t="shared" si="449"/>
        <v>200.25631313131314</v>
      </c>
      <c r="AF602" s="94">
        <f t="shared" si="450"/>
        <v>2287.117424242424</v>
      </c>
      <c r="AG602">
        <f t="shared" si="463"/>
        <v>0.13516916208501004</v>
      </c>
      <c r="AH602">
        <f t="shared" si="451"/>
        <v>41.567276023412511</v>
      </c>
      <c r="AI602">
        <f>HLOOKUP(AW602,'Real assumptions'!$A$21:$AK$24,2,TRUE)</f>
        <v>0</v>
      </c>
      <c r="AJ602" s="123">
        <f t="shared" si="430"/>
        <v>0</v>
      </c>
      <c r="AK602" s="122">
        <f>(1+HLOOKUP(YEAR(A602),'Real assumptions'!$A$21:$AK$24,2,TRUE)/100)^(1/12)-1</f>
        <v>0</v>
      </c>
      <c r="AL602">
        <f t="shared" si="464"/>
        <v>0.35268742975298062</v>
      </c>
      <c r="AM602">
        <f>('Real assumptions'!$B$33/12)*O601*AV601</f>
        <v>0.34107478084826942</v>
      </c>
      <c r="AN602">
        <f t="shared" si="452"/>
        <v>42.404655407829544</v>
      </c>
      <c r="AO602">
        <f t="shared" si="431"/>
        <v>0</v>
      </c>
      <c r="AP602" s="121">
        <f t="shared" si="453"/>
        <v>0</v>
      </c>
      <c r="AQ602">
        <f t="shared" si="454"/>
        <v>0</v>
      </c>
      <c r="AR602">
        <v>0</v>
      </c>
      <c r="AS602">
        <f t="shared" si="437"/>
        <v>0</v>
      </c>
      <c r="AT602">
        <f t="shared" si="455"/>
        <v>0</v>
      </c>
      <c r="AU602">
        <f>IFERROR(HLOOKUP(B602,'Real assumptions'!$B$43:$AL$44,2,TRUE)*($W$3/$U$2),0)</f>
        <v>0</v>
      </c>
      <c r="AV602">
        <f>AV601*(1+'Real assumptions'!$B$35)^(1/12)</f>
        <v>1.8418562597893886</v>
      </c>
      <c r="AW602">
        <f t="shared" si="438"/>
        <v>2068</v>
      </c>
      <c r="AX602">
        <f t="shared" si="465"/>
        <v>42.390469126563687</v>
      </c>
      <c r="AY602">
        <f t="shared" si="466"/>
        <v>7.8018397205436768E-2</v>
      </c>
      <c r="AZ602">
        <f t="shared" si="439"/>
        <v>81.738585343142731</v>
      </c>
      <c r="BA602">
        <f t="shared" si="456"/>
        <v>1.6528918639559034</v>
      </c>
      <c r="BB602">
        <f t="shared" si="457"/>
        <v>49.75</v>
      </c>
      <c r="BC602">
        <f t="shared" si="440"/>
        <v>29.849999999999998</v>
      </c>
      <c r="BD602">
        <f t="shared" si="458"/>
        <v>0</v>
      </c>
      <c r="BE602">
        <f t="shared" si="441"/>
        <v>24</v>
      </c>
      <c r="BF602">
        <f t="shared" si="467"/>
        <v>5000</v>
      </c>
      <c r="BU602"/>
      <c r="DW602" s="89"/>
      <c r="DX602" s="89"/>
      <c r="FD602"/>
      <c r="FE602"/>
    </row>
    <row r="603" spans="1:161" x14ac:dyDescent="0.25">
      <c r="A603" s="7">
        <f t="shared" si="459"/>
        <v>61453</v>
      </c>
      <c r="B603">
        <f t="shared" si="442"/>
        <v>592</v>
      </c>
      <c r="C603">
        <f t="shared" si="423"/>
        <v>49.25</v>
      </c>
      <c r="D603">
        <f t="shared" si="424"/>
        <v>0</v>
      </c>
      <c r="E603">
        <f t="shared" si="443"/>
        <v>101</v>
      </c>
      <c r="F603">
        <f>IF(C603&gt;=$T$2,0,VLOOKUP($E603,EKM_F05!$A$3:$C$128,2,TRUE))</f>
        <v>0.43133692307692306</v>
      </c>
      <c r="G603">
        <f>F603*'Real assumptions'!$B$3</f>
        <v>0.17999689799999999</v>
      </c>
      <c r="H603">
        <f t="shared" si="425"/>
        <v>1.6401273115522197E-2</v>
      </c>
      <c r="I603">
        <f t="shared" si="426"/>
        <v>2.9760626432316851E-4</v>
      </c>
      <c r="J603">
        <f>IF(B603&gt;$AJ$2,0,HLOOKUP(C603,'Real assumptions'!$B$5:$L$8,4,TRUE))</f>
        <v>3.7900000000000003E-2</v>
      </c>
      <c r="K603">
        <f t="shared" si="432"/>
        <v>1</v>
      </c>
      <c r="L603">
        <f t="shared" si="460"/>
        <v>8.3333333333333329E-2</v>
      </c>
      <c r="M603">
        <f t="shared" si="427"/>
        <v>3.2145624959929453E-3</v>
      </c>
      <c r="N603">
        <f t="shared" si="428"/>
        <v>5.7944043943556943E-5</v>
      </c>
      <c r="O603" s="8">
        <f t="shared" si="444"/>
        <v>1.7818976098999437E-2</v>
      </c>
      <c r="P603">
        <f t="shared" si="445"/>
        <v>0.43618863377438799</v>
      </c>
      <c r="Q603">
        <f t="shared" si="461"/>
        <v>1.4880313216158425</v>
      </c>
      <c r="R603" s="89">
        <f t="shared" si="433"/>
        <v>5000</v>
      </c>
      <c r="S603">
        <f t="shared" si="434"/>
        <v>0.6666666666666643</v>
      </c>
      <c r="U603">
        <f>O602*AV602*'Real assumptions'!$B$33/12+AX603*'Real assumptions'!$B$34</f>
        <v>0.34615674636542476</v>
      </c>
      <c r="V603">
        <f>IF(P603=0,0,IF(E603&lt;=$C$7,$AN$5*O602,0))*'Real assumptions'!$D$28</f>
        <v>0</v>
      </c>
      <c r="X603" s="94">
        <f t="shared" si="446"/>
        <v>0</v>
      </c>
      <c r="Y603">
        <f t="shared" si="435"/>
        <v>24</v>
      </c>
      <c r="Z603">
        <f t="shared" si="462"/>
        <v>49</v>
      </c>
      <c r="AA603">
        <f t="shared" si="436"/>
        <v>49.666666666666664</v>
      </c>
      <c r="AB603">
        <f t="shared" si="447"/>
        <v>50.505050505050505</v>
      </c>
      <c r="AC603">
        <f t="shared" si="429"/>
        <v>2508.4175084175081</v>
      </c>
      <c r="AD603">
        <f t="shared" si="448"/>
        <v>80.505050505050505</v>
      </c>
      <c r="AE603">
        <f t="shared" si="449"/>
        <v>199.9208754208754</v>
      </c>
      <c r="AF603" s="94">
        <f t="shared" si="450"/>
        <v>2291.6616161616166</v>
      </c>
      <c r="AG603">
        <f t="shared" si="463"/>
        <v>0.13278814139063144</v>
      </c>
      <c r="AH603">
        <f t="shared" si="451"/>
        <v>40.83506356537827</v>
      </c>
      <c r="AI603">
        <f>HLOOKUP(AW603,'Real assumptions'!$A$21:$AK$24,2,TRUE)</f>
        <v>0</v>
      </c>
      <c r="AJ603" s="123">
        <f t="shared" si="430"/>
        <v>0</v>
      </c>
      <c r="AK603" s="122">
        <f>(1+HLOOKUP(YEAR(A603),'Real assumptions'!$A$21:$AK$24,2,TRUE)/100)^(1/12)-1</f>
        <v>0</v>
      </c>
      <c r="AL603">
        <f t="shared" si="464"/>
        <v>0.34615674636542476</v>
      </c>
      <c r="AM603">
        <f>('Real assumptions'!$B$33/12)*O602*AV602</f>
        <v>0.33474865231930734</v>
      </c>
      <c r="AN603">
        <f t="shared" si="452"/>
        <v>41.657307910821473</v>
      </c>
      <c r="AO603">
        <f t="shared" si="431"/>
        <v>0</v>
      </c>
      <c r="AP603" s="121">
        <f t="shared" si="453"/>
        <v>0</v>
      </c>
      <c r="AQ603">
        <f t="shared" si="454"/>
        <v>0</v>
      </c>
      <c r="AR603">
        <v>0</v>
      </c>
      <c r="AS603">
        <f t="shared" si="437"/>
        <v>0</v>
      </c>
      <c r="AT603">
        <f t="shared" si="455"/>
        <v>0</v>
      </c>
      <c r="AU603">
        <f>IFERROR(HLOOKUP(B603,'Real assumptions'!$B$43:$AL$44,2,TRUE)*($W$3/$U$2),0)</f>
        <v>0</v>
      </c>
      <c r="AV603">
        <f>AV602*(1+'Real assumptions'!$B$35)^(1/12)</f>
        <v>1.8437639550701126</v>
      </c>
      <c r="AW603">
        <f t="shared" si="438"/>
        <v>2068</v>
      </c>
      <c r="AX603">
        <f t="shared" si="465"/>
        <v>41.643768137921207</v>
      </c>
      <c r="AY603">
        <f t="shared" si="466"/>
        <v>7.6492114508695974E-2</v>
      </c>
      <c r="AZ603">
        <f t="shared" si="439"/>
        <v>80.20779776754523</v>
      </c>
      <c r="BA603">
        <f t="shared" si="456"/>
        <v>1.6208194630064741</v>
      </c>
      <c r="BB603">
        <f t="shared" si="457"/>
        <v>49.666666666666664</v>
      </c>
      <c r="BC603">
        <f t="shared" si="440"/>
        <v>29.799999999999997</v>
      </c>
      <c r="BD603">
        <f t="shared" si="458"/>
        <v>0</v>
      </c>
      <c r="BE603">
        <f t="shared" si="441"/>
        <v>24</v>
      </c>
      <c r="BF603">
        <f t="shared" si="467"/>
        <v>5000</v>
      </c>
      <c r="BU603"/>
      <c r="DW603" s="89"/>
      <c r="DX603" s="89"/>
      <c r="FD603"/>
      <c r="FE603"/>
    </row>
    <row r="604" spans="1:161" x14ac:dyDescent="0.25">
      <c r="A604" s="7">
        <f t="shared" si="459"/>
        <v>61483</v>
      </c>
      <c r="B604">
        <f t="shared" si="442"/>
        <v>593</v>
      </c>
      <c r="C604">
        <f t="shared" si="423"/>
        <v>49.333333333333336</v>
      </c>
      <c r="D604">
        <f t="shared" si="424"/>
        <v>0</v>
      </c>
      <c r="E604">
        <f t="shared" si="443"/>
        <v>101</v>
      </c>
      <c r="F604">
        <f>IF(C604&gt;=$T$2,0,VLOOKUP($E604,EKM_F05!$A$3:$C$128,2,TRUE))</f>
        <v>0.43133692307692306</v>
      </c>
      <c r="G604">
        <f>F604*'Real assumptions'!$B$3</f>
        <v>0.17999689799999999</v>
      </c>
      <c r="H604">
        <f t="shared" si="425"/>
        <v>1.6401273115522197E-2</v>
      </c>
      <c r="I604">
        <f t="shared" si="426"/>
        <v>2.9178415943575275E-4</v>
      </c>
      <c r="J604">
        <f>IF(B604&gt;$AJ$2,0,HLOOKUP(C604,'Real assumptions'!$B$5:$L$8,4,TRUE))</f>
        <v>3.7900000000000003E-2</v>
      </c>
      <c r="K604">
        <f t="shared" si="432"/>
        <v>1</v>
      </c>
      <c r="L604">
        <f t="shared" si="460"/>
        <v>8.3333333333333329E-2</v>
      </c>
      <c r="M604">
        <f t="shared" si="427"/>
        <v>3.2145624959929453E-3</v>
      </c>
      <c r="N604">
        <f t="shared" si="428"/>
        <v>5.6810478081938905E-5</v>
      </c>
      <c r="O604" s="8">
        <f t="shared" si="444"/>
        <v>1.7470381461481745E-2</v>
      </c>
      <c r="P604">
        <f t="shared" si="445"/>
        <v>0.42765542637598652</v>
      </c>
      <c r="Q604">
        <f t="shared" si="461"/>
        <v>1.4589207971787637</v>
      </c>
      <c r="R604" s="89">
        <f t="shared" si="433"/>
        <v>5000</v>
      </c>
      <c r="S604">
        <f t="shared" si="434"/>
        <v>0.5833333333333357</v>
      </c>
      <c r="U604">
        <f>O603*AV603*'Real assumptions'!$B$33/12+AX604*'Real assumptions'!$B$34</f>
        <v>0.33974695678361694</v>
      </c>
      <c r="V604">
        <f>IF(P604=0,0,IF(E604&lt;=$C$7,$AN$5*O603,0))*'Real assumptions'!$D$28</f>
        <v>0</v>
      </c>
      <c r="X604" s="94">
        <f t="shared" si="446"/>
        <v>0</v>
      </c>
      <c r="Y604">
        <f t="shared" si="435"/>
        <v>24</v>
      </c>
      <c r="Z604">
        <f t="shared" si="462"/>
        <v>49</v>
      </c>
      <c r="AA604">
        <f t="shared" si="436"/>
        <v>49.583333333333336</v>
      </c>
      <c r="AB604">
        <f t="shared" si="447"/>
        <v>50.505050505050505</v>
      </c>
      <c r="AC604">
        <f t="shared" si="429"/>
        <v>2504.2087542087543</v>
      </c>
      <c r="AD604">
        <f t="shared" si="448"/>
        <v>80.505050505050505</v>
      </c>
      <c r="AE604">
        <f t="shared" si="449"/>
        <v>199.5854377104377</v>
      </c>
      <c r="AF604" s="94">
        <f t="shared" si="450"/>
        <v>2296.2058080808079</v>
      </c>
      <c r="AG604">
        <f t="shared" si="463"/>
        <v>0.13044854973159556</v>
      </c>
      <c r="AH604">
        <f t="shared" si="451"/>
        <v>40.115591381241657</v>
      </c>
      <c r="AI604">
        <f>HLOOKUP(AW604,'Real assumptions'!$A$21:$AK$24,2,TRUE)</f>
        <v>0</v>
      </c>
      <c r="AJ604" s="123">
        <f t="shared" si="430"/>
        <v>0</v>
      </c>
      <c r="AK604" s="122">
        <f>(1+HLOOKUP(YEAR(A604),'Real assumptions'!$A$21:$AK$24,2,TRUE)/100)^(1/12)-1</f>
        <v>0</v>
      </c>
      <c r="AL604">
        <f t="shared" si="464"/>
        <v>0.33974695678361694</v>
      </c>
      <c r="AM604">
        <f>('Real assumptions'!$B$33/12)*O603*AV603</f>
        <v>0.32853985847591005</v>
      </c>
      <c r="AN604">
        <f t="shared" si="452"/>
        <v>40.922972034970641</v>
      </c>
      <c r="AO604">
        <f t="shared" si="431"/>
        <v>0</v>
      </c>
      <c r="AP604" s="121">
        <f t="shared" si="453"/>
        <v>0</v>
      </c>
      <c r="AQ604">
        <f t="shared" si="454"/>
        <v>0</v>
      </c>
      <c r="AR604">
        <v>0</v>
      </c>
      <c r="AS604">
        <f t="shared" si="437"/>
        <v>0</v>
      </c>
      <c r="AT604">
        <f t="shared" si="455"/>
        <v>0</v>
      </c>
      <c r="AU604">
        <f>IFERROR(HLOOKUP(B604,'Real assumptions'!$B$43:$AL$44,2,TRUE)*($W$3/$U$2),0)</f>
        <v>0</v>
      </c>
      <c r="AV604">
        <f>AV603*(1+'Real assumptions'!$B$35)^(1/12)</f>
        <v>1.8456736262386209</v>
      </c>
      <c r="AW604">
        <f t="shared" si="438"/>
        <v>2068</v>
      </c>
      <c r="AX604">
        <f t="shared" si="465"/>
        <v>40.910059256030628</v>
      </c>
      <c r="AY604">
        <f t="shared" si="466"/>
        <v>7.4995690652354535E-2</v>
      </c>
      <c r="AZ604">
        <f t="shared" si="439"/>
        <v>78.706336890227249</v>
      </c>
      <c r="BA604">
        <f t="shared" si="456"/>
        <v>1.5893693469103591</v>
      </c>
      <c r="BB604">
        <f t="shared" si="457"/>
        <v>49.583333333333336</v>
      </c>
      <c r="BC604">
        <f t="shared" si="440"/>
        <v>29.75</v>
      </c>
      <c r="BD604">
        <f t="shared" si="458"/>
        <v>0</v>
      </c>
      <c r="BE604">
        <f t="shared" si="441"/>
        <v>24</v>
      </c>
      <c r="BF604">
        <f t="shared" si="467"/>
        <v>5000</v>
      </c>
      <c r="BU604"/>
      <c r="DW604" s="89"/>
      <c r="DX604" s="89"/>
      <c r="FD604"/>
      <c r="FE604"/>
    </row>
    <row r="605" spans="1:161" x14ac:dyDescent="0.25">
      <c r="A605" s="7">
        <f t="shared" si="459"/>
        <v>61514</v>
      </c>
      <c r="B605">
        <f t="shared" si="442"/>
        <v>594</v>
      </c>
      <c r="C605">
        <f t="shared" si="423"/>
        <v>49.416666666666664</v>
      </c>
      <c r="D605">
        <f t="shared" si="424"/>
        <v>0</v>
      </c>
      <c r="E605">
        <f t="shared" si="443"/>
        <v>101</v>
      </c>
      <c r="F605">
        <f>IF(C605&gt;=$T$2,0,VLOOKUP($E605,EKM_F05!$A$3:$C$128,2,TRUE))</f>
        <v>0.43133692307692306</v>
      </c>
      <c r="G605">
        <f>F605*'Real assumptions'!$B$3</f>
        <v>0.17999689799999999</v>
      </c>
      <c r="H605">
        <f t="shared" si="425"/>
        <v>1.6401273115522197E-2</v>
      </c>
      <c r="I605">
        <f t="shared" si="426"/>
        <v>2.8607595304236616E-4</v>
      </c>
      <c r="J605">
        <f>IF(B605&gt;$AJ$2,0,HLOOKUP(C605,'Real assumptions'!$B$5:$L$8,4,TRUE))</f>
        <v>3.7900000000000003E-2</v>
      </c>
      <c r="K605">
        <f t="shared" si="432"/>
        <v>1</v>
      </c>
      <c r="L605">
        <f t="shared" si="460"/>
        <v>8.3333333333333329E-2</v>
      </c>
      <c r="M605">
        <f t="shared" si="427"/>
        <v>3.2145624959929453E-3</v>
      </c>
      <c r="N605">
        <f t="shared" si="428"/>
        <v>5.5699088297017853E-5</v>
      </c>
      <c r="O605" s="8">
        <f t="shared" si="444"/>
        <v>1.7128606420142359E-2</v>
      </c>
      <c r="P605">
        <f t="shared" si="445"/>
        <v>0.41928915507556186</v>
      </c>
      <c r="Q605">
        <f t="shared" si="461"/>
        <v>1.4303797652118309</v>
      </c>
      <c r="R605" s="89">
        <f t="shared" si="433"/>
        <v>5000</v>
      </c>
      <c r="S605">
        <f t="shared" si="434"/>
        <v>0.5</v>
      </c>
      <c r="U605">
        <f>O604*AV604*'Real assumptions'!$B$33/12+AX605*'Real assumptions'!$B$34</f>
        <v>0.33345582375868105</v>
      </c>
      <c r="V605">
        <f>IF(P605=0,0,IF(E605&lt;=$C$7,$AN$5*O604,0))*'Real assumptions'!$D$28</f>
        <v>0</v>
      </c>
      <c r="X605" s="94">
        <f t="shared" si="446"/>
        <v>0</v>
      </c>
      <c r="Y605">
        <f t="shared" si="435"/>
        <v>24</v>
      </c>
      <c r="Z605">
        <f t="shared" si="462"/>
        <v>49</v>
      </c>
      <c r="AA605">
        <f t="shared" si="436"/>
        <v>49.5</v>
      </c>
      <c r="AB605">
        <f t="shared" si="447"/>
        <v>50.505050505050505</v>
      </c>
      <c r="AC605">
        <f t="shared" si="429"/>
        <v>2500</v>
      </c>
      <c r="AD605">
        <f t="shared" si="448"/>
        <v>80.505050505050505</v>
      </c>
      <c r="AE605">
        <f t="shared" si="449"/>
        <v>199.25</v>
      </c>
      <c r="AF605" s="94">
        <f t="shared" si="450"/>
        <v>2300.75</v>
      </c>
      <c r="AG605">
        <f t="shared" si="463"/>
        <v>0.12814967739936384</v>
      </c>
      <c r="AH605">
        <f t="shared" si="451"/>
        <v>39.408641221142531</v>
      </c>
      <c r="AI605">
        <f>HLOOKUP(AW605,'Real assumptions'!$A$21:$AK$24,2,TRUE)</f>
        <v>0</v>
      </c>
      <c r="AJ605" s="123">
        <f t="shared" si="430"/>
        <v>0</v>
      </c>
      <c r="AK605" s="122">
        <f>(1+HLOOKUP(YEAR(A605),'Real assumptions'!$A$21:$AK$24,2,TRUE)/100)^(1/12)-1</f>
        <v>0</v>
      </c>
      <c r="AL605">
        <f t="shared" si="464"/>
        <v>0.33345582375868105</v>
      </c>
      <c r="AM605">
        <f>('Real assumptions'!$B$33/12)*O604*AV604</f>
        <v>0.32244622303784992</v>
      </c>
      <c r="AN605">
        <f t="shared" si="452"/>
        <v>40.201424712558534</v>
      </c>
      <c r="AO605">
        <f t="shared" si="431"/>
        <v>0</v>
      </c>
      <c r="AP605" s="121">
        <f t="shared" si="453"/>
        <v>0</v>
      </c>
      <c r="AQ605">
        <f t="shared" si="454"/>
        <v>0</v>
      </c>
      <c r="AR605">
        <v>0</v>
      </c>
      <c r="AS605">
        <f t="shared" si="437"/>
        <v>0</v>
      </c>
      <c r="AT605">
        <f t="shared" si="455"/>
        <v>0</v>
      </c>
      <c r="AU605">
        <f>IFERROR(HLOOKUP(B605,'Real assumptions'!$B$43:$AL$44,2,TRUE)*($W$3/$U$2),0)</f>
        <v>0</v>
      </c>
      <c r="AV605">
        <f>AV604*(1+'Real assumptions'!$B$35)^(1/12)</f>
        <v>1.8475852753414315</v>
      </c>
      <c r="AW605">
        <f t="shared" si="438"/>
        <v>2068</v>
      </c>
      <c r="AX605">
        <f t="shared" si="465"/>
        <v>40.189119922746208</v>
      </c>
      <c r="AY605">
        <f t="shared" si="466"/>
        <v>7.3528541504552791E-2</v>
      </c>
      <c r="AZ605">
        <f t="shared" si="439"/>
        <v>77.233640778932937</v>
      </c>
      <c r="BA605">
        <f t="shared" si="456"/>
        <v>1.5585294426111946</v>
      </c>
      <c r="BB605">
        <f t="shared" si="457"/>
        <v>49.5</v>
      </c>
      <c r="BC605">
        <f t="shared" si="440"/>
        <v>29.7</v>
      </c>
      <c r="BD605">
        <f t="shared" si="458"/>
        <v>0</v>
      </c>
      <c r="BE605">
        <f t="shared" si="441"/>
        <v>24</v>
      </c>
      <c r="BF605">
        <f t="shared" si="467"/>
        <v>5000</v>
      </c>
      <c r="BU605"/>
      <c r="DW605" s="89"/>
      <c r="DX605" s="89"/>
      <c r="FD605"/>
      <c r="FE605"/>
    </row>
    <row r="606" spans="1:161" x14ac:dyDescent="0.25">
      <c r="A606" s="7">
        <f t="shared" si="459"/>
        <v>61544</v>
      </c>
      <c r="B606">
        <f t="shared" si="442"/>
        <v>595</v>
      </c>
      <c r="C606">
        <f t="shared" si="423"/>
        <v>49.5</v>
      </c>
      <c r="D606">
        <f t="shared" si="424"/>
        <v>0</v>
      </c>
      <c r="E606">
        <f t="shared" si="443"/>
        <v>101</v>
      </c>
      <c r="F606">
        <f>IF(C606&gt;=$T$2,0,VLOOKUP($E606,EKM_F05!$A$3:$C$128,2,TRUE))</f>
        <v>0.43133692307692306</v>
      </c>
      <c r="G606">
        <f>F606*'Real assumptions'!$B$3</f>
        <v>0.17999689799999999</v>
      </c>
      <c r="H606">
        <f t="shared" si="425"/>
        <v>1.6401273115522197E-2</v>
      </c>
      <c r="I606">
        <f t="shared" si="426"/>
        <v>2.8047941693393441E-4</v>
      </c>
      <c r="J606">
        <f>IF(B606&gt;$AJ$2,0,HLOOKUP(C606,'Real assumptions'!$B$5:$L$8,4,TRUE))</f>
        <v>3.7900000000000003E-2</v>
      </c>
      <c r="K606">
        <f t="shared" si="432"/>
        <v>1</v>
      </c>
      <c r="L606">
        <f t="shared" si="460"/>
        <v>8.3333333333333329E-2</v>
      </c>
      <c r="M606">
        <f t="shared" si="427"/>
        <v>3.2145624959929453E-3</v>
      </c>
      <c r="N606">
        <f t="shared" si="428"/>
        <v>5.4609440755706257E-5</v>
      </c>
      <c r="O606" s="8">
        <f t="shared" si="444"/>
        <v>1.6793517562452717E-2</v>
      </c>
      <c r="P606">
        <f t="shared" si="445"/>
        <v>0.41108655408341666</v>
      </c>
      <c r="Q606">
        <f t="shared" si="461"/>
        <v>1.4023970846696721</v>
      </c>
      <c r="R606" s="89">
        <f t="shared" si="433"/>
        <v>5000</v>
      </c>
      <c r="S606">
        <f t="shared" si="434"/>
        <v>0.4166666666666643</v>
      </c>
      <c r="U606">
        <f>O605*AV605*'Real assumptions'!$B$33/12+AX606*'Real assumptions'!$B$34</f>
        <v>0.32728115142992215</v>
      </c>
      <c r="V606">
        <f>IF(P606=0,0,IF(E606&lt;=$C$7,$AN$5*O605,0))*'Real assumptions'!$D$28</f>
        <v>0</v>
      </c>
      <c r="X606" s="94">
        <f t="shared" si="446"/>
        <v>0</v>
      </c>
      <c r="Y606">
        <f t="shared" si="435"/>
        <v>24</v>
      </c>
      <c r="Z606">
        <f t="shared" si="462"/>
        <v>49</v>
      </c>
      <c r="AA606">
        <f t="shared" si="436"/>
        <v>49.416666666666664</v>
      </c>
      <c r="AB606">
        <f t="shared" si="447"/>
        <v>50.505050505050505</v>
      </c>
      <c r="AC606">
        <f t="shared" si="429"/>
        <v>2495.7912457912457</v>
      </c>
      <c r="AD606">
        <f t="shared" si="448"/>
        <v>80.505050505050505</v>
      </c>
      <c r="AE606">
        <f t="shared" si="449"/>
        <v>198.91456228956227</v>
      </c>
      <c r="AF606" s="94">
        <f t="shared" si="450"/>
        <v>2305.2941919191921</v>
      </c>
      <c r="AG606">
        <f t="shared" si="463"/>
        <v>0.12589082659808484</v>
      </c>
      <c r="AH606">
        <f t="shared" si="451"/>
        <v>38.713998498615197</v>
      </c>
      <c r="AI606">
        <f>HLOOKUP(AW606,'Real assumptions'!$A$21:$AK$24,2,TRUE)</f>
        <v>0</v>
      </c>
      <c r="AJ606" s="123">
        <f t="shared" si="430"/>
        <v>0</v>
      </c>
      <c r="AK606" s="122">
        <f>(1+HLOOKUP(YEAR(A606),'Real assumptions'!$A$21:$AK$24,2,TRUE)/100)^(1/12)-1</f>
        <v>0</v>
      </c>
      <c r="AL606">
        <f t="shared" si="464"/>
        <v>0.32728115142992215</v>
      </c>
      <c r="AM606">
        <f>('Real assumptions'!$B$33/12)*O605*AV605</f>
        <v>0.31646561008973728</v>
      </c>
      <c r="AN606">
        <f t="shared" si="452"/>
        <v>39.492446623796027</v>
      </c>
      <c r="AO606">
        <f t="shared" si="431"/>
        <v>0</v>
      </c>
      <c r="AP606" s="121">
        <f t="shared" si="453"/>
        <v>0</v>
      </c>
      <c r="AQ606">
        <f t="shared" si="454"/>
        <v>0</v>
      </c>
      <c r="AR606">
        <v>0</v>
      </c>
      <c r="AS606">
        <f t="shared" si="437"/>
        <v>0</v>
      </c>
      <c r="AT606">
        <f t="shared" si="455"/>
        <v>0</v>
      </c>
      <c r="AU606">
        <f>IFERROR(HLOOKUP(B606,'Real assumptions'!$B$43:$AL$44,2,TRUE)*($W$3/$U$2),0)</f>
        <v>0</v>
      </c>
      <c r="AV606">
        <f>AV605*(1+'Real assumptions'!$B$35)^(1/12)</f>
        <v>1.8494989044271817</v>
      </c>
      <c r="AW606">
        <f t="shared" si="438"/>
        <v>2068</v>
      </c>
      <c r="AX606">
        <f t="shared" si="465"/>
        <v>39.480731315503398</v>
      </c>
      <c r="AY606">
        <f t="shared" si="466"/>
        <v>7.2090094360868509E-2</v>
      </c>
      <c r="AZ606">
        <f t="shared" si="439"/>
        <v>75.789158270318666</v>
      </c>
      <c r="BA606">
        <f t="shared" si="456"/>
        <v>1.528287911267757</v>
      </c>
      <c r="BB606">
        <f t="shared" si="457"/>
        <v>49.416666666666664</v>
      </c>
      <c r="BC606">
        <f t="shared" si="440"/>
        <v>29.65</v>
      </c>
      <c r="BD606">
        <f t="shared" si="458"/>
        <v>0</v>
      </c>
      <c r="BE606">
        <f t="shared" si="441"/>
        <v>24</v>
      </c>
      <c r="BF606">
        <f t="shared" si="467"/>
        <v>5000</v>
      </c>
      <c r="BU606"/>
      <c r="DW606" s="89"/>
      <c r="DX606" s="89"/>
      <c r="FD606"/>
      <c r="FE606"/>
    </row>
    <row r="607" spans="1:161" x14ac:dyDescent="0.25">
      <c r="A607" s="7">
        <f t="shared" si="459"/>
        <v>61575</v>
      </c>
      <c r="B607">
        <f t="shared" si="442"/>
        <v>596</v>
      </c>
      <c r="C607">
        <f t="shared" si="423"/>
        <v>49.583333333333336</v>
      </c>
      <c r="D607">
        <f t="shared" si="424"/>
        <v>0</v>
      </c>
      <c r="E607">
        <f t="shared" si="443"/>
        <v>101</v>
      </c>
      <c r="F607">
        <f>IF(C607&gt;=$T$2,0,VLOOKUP($E607,EKM_F05!$A$3:$C$128,2,TRUE))</f>
        <v>0.43133692307692306</v>
      </c>
      <c r="G607">
        <f>F607*'Real assumptions'!$B$3</f>
        <v>0.17999689799999999</v>
      </c>
      <c r="H607">
        <f t="shared" si="425"/>
        <v>1.6401273115522197E-2</v>
      </c>
      <c r="I607">
        <f t="shared" si="426"/>
        <v>2.7499236649208841E-4</v>
      </c>
      <c r="J607">
        <f>IF(B607&gt;$AJ$2,0,HLOOKUP(C607,'Real assumptions'!$B$5:$L$8,4,TRUE))</f>
        <v>3.7900000000000003E-2</v>
      </c>
      <c r="K607">
        <f t="shared" si="432"/>
        <v>1</v>
      </c>
      <c r="L607">
        <f t="shared" si="460"/>
        <v>8.3333333333333329E-2</v>
      </c>
      <c r="M607">
        <f t="shared" si="427"/>
        <v>3.2145624959929453E-3</v>
      </c>
      <c r="N607">
        <f t="shared" si="428"/>
        <v>5.3541110112042153E-5</v>
      </c>
      <c r="O607" s="8">
        <f t="shared" si="444"/>
        <v>1.6464984085848587E-2</v>
      </c>
      <c r="P607">
        <f t="shared" si="445"/>
        <v>0.40304442149886521</v>
      </c>
      <c r="Q607">
        <f t="shared" si="461"/>
        <v>1.374961832460442</v>
      </c>
      <c r="R607" s="89">
        <f t="shared" si="433"/>
        <v>5000</v>
      </c>
      <c r="S607">
        <f t="shared" si="434"/>
        <v>0.3333333333333357</v>
      </c>
      <c r="U607">
        <f>O606*AV606*'Real assumptions'!$B$33/12+AX607*'Real assumptions'!$B$34</f>
        <v>0.32122078455944908</v>
      </c>
      <c r="V607">
        <f>IF(P607=0,0,IF(E607&lt;=$C$7,$AN$5*O606,0))*'Real assumptions'!$D$28</f>
        <v>0</v>
      </c>
      <c r="X607" s="94">
        <f t="shared" si="446"/>
        <v>0</v>
      </c>
      <c r="Y607">
        <f t="shared" si="435"/>
        <v>24</v>
      </c>
      <c r="Z607">
        <f t="shared" si="462"/>
        <v>49</v>
      </c>
      <c r="AA607">
        <f t="shared" si="436"/>
        <v>49.333333333333336</v>
      </c>
      <c r="AB607">
        <f t="shared" si="447"/>
        <v>50.505050505050505</v>
      </c>
      <c r="AC607">
        <f t="shared" si="429"/>
        <v>2491.5824915824919</v>
      </c>
      <c r="AD607">
        <f t="shared" si="448"/>
        <v>80.505050505050505</v>
      </c>
      <c r="AE607">
        <f t="shared" si="449"/>
        <v>198.57912457912457</v>
      </c>
      <c r="AF607" s="94">
        <f t="shared" si="450"/>
        <v>2309.8383838383834</v>
      </c>
      <c r="AG607">
        <f t="shared" si="463"/>
        <v>0.12367131125011237</v>
      </c>
      <c r="AH607">
        <f t="shared" si="451"/>
        <v>38.031452230781206</v>
      </c>
      <c r="AI607">
        <f>HLOOKUP(AW607,'Real assumptions'!$A$21:$AK$24,2,TRUE)</f>
        <v>0</v>
      </c>
      <c r="AJ607" s="123">
        <f t="shared" si="430"/>
        <v>0</v>
      </c>
      <c r="AK607" s="122">
        <f>(1+HLOOKUP(YEAR(A607),'Real assumptions'!$A$21:$AK$24,2,TRUE)/100)^(1/12)-1</f>
        <v>0</v>
      </c>
      <c r="AL607">
        <f t="shared" si="464"/>
        <v>0.32122078455944908</v>
      </c>
      <c r="AM607">
        <f>('Real assumptions'!$B$33/12)*O606*AV606</f>
        <v>0.31059592333234937</v>
      </c>
      <c r="AN607">
        <f t="shared" si="452"/>
        <v>38.795822135554609</v>
      </c>
      <c r="AO607">
        <f t="shared" si="431"/>
        <v>0</v>
      </c>
      <c r="AP607" s="121">
        <f t="shared" si="453"/>
        <v>0</v>
      </c>
      <c r="AQ607">
        <f t="shared" si="454"/>
        <v>0</v>
      </c>
      <c r="AR607">
        <v>0</v>
      </c>
      <c r="AS607">
        <f t="shared" si="437"/>
        <v>0</v>
      </c>
      <c r="AT607">
        <f t="shared" si="455"/>
        <v>0</v>
      </c>
      <c r="AU607">
        <f>IFERROR(HLOOKUP(B607,'Real assumptions'!$B$43:$AL$44,2,TRUE)*($W$3/$U$2),0)</f>
        <v>0</v>
      </c>
      <c r="AV607">
        <f>AV606*(1+'Real assumptions'!$B$35)^(1/12)</f>
        <v>1.8514145155466311</v>
      </c>
      <c r="AW607">
        <f t="shared" si="438"/>
        <v>2068</v>
      </c>
      <c r="AX607">
        <f t="shared" si="465"/>
        <v>38.784678286335961</v>
      </c>
      <c r="AY607">
        <f t="shared" si="466"/>
        <v>7.0679787720760584E-2</v>
      </c>
      <c r="AZ607">
        <f t="shared" si="439"/>
        <v>74.372348763547535</v>
      </c>
      <c r="BA607">
        <f t="shared" si="456"/>
        <v>1.4986331437105544</v>
      </c>
      <c r="BB607">
        <f t="shared" si="457"/>
        <v>49.333333333333336</v>
      </c>
      <c r="BC607">
        <f t="shared" si="440"/>
        <v>29.6</v>
      </c>
      <c r="BD607">
        <f t="shared" si="458"/>
        <v>0</v>
      </c>
      <c r="BE607">
        <f t="shared" si="441"/>
        <v>24</v>
      </c>
      <c r="BF607">
        <f t="shared" si="467"/>
        <v>5000</v>
      </c>
      <c r="BU607"/>
      <c r="DW607" s="89"/>
      <c r="DX607" s="89"/>
      <c r="FD607"/>
      <c r="FE607"/>
    </row>
    <row r="608" spans="1:161" x14ac:dyDescent="0.25">
      <c r="A608" s="7">
        <f t="shared" si="459"/>
        <v>61606</v>
      </c>
      <c r="B608">
        <f t="shared" si="442"/>
        <v>597</v>
      </c>
      <c r="C608">
        <f t="shared" si="423"/>
        <v>49.666666666666664</v>
      </c>
      <c r="D608">
        <f t="shared" si="424"/>
        <v>0</v>
      </c>
      <c r="E608">
        <f t="shared" si="443"/>
        <v>101</v>
      </c>
      <c r="F608">
        <f>IF(C608&gt;=$T$2,0,VLOOKUP($E608,EKM_F05!$A$3:$C$128,2,TRUE))</f>
        <v>0.43133692307692306</v>
      </c>
      <c r="G608">
        <f>F608*'Real assumptions'!$B$3</f>
        <v>0.17999689799999999</v>
      </c>
      <c r="H608">
        <f t="shared" si="425"/>
        <v>1.6401273115522197E-2</v>
      </c>
      <c r="I608">
        <f t="shared" si="426"/>
        <v>2.6961265983639426E-4</v>
      </c>
      <c r="J608">
        <f>IF(B608&gt;$AJ$2,0,HLOOKUP(C608,'Real assumptions'!$B$5:$L$8,4,TRUE))</f>
        <v>3.7900000000000003E-2</v>
      </c>
      <c r="K608">
        <f t="shared" si="432"/>
        <v>1</v>
      </c>
      <c r="L608">
        <f t="shared" si="460"/>
        <v>8.3333333333333329E-2</v>
      </c>
      <c r="M608">
        <f t="shared" si="427"/>
        <v>3.2145624959929453E-3</v>
      </c>
      <c r="N608">
        <f t="shared" si="428"/>
        <v>5.2493679341154579E-5</v>
      </c>
      <c r="O608" s="8">
        <f t="shared" si="444"/>
        <v>1.6142877746671041E-2</v>
      </c>
      <c r="P608">
        <f t="shared" si="445"/>
        <v>0.39515961806036609</v>
      </c>
      <c r="Q608">
        <f t="shared" si="461"/>
        <v>1.3480632991819712</v>
      </c>
      <c r="R608" s="89">
        <f t="shared" si="433"/>
        <v>5000</v>
      </c>
      <c r="S608">
        <f t="shared" si="434"/>
        <v>0.25</v>
      </c>
      <c r="U608">
        <f>O607*AV607*'Real assumptions'!$B$33/12+AX608*'Real assumptions'!$B$34</f>
        <v>0.3152726077809444</v>
      </c>
      <c r="V608">
        <f>IF(P608=0,0,IF(E608&lt;=$C$7,$AN$5*O607,0))*'Real assumptions'!$D$28</f>
        <v>0</v>
      </c>
      <c r="X608" s="94">
        <f t="shared" si="446"/>
        <v>0</v>
      </c>
      <c r="Y608">
        <f t="shared" si="435"/>
        <v>24</v>
      </c>
      <c r="Z608">
        <f t="shared" si="462"/>
        <v>49</v>
      </c>
      <c r="AA608">
        <f t="shared" si="436"/>
        <v>49.25</v>
      </c>
      <c r="AB608">
        <f t="shared" si="447"/>
        <v>50.505050505050505</v>
      </c>
      <c r="AC608">
        <f t="shared" si="429"/>
        <v>2487.3737373737372</v>
      </c>
      <c r="AD608">
        <f t="shared" si="448"/>
        <v>80.505050505050505</v>
      </c>
      <c r="AE608">
        <f t="shared" si="449"/>
        <v>198.24368686868686</v>
      </c>
      <c r="AF608" s="94">
        <f t="shared" si="450"/>
        <v>2314.382575757576</v>
      </c>
      <c r="AG608">
        <f t="shared" si="463"/>
        <v>0.12149045680457358</v>
      </c>
      <c r="AH608">
        <f t="shared" si="451"/>
        <v>37.360794979480175</v>
      </c>
      <c r="AI608">
        <f>HLOOKUP(AW608,'Real assumptions'!$A$21:$AK$24,2,TRUE)</f>
        <v>0</v>
      </c>
      <c r="AJ608" s="123">
        <f t="shared" si="430"/>
        <v>0</v>
      </c>
      <c r="AK608" s="122">
        <f>(1+HLOOKUP(YEAR(A608),'Real assumptions'!$A$21:$AK$24,2,TRUE)/100)^(1/12)-1</f>
        <v>0</v>
      </c>
      <c r="AL608">
        <f t="shared" si="464"/>
        <v>0.3152726077809444</v>
      </c>
      <c r="AM608">
        <f>('Real assumptions'!$B$33/12)*O607*AV607</f>
        <v>0.30483510534784353</v>
      </c>
      <c r="AN608">
        <f t="shared" si="452"/>
        <v>38.111339241060627</v>
      </c>
      <c r="AO608">
        <f t="shared" si="431"/>
        <v>0</v>
      </c>
      <c r="AP608" s="121">
        <f t="shared" si="453"/>
        <v>0</v>
      </c>
      <c r="AQ608">
        <f t="shared" si="454"/>
        <v>0</v>
      </c>
      <c r="AR608">
        <v>0</v>
      </c>
      <c r="AS608">
        <f t="shared" si="437"/>
        <v>0</v>
      </c>
      <c r="AT608">
        <f t="shared" si="455"/>
        <v>0</v>
      </c>
      <c r="AU608">
        <f>IFERROR(HLOOKUP(B608,'Real assumptions'!$B$43:$AL$44,2,TRUE)*($W$3/$U$2),0)</f>
        <v>0</v>
      </c>
      <c r="AV608">
        <f>AV607*(1+'Real assumptions'!$B$35)^(1/12)</f>
        <v>1.8533321107526632</v>
      </c>
      <c r="AW608">
        <f t="shared" si="438"/>
        <v>2068</v>
      </c>
      <c r="AX608">
        <f t="shared" si="465"/>
        <v>38.100749301849589</v>
      </c>
      <c r="AY608">
        <f t="shared" si="466"/>
        <v>6.9297071068386298E-2</v>
      </c>
      <c r="AZ608">
        <f t="shared" si="439"/>
        <v>72.982682017840418</v>
      </c>
      <c r="BA608">
        <f t="shared" si="456"/>
        <v>1.4695537559865448</v>
      </c>
      <c r="BB608">
        <f t="shared" si="457"/>
        <v>49.25</v>
      </c>
      <c r="BC608">
        <f t="shared" si="440"/>
        <v>29.549999999999997</v>
      </c>
      <c r="BD608">
        <f t="shared" si="458"/>
        <v>0</v>
      </c>
      <c r="BE608">
        <f t="shared" si="441"/>
        <v>24</v>
      </c>
      <c r="BF608">
        <f t="shared" si="467"/>
        <v>5000</v>
      </c>
      <c r="BU608"/>
      <c r="DW608" s="89"/>
      <c r="DX608" s="89"/>
      <c r="FD608"/>
      <c r="FE608"/>
    </row>
    <row r="609" spans="1:161" x14ac:dyDescent="0.25">
      <c r="A609" s="7">
        <f t="shared" si="459"/>
        <v>61636</v>
      </c>
      <c r="B609">
        <f t="shared" si="442"/>
        <v>598</v>
      </c>
      <c r="C609">
        <f t="shared" si="423"/>
        <v>49.75</v>
      </c>
      <c r="D609">
        <f t="shared" si="424"/>
        <v>0</v>
      </c>
      <c r="E609">
        <f t="shared" si="443"/>
        <v>101</v>
      </c>
      <c r="F609">
        <f>IF(C609&gt;=$T$2,0,VLOOKUP($E609,EKM_F05!$A$3:$C$128,2,TRUE))</f>
        <v>0.43133692307692306</v>
      </c>
      <c r="G609">
        <f>F609*'Real assumptions'!$B$3</f>
        <v>0.17999689799999999</v>
      </c>
      <c r="H609">
        <f t="shared" si="425"/>
        <v>1.6401273115522197E-2</v>
      </c>
      <c r="I609">
        <f t="shared" si="426"/>
        <v>2.643381969882666E-4</v>
      </c>
      <c r="J609">
        <f>IF(B609&gt;$AJ$2,0,HLOOKUP(C609,'Real assumptions'!$B$5:$L$8,4,TRUE))</f>
        <v>3.7900000000000003E-2</v>
      </c>
      <c r="K609">
        <f t="shared" si="432"/>
        <v>1</v>
      </c>
      <c r="L609">
        <f t="shared" si="460"/>
        <v>8.3333333333333329E-2</v>
      </c>
      <c r="M609">
        <f t="shared" si="427"/>
        <v>3.2145624959929453E-3</v>
      </c>
      <c r="N609">
        <f t="shared" si="428"/>
        <v>5.1466739576477132E-5</v>
      </c>
      <c r="O609" s="8">
        <f t="shared" si="444"/>
        <v>1.5827072810106299E-2</v>
      </c>
      <c r="P609">
        <f t="shared" si="445"/>
        <v>0.38742906592010495</v>
      </c>
      <c r="Q609">
        <f t="shared" si="461"/>
        <v>1.321690984941333</v>
      </c>
      <c r="R609" s="89">
        <f t="shared" si="433"/>
        <v>5000</v>
      </c>
      <c r="S609">
        <f t="shared" si="434"/>
        <v>0.1666666666666643</v>
      </c>
      <c r="U609">
        <f>O608*AV608*'Real assumptions'!$B$33/12+AX609*'Real assumptions'!$B$34</f>
        <v>0.30943454486232125</v>
      </c>
      <c r="V609">
        <f>IF(P609=0,0,IF(E609&lt;=$C$7,$AN$5*O608,0))*'Real assumptions'!$D$28</f>
        <v>0</v>
      </c>
      <c r="X609" s="94">
        <f t="shared" si="446"/>
        <v>0</v>
      </c>
      <c r="Y609">
        <f t="shared" si="435"/>
        <v>24</v>
      </c>
      <c r="Z609">
        <f t="shared" si="462"/>
        <v>49</v>
      </c>
      <c r="AA609">
        <f t="shared" si="436"/>
        <v>49.166666666666664</v>
      </c>
      <c r="AB609">
        <f t="shared" si="447"/>
        <v>50.505050505050505</v>
      </c>
      <c r="AC609">
        <f t="shared" si="429"/>
        <v>2483.1649831649829</v>
      </c>
      <c r="AD609">
        <f t="shared" si="448"/>
        <v>80.505050505050505</v>
      </c>
      <c r="AE609">
        <f t="shared" si="449"/>
        <v>197.90824915824913</v>
      </c>
      <c r="AF609" s="94">
        <f t="shared" si="450"/>
        <v>2318.9267676767681</v>
      </c>
      <c r="AG609">
        <f t="shared" si="463"/>
        <v>0.11934760004894211</v>
      </c>
      <c r="AH609">
        <f t="shared" si="451"/>
        <v>36.701822793324666</v>
      </c>
      <c r="AI609">
        <f>HLOOKUP(AW609,'Real assumptions'!$A$21:$AK$24,2,TRUE)</f>
        <v>0</v>
      </c>
      <c r="AJ609" s="123">
        <f t="shared" si="430"/>
        <v>0</v>
      </c>
      <c r="AK609" s="122">
        <f>(1+HLOOKUP(YEAR(A609),'Real assumptions'!$A$21:$AK$24,2,TRUE)/100)^(1/12)-1</f>
        <v>0</v>
      </c>
      <c r="AL609">
        <f t="shared" si="464"/>
        <v>0.30943454486232125</v>
      </c>
      <c r="AM609">
        <f>('Real assumptions'!$B$33/12)*O608*AV608</f>
        <v>0.29918113687860037</v>
      </c>
      <c r="AN609">
        <f t="shared" si="452"/>
        <v>37.438789500537958</v>
      </c>
      <c r="AO609">
        <f t="shared" si="431"/>
        <v>0</v>
      </c>
      <c r="AP609" s="121">
        <f t="shared" si="453"/>
        <v>0</v>
      </c>
      <c r="AQ609">
        <f t="shared" si="454"/>
        <v>0</v>
      </c>
      <c r="AR609">
        <v>0</v>
      </c>
      <c r="AS609">
        <f t="shared" si="437"/>
        <v>0</v>
      </c>
      <c r="AT609">
        <f t="shared" si="455"/>
        <v>0</v>
      </c>
      <c r="AU609">
        <f>IFERROR(HLOOKUP(B609,'Real assumptions'!$B$43:$AL$44,2,TRUE)*($W$3/$U$2),0)</f>
        <v>0</v>
      </c>
      <c r="AV609">
        <f>AV608*(1+'Real assumptions'!$B$35)^(1/12)</f>
        <v>1.8552516921002877</v>
      </c>
      <c r="AW609">
        <f t="shared" si="438"/>
        <v>2068</v>
      </c>
      <c r="AX609">
        <f t="shared" si="465"/>
        <v>37.428736384137885</v>
      </c>
      <c r="AY609">
        <f t="shared" si="466"/>
        <v>6.79414046577064E-2</v>
      </c>
      <c r="AZ609">
        <f t="shared" si="439"/>
        <v>71.619637953907912</v>
      </c>
      <c r="BA609">
        <f t="shared" si="456"/>
        <v>1.4410385849902752</v>
      </c>
      <c r="BB609">
        <f t="shared" si="457"/>
        <v>49.166666666666664</v>
      </c>
      <c r="BC609">
        <f t="shared" si="440"/>
        <v>29.5</v>
      </c>
      <c r="BD609">
        <f t="shared" si="458"/>
        <v>0</v>
      </c>
      <c r="BE609">
        <f t="shared" si="441"/>
        <v>24</v>
      </c>
      <c r="BF609">
        <f t="shared" si="467"/>
        <v>5000</v>
      </c>
      <c r="BU609"/>
      <c r="DW609" s="89"/>
      <c r="DX609" s="89"/>
      <c r="FD609"/>
      <c r="FE609"/>
    </row>
    <row r="610" spans="1:161" x14ac:dyDescent="0.25">
      <c r="A610" s="7">
        <f t="shared" si="459"/>
        <v>61667</v>
      </c>
      <c r="B610">
        <f t="shared" si="442"/>
        <v>599</v>
      </c>
      <c r="C610">
        <f t="shared" si="423"/>
        <v>49.833333333333336</v>
      </c>
      <c r="D610">
        <f t="shared" si="424"/>
        <v>0</v>
      </c>
      <c r="E610">
        <f t="shared" si="443"/>
        <v>101</v>
      </c>
      <c r="F610">
        <f>IF(C610&gt;=$T$2,0,VLOOKUP($E610,EKM_F05!$A$3:$C$128,2,TRUE))</f>
        <v>0.43133692307692306</v>
      </c>
      <c r="G610">
        <f>F610*'Real assumptions'!$B$3</f>
        <v>0.17999689799999999</v>
      </c>
      <c r="H610">
        <f t="shared" si="425"/>
        <v>1.6401273115522197E-2</v>
      </c>
      <c r="I610">
        <f t="shared" si="426"/>
        <v>2.5916691905123753E-4</v>
      </c>
      <c r="J610">
        <f>IF(B610&gt;$AJ$2,0,HLOOKUP(C610,'Real assumptions'!$B$5:$L$8,4,TRUE))</f>
        <v>3.7900000000000003E-2</v>
      </c>
      <c r="K610">
        <f t="shared" si="432"/>
        <v>1</v>
      </c>
      <c r="L610">
        <f t="shared" si="460"/>
        <v>8.3333333333333329E-2</v>
      </c>
      <c r="M610">
        <f t="shared" si="427"/>
        <v>3.2145624959929453E-3</v>
      </c>
      <c r="N610">
        <f t="shared" si="428"/>
        <v>5.0459889950146087E-5</v>
      </c>
      <c r="O610" s="8">
        <f t="shared" si="444"/>
        <v>1.5517446001104915E-2</v>
      </c>
      <c r="P610">
        <f t="shared" si="445"/>
        <v>0.37984974744255118</v>
      </c>
      <c r="Q610">
        <f t="shared" si="461"/>
        <v>1.2958345952561876</v>
      </c>
      <c r="R610" s="89">
        <f t="shared" si="433"/>
        <v>5000</v>
      </c>
      <c r="S610">
        <f t="shared" si="434"/>
        <v>8.3333333333335702E-2</v>
      </c>
      <c r="U610">
        <f>O609*AV609*'Real assumptions'!$B$33/12+AX610*'Real assumptions'!$B$34</f>
        <v>0.30370455798200968</v>
      </c>
      <c r="V610">
        <f>IF(P610=0,0,IF(E610&lt;=$C$7,$AN$5*O609,0))*'Real assumptions'!$D$28</f>
        <v>0</v>
      </c>
      <c r="X610" s="94">
        <f t="shared" si="446"/>
        <v>0</v>
      </c>
      <c r="Y610">
        <f t="shared" si="435"/>
        <v>24</v>
      </c>
      <c r="Z610">
        <f t="shared" si="462"/>
        <v>49</v>
      </c>
      <c r="AA610">
        <f t="shared" si="436"/>
        <v>49.083333333333336</v>
      </c>
      <c r="AB610">
        <f t="shared" si="447"/>
        <v>50.505050505050505</v>
      </c>
      <c r="AC610">
        <f t="shared" si="429"/>
        <v>2478.9562289562291</v>
      </c>
      <c r="AD610">
        <f t="shared" si="448"/>
        <v>80.505050505050505</v>
      </c>
      <c r="AE610">
        <f t="shared" si="449"/>
        <v>197.57281144781146</v>
      </c>
      <c r="AF610" s="94">
        <f t="shared" si="450"/>
        <v>2323.4709595959594</v>
      </c>
      <c r="AG610">
        <f t="shared" si="463"/>
        <v>0.11724208892357244</v>
      </c>
      <c r="AH610">
        <f t="shared" si="451"/>
        <v>36.054335150665722</v>
      </c>
      <c r="AI610">
        <f>HLOOKUP(AW610,'Real assumptions'!$A$21:$AK$24,2,TRUE)</f>
        <v>0</v>
      </c>
      <c r="AJ610" s="123">
        <f t="shared" si="430"/>
        <v>0</v>
      </c>
      <c r="AK610" s="122">
        <f>(1+HLOOKUP(YEAR(A610),'Real assumptions'!$A$21:$AK$24,2,TRUE)/100)^(1/12)-1</f>
        <v>0</v>
      </c>
      <c r="AL610">
        <f t="shared" si="464"/>
        <v>0.30370455798200968</v>
      </c>
      <c r="AM610">
        <f>('Real assumptions'!$B$33/12)*O609*AV609</f>
        <v>0.29363203611944166</v>
      </c>
      <c r="AN610">
        <f t="shared" si="452"/>
        <v>36.777967982785206</v>
      </c>
      <c r="AO610">
        <f t="shared" si="431"/>
        <v>0</v>
      </c>
      <c r="AP610" s="121">
        <f t="shared" si="453"/>
        <v>0</v>
      </c>
      <c r="AQ610">
        <f t="shared" si="454"/>
        <v>0</v>
      </c>
      <c r="AR610">
        <v>0</v>
      </c>
      <c r="AS610">
        <f t="shared" si="437"/>
        <v>0</v>
      </c>
      <c r="AT610">
        <f t="shared" si="455"/>
        <v>0</v>
      </c>
      <c r="AU610">
        <f>IFERROR(HLOOKUP(B610,'Real assumptions'!$B$43:$AL$44,2,TRUE)*($W$3/$U$2),0)</f>
        <v>0</v>
      </c>
      <c r="AV610">
        <f>AV609*(1+'Real assumptions'!$B$35)^(1/12)</f>
        <v>1.857173261646643</v>
      </c>
      <c r="AW610">
        <f t="shared" si="438"/>
        <v>2068</v>
      </c>
      <c r="AX610">
        <f t="shared" si="465"/>
        <v>36.768435052626458</v>
      </c>
      <c r="AY610">
        <f t="shared" si="466"/>
        <v>6.661225930179418E-2</v>
      </c>
      <c r="AZ610">
        <f t="shared" si="439"/>
        <v>70.282706459188688</v>
      </c>
      <c r="BA610">
        <f t="shared" si="456"/>
        <v>1.41307668417976</v>
      </c>
      <c r="BB610">
        <f t="shared" si="457"/>
        <v>49.083333333333336</v>
      </c>
      <c r="BC610">
        <f t="shared" si="440"/>
        <v>29.450000000000003</v>
      </c>
      <c r="BD610">
        <f t="shared" si="458"/>
        <v>0</v>
      </c>
      <c r="BE610">
        <f t="shared" si="441"/>
        <v>24</v>
      </c>
      <c r="BF610">
        <f t="shared" si="467"/>
        <v>5000</v>
      </c>
      <c r="BU610"/>
      <c r="DW610" s="89"/>
      <c r="DX610" s="89"/>
      <c r="FD610"/>
      <c r="FE610"/>
    </row>
    <row r="611" spans="1:161" x14ac:dyDescent="0.25">
      <c r="A611" s="7">
        <f t="shared" si="459"/>
        <v>61697</v>
      </c>
      <c r="B611">
        <f t="shared" si="442"/>
        <v>600</v>
      </c>
      <c r="C611">
        <f t="shared" si="423"/>
        <v>49.916666666666664</v>
      </c>
      <c r="D611">
        <f t="shared" si="424"/>
        <v>0</v>
      </c>
      <c r="E611">
        <f t="shared" si="443"/>
        <v>101</v>
      </c>
      <c r="F611">
        <f>IF(C611&gt;=$T$2,0,VLOOKUP($E611,EKM_F05!$A$3:$C$128,2,TRUE))</f>
        <v>0.43133692307692306</v>
      </c>
      <c r="G611">
        <f>F611*'Real assumptions'!$B$3</f>
        <v>0.17999689799999999</v>
      </c>
      <c r="H611">
        <f t="shared" si="425"/>
        <v>1.6401273115522197E-2</v>
      </c>
      <c r="I611">
        <f t="shared" si="426"/>
        <v>2.5409680740726284E-4</v>
      </c>
      <c r="J611">
        <f>IF(B611&gt;$AJ$2,0,HLOOKUP(C611,'Real assumptions'!$B$5:$L$8,4,TRUE))</f>
        <v>3.7900000000000003E-2</v>
      </c>
      <c r="K611">
        <f t="shared" si="432"/>
        <v>1</v>
      </c>
      <c r="L611">
        <f t="shared" si="460"/>
        <v>8.3333333333333329E-2</v>
      </c>
      <c r="M611">
        <f t="shared" si="427"/>
        <v>3.2145624959929453E-3</v>
      </c>
      <c r="N611">
        <f t="shared" si="428"/>
        <v>4.9472737436520936E-5</v>
      </c>
      <c r="O611" s="8">
        <f t="shared" si="444"/>
        <v>1.5213876456261131E-2</v>
      </c>
      <c r="P611">
        <f t="shared" si="445"/>
        <v>0.372418704026518</v>
      </c>
      <c r="Q611">
        <f t="shared" si="461"/>
        <v>1.2704840370363142</v>
      </c>
      <c r="R611" s="89">
        <f t="shared" si="433"/>
        <v>5000</v>
      </c>
      <c r="S611">
        <f t="shared" si="434"/>
        <v>1</v>
      </c>
      <c r="U611">
        <f>O610*AV610*'Real assumptions'!$B$33/12+AX611*'Real assumptions'!$B$34</f>
        <v>0.29808064701862252</v>
      </c>
      <c r="V611">
        <f>IF(P611=0,0,IF(E611&lt;=$C$7,$AN$5*O610,0))*'Real assumptions'!$D$28</f>
        <v>0</v>
      </c>
      <c r="X611" s="94">
        <f t="shared" si="446"/>
        <v>0</v>
      </c>
      <c r="Y611">
        <f t="shared" si="435"/>
        <v>24</v>
      </c>
      <c r="Z611">
        <f t="shared" si="462"/>
        <v>49</v>
      </c>
      <c r="AA611">
        <f t="shared" si="436"/>
        <v>49</v>
      </c>
      <c r="AB611">
        <f t="shared" si="447"/>
        <v>50.505050505050505</v>
      </c>
      <c r="AC611">
        <f t="shared" si="429"/>
        <v>2474.7474747474748</v>
      </c>
      <c r="AD611">
        <f t="shared" si="448"/>
        <v>80.505050505050505</v>
      </c>
      <c r="AE611">
        <f t="shared" si="449"/>
        <v>197.23737373737373</v>
      </c>
      <c r="AF611" s="94">
        <f t="shared" si="450"/>
        <v>2328.0151515151515</v>
      </c>
      <c r="AG611">
        <f t="shared" si="463"/>
        <v>0.1151732823391516</v>
      </c>
      <c r="AH611">
        <f t="shared" si="451"/>
        <v>35.418134903455552</v>
      </c>
      <c r="AI611">
        <f>HLOOKUP(AW611,'Real assumptions'!$A$21:$AK$24,2,TRUE)</f>
        <v>0</v>
      </c>
      <c r="AJ611" s="123">
        <f t="shared" si="430"/>
        <v>0</v>
      </c>
      <c r="AK611" s="122">
        <f>(1+HLOOKUP(YEAR(A611),'Real assumptions'!$A$21:$AK$24,2,TRUE)/100)^(1/12)-1</f>
        <v>0</v>
      </c>
      <c r="AL611">
        <f t="shared" si="464"/>
        <v>0.29808064701862252</v>
      </c>
      <c r="AM611">
        <f>('Real assumptions'!$B$33/12)*O610*AV610</f>
        <v>0.28818585802297669</v>
      </c>
      <c r="AN611">
        <f t="shared" si="452"/>
        <v>36.128673207673614</v>
      </c>
      <c r="AO611">
        <f t="shared" si="431"/>
        <v>0</v>
      </c>
      <c r="AP611" s="121">
        <f t="shared" si="453"/>
        <v>0</v>
      </c>
      <c r="AQ611">
        <f t="shared" si="454"/>
        <v>0</v>
      </c>
      <c r="AR611">
        <v>0</v>
      </c>
      <c r="AS611">
        <f t="shared" si="437"/>
        <v>0</v>
      </c>
      <c r="AT611">
        <f t="shared" si="455"/>
        <v>0</v>
      </c>
      <c r="AU611">
        <f>IFERROR(HLOOKUP(B611,'Real assumptions'!$B$43:$AL$44,2,TRUE)*($W$3/$U$2),0)</f>
        <v>0</v>
      </c>
      <c r="AV611">
        <f>AV610*(1+'Real assumptions'!$B$35)^(1/12)</f>
        <v>1.8590968214509977</v>
      </c>
      <c r="AW611">
        <f t="shared" si="438"/>
        <v>2068</v>
      </c>
      <c r="AX611">
        <f t="shared" si="465"/>
        <v>36.11964426683199</v>
      </c>
      <c r="AY611">
        <f t="shared" si="466"/>
        <v>6.5309116166266473E-2</v>
      </c>
      <c r="AZ611">
        <f t="shared" si="439"/>
        <v>68.971387196821112</v>
      </c>
      <c r="BA611">
        <f t="shared" si="456"/>
        <v>1.3856573193754658</v>
      </c>
      <c r="BB611">
        <f t="shared" si="457"/>
        <v>49</v>
      </c>
      <c r="BC611">
        <f t="shared" si="440"/>
        <v>29.4</v>
      </c>
      <c r="BD611">
        <f t="shared" si="458"/>
        <v>0</v>
      </c>
      <c r="BE611">
        <f t="shared" si="441"/>
        <v>24</v>
      </c>
      <c r="BF611">
        <f t="shared" si="467"/>
        <v>5000</v>
      </c>
      <c r="BU611"/>
      <c r="DW611" s="89"/>
      <c r="DX611" s="89"/>
      <c r="FD611"/>
      <c r="FE611"/>
    </row>
    <row r="612" spans="1:161" x14ac:dyDescent="0.25">
      <c r="A612" s="7">
        <f t="shared" si="459"/>
        <v>61728</v>
      </c>
      <c r="B612">
        <f t="shared" si="442"/>
        <v>601</v>
      </c>
      <c r="C612">
        <f t="shared" si="423"/>
        <v>50</v>
      </c>
      <c r="D612">
        <f t="shared" si="424"/>
        <v>1</v>
      </c>
      <c r="E612">
        <f t="shared" si="443"/>
        <v>102</v>
      </c>
      <c r="F612">
        <f>IF(C612&gt;=$T$2,0,VLOOKUP($E612,EKM_F05!$A$3:$C$128,2,TRUE))</f>
        <v>0.47274012820512817</v>
      </c>
      <c r="G612">
        <f>F612*'Real assumptions'!$B$3</f>
        <v>0.1972744555</v>
      </c>
      <c r="H612">
        <f t="shared" si="425"/>
        <v>1.814522408167818E-2</v>
      </c>
      <c r="I612">
        <f t="shared" si="426"/>
        <v>2.7561549267842811E-4</v>
      </c>
      <c r="J612">
        <f>IF(B612&gt;$AJ$2,0,HLOOKUP(C612,'Real assumptions'!$B$5:$L$8,4,TRUE))</f>
        <v>3.7900000000000003E-2</v>
      </c>
      <c r="K612">
        <f t="shared" si="432"/>
        <v>1</v>
      </c>
      <c r="L612">
        <f t="shared" si="460"/>
        <v>8.3333333333333329E-2</v>
      </c>
      <c r="M612">
        <f t="shared" si="427"/>
        <v>3.2145624959929453E-3</v>
      </c>
      <c r="N612">
        <f t="shared" si="428"/>
        <v>4.846225190356902E-5</v>
      </c>
      <c r="O612" s="8">
        <f t="shared" si="444"/>
        <v>1.4889798711679135E-2</v>
      </c>
      <c r="P612">
        <f t="shared" si="445"/>
        <v>0.36513303495026717</v>
      </c>
      <c r="Q612">
        <f t="shared" si="461"/>
        <v>1.3780774633921404</v>
      </c>
      <c r="R612" s="89">
        <f t="shared" si="433"/>
        <v>5000</v>
      </c>
      <c r="S612">
        <f t="shared" si="434"/>
        <v>0.9166666666666643</v>
      </c>
      <c r="U612">
        <f>O611*AV611*'Real assumptions'!$B$33/12+AX612*'Real assumptions'!$B$34</f>
        <v>0.29256084885375111</v>
      </c>
      <c r="V612">
        <f>IF(P612=0,0,IF(E612&lt;=$C$7,$AN$5*O611,0))*'Real assumptions'!$D$28</f>
        <v>0</v>
      </c>
      <c r="X612" s="94">
        <f t="shared" si="446"/>
        <v>0</v>
      </c>
      <c r="Y612">
        <f t="shared" si="435"/>
        <v>24</v>
      </c>
      <c r="Z612">
        <f t="shared" si="462"/>
        <v>49</v>
      </c>
      <c r="AA612">
        <f t="shared" si="436"/>
        <v>48.916666666666664</v>
      </c>
      <c r="AB612">
        <f t="shared" si="447"/>
        <v>50.505050505050505</v>
      </c>
      <c r="AC612">
        <f t="shared" si="429"/>
        <v>2470.5387205387206</v>
      </c>
      <c r="AD612">
        <f t="shared" si="448"/>
        <v>80.505050505050505</v>
      </c>
      <c r="AE612">
        <f t="shared" si="449"/>
        <v>196.901936026936</v>
      </c>
      <c r="AF612" s="94">
        <f t="shared" si="450"/>
        <v>2332.5593434343436</v>
      </c>
      <c r="AG612">
        <f t="shared" si="463"/>
        <v>0.11304107848153873</v>
      </c>
      <c r="AH612">
        <f t="shared" si="451"/>
        <v>34.731339106783821</v>
      </c>
      <c r="AI612">
        <f>HLOOKUP(AW612,'Real assumptions'!$A$21:$AK$24,2,TRUE)</f>
        <v>0</v>
      </c>
      <c r="AJ612" s="123">
        <f t="shared" si="430"/>
        <v>0</v>
      </c>
      <c r="AK612" s="122">
        <f>(1+HLOOKUP(YEAR(A612),'Real assumptions'!$A$21:$AK$24,2,TRUE)/100)^(1/12)-1</f>
        <v>0</v>
      </c>
      <c r="AL612">
        <f t="shared" si="464"/>
        <v>0.29256084885375111</v>
      </c>
      <c r="AM612">
        <f>('Real assumptions'!$B$33/12)*O611*AV611</f>
        <v>0.28284069361783237</v>
      </c>
      <c r="AN612">
        <f t="shared" si="452"/>
        <v>35.490707089552068</v>
      </c>
      <c r="AO612">
        <f t="shared" si="431"/>
        <v>0</v>
      </c>
      <c r="AP612" s="121">
        <f t="shared" si="453"/>
        <v>0</v>
      </c>
      <c r="AQ612">
        <f t="shared" si="454"/>
        <v>0</v>
      </c>
      <c r="AR612">
        <v>0</v>
      </c>
      <c r="AS612">
        <f t="shared" si="437"/>
        <v>0</v>
      </c>
      <c r="AT612">
        <f t="shared" si="455"/>
        <v>0</v>
      </c>
      <c r="AU612">
        <f>IFERROR(HLOOKUP(B612,'Real assumptions'!$B$43:$AL$44,2,TRUE)*($W$3/$U$2),0)</f>
        <v>0</v>
      </c>
      <c r="AV612">
        <f>AV611*(1+'Real assumptions'!$B$35)^(1/12)</f>
        <v>1.861022373574754</v>
      </c>
      <c r="AW612">
        <f t="shared" si="438"/>
        <v>2068</v>
      </c>
      <c r="AX612">
        <f t="shared" si="465"/>
        <v>35.482166370022306</v>
      </c>
      <c r="AY612">
        <f t="shared" si="466"/>
        <v>6.4031466566755596E-2</v>
      </c>
      <c r="AZ612">
        <f t="shared" si="439"/>
        <v>67.552840841043945</v>
      </c>
      <c r="BA612">
        <f t="shared" si="456"/>
        <v>1.4911185418736792</v>
      </c>
      <c r="BB612">
        <f t="shared" si="457"/>
        <v>48.916666666666664</v>
      </c>
      <c r="BC612">
        <f t="shared" si="440"/>
        <v>29.349999999999994</v>
      </c>
      <c r="BD612">
        <f t="shared" si="458"/>
        <v>0</v>
      </c>
      <c r="BE612">
        <f t="shared" si="441"/>
        <v>24</v>
      </c>
      <c r="BF612">
        <f t="shared" si="467"/>
        <v>5000</v>
      </c>
      <c r="BU612"/>
      <c r="DW612" s="89"/>
      <c r="DX612" s="89"/>
      <c r="FD612"/>
      <c r="FE612"/>
    </row>
    <row r="613" spans="1:161" x14ac:dyDescent="0.25">
      <c r="A613" s="7">
        <f t="shared" si="459"/>
        <v>61759</v>
      </c>
      <c r="B613">
        <f t="shared" si="442"/>
        <v>602</v>
      </c>
      <c r="C613">
        <f t="shared" si="423"/>
        <v>50.083333333333336</v>
      </c>
      <c r="D613">
        <f t="shared" si="424"/>
        <v>0</v>
      </c>
      <c r="E613">
        <f t="shared" si="443"/>
        <v>102</v>
      </c>
      <c r="F613">
        <f>IF(C613&gt;=$T$2,0,VLOOKUP($E613,EKM_F05!$A$3:$C$128,2,TRUE))</f>
        <v>0.47274012820512817</v>
      </c>
      <c r="G613">
        <f>F613*'Real assumptions'!$B$3</f>
        <v>0.1972744555</v>
      </c>
      <c r="H613">
        <f t="shared" si="425"/>
        <v>1.814522408167818E-2</v>
      </c>
      <c r="I613">
        <f t="shared" si="426"/>
        <v>2.6974448094148703E-4</v>
      </c>
      <c r="J613">
        <f>IF(B613&gt;$AJ$2,0,HLOOKUP(C613,'Real assumptions'!$B$5:$L$8,4,TRUE))</f>
        <v>3.7900000000000003E-2</v>
      </c>
      <c r="K613">
        <f t="shared" si="432"/>
        <v>1</v>
      </c>
      <c r="L613">
        <f t="shared" si="460"/>
        <v>8.3333333333333329E-2</v>
      </c>
      <c r="M613">
        <f t="shared" si="427"/>
        <v>3.2145624959929453E-3</v>
      </c>
      <c r="N613">
        <f t="shared" si="428"/>
        <v>4.7429935298433865E-5</v>
      </c>
      <c r="O613" s="8">
        <f t="shared" si="444"/>
        <v>1.4572624295439214E-2</v>
      </c>
      <c r="P613">
        <f t="shared" si="445"/>
        <v>0.35735516908029924</v>
      </c>
      <c r="Q613">
        <f t="shared" si="461"/>
        <v>1.3487224047074351</v>
      </c>
      <c r="R613" s="89">
        <f t="shared" si="433"/>
        <v>5000</v>
      </c>
      <c r="S613">
        <f t="shared" si="434"/>
        <v>0.8333333333333357</v>
      </c>
      <c r="U613">
        <f>O612*AV612*'Real assumptions'!$B$33/12+AX613*'Real assumptions'!$B$34</f>
        <v>0.28663412284746387</v>
      </c>
      <c r="V613">
        <f>IF(P613=0,0,IF(E613&lt;=$C$7,$AN$5*O612,0))*'Real assumptions'!$D$28</f>
        <v>0</v>
      </c>
      <c r="X613" s="94">
        <f t="shared" si="446"/>
        <v>0</v>
      </c>
      <c r="Y613">
        <f t="shared" si="435"/>
        <v>24</v>
      </c>
      <c r="Z613">
        <f t="shared" si="462"/>
        <v>48</v>
      </c>
      <c r="AA613">
        <f t="shared" si="436"/>
        <v>48.833333333333336</v>
      </c>
      <c r="AB613">
        <f t="shared" si="447"/>
        <v>50.505050505050505</v>
      </c>
      <c r="AC613">
        <f t="shared" si="429"/>
        <v>2466.3299663299663</v>
      </c>
      <c r="AD613">
        <f t="shared" si="448"/>
        <v>80.505050505050505</v>
      </c>
      <c r="AE613">
        <f t="shared" si="449"/>
        <v>196.56649831649833</v>
      </c>
      <c r="AF613" s="94">
        <f t="shared" si="450"/>
        <v>2337.1035353535353</v>
      </c>
      <c r="AG613">
        <f t="shared" si="463"/>
        <v>0.11084866946755922</v>
      </c>
      <c r="AH613">
        <f t="shared" si="451"/>
        <v>34.057731760249808</v>
      </c>
      <c r="AI613">
        <f>HLOOKUP(AW613,'Real assumptions'!$A$21:$AK$24,2,TRUE)</f>
        <v>0</v>
      </c>
      <c r="AJ613" s="123">
        <f t="shared" si="430"/>
        <v>0</v>
      </c>
      <c r="AK613" s="122">
        <f>(1+HLOOKUP(YEAR(A613),'Real assumptions'!$A$21:$AK$24,2,TRUE)/100)^(1/12)-1</f>
        <v>0</v>
      </c>
      <c r="AL613">
        <f t="shared" si="464"/>
        <v>0.28663412284746387</v>
      </c>
      <c r="AM613">
        <f>('Real assumptions'!$B$33/12)*O612*AV612</f>
        <v>0.2771024854045942</v>
      </c>
      <c r="AN613">
        <f t="shared" si="452"/>
        <v>34.802060153016654</v>
      </c>
      <c r="AO613">
        <f t="shared" si="431"/>
        <v>0</v>
      </c>
      <c r="AP613" s="121">
        <f t="shared" si="453"/>
        <v>0</v>
      </c>
      <c r="AQ613">
        <f t="shared" si="454"/>
        <v>0</v>
      </c>
      <c r="AR613">
        <v>0</v>
      </c>
      <c r="AS613">
        <f t="shared" si="437"/>
        <v>0</v>
      </c>
      <c r="AT613">
        <f t="shared" si="455"/>
        <v>0</v>
      </c>
      <c r="AU613">
        <f>IFERROR(HLOOKUP(B613,'Real assumptions'!$B$43:$AL$44,2,TRUE)*($W$3/$U$2),0)</f>
        <v>0</v>
      </c>
      <c r="AV613">
        <f>AV612*(1+'Real assumptions'!$B$35)^(1/12)</f>
        <v>1.8629499200814486</v>
      </c>
      <c r="AW613">
        <f t="shared" si="438"/>
        <v>2069</v>
      </c>
      <c r="AX613">
        <f t="shared" si="465"/>
        <v>34.794006609779103</v>
      </c>
      <c r="AY613">
        <f t="shared" si="466"/>
        <v>6.2667502995282551E-2</v>
      </c>
      <c r="AZ613">
        <f t="shared" si="439"/>
        <v>66.16399081310179</v>
      </c>
      <c r="BA613">
        <f t="shared" si="456"/>
        <v>1.4595710741749943</v>
      </c>
      <c r="BB613">
        <f t="shared" si="457"/>
        <v>48.833333333333336</v>
      </c>
      <c r="BC613">
        <f t="shared" si="440"/>
        <v>29.299999999999997</v>
      </c>
      <c r="BD613">
        <f t="shared" si="458"/>
        <v>0</v>
      </c>
      <c r="BE613">
        <f t="shared" si="441"/>
        <v>24</v>
      </c>
      <c r="BF613">
        <f t="shared" si="467"/>
        <v>5000</v>
      </c>
      <c r="BU613"/>
      <c r="DW613" s="89"/>
      <c r="DX613" s="89"/>
      <c r="FD613"/>
      <c r="FE613"/>
    </row>
    <row r="614" spans="1:161" x14ac:dyDescent="0.25">
      <c r="A614" s="7">
        <f t="shared" si="459"/>
        <v>61787</v>
      </c>
      <c r="B614">
        <f t="shared" si="442"/>
        <v>603</v>
      </c>
      <c r="C614">
        <f t="shared" ref="C614:C617" si="468">(B614+11)/12-1</f>
        <v>50.166666666666664</v>
      </c>
      <c r="D614">
        <f t="shared" ref="D614:D617" si="469">IF(C614-INT(C614)=0,1,0)</f>
        <v>0</v>
      </c>
      <c r="E614">
        <f t="shared" si="443"/>
        <v>102</v>
      </c>
      <c r="F614">
        <f>IF(C614&gt;=$T$2,0,VLOOKUP($E614,EKM_F05!$A$3:$C$128,2,TRUE))</f>
        <v>0.47274012820512817</v>
      </c>
      <c r="G614">
        <f>F614*'Real assumptions'!$B$3</f>
        <v>0.1972744555</v>
      </c>
      <c r="H614">
        <f t="shared" ref="H614:H617" si="470">(1-(1-G614)^(1/12))</f>
        <v>1.814522408167818E-2</v>
      </c>
      <c r="I614">
        <f t="shared" ref="I614:I617" si="471">H614*O613*(1-M614/2)</f>
        <v>2.6399853031225195E-4</v>
      </c>
      <c r="J614">
        <f>IF(B614&gt;$AJ$2,0,HLOOKUP(C614,'Real assumptions'!$B$5:$L$8,4,TRUE))</f>
        <v>3.7900000000000003E-2</v>
      </c>
      <c r="K614">
        <f t="shared" si="432"/>
        <v>1</v>
      </c>
      <c r="L614">
        <f t="shared" si="460"/>
        <v>8.3333333333333329E-2</v>
      </c>
      <c r="M614">
        <f t="shared" ref="M614:M617" si="472">(1-(1-J614)^L614)</f>
        <v>3.2145624959929453E-3</v>
      </c>
      <c r="N614">
        <f t="shared" ref="N614:N617" si="473">M614*O613*(1-H614/2)</f>
        <v>4.6419608541714298E-5</v>
      </c>
      <c r="O614" s="8">
        <f t="shared" si="444"/>
        <v>1.4262206156585248E-2</v>
      </c>
      <c r="P614">
        <f t="shared" si="445"/>
        <v>0.34974298309054114</v>
      </c>
      <c r="Q614">
        <f t="shared" si="461"/>
        <v>1.3199926515612597</v>
      </c>
      <c r="R614" s="89">
        <f t="shared" si="433"/>
        <v>5000</v>
      </c>
      <c r="S614">
        <f t="shared" si="434"/>
        <v>0.75</v>
      </c>
      <c r="U614">
        <f>O613*AV613*'Real assumptions'!$B$33/12+AX614*'Real assumptions'!$B$34</f>
        <v>0.28082743318221476</v>
      </c>
      <c r="V614">
        <f>IF(P614=0,0,IF(E614&lt;=$C$7,$AN$5*O613,0))*'Real assumptions'!$D$28</f>
        <v>0</v>
      </c>
      <c r="X614" s="94">
        <f t="shared" si="446"/>
        <v>0</v>
      </c>
      <c r="Y614">
        <f t="shared" si="435"/>
        <v>24</v>
      </c>
      <c r="Z614">
        <f t="shared" si="462"/>
        <v>48</v>
      </c>
      <c r="AA614">
        <f t="shared" si="436"/>
        <v>48.75</v>
      </c>
      <c r="AB614">
        <f t="shared" si="447"/>
        <v>50.505050505050505</v>
      </c>
      <c r="AC614">
        <f t="shared" ref="AC614:AC617" si="474">AB614*AA614</f>
        <v>2462.121212121212</v>
      </c>
      <c r="AD614">
        <f t="shared" si="448"/>
        <v>80.505050505050505</v>
      </c>
      <c r="AE614">
        <f t="shared" si="449"/>
        <v>196.23106060606059</v>
      </c>
      <c r="AF614" s="94">
        <f t="shared" si="450"/>
        <v>2341.6477272727275</v>
      </c>
      <c r="AG614">
        <f t="shared" si="463"/>
        <v>0.10869837084259497</v>
      </c>
      <c r="AH614">
        <f t="shared" si="451"/>
        <v>33.397062632462948</v>
      </c>
      <c r="AI614">
        <f>HLOOKUP(AW614,'Real assumptions'!$A$21:$AK$24,2,TRUE)</f>
        <v>0</v>
      </c>
      <c r="AJ614" s="123">
        <f t="shared" ref="AJ614:AJ617" si="475">((1+AI614/100)^(1/12))-1</f>
        <v>0</v>
      </c>
      <c r="AK614" s="122">
        <f>(1+HLOOKUP(YEAR(A614),'Real assumptions'!$A$21:$AK$24,2,TRUE)/100)^(1/12)-1</f>
        <v>0</v>
      </c>
      <c r="AL614">
        <f t="shared" si="464"/>
        <v>0.28082743318221476</v>
      </c>
      <c r="AM614">
        <f>('Real assumptions'!$B$33/12)*O613*AV613</f>
        <v>0.27148069266565455</v>
      </c>
      <c r="AN614">
        <f t="shared" si="452"/>
        <v>34.126647310158134</v>
      </c>
      <c r="AO614">
        <f t="shared" ref="AO614:AO617" si="476">AN614*AJ614</f>
        <v>0</v>
      </c>
      <c r="AP614" s="121">
        <f t="shared" si="453"/>
        <v>0</v>
      </c>
      <c r="AQ614">
        <f t="shared" si="454"/>
        <v>0</v>
      </c>
      <c r="AR614">
        <v>0</v>
      </c>
      <c r="AS614">
        <f t="shared" si="437"/>
        <v>0</v>
      </c>
      <c r="AT614">
        <f t="shared" si="455"/>
        <v>0</v>
      </c>
      <c r="AU614">
        <f>IFERROR(HLOOKUP(B614,'Real assumptions'!$B$43:$AL$44,2,TRUE)*($W$3/$U$2),0)</f>
        <v>0</v>
      </c>
      <c r="AV614">
        <f>AV613*(1+'Real assumptions'!$B$35)^(1/12)</f>
        <v>1.8648794630367556</v>
      </c>
      <c r="AW614">
        <f t="shared" si="438"/>
        <v>2069</v>
      </c>
      <c r="AX614">
        <f t="shared" si="465"/>
        <v>34.119064354085829</v>
      </c>
      <c r="AY614">
        <f t="shared" si="466"/>
        <v>6.1332593836023623E-2</v>
      </c>
      <c r="AZ614">
        <f t="shared" si="439"/>
        <v>64.804215340606262</v>
      </c>
      <c r="BA614">
        <f t="shared" si="456"/>
        <v>1.4286910224038547</v>
      </c>
      <c r="BB614">
        <f t="shared" si="457"/>
        <v>48.75</v>
      </c>
      <c r="BC614">
        <f t="shared" si="440"/>
        <v>29.25</v>
      </c>
      <c r="BD614">
        <f t="shared" si="458"/>
        <v>0</v>
      </c>
      <c r="BE614">
        <f t="shared" si="441"/>
        <v>24</v>
      </c>
      <c r="BF614">
        <f t="shared" si="467"/>
        <v>5000</v>
      </c>
      <c r="BU614"/>
      <c r="DW614" s="89"/>
      <c r="DX614" s="89"/>
      <c r="FD614"/>
      <c r="FE614"/>
    </row>
    <row r="615" spans="1:161" x14ac:dyDescent="0.25">
      <c r="A615" s="7">
        <f t="shared" si="459"/>
        <v>61818</v>
      </c>
      <c r="B615">
        <f t="shared" si="442"/>
        <v>604</v>
      </c>
      <c r="C615">
        <f t="shared" si="468"/>
        <v>50.25</v>
      </c>
      <c r="D615">
        <f t="shared" si="469"/>
        <v>0</v>
      </c>
      <c r="E615">
        <f t="shared" si="443"/>
        <v>102</v>
      </c>
      <c r="F615">
        <f>IF(C615&gt;=$T$2,0,VLOOKUP($E615,EKM_F05!$A$3:$C$128,2,TRUE))</f>
        <v>0.47274012820512817</v>
      </c>
      <c r="G615">
        <f>F615*'Real assumptions'!$B$3</f>
        <v>0.1972744555</v>
      </c>
      <c r="H615">
        <f t="shared" si="470"/>
        <v>1.814522408167818E-2</v>
      </c>
      <c r="I615">
        <f t="shared" si="471"/>
        <v>2.5837497680683704E-4</v>
      </c>
      <c r="J615">
        <f>IF(B615&gt;$AJ$2,0,HLOOKUP(C615,'Real assumptions'!$B$5:$L$8,4,TRUE))</f>
        <v>3.7900000000000003E-2</v>
      </c>
      <c r="K615">
        <f t="shared" si="432"/>
        <v>1</v>
      </c>
      <c r="L615">
        <f t="shared" si="460"/>
        <v>8.3333333333333329E-2</v>
      </c>
      <c r="M615">
        <f t="shared" si="472"/>
        <v>3.2145624959929453E-3</v>
      </c>
      <c r="N615">
        <f t="shared" si="473"/>
        <v>4.543080321758621E-5</v>
      </c>
      <c r="O615" s="8">
        <f t="shared" si="444"/>
        <v>1.3958400376560823E-2</v>
      </c>
      <c r="P615">
        <f t="shared" si="445"/>
        <v>0.34229294775804597</v>
      </c>
      <c r="Q615">
        <f t="shared" si="461"/>
        <v>1.2918748840341852</v>
      </c>
      <c r="R615" s="89">
        <f t="shared" si="433"/>
        <v>5000</v>
      </c>
      <c r="S615">
        <f t="shared" si="434"/>
        <v>0.6666666666666643</v>
      </c>
      <c r="U615">
        <f>O614*AV614*'Real assumptions'!$B$33/12+AX615*'Real assumptions'!$B$34</f>
        <v>0.27513834932797732</v>
      </c>
      <c r="V615">
        <f>IF(P615=0,0,IF(E615&lt;=$C$7,$AN$5*O614,0))*'Real assumptions'!$D$28</f>
        <v>0</v>
      </c>
      <c r="X615" s="94">
        <f t="shared" si="446"/>
        <v>0</v>
      </c>
      <c r="Y615">
        <f t="shared" si="435"/>
        <v>24</v>
      </c>
      <c r="Z615">
        <f t="shared" si="462"/>
        <v>48</v>
      </c>
      <c r="AA615">
        <f t="shared" si="436"/>
        <v>48.666666666666664</v>
      </c>
      <c r="AB615">
        <f t="shared" si="447"/>
        <v>50.505050505050505</v>
      </c>
      <c r="AC615">
        <f t="shared" si="474"/>
        <v>2457.9124579124577</v>
      </c>
      <c r="AD615">
        <f t="shared" si="448"/>
        <v>80.505050505050505</v>
      </c>
      <c r="AE615">
        <f t="shared" si="449"/>
        <v>195.89562289562286</v>
      </c>
      <c r="AF615" s="94">
        <f t="shared" si="450"/>
        <v>2346.1919191919196</v>
      </c>
      <c r="AG615">
        <f t="shared" si="463"/>
        <v>0.10658938339149902</v>
      </c>
      <c r="AH615">
        <f t="shared" si="451"/>
        <v>32.749086168332454</v>
      </c>
      <c r="AI615">
        <f>HLOOKUP(AW615,'Real assumptions'!$A$21:$AK$24,2,TRUE)</f>
        <v>0</v>
      </c>
      <c r="AJ615" s="123">
        <f t="shared" si="475"/>
        <v>0</v>
      </c>
      <c r="AK615" s="122">
        <f>(1+HLOOKUP(YEAR(A615),'Real assumptions'!$A$21:$AK$24,2,TRUE)/100)^(1/12)-1</f>
        <v>0</v>
      </c>
      <c r="AL615">
        <f t="shared" si="464"/>
        <v>0.27513834932797732</v>
      </c>
      <c r="AM615">
        <f>('Real assumptions'!$B$33/12)*O614*AV614</f>
        <v>0.26597295359012207</v>
      </c>
      <c r="AN615">
        <f t="shared" si="452"/>
        <v>33.46421723089302</v>
      </c>
      <c r="AO615">
        <f t="shared" si="476"/>
        <v>0</v>
      </c>
      <c r="AP615" s="121">
        <f t="shared" si="453"/>
        <v>0</v>
      </c>
      <c r="AQ615">
        <f t="shared" si="454"/>
        <v>0</v>
      </c>
      <c r="AR615">
        <v>0</v>
      </c>
      <c r="AS615">
        <f t="shared" si="437"/>
        <v>0</v>
      </c>
      <c r="AT615">
        <f t="shared" si="455"/>
        <v>0</v>
      </c>
      <c r="AU615">
        <f>IFERROR(HLOOKUP(B615,'Real assumptions'!$B$43:$AL$44,2,TRUE)*($W$3/$U$2),0)</f>
        <v>0</v>
      </c>
      <c r="AV615">
        <f>AV614*(1+'Real assumptions'!$B$35)^(1/12)</f>
        <v>1.8668110045084887</v>
      </c>
      <c r="AW615">
        <f t="shared" si="438"/>
        <v>2069</v>
      </c>
      <c r="AX615">
        <f t="shared" si="465"/>
        <v>33.457088752650598</v>
      </c>
      <c r="AY615">
        <f t="shared" si="466"/>
        <v>6.0026120187648344E-2</v>
      </c>
      <c r="AZ615">
        <f t="shared" si="439"/>
        <v>63.47290567161064</v>
      </c>
      <c r="BA615">
        <f t="shared" si="456"/>
        <v>1.3984642674256842</v>
      </c>
      <c r="BB615">
        <f t="shared" si="457"/>
        <v>48.666666666666664</v>
      </c>
      <c r="BC615">
        <f t="shared" si="440"/>
        <v>29.199999999999996</v>
      </c>
      <c r="BD615">
        <f t="shared" si="458"/>
        <v>0</v>
      </c>
      <c r="BE615">
        <f t="shared" si="441"/>
        <v>24</v>
      </c>
      <c r="BF615">
        <f t="shared" si="467"/>
        <v>5000</v>
      </c>
      <c r="BU615"/>
      <c r="DW615" s="89"/>
      <c r="DX615" s="89"/>
      <c r="FD615"/>
      <c r="FE615"/>
    </row>
    <row r="616" spans="1:161" x14ac:dyDescent="0.25">
      <c r="A616" s="7">
        <f t="shared" si="459"/>
        <v>61848</v>
      </c>
      <c r="B616">
        <f t="shared" si="442"/>
        <v>605</v>
      </c>
      <c r="C616">
        <f t="shared" si="468"/>
        <v>50.333333333333336</v>
      </c>
      <c r="D616">
        <f t="shared" si="469"/>
        <v>0</v>
      </c>
      <c r="E616">
        <f t="shared" si="443"/>
        <v>102</v>
      </c>
      <c r="F616">
        <f>IF(C616&gt;=$T$2,0,VLOOKUP($E616,EKM_F05!$A$3:$C$128,2,TRUE))</f>
        <v>0.47274012820512817</v>
      </c>
      <c r="G616">
        <f>F616*'Real assumptions'!$B$3</f>
        <v>0.1972744555</v>
      </c>
      <c r="H616">
        <f t="shared" si="470"/>
        <v>1.814522408167818E-2</v>
      </c>
      <c r="I616">
        <f t="shared" si="471"/>
        <v>2.528712131880963E-4</v>
      </c>
      <c r="J616">
        <f>IF(B616&gt;$AJ$2,0,HLOOKUP(C616,'Real assumptions'!$B$5:$L$8,4,TRUE))</f>
        <v>3.7900000000000003E-2</v>
      </c>
      <c r="K616">
        <f t="shared" si="432"/>
        <v>1</v>
      </c>
      <c r="L616">
        <f t="shared" si="460"/>
        <v>8.3333333333333329E-2</v>
      </c>
      <c r="M616">
        <f t="shared" si="472"/>
        <v>3.2145624959929453E-3</v>
      </c>
      <c r="N616">
        <f t="shared" si="473"/>
        <v>4.4463060888165309E-5</v>
      </c>
      <c r="O616" s="8">
        <f t="shared" si="444"/>
        <v>1.3661066102484562E-2</v>
      </c>
      <c r="P616">
        <f t="shared" si="445"/>
        <v>0.33500160903745979</v>
      </c>
      <c r="Q616">
        <f t="shared" si="461"/>
        <v>1.2643560659404816</v>
      </c>
      <c r="R616" s="89">
        <f t="shared" si="433"/>
        <v>5000</v>
      </c>
      <c r="S616">
        <f t="shared" si="434"/>
        <v>0.5833333333333357</v>
      </c>
      <c r="U616">
        <f>O615*AV615*'Real assumptions'!$B$33/12+AX616*'Real assumptions'!$B$34</f>
        <v>0.26956448995527149</v>
      </c>
      <c r="V616">
        <f>IF(P616=0,0,IF(E616&lt;=$C$7,$AN$5*O615,0))*'Real assumptions'!$D$28</f>
        <v>0</v>
      </c>
      <c r="X616" s="94">
        <f t="shared" si="446"/>
        <v>0</v>
      </c>
      <c r="Y616">
        <f t="shared" si="435"/>
        <v>24</v>
      </c>
      <c r="Z616">
        <f t="shared" si="462"/>
        <v>48</v>
      </c>
      <c r="AA616">
        <f t="shared" si="436"/>
        <v>48.583333333333336</v>
      </c>
      <c r="AB616">
        <f t="shared" si="447"/>
        <v>50.505050505050505</v>
      </c>
      <c r="AC616">
        <f t="shared" si="474"/>
        <v>2453.7037037037039</v>
      </c>
      <c r="AD616">
        <f t="shared" si="448"/>
        <v>80.505050505050505</v>
      </c>
      <c r="AE616">
        <f t="shared" si="449"/>
        <v>195.56018518518519</v>
      </c>
      <c r="AF616" s="94">
        <f t="shared" si="450"/>
        <v>2350.7361111111109</v>
      </c>
      <c r="AG616">
        <f t="shared" si="463"/>
        <v>0.10452092284034226</v>
      </c>
      <c r="AH616">
        <f t="shared" si="451"/>
        <v>32.113561403386377</v>
      </c>
      <c r="AI616">
        <f>HLOOKUP(AW616,'Real assumptions'!$A$21:$AK$24,2,TRUE)</f>
        <v>0</v>
      </c>
      <c r="AJ616" s="123">
        <f t="shared" si="475"/>
        <v>0</v>
      </c>
      <c r="AK616" s="122">
        <f>(1+HLOOKUP(YEAR(A616),'Real assumptions'!$A$21:$AK$24,2,TRUE)/100)^(1/12)-1</f>
        <v>0</v>
      </c>
      <c r="AL616">
        <f t="shared" si="464"/>
        <v>0.26956448995527149</v>
      </c>
      <c r="AM616">
        <f>('Real assumptions'!$B$33/12)*O615*AV615</f>
        <v>0.26057695428299177</v>
      </c>
      <c r="AN616">
        <f t="shared" si="452"/>
        <v>32.814523287414644</v>
      </c>
      <c r="AO616">
        <f t="shared" si="476"/>
        <v>0</v>
      </c>
      <c r="AP616" s="121">
        <f t="shared" si="453"/>
        <v>0</v>
      </c>
      <c r="AQ616">
        <f t="shared" si="454"/>
        <v>0</v>
      </c>
      <c r="AR616">
        <v>0</v>
      </c>
      <c r="AS616">
        <f t="shared" si="437"/>
        <v>0</v>
      </c>
      <c r="AT616">
        <f t="shared" si="455"/>
        <v>0</v>
      </c>
      <c r="AU616">
        <f>IFERROR(HLOOKUP(B616,'Real assumptions'!$B$43:$AL$44,2,TRUE)*($W$3/$U$2),0)</f>
        <v>0</v>
      </c>
      <c r="AV616">
        <f>AV615*(1+'Real assumptions'!$B$35)^(1/12)</f>
        <v>1.8687445465666035</v>
      </c>
      <c r="AW616">
        <f t="shared" si="438"/>
        <v>2069</v>
      </c>
      <c r="AX616">
        <f t="shared" si="465"/>
        <v>32.807833644664782</v>
      </c>
      <c r="AY616">
        <f t="shared" si="466"/>
        <v>5.8747476332326694E-2</v>
      </c>
      <c r="AZ616">
        <f t="shared" si="439"/>
        <v>62.169465801912004</v>
      </c>
      <c r="BA616">
        <f t="shared" si="456"/>
        <v>1.3688769887808239</v>
      </c>
      <c r="BB616">
        <f t="shared" si="457"/>
        <v>48.583333333333336</v>
      </c>
      <c r="BC616">
        <f t="shared" si="440"/>
        <v>29.15</v>
      </c>
      <c r="BD616">
        <f t="shared" si="458"/>
        <v>0</v>
      </c>
      <c r="BE616">
        <f t="shared" si="441"/>
        <v>24</v>
      </c>
      <c r="BF616">
        <f t="shared" si="467"/>
        <v>5000</v>
      </c>
      <c r="BU616"/>
      <c r="DW616" s="89"/>
      <c r="DX616" s="89"/>
      <c r="FD616"/>
      <c r="FE616"/>
    </row>
    <row r="617" spans="1:161" x14ac:dyDescent="0.25">
      <c r="A617" s="7">
        <f t="shared" si="459"/>
        <v>61879</v>
      </c>
      <c r="B617">
        <f t="shared" si="442"/>
        <v>606</v>
      </c>
      <c r="C617">
        <f t="shared" si="468"/>
        <v>50.416666666666664</v>
      </c>
      <c r="D617">
        <f t="shared" si="469"/>
        <v>0</v>
      </c>
      <c r="E617">
        <f t="shared" si="443"/>
        <v>102</v>
      </c>
      <c r="F617">
        <f>IF(C617&gt;=$T$2,0,VLOOKUP($E617,EKM_F05!$A$3:$C$128,2,TRUE))</f>
        <v>0.47274012820512817</v>
      </c>
      <c r="G617">
        <f>F617*'Real assumptions'!$B$3</f>
        <v>0.1972744555</v>
      </c>
      <c r="H617">
        <f t="shared" si="470"/>
        <v>1.814522408167818E-2</v>
      </c>
      <c r="I617">
        <f t="shared" si="471"/>
        <v>2.4748468775683544E-4</v>
      </c>
      <c r="J617">
        <f>IF(B617&gt;$AJ$2,0,HLOOKUP(C617,'Real assumptions'!$B$5:$L$8,4,TRUE))</f>
        <v>3.7900000000000003E-2</v>
      </c>
      <c r="K617">
        <f t="shared" si="432"/>
        <v>1</v>
      </c>
      <c r="L617">
        <f t="shared" si="460"/>
        <v>8.3333333333333329E-2</v>
      </c>
      <c r="M617">
        <f t="shared" si="472"/>
        <v>3.2145624959929453E-3</v>
      </c>
      <c r="N617">
        <f t="shared" si="473"/>
        <v>4.351593288096248E-5</v>
      </c>
      <c r="O617" s="8">
        <f t="shared" si="444"/>
        <v>1.3370065481846764E-2</v>
      </c>
      <c r="P617">
        <f t="shared" si="445"/>
        <v>0.32786558645962949</v>
      </c>
      <c r="Q617">
        <f t="shared" si="461"/>
        <v>1.2374234387841772</v>
      </c>
      <c r="R617" s="89">
        <f t="shared" si="433"/>
        <v>5000</v>
      </c>
      <c r="S617">
        <f t="shared" si="434"/>
        <v>0.5</v>
      </c>
      <c r="U617">
        <f>O616*AV616*'Real assumptions'!$B$33/12+AX617*'Real assumptions'!$B$34</f>
        <v>0.26410352193950803</v>
      </c>
      <c r="V617">
        <f>IF(P617=0,0,IF(E617&lt;=$C$7,$AN$5*O616,0))*'Real assumptions'!$D$28</f>
        <v>0</v>
      </c>
      <c r="X617" s="94">
        <f t="shared" si="446"/>
        <v>0</v>
      </c>
      <c r="Y617">
        <f t="shared" si="435"/>
        <v>24</v>
      </c>
      <c r="Z617">
        <f t="shared" si="462"/>
        <v>48</v>
      </c>
      <c r="AA617">
        <f t="shared" si="436"/>
        <v>48.5</v>
      </c>
      <c r="AB617">
        <f t="shared" si="447"/>
        <v>50.505050505050505</v>
      </c>
      <c r="AC617">
        <f t="shared" si="474"/>
        <v>2449.4949494949497</v>
      </c>
      <c r="AD617">
        <f t="shared" si="448"/>
        <v>80.505050505050505</v>
      </c>
      <c r="AE617">
        <f t="shared" si="449"/>
        <v>195.22474747474746</v>
      </c>
      <c r="AF617" s="94">
        <f t="shared" si="450"/>
        <v>2355.280303030303</v>
      </c>
      <c r="AG617">
        <f t="shared" si="463"/>
        <v>0.10249221958251964</v>
      </c>
      <c r="AH617">
        <f t="shared" si="451"/>
        <v>31.490251879619041</v>
      </c>
      <c r="AI617">
        <f>HLOOKUP(AW617,'Real assumptions'!$A$21:$AK$24,2,TRUE)</f>
        <v>0</v>
      </c>
      <c r="AJ617" s="123">
        <f t="shared" si="475"/>
        <v>0</v>
      </c>
      <c r="AK617" s="122">
        <f>(1+HLOOKUP(YEAR(A617),'Real assumptions'!$A$21:$AK$24,2,TRUE)/100)^(1/12)-1</f>
        <v>0</v>
      </c>
      <c r="AL617">
        <f t="shared" si="464"/>
        <v>0.26410352193950803</v>
      </c>
      <c r="AM617">
        <f>('Real assumptions'!$B$33/12)*O616*AV616</f>
        <v>0.25529042779303912</v>
      </c>
      <c r="AN617">
        <f t="shared" si="452"/>
        <v>32.177323467906497</v>
      </c>
      <c r="AO617">
        <f t="shared" si="476"/>
        <v>0</v>
      </c>
      <c r="AP617" s="121">
        <f t="shared" si="453"/>
        <v>0</v>
      </c>
      <c r="AQ617">
        <f t="shared" si="454"/>
        <v>0</v>
      </c>
      <c r="AR617">
        <v>0</v>
      </c>
      <c r="AS617">
        <f t="shared" si="437"/>
        <v>0</v>
      </c>
      <c r="AT617">
        <f t="shared" si="455"/>
        <v>0</v>
      </c>
      <c r="AU617">
        <f>IFERROR(HLOOKUP(B617,'Real assumptions'!$B$43:$AL$44,2,TRUE)*($W$3/$U$2),0)</f>
        <v>0</v>
      </c>
      <c r="AV617">
        <f>AV616*(1+'Real assumptions'!$B$35)^(1/12)</f>
        <v>1.8706800912831991</v>
      </c>
      <c r="AW617">
        <f t="shared" si="438"/>
        <v>2069</v>
      </c>
      <c r="AX617">
        <f t="shared" si="465"/>
        <v>32.171057472841277</v>
      </c>
      <c r="AY617">
        <f t="shared" si="466"/>
        <v>5.749606945490135E-2</v>
      </c>
      <c r="AZ617">
        <f t="shared" si="439"/>
        <v>60.893312208065424</v>
      </c>
      <c r="BA617">
        <f t="shared" si="456"/>
        <v>1.3399156583666967</v>
      </c>
      <c r="BB617">
        <f t="shared" si="457"/>
        <v>48.5</v>
      </c>
      <c r="BC617">
        <f t="shared" si="440"/>
        <v>29.099999999999998</v>
      </c>
      <c r="BD617">
        <f t="shared" si="458"/>
        <v>0</v>
      </c>
      <c r="BE617">
        <f t="shared" si="441"/>
        <v>24</v>
      </c>
      <c r="BF617">
        <f t="shared" si="467"/>
        <v>5000</v>
      </c>
      <c r="BU617"/>
      <c r="DW617" s="89"/>
      <c r="DX617" s="89"/>
      <c r="FD617"/>
      <c r="FE617"/>
    </row>
    <row r="618" spans="1:161" x14ac:dyDescent="0.25">
      <c r="A618" s="7">
        <f t="shared" si="459"/>
        <v>61909</v>
      </c>
      <c r="B618">
        <f t="shared" si="442"/>
        <v>607</v>
      </c>
      <c r="C618">
        <f t="shared" ref="C618:C681" si="477">(B618+11)/12-1</f>
        <v>50.5</v>
      </c>
      <c r="D618">
        <f t="shared" ref="D618:D681" si="478">IF(C618-INT(C618)=0,1,0)</f>
        <v>0</v>
      </c>
      <c r="E618">
        <f t="shared" si="443"/>
        <v>102</v>
      </c>
      <c r="F618">
        <f>IF(C618&gt;=$T$2,0,VLOOKUP($E618,EKM_F05!$A$3:$C$128,2,TRUE))</f>
        <v>0.47274012820512817</v>
      </c>
      <c r="G618">
        <f>F618*'Real assumptions'!$B$3</f>
        <v>0.1972744555</v>
      </c>
      <c r="H618">
        <f t="shared" ref="H618:H681" si="479">(1-(1-G618)^(1/12))</f>
        <v>1.814522408167818E-2</v>
      </c>
      <c r="I618">
        <f t="shared" ref="I618:I681" si="480">H618*O617*(1-M618/2)</f>
        <v>2.4221290316877225E-4</v>
      </c>
      <c r="J618">
        <f>IF(B618&gt;$AJ$2,0,HLOOKUP(C618,'Real assumptions'!$B$5:$L$8,4,TRUE))</f>
        <v>3.7900000000000003E-2</v>
      </c>
      <c r="K618">
        <f t="shared" si="432"/>
        <v>1</v>
      </c>
      <c r="L618">
        <f t="shared" si="460"/>
        <v>8.3333333333333329E-2</v>
      </c>
      <c r="M618">
        <f t="shared" ref="M618:M681" si="481">(1-(1-J618)^L618)</f>
        <v>3.2145624959929453E-3</v>
      </c>
      <c r="N618">
        <f t="shared" ref="N618:N681" si="482">M618*O617*(1-H618/2)</f>
        <v>4.2588980080866615E-5</v>
      </c>
      <c r="O618" s="8">
        <f t="shared" si="444"/>
        <v>1.3085263598597125E-2</v>
      </c>
      <c r="P618">
        <f t="shared" si="445"/>
        <v>0.32088157156432234</v>
      </c>
      <c r="Q618">
        <f t="shared" si="461"/>
        <v>1.2110645158438613</v>
      </c>
      <c r="R618" s="89">
        <f t="shared" si="433"/>
        <v>5000</v>
      </c>
      <c r="S618">
        <f t="shared" si="434"/>
        <v>0.4166666666666643</v>
      </c>
      <c r="U618">
        <f>O617*AV617*'Real assumptions'!$B$33/12+AX618*'Real assumptions'!$B$34</f>
        <v>0.25875315938547538</v>
      </c>
      <c r="V618">
        <f>IF(P618=0,0,IF(E618&lt;=$C$7,$AN$5*O617,0))*'Real assumptions'!$D$28</f>
        <v>0</v>
      </c>
      <c r="X618" s="94">
        <f t="shared" si="446"/>
        <v>0</v>
      </c>
      <c r="Y618">
        <f t="shared" si="435"/>
        <v>24</v>
      </c>
      <c r="Z618">
        <f t="shared" si="462"/>
        <v>48</v>
      </c>
      <c r="AA618">
        <f t="shared" si="436"/>
        <v>48.416666666666664</v>
      </c>
      <c r="AB618">
        <f t="shared" si="447"/>
        <v>50.505050505050505</v>
      </c>
      <c r="AC618">
        <f t="shared" ref="AC618:AC681" si="483">AB618*AA618</f>
        <v>2445.2861952861954</v>
      </c>
      <c r="AD618">
        <f t="shared" si="448"/>
        <v>80.505050505050505</v>
      </c>
      <c r="AE618">
        <f t="shared" si="449"/>
        <v>194.88930976430976</v>
      </c>
      <c r="AF618" s="94">
        <f t="shared" si="450"/>
        <v>2359.8244949494947</v>
      </c>
      <c r="AG618">
        <f t="shared" si="463"/>
        <v>0.10050251840974515</v>
      </c>
      <c r="AH618">
        <f t="shared" si="451"/>
        <v>30.878925562840468</v>
      </c>
      <c r="AI618">
        <f>HLOOKUP(AW618,'Real assumptions'!$A$21:$AK$24,2,TRUE)</f>
        <v>0</v>
      </c>
      <c r="AJ618" s="123">
        <f t="shared" ref="AJ618:AJ681" si="484">((1+AI618/100)^(1/12))-1</f>
        <v>0</v>
      </c>
      <c r="AK618" s="122">
        <f>(1+HLOOKUP(YEAR(A618),'Real assumptions'!$A$21:$AK$24,2,TRUE)/100)^(1/12)-1</f>
        <v>0</v>
      </c>
      <c r="AL618">
        <f t="shared" si="464"/>
        <v>0.25875315938547538</v>
      </c>
      <c r="AM618">
        <f>('Real assumptions'!$B$33/12)*O617*AV617</f>
        <v>0.25011115316043459</v>
      </c>
      <c r="AN618">
        <f t="shared" si="452"/>
        <v>31.552380291797888</v>
      </c>
      <c r="AO618">
        <f t="shared" ref="AO618:AO681" si="485">AN618*AJ618</f>
        <v>0</v>
      </c>
      <c r="AP618" s="121">
        <f t="shared" si="453"/>
        <v>0</v>
      </c>
      <c r="AQ618">
        <f t="shared" si="454"/>
        <v>0</v>
      </c>
      <c r="AR618">
        <v>0</v>
      </c>
      <c r="AS618">
        <f t="shared" si="437"/>
        <v>0</v>
      </c>
      <c r="AT618">
        <f t="shared" si="455"/>
        <v>0</v>
      </c>
      <c r="AU618">
        <f>IFERROR(HLOOKUP(B618,'Real assumptions'!$B$43:$AL$44,2,TRUE)*($W$3/$U$2),0)</f>
        <v>0</v>
      </c>
      <c r="AV618">
        <f>AV617*(1+'Real assumptions'!$B$35)^(1/12)</f>
        <v>1.8726176407325212</v>
      </c>
      <c r="AW618">
        <f t="shared" si="438"/>
        <v>2069</v>
      </c>
      <c r="AX618">
        <f t="shared" si="465"/>
        <v>31.546523198987082</v>
      </c>
      <c r="AY618">
        <f t="shared" si="466"/>
        <v>5.627131936804193E-2</v>
      </c>
      <c r="AZ618">
        <f t="shared" si="439"/>
        <v>59.643873585990661</v>
      </c>
      <c r="BA618">
        <f t="shared" si="456"/>
        <v>1.3115670342536065</v>
      </c>
      <c r="BB618">
        <f t="shared" si="457"/>
        <v>48.416666666666664</v>
      </c>
      <c r="BC618">
        <f t="shared" si="440"/>
        <v>29.049999999999997</v>
      </c>
      <c r="BD618">
        <f t="shared" si="458"/>
        <v>0</v>
      </c>
      <c r="BE618">
        <f t="shared" si="441"/>
        <v>24</v>
      </c>
      <c r="BF618">
        <f t="shared" si="467"/>
        <v>5000</v>
      </c>
      <c r="BU618"/>
      <c r="DW618" s="89"/>
      <c r="DX618" s="89"/>
      <c r="FD618"/>
      <c r="FE618"/>
    </row>
    <row r="619" spans="1:161" x14ac:dyDescent="0.25">
      <c r="A619" s="7">
        <f t="shared" si="459"/>
        <v>61940</v>
      </c>
      <c r="B619">
        <f t="shared" si="442"/>
        <v>608</v>
      </c>
      <c r="C619">
        <f t="shared" si="477"/>
        <v>50.583333333333336</v>
      </c>
      <c r="D619">
        <f t="shared" si="478"/>
        <v>0</v>
      </c>
      <c r="E619">
        <f t="shared" si="443"/>
        <v>102</v>
      </c>
      <c r="F619">
        <f>IF(C619&gt;=$T$2,0,VLOOKUP($E619,EKM_F05!$A$3:$C$128,2,TRUE))</f>
        <v>0.47274012820512817</v>
      </c>
      <c r="G619">
        <f>F619*'Real assumptions'!$B$3</f>
        <v>0.1972744555</v>
      </c>
      <c r="H619">
        <f t="shared" si="479"/>
        <v>1.814522408167818E-2</v>
      </c>
      <c r="I619">
        <f t="shared" si="480"/>
        <v>2.3705341527669794E-4</v>
      </c>
      <c r="J619">
        <f>IF(B619&gt;$AJ$2,0,HLOOKUP(C619,'Real assumptions'!$B$5:$L$8,4,TRUE))</f>
        <v>3.7900000000000003E-2</v>
      </c>
      <c r="K619">
        <f t="shared" si="432"/>
        <v>1</v>
      </c>
      <c r="L619">
        <f t="shared" si="460"/>
        <v>8.3333333333333329E-2</v>
      </c>
      <c r="M619">
        <f t="shared" si="481"/>
        <v>3.2145624959929453E-3</v>
      </c>
      <c r="N619">
        <f t="shared" si="482"/>
        <v>4.1681772726558524E-5</v>
      </c>
      <c r="O619" s="8">
        <f t="shared" si="444"/>
        <v>1.2806528410593869E-2</v>
      </c>
      <c r="P619">
        <f t="shared" si="445"/>
        <v>0.31404632636633101</v>
      </c>
      <c r="Q619">
        <f t="shared" si="461"/>
        <v>1.1852670763834896</v>
      </c>
      <c r="R619" s="89">
        <f t="shared" si="433"/>
        <v>5000</v>
      </c>
      <c r="S619">
        <f t="shared" si="434"/>
        <v>0.3333333333333357</v>
      </c>
      <c r="U619">
        <f>O618*AV618*'Real assumptions'!$B$33/12+AX619*'Real assumptions'!$B$34</f>
        <v>0.25351116267156099</v>
      </c>
      <c r="V619">
        <f>IF(P619=0,0,IF(E619&lt;=$C$7,$AN$5*O618,0))*'Real assumptions'!$D$28</f>
        <v>0</v>
      </c>
      <c r="X619" s="94">
        <f t="shared" si="446"/>
        <v>0</v>
      </c>
      <c r="Y619">
        <f t="shared" si="435"/>
        <v>24</v>
      </c>
      <c r="Z619">
        <f t="shared" si="462"/>
        <v>48</v>
      </c>
      <c r="AA619">
        <f t="shared" si="436"/>
        <v>48.333333333333336</v>
      </c>
      <c r="AB619">
        <f t="shared" si="447"/>
        <v>50.505050505050505</v>
      </c>
      <c r="AC619">
        <f t="shared" si="483"/>
        <v>2441.0774410774411</v>
      </c>
      <c r="AD619">
        <f t="shared" si="448"/>
        <v>80.505050505050505</v>
      </c>
      <c r="AE619">
        <f t="shared" si="449"/>
        <v>194.55387205387206</v>
      </c>
      <c r="AF619" s="94">
        <f t="shared" si="450"/>
        <v>2364.3686868686868</v>
      </c>
      <c r="AG619">
        <f t="shared" si="463"/>
        <v>9.8551078247852225E-2</v>
      </c>
      <c r="AH619">
        <f t="shared" si="451"/>
        <v>30.279354761502358</v>
      </c>
      <c r="AI619">
        <f>HLOOKUP(AW619,'Real assumptions'!$A$21:$AK$24,2,TRUE)</f>
        <v>0</v>
      </c>
      <c r="AJ619" s="123">
        <f t="shared" si="484"/>
        <v>0</v>
      </c>
      <c r="AK619" s="122">
        <f>(1+HLOOKUP(YEAR(A619),'Real assumptions'!$A$21:$AK$24,2,TRUE)/100)^(1/12)-1</f>
        <v>0</v>
      </c>
      <c r="AL619">
        <f t="shared" si="464"/>
        <v>0.25351116267156099</v>
      </c>
      <c r="AM619">
        <f>('Real assumptions'!$B$33/12)*O618*AV618</f>
        <v>0.24503695448368087</v>
      </c>
      <c r="AN619">
        <f t="shared" si="452"/>
        <v>30.939460726535238</v>
      </c>
      <c r="AO619">
        <f t="shared" si="485"/>
        <v>0</v>
      </c>
      <c r="AP619" s="121">
        <f t="shared" si="453"/>
        <v>0</v>
      </c>
      <c r="AQ619">
        <f t="shared" si="454"/>
        <v>0</v>
      </c>
      <c r="AR619">
        <v>0</v>
      </c>
      <c r="AS619">
        <f t="shared" si="437"/>
        <v>0</v>
      </c>
      <c r="AT619">
        <f t="shared" si="455"/>
        <v>0</v>
      </c>
      <c r="AU619">
        <f>IFERROR(HLOOKUP(B619,'Real assumptions'!$B$43:$AL$44,2,TRUE)*($W$3/$U$2),0)</f>
        <v>0</v>
      </c>
      <c r="AV619">
        <f>AV618*(1+'Real assumptions'!$B$35)^(1/12)</f>
        <v>1.8745571969909638</v>
      </c>
      <c r="AW619">
        <f t="shared" si="438"/>
        <v>2069</v>
      </c>
      <c r="AX619">
        <f t="shared" si="465"/>
        <v>30.933998221083723</v>
      </c>
      <c r="AY619">
        <f t="shared" si="466"/>
        <v>5.5072658243253886E-2</v>
      </c>
      <c r="AZ619">
        <f t="shared" si="439"/>
        <v>58.420590595054094</v>
      </c>
      <c r="BA619">
        <f t="shared" si="456"/>
        <v>1.2838181546313419</v>
      </c>
      <c r="BB619">
        <f t="shared" si="457"/>
        <v>48.333333333333336</v>
      </c>
      <c r="BC619">
        <f t="shared" si="440"/>
        <v>29</v>
      </c>
      <c r="BD619">
        <f t="shared" si="458"/>
        <v>0</v>
      </c>
      <c r="BE619">
        <f t="shared" si="441"/>
        <v>24</v>
      </c>
      <c r="BF619">
        <f t="shared" si="467"/>
        <v>5000</v>
      </c>
      <c r="BU619"/>
      <c r="DW619" s="89"/>
      <c r="DX619" s="89"/>
      <c r="FD619"/>
      <c r="FE619"/>
    </row>
    <row r="620" spans="1:161" x14ac:dyDescent="0.25">
      <c r="A620" s="7">
        <f t="shared" si="459"/>
        <v>61971</v>
      </c>
      <c r="B620">
        <f t="shared" si="442"/>
        <v>609</v>
      </c>
      <c r="C620">
        <f t="shared" si="477"/>
        <v>50.666666666666664</v>
      </c>
      <c r="D620">
        <f t="shared" si="478"/>
        <v>0</v>
      </c>
      <c r="E620">
        <f t="shared" si="443"/>
        <v>102</v>
      </c>
      <c r="F620">
        <f>IF(C620&gt;=$T$2,0,VLOOKUP($E620,EKM_F05!$A$3:$C$128,2,TRUE))</f>
        <v>0.47274012820512817</v>
      </c>
      <c r="G620">
        <f>F620*'Real assumptions'!$B$3</f>
        <v>0.1972744555</v>
      </c>
      <c r="H620">
        <f t="shared" si="479"/>
        <v>1.814522408167818E-2</v>
      </c>
      <c r="I620">
        <f t="shared" si="480"/>
        <v>2.3200383199730202E-4</v>
      </c>
      <c r="J620">
        <f>IF(B620&gt;$AJ$2,0,HLOOKUP(C620,'Real assumptions'!$B$5:$L$8,4,TRUE))</f>
        <v>3.7900000000000003E-2</v>
      </c>
      <c r="K620">
        <f t="shared" si="432"/>
        <v>1</v>
      </c>
      <c r="L620">
        <f t="shared" si="460"/>
        <v>8.3333333333333329E-2</v>
      </c>
      <c r="M620">
        <f t="shared" si="481"/>
        <v>3.2145624959929453E-3</v>
      </c>
      <c r="N620">
        <f t="shared" si="482"/>
        <v>4.0793890211261552E-5</v>
      </c>
      <c r="O620" s="8">
        <f t="shared" si="444"/>
        <v>1.2533730688385305E-2</v>
      </c>
      <c r="P620">
        <f t="shared" si="445"/>
        <v>0.30735668185425286</v>
      </c>
      <c r="Q620">
        <f t="shared" si="461"/>
        <v>1.1600191599865102</v>
      </c>
      <c r="R620" s="89">
        <f t="shared" si="433"/>
        <v>5000</v>
      </c>
      <c r="S620">
        <f t="shared" si="434"/>
        <v>0.25</v>
      </c>
      <c r="U620">
        <f>O619*AV619*'Real assumptions'!$B$33/12+AX620*'Real assumptions'!$B$34</f>
        <v>0.24837533751330926</v>
      </c>
      <c r="V620">
        <f>IF(P620=0,0,IF(E620&lt;=$C$7,$AN$5*O619,0))*'Real assumptions'!$D$28</f>
        <v>0</v>
      </c>
      <c r="X620" s="94">
        <f t="shared" si="446"/>
        <v>0</v>
      </c>
      <c r="Y620">
        <f t="shared" si="435"/>
        <v>24</v>
      </c>
      <c r="Z620">
        <f t="shared" si="462"/>
        <v>48</v>
      </c>
      <c r="AA620">
        <f t="shared" si="436"/>
        <v>48.25</v>
      </c>
      <c r="AB620">
        <f t="shared" si="447"/>
        <v>50.505050505050505</v>
      </c>
      <c r="AC620">
        <f t="shared" si="483"/>
        <v>2436.8686868686868</v>
      </c>
      <c r="AD620">
        <f t="shared" si="448"/>
        <v>80.505050505050505</v>
      </c>
      <c r="AE620">
        <f t="shared" si="449"/>
        <v>194.21843434343432</v>
      </c>
      <c r="AF620" s="94">
        <f t="shared" si="450"/>
        <v>2368.912878787879</v>
      </c>
      <c r="AG620">
        <f t="shared" si="463"/>
        <v>9.6637171897316285E-2</v>
      </c>
      <c r="AH620">
        <f t="shared" si="451"/>
        <v>29.691316046974819</v>
      </c>
      <c r="AI620">
        <f>HLOOKUP(AW620,'Real assumptions'!$A$21:$AK$24,2,TRUE)</f>
        <v>0</v>
      </c>
      <c r="AJ620" s="123">
        <f t="shared" si="484"/>
        <v>0</v>
      </c>
      <c r="AK620" s="122">
        <f>(1+HLOOKUP(YEAR(A620),'Real assumptions'!$A$21:$AK$24,2,TRUE)/100)^(1/12)-1</f>
        <v>0</v>
      </c>
      <c r="AL620">
        <f t="shared" si="464"/>
        <v>0.24837533751330926</v>
      </c>
      <c r="AM620">
        <f>('Real assumptions'!$B$33/12)*O619*AV619</f>
        <v>0.24006570000547989</v>
      </c>
      <c r="AN620">
        <f t="shared" si="452"/>
        <v>30.3383361058433</v>
      </c>
      <c r="AO620">
        <f t="shared" si="485"/>
        <v>0</v>
      </c>
      <c r="AP620" s="121">
        <f t="shared" si="453"/>
        <v>0</v>
      </c>
      <c r="AQ620">
        <f t="shared" si="454"/>
        <v>0</v>
      </c>
      <c r="AR620">
        <v>0</v>
      </c>
      <c r="AS620">
        <f t="shared" si="437"/>
        <v>0</v>
      </c>
      <c r="AT620">
        <f t="shared" si="455"/>
        <v>0</v>
      </c>
      <c r="AU620">
        <f>IFERROR(HLOOKUP(B620,'Real assumptions'!$B$43:$AL$44,2,TRUE)*($W$3/$U$2),0)</f>
        <v>0</v>
      </c>
      <c r="AV620">
        <f>AV619*(1+'Real assumptions'!$B$35)^(1/12)</f>
        <v>1.8764987621370712</v>
      </c>
      <c r="AW620">
        <f t="shared" si="438"/>
        <v>2069</v>
      </c>
      <c r="AX620">
        <f t="shared" si="465"/>
        <v>30.333254291849975</v>
      </c>
      <c r="AY620">
        <f t="shared" si="466"/>
        <v>5.389953034761729E-2</v>
      </c>
      <c r="AZ620">
        <f t="shared" si="439"/>
        <v>57.222915607511212</v>
      </c>
      <c r="BA620">
        <f t="shared" si="456"/>
        <v>1.2566563318838264</v>
      </c>
      <c r="BB620">
        <f t="shared" si="457"/>
        <v>48.25</v>
      </c>
      <c r="BC620">
        <f t="shared" si="440"/>
        <v>28.95</v>
      </c>
      <c r="BD620">
        <f t="shared" si="458"/>
        <v>0</v>
      </c>
      <c r="BE620">
        <f t="shared" si="441"/>
        <v>24</v>
      </c>
      <c r="BF620">
        <f t="shared" si="467"/>
        <v>5000</v>
      </c>
      <c r="BU620"/>
      <c r="DW620" s="89"/>
      <c r="DX620" s="89"/>
      <c r="FD620"/>
      <c r="FE620"/>
    </row>
    <row r="621" spans="1:161" x14ac:dyDescent="0.25">
      <c r="A621" s="7">
        <f t="shared" si="459"/>
        <v>62001</v>
      </c>
      <c r="B621">
        <f t="shared" si="442"/>
        <v>610</v>
      </c>
      <c r="C621">
        <f t="shared" si="477"/>
        <v>50.75</v>
      </c>
      <c r="D621">
        <f t="shared" si="478"/>
        <v>0</v>
      </c>
      <c r="E621">
        <f t="shared" si="443"/>
        <v>102</v>
      </c>
      <c r="F621">
        <f>IF(C621&gt;=$T$2,0,VLOOKUP($E621,EKM_F05!$A$3:$C$128,2,TRUE))</f>
        <v>0.47274012820512817</v>
      </c>
      <c r="G621">
        <f>F621*'Real assumptions'!$B$3</f>
        <v>0.1972744555</v>
      </c>
      <c r="H621">
        <f t="shared" si="479"/>
        <v>1.814522408167818E-2</v>
      </c>
      <c r="I621">
        <f t="shared" si="480"/>
        <v>2.2706181220213511E-4</v>
      </c>
      <c r="J621">
        <f>IF(B621&gt;$AJ$2,0,HLOOKUP(C621,'Real assumptions'!$B$5:$L$8,4,TRUE))</f>
        <v>3.7900000000000003E-2</v>
      </c>
      <c r="K621">
        <f t="shared" si="432"/>
        <v>1</v>
      </c>
      <c r="L621">
        <f t="shared" si="460"/>
        <v>8.3333333333333329E-2</v>
      </c>
      <c r="M621">
        <f t="shared" si="481"/>
        <v>3.2145624959929453E-3</v>
      </c>
      <c r="N621">
        <f t="shared" si="482"/>
        <v>3.9924920887736481E-5</v>
      </c>
      <c r="O621" s="8">
        <f t="shared" si="444"/>
        <v>1.2266743955295435E-2</v>
      </c>
      <c r="P621">
        <f t="shared" si="445"/>
        <v>0.30080953652124731</v>
      </c>
      <c r="Q621">
        <f t="shared" si="461"/>
        <v>1.1353090610106755</v>
      </c>
      <c r="R621" s="89">
        <f t="shared" si="433"/>
        <v>5000</v>
      </c>
      <c r="S621">
        <f t="shared" si="434"/>
        <v>0.1666666666666643</v>
      </c>
      <c r="U621">
        <f>O620*AV620*'Real assumptions'!$B$33/12+AX621*'Real assumptions'!$B$34</f>
        <v>0.24334353404592288</v>
      </c>
      <c r="V621">
        <f>IF(P621=0,0,IF(E621&lt;=$C$7,$AN$5*O620,0))*'Real assumptions'!$D$28</f>
        <v>0</v>
      </c>
      <c r="X621" s="94">
        <f t="shared" si="446"/>
        <v>0</v>
      </c>
      <c r="Y621">
        <f t="shared" si="435"/>
        <v>24</v>
      </c>
      <c r="Z621">
        <f t="shared" si="462"/>
        <v>48</v>
      </c>
      <c r="AA621">
        <f t="shared" si="436"/>
        <v>48.166666666666664</v>
      </c>
      <c r="AB621">
        <f t="shared" si="447"/>
        <v>50.505050505050505</v>
      </c>
      <c r="AC621">
        <f t="shared" si="483"/>
        <v>2432.6599326599326</v>
      </c>
      <c r="AD621">
        <f t="shared" si="448"/>
        <v>80.505050505050505</v>
      </c>
      <c r="AE621">
        <f t="shared" si="449"/>
        <v>193.88299663299662</v>
      </c>
      <c r="AF621" s="94">
        <f t="shared" si="450"/>
        <v>2373.4570707070707</v>
      </c>
      <c r="AG621">
        <f t="shared" si="463"/>
        <v>9.4760085778418573E-2</v>
      </c>
      <c r="AH621">
        <f t="shared" si="451"/>
        <v>29.11459017524917</v>
      </c>
      <c r="AI621">
        <f>HLOOKUP(AW621,'Real assumptions'!$A$21:$AK$24,2,TRUE)</f>
        <v>0</v>
      </c>
      <c r="AJ621" s="123">
        <f t="shared" si="484"/>
        <v>0</v>
      </c>
      <c r="AK621" s="122">
        <f>(1+HLOOKUP(YEAR(A621),'Real assumptions'!$A$21:$AK$24,2,TRUE)/100)^(1/12)-1</f>
        <v>0</v>
      </c>
      <c r="AL621">
        <f t="shared" si="464"/>
        <v>0.24334353404592288</v>
      </c>
      <c r="AM621">
        <f>('Real assumptions'!$B$33/12)*O620*AV620</f>
        <v>0.23519530121714446</v>
      </c>
      <c r="AN621">
        <f t="shared" si="452"/>
        <v>29.748782049450142</v>
      </c>
      <c r="AO621">
        <f t="shared" si="485"/>
        <v>0</v>
      </c>
      <c r="AP621" s="121">
        <f t="shared" si="453"/>
        <v>0</v>
      </c>
      <c r="AQ621">
        <f t="shared" si="454"/>
        <v>0</v>
      </c>
      <c r="AR621">
        <v>0</v>
      </c>
      <c r="AS621">
        <f t="shared" si="437"/>
        <v>0</v>
      </c>
      <c r="AT621">
        <f t="shared" si="455"/>
        <v>0</v>
      </c>
      <c r="AU621">
        <f>IFERROR(HLOOKUP(B621,'Real assumptions'!$B$43:$AL$44,2,TRUE)*($W$3/$U$2),0)</f>
        <v>0</v>
      </c>
      <c r="AV621">
        <f>AV620*(1+'Real assumptions'!$B$35)^(1/12)</f>
        <v>1.8784423382515412</v>
      </c>
      <c r="AW621">
        <f t="shared" si="438"/>
        <v>2069</v>
      </c>
      <c r="AX621">
        <f t="shared" si="465"/>
        <v>29.744067438760954</v>
      </c>
      <c r="AY621">
        <f t="shared" si="466"/>
        <v>5.2751391786133438E-2</v>
      </c>
      <c r="AZ621">
        <f t="shared" si="439"/>
        <v>56.05031246319745</v>
      </c>
      <c r="BA621">
        <f t="shared" si="456"/>
        <v>1.2300691467890941</v>
      </c>
      <c r="BB621">
        <f t="shared" si="457"/>
        <v>48.166666666666664</v>
      </c>
      <c r="BC621">
        <f t="shared" si="440"/>
        <v>28.9</v>
      </c>
      <c r="BD621">
        <f t="shared" si="458"/>
        <v>0</v>
      </c>
      <c r="BE621">
        <f t="shared" si="441"/>
        <v>24</v>
      </c>
      <c r="BF621">
        <f t="shared" si="467"/>
        <v>5000</v>
      </c>
      <c r="BU621"/>
      <c r="DW621" s="89"/>
      <c r="DX621" s="89"/>
      <c r="FD621"/>
      <c r="FE621"/>
    </row>
    <row r="622" spans="1:161" x14ac:dyDescent="0.25">
      <c r="A622" s="7">
        <f t="shared" si="459"/>
        <v>62032</v>
      </c>
      <c r="B622">
        <f t="shared" si="442"/>
        <v>611</v>
      </c>
      <c r="C622">
        <f t="shared" si="477"/>
        <v>50.833333333333336</v>
      </c>
      <c r="D622">
        <f t="shared" si="478"/>
        <v>0</v>
      </c>
      <c r="E622">
        <f t="shared" si="443"/>
        <v>102</v>
      </c>
      <c r="F622">
        <f>IF(C622&gt;=$T$2,0,VLOOKUP($E622,EKM_F05!$A$3:$C$128,2,TRUE))</f>
        <v>0.47274012820512817</v>
      </c>
      <c r="G622">
        <f>F622*'Real assumptions'!$B$3</f>
        <v>0.1972744555</v>
      </c>
      <c r="H622">
        <f t="shared" si="479"/>
        <v>1.814522408167818E-2</v>
      </c>
      <c r="I622">
        <f t="shared" si="480"/>
        <v>2.222250646321964E-4</v>
      </c>
      <c r="J622">
        <f>IF(B622&gt;$AJ$2,0,HLOOKUP(C622,'Real assumptions'!$B$5:$L$8,4,TRUE))</f>
        <v>3.7900000000000003E-2</v>
      </c>
      <c r="K622">
        <f t="shared" si="432"/>
        <v>1</v>
      </c>
      <c r="L622">
        <f t="shared" si="460"/>
        <v>8.3333333333333329E-2</v>
      </c>
      <c r="M622">
        <f t="shared" si="481"/>
        <v>3.2145624959929453E-3</v>
      </c>
      <c r="N622">
        <f t="shared" si="482"/>
        <v>3.9074461877430303E-5</v>
      </c>
      <c r="O622" s="8">
        <f t="shared" si="444"/>
        <v>1.2005444428785808E-2</v>
      </c>
      <c r="P622">
        <f t="shared" si="445"/>
        <v>0.29440185492709042</v>
      </c>
      <c r="Q622">
        <f t="shared" si="461"/>
        <v>1.1111253231609819</v>
      </c>
      <c r="R622" s="89">
        <f t="shared" si="433"/>
        <v>5000</v>
      </c>
      <c r="S622">
        <f t="shared" si="434"/>
        <v>8.3333333333335702E-2</v>
      </c>
      <c r="U622">
        <f>O621*AV621*'Real assumptions'!$B$33/12+AX622*'Real assumptions'!$B$34</f>
        <v>0.23841364592532716</v>
      </c>
      <c r="V622">
        <f>IF(P622=0,0,IF(E622&lt;=$C$7,$AN$5*O621,0))*'Real assumptions'!$D$28</f>
        <v>0</v>
      </c>
      <c r="X622" s="94">
        <f t="shared" si="446"/>
        <v>0</v>
      </c>
      <c r="Y622">
        <f t="shared" si="435"/>
        <v>24</v>
      </c>
      <c r="Z622">
        <f t="shared" si="462"/>
        <v>48</v>
      </c>
      <c r="AA622">
        <f t="shared" si="436"/>
        <v>48.083333333333336</v>
      </c>
      <c r="AB622">
        <f t="shared" si="447"/>
        <v>50.505050505050505</v>
      </c>
      <c r="AC622">
        <f t="shared" si="483"/>
        <v>2428.4511784511787</v>
      </c>
      <c r="AD622">
        <f t="shared" si="448"/>
        <v>80.505050505050505</v>
      </c>
      <c r="AE622">
        <f t="shared" si="449"/>
        <v>193.54755892255892</v>
      </c>
      <c r="AF622" s="94">
        <f t="shared" si="450"/>
        <v>2378.0012626262624</v>
      </c>
      <c r="AG622">
        <f t="shared" si="463"/>
        <v>9.291911968097101E-2</v>
      </c>
      <c r="AH622">
        <f t="shared" si="451"/>
        <v>28.548962010042079</v>
      </c>
      <c r="AI622">
        <f>HLOOKUP(AW622,'Real assumptions'!$A$21:$AK$24,2,TRUE)</f>
        <v>0</v>
      </c>
      <c r="AJ622" s="123">
        <f t="shared" si="484"/>
        <v>0</v>
      </c>
      <c r="AK622" s="122">
        <f>(1+HLOOKUP(YEAR(A622),'Real assumptions'!$A$21:$AK$24,2,TRUE)/100)^(1/12)-1</f>
        <v>0</v>
      </c>
      <c r="AL622">
        <f t="shared" si="464"/>
        <v>0.23841364592532716</v>
      </c>
      <c r="AM622">
        <f>('Real assumptions'!$B$33/12)*O621*AV621</f>
        <v>0.23042371198118117</v>
      </c>
      <c r="AN622">
        <f t="shared" si="452"/>
        <v>29.170578384250934</v>
      </c>
      <c r="AO622">
        <f t="shared" si="485"/>
        <v>0</v>
      </c>
      <c r="AP622" s="121">
        <f t="shared" si="453"/>
        <v>0</v>
      </c>
      <c r="AQ622">
        <f t="shared" si="454"/>
        <v>0</v>
      </c>
      <c r="AR622">
        <v>0</v>
      </c>
      <c r="AS622">
        <f t="shared" si="437"/>
        <v>0</v>
      </c>
      <c r="AT622">
        <f t="shared" si="455"/>
        <v>0</v>
      </c>
      <c r="AU622">
        <f>IFERROR(HLOOKUP(B622,'Real assumptions'!$B$43:$AL$44,2,TRUE)*($W$3/$U$2),0)</f>
        <v>0</v>
      </c>
      <c r="AV622">
        <f>AV621*(1+'Real assumptions'!$B$35)^(1/12)</f>
        <v>1.8803879274172259</v>
      </c>
      <c r="AW622">
        <f t="shared" si="438"/>
        <v>2069</v>
      </c>
      <c r="AX622">
        <f t="shared" si="465"/>
        <v>29.166217885498728</v>
      </c>
      <c r="AY622">
        <f t="shared" si="466"/>
        <v>5.1627710249559908E-2</v>
      </c>
      <c r="AZ622">
        <f t="shared" si="439"/>
        <v>54.902256229357256</v>
      </c>
      <c r="BA622">
        <f t="shared" si="456"/>
        <v>1.204044442841953</v>
      </c>
      <c r="BB622">
        <f t="shared" si="457"/>
        <v>48.083333333333336</v>
      </c>
      <c r="BC622">
        <f t="shared" si="440"/>
        <v>28.85</v>
      </c>
      <c r="BD622">
        <f t="shared" si="458"/>
        <v>0</v>
      </c>
      <c r="BE622">
        <f t="shared" si="441"/>
        <v>24</v>
      </c>
      <c r="BF622">
        <f t="shared" si="467"/>
        <v>5000</v>
      </c>
      <c r="BU622"/>
      <c r="DW622" s="89"/>
      <c r="DX622" s="89"/>
      <c r="FD622"/>
      <c r="FE622"/>
    </row>
    <row r="623" spans="1:161" x14ac:dyDescent="0.25">
      <c r="A623" s="7">
        <f t="shared" si="459"/>
        <v>62062</v>
      </c>
      <c r="B623">
        <f t="shared" si="442"/>
        <v>612</v>
      </c>
      <c r="C623">
        <f t="shared" si="477"/>
        <v>50.916666666666664</v>
      </c>
      <c r="D623">
        <f t="shared" si="478"/>
        <v>0</v>
      </c>
      <c r="E623">
        <f t="shared" si="443"/>
        <v>102</v>
      </c>
      <c r="F623">
        <f>IF(C623&gt;=$T$2,0,VLOOKUP($E623,EKM_F05!$A$3:$C$128,2,TRUE))</f>
        <v>0.47274012820512817</v>
      </c>
      <c r="G623">
        <f>F623*'Real assumptions'!$B$3</f>
        <v>0.1972744555</v>
      </c>
      <c r="H623">
        <f t="shared" si="479"/>
        <v>1.814522408167818E-2</v>
      </c>
      <c r="I623">
        <f t="shared" si="480"/>
        <v>2.174913468356415E-4</v>
      </c>
      <c r="J623">
        <f>IF(B623&gt;$AJ$2,0,HLOOKUP(C623,'Real assumptions'!$B$5:$L$8,4,TRUE))</f>
        <v>3.7900000000000003E-2</v>
      </c>
      <c r="K623">
        <f t="shared" si="432"/>
        <v>1</v>
      </c>
      <c r="L623">
        <f t="shared" si="460"/>
        <v>8.3333333333333329E-2</v>
      </c>
      <c r="M623">
        <f t="shared" si="481"/>
        <v>3.2145624959929453E-3</v>
      </c>
      <c r="N623">
        <f t="shared" si="482"/>
        <v>3.824211888369044E-5</v>
      </c>
      <c r="O623" s="8">
        <f t="shared" si="444"/>
        <v>1.1749710963066476E-2</v>
      </c>
      <c r="P623">
        <f t="shared" si="445"/>
        <v>0.28813066629085937</v>
      </c>
      <c r="Q623">
        <f t="shared" si="461"/>
        <v>1.0874567341782075</v>
      </c>
      <c r="R623" s="89">
        <f t="shared" si="433"/>
        <v>5000</v>
      </c>
      <c r="S623">
        <f t="shared" si="434"/>
        <v>1</v>
      </c>
      <c r="U623">
        <f>O622*AV622*'Real assumptions'!$B$33/12+AX623*'Real assumptions'!$B$34</f>
        <v>0.23358360944741971</v>
      </c>
      <c r="V623">
        <f>IF(P623=0,0,IF(E623&lt;=$C$7,$AN$5*O622,0))*'Real assumptions'!$D$28</f>
        <v>0</v>
      </c>
      <c r="X623" s="94">
        <f t="shared" si="446"/>
        <v>0</v>
      </c>
      <c r="Y623">
        <f t="shared" si="435"/>
        <v>24</v>
      </c>
      <c r="Z623">
        <f t="shared" si="462"/>
        <v>48</v>
      </c>
      <c r="AA623">
        <f t="shared" si="436"/>
        <v>48</v>
      </c>
      <c r="AB623">
        <f t="shared" si="447"/>
        <v>50.505050505050505</v>
      </c>
      <c r="AC623">
        <f t="shared" si="483"/>
        <v>2424.242424242424</v>
      </c>
      <c r="AD623">
        <f t="shared" si="448"/>
        <v>80.505050505050505</v>
      </c>
      <c r="AE623">
        <f t="shared" si="449"/>
        <v>193.21212121212119</v>
      </c>
      <c r="AF623" s="94">
        <f t="shared" si="450"/>
        <v>2382.545454545455</v>
      </c>
      <c r="AG623">
        <f t="shared" si="463"/>
        <v>9.1113586518523568E-2</v>
      </c>
      <c r="AH623">
        <f t="shared" si="451"/>
        <v>27.99422044727693</v>
      </c>
      <c r="AI623">
        <f>HLOOKUP(AW623,'Real assumptions'!$A$21:$AK$24,2,TRUE)</f>
        <v>0</v>
      </c>
      <c r="AJ623" s="123">
        <f t="shared" si="484"/>
        <v>0</v>
      </c>
      <c r="AK623" s="122">
        <f>(1+HLOOKUP(YEAR(A623),'Real assumptions'!$A$21:$AK$24,2,TRUE)/100)^(1/12)-1</f>
        <v>0</v>
      </c>
      <c r="AL623">
        <f t="shared" si="464"/>
        <v>0.23358360944741971</v>
      </c>
      <c r="AM623">
        <f>('Real assumptions'!$B$33/12)*O622*AV622</f>
        <v>0.22574892767167229</v>
      </c>
      <c r="AN623">
        <f t="shared" si="452"/>
        <v>28.603509066885518</v>
      </c>
      <c r="AO623">
        <f t="shared" si="485"/>
        <v>0</v>
      </c>
      <c r="AP623" s="121">
        <f t="shared" si="453"/>
        <v>0</v>
      </c>
      <c r="AQ623">
        <f t="shared" si="454"/>
        <v>0</v>
      </c>
      <c r="AR623">
        <v>0</v>
      </c>
      <c r="AS623">
        <f t="shared" si="437"/>
        <v>0</v>
      </c>
      <c r="AT623">
        <f t="shared" si="455"/>
        <v>0</v>
      </c>
      <c r="AU623">
        <f>IFERROR(HLOOKUP(B623,'Real assumptions'!$B$43:$AL$44,2,TRUE)*($W$3/$U$2),0)</f>
        <v>0</v>
      </c>
      <c r="AV623">
        <f>AV622*(1+'Real assumptions'!$B$35)^(1/12)</f>
        <v>1.8823355317191353</v>
      </c>
      <c r="AW623">
        <f t="shared" si="438"/>
        <v>2069</v>
      </c>
      <c r="AX623">
        <f t="shared" si="465"/>
        <v>28.599489974809696</v>
      </c>
      <c r="AY623">
        <f t="shared" si="466"/>
        <v>5.0527964767617034E-2</v>
      </c>
      <c r="AZ623">
        <f t="shared" si="439"/>
        <v>53.778232965503967</v>
      </c>
      <c r="BA623">
        <f t="shared" si="456"/>
        <v>1.1785703206967311</v>
      </c>
      <c r="BB623">
        <f t="shared" si="457"/>
        <v>48</v>
      </c>
      <c r="BC623">
        <f t="shared" si="440"/>
        <v>28.799999999999997</v>
      </c>
      <c r="BD623">
        <f t="shared" si="458"/>
        <v>0</v>
      </c>
      <c r="BE623">
        <f t="shared" si="441"/>
        <v>24</v>
      </c>
      <c r="BF623">
        <f t="shared" si="467"/>
        <v>5000</v>
      </c>
      <c r="BU623"/>
      <c r="DW623" s="89"/>
      <c r="DX623" s="89"/>
      <c r="FD623"/>
      <c r="FE623"/>
    </row>
    <row r="624" spans="1:161" x14ac:dyDescent="0.25">
      <c r="A624" s="7">
        <f t="shared" si="459"/>
        <v>62093</v>
      </c>
      <c r="B624">
        <f t="shared" si="442"/>
        <v>613</v>
      </c>
      <c r="C624">
        <f t="shared" si="477"/>
        <v>51</v>
      </c>
      <c r="D624">
        <f t="shared" si="478"/>
        <v>1</v>
      </c>
      <c r="E624">
        <f t="shared" si="443"/>
        <v>103</v>
      </c>
      <c r="F624">
        <f>IF(C624&gt;=$T$2,0,VLOOKUP($E624,EKM_F05!$A$3:$C$128,2,TRUE))</f>
        <v>0.5172848717948717</v>
      </c>
      <c r="G624">
        <f>F624*'Real assumptions'!$B$3</f>
        <v>0.21586297699999996</v>
      </c>
      <c r="H624">
        <f t="shared" si="479"/>
        <v>2.0060350776723301E-2</v>
      </c>
      <c r="I624">
        <f t="shared" si="480"/>
        <v>2.353244819123625E-4</v>
      </c>
      <c r="J624">
        <f>IF(B624&gt;$AJ$2,0,HLOOKUP(C624,'Real assumptions'!$B$5:$L$8,4,TRUE))</f>
        <v>3.7900000000000003E-2</v>
      </c>
      <c r="K624">
        <f t="shared" si="432"/>
        <v>1</v>
      </c>
      <c r="L624">
        <f t="shared" si="460"/>
        <v>8.3333333333333329E-2</v>
      </c>
      <c r="M624">
        <f t="shared" si="481"/>
        <v>3.2145624959929453E-3</v>
      </c>
      <c r="N624">
        <f t="shared" si="482"/>
        <v>3.739133866876829E-5</v>
      </c>
      <c r="O624" s="8">
        <f t="shared" si="444"/>
        <v>1.1476995142485345E-2</v>
      </c>
      <c r="P624">
        <f t="shared" si="445"/>
        <v>0.2819930631135954</v>
      </c>
      <c r="Q624">
        <f t="shared" si="461"/>
        <v>1.1766224095618125</v>
      </c>
      <c r="R624" s="89">
        <f t="shared" si="433"/>
        <v>5000</v>
      </c>
      <c r="S624">
        <f t="shared" si="434"/>
        <v>0.9166666666666643</v>
      </c>
      <c r="U624">
        <f>O623*AV623*'Real assumptions'!$B$33/12+AX624*'Real assumptions'!$B$34</f>
        <v>0.22885140268513884</v>
      </c>
      <c r="V624">
        <f>IF(P624=0,0,IF(E624&lt;=$C$7,$AN$5*O623,0))*'Real assumptions'!$D$28</f>
        <v>0</v>
      </c>
      <c r="X624" s="94">
        <f t="shared" si="446"/>
        <v>0</v>
      </c>
      <c r="Y624">
        <f t="shared" si="435"/>
        <v>24</v>
      </c>
      <c r="Z624">
        <f t="shared" si="462"/>
        <v>48</v>
      </c>
      <c r="AA624">
        <f t="shared" si="436"/>
        <v>47.916666666666664</v>
      </c>
      <c r="AB624">
        <f t="shared" si="447"/>
        <v>50.505050505050505</v>
      </c>
      <c r="AC624">
        <f t="shared" si="483"/>
        <v>2420.0336700336698</v>
      </c>
      <c r="AD624">
        <f t="shared" si="448"/>
        <v>80.505050505050505</v>
      </c>
      <c r="AE624">
        <f t="shared" si="449"/>
        <v>192.87668350168349</v>
      </c>
      <c r="AF624" s="94">
        <f t="shared" si="450"/>
        <v>2387.0896464646466</v>
      </c>
      <c r="AG624">
        <f t="shared" si="463"/>
        <v>8.9256477403669973E-2</v>
      </c>
      <c r="AH624">
        <f t="shared" si="451"/>
        <v>27.396616277151811</v>
      </c>
      <c r="AI624">
        <f>HLOOKUP(AW624,'Real assumptions'!$A$21:$AK$24,2,TRUE)</f>
        <v>0</v>
      </c>
      <c r="AJ624" s="123">
        <f t="shared" si="484"/>
        <v>0</v>
      </c>
      <c r="AK624" s="122">
        <f>(1+HLOOKUP(YEAR(A624),'Real assumptions'!$A$21:$AK$24,2,TRUE)/100)^(1/12)-1</f>
        <v>0</v>
      </c>
      <c r="AL624">
        <f t="shared" si="464"/>
        <v>0.22885140268513884</v>
      </c>
      <c r="AM624">
        <f>('Real assumptions'!$B$33/12)*O623*AV623</f>
        <v>0.22116898433209889</v>
      </c>
      <c r="AN624">
        <f t="shared" si="452"/>
        <v>28.047362107705389</v>
      </c>
      <c r="AO624">
        <f t="shared" si="485"/>
        <v>0</v>
      </c>
      <c r="AP624" s="121">
        <f t="shared" si="453"/>
        <v>0</v>
      </c>
      <c r="AQ624">
        <f t="shared" si="454"/>
        <v>0</v>
      </c>
      <c r="AR624">
        <v>0</v>
      </c>
      <c r="AS624">
        <f t="shared" si="437"/>
        <v>0</v>
      </c>
      <c r="AT624">
        <f t="shared" si="455"/>
        <v>0</v>
      </c>
      <c r="AU624">
        <f>IFERROR(HLOOKUP(B624,'Real assumptions'!$B$43:$AL$44,2,TRUE)*($W$3/$U$2),0)</f>
        <v>0</v>
      </c>
      <c r="AV624">
        <f>AV623*(1+'Real assumptions'!$B$35)^(1/12)</f>
        <v>1.8842851532444385</v>
      </c>
      <c r="AW624">
        <f t="shared" si="438"/>
        <v>2069</v>
      </c>
      <c r="AX624">
        <f t="shared" si="465"/>
        <v>28.043672092744384</v>
      </c>
      <c r="AY624">
        <f t="shared" si="466"/>
        <v>4.945164546745149E-2</v>
      </c>
      <c r="AZ624">
        <f t="shared" si="439"/>
        <v>52.565495738966945</v>
      </c>
      <c r="BA624">
        <f t="shared" si="456"/>
        <v>1.2658788869654825</v>
      </c>
      <c r="BB624">
        <f t="shared" si="457"/>
        <v>47.916666666666664</v>
      </c>
      <c r="BC624">
        <f t="shared" si="440"/>
        <v>28.75</v>
      </c>
      <c r="BD624">
        <f t="shared" si="458"/>
        <v>0</v>
      </c>
      <c r="BE624">
        <f t="shared" si="441"/>
        <v>24</v>
      </c>
      <c r="BF624">
        <f t="shared" si="467"/>
        <v>5000</v>
      </c>
      <c r="BU624"/>
      <c r="DW624" s="89"/>
      <c r="DX624" s="89"/>
      <c r="FD624"/>
      <c r="FE624"/>
    </row>
    <row r="625" spans="1:161" x14ac:dyDescent="0.25">
      <c r="A625" s="7">
        <f t="shared" si="459"/>
        <v>62124</v>
      </c>
      <c r="B625">
        <f t="shared" si="442"/>
        <v>614</v>
      </c>
      <c r="C625">
        <f t="shared" si="477"/>
        <v>51.083333333333336</v>
      </c>
      <c r="D625">
        <f t="shared" si="478"/>
        <v>0</v>
      </c>
      <c r="E625">
        <f t="shared" si="443"/>
        <v>103</v>
      </c>
      <c r="F625">
        <f>IF(C625&gt;=$T$2,0,VLOOKUP($E625,EKM_F05!$A$3:$C$128,2,TRUE))</f>
        <v>0.5172848717948717</v>
      </c>
      <c r="G625">
        <f>F625*'Real assumptions'!$B$3</f>
        <v>0.21586297699999996</v>
      </c>
      <c r="H625">
        <f t="shared" si="479"/>
        <v>2.0060350776723301E-2</v>
      </c>
      <c r="I625">
        <f t="shared" si="480"/>
        <v>2.2986249996324992E-4</v>
      </c>
      <c r="J625">
        <f>IF(B625&gt;$AJ$2,0,HLOOKUP(C625,'Real assumptions'!$B$5:$L$8,4,TRUE))</f>
        <v>3.7900000000000003E-2</v>
      </c>
      <c r="K625">
        <f t="shared" si="432"/>
        <v>1</v>
      </c>
      <c r="L625">
        <f t="shared" si="460"/>
        <v>8.3333333333333329E-2</v>
      </c>
      <c r="M625">
        <f t="shared" si="481"/>
        <v>3.2145624959929453E-3</v>
      </c>
      <c r="N625">
        <f t="shared" si="482"/>
        <v>3.6523469693971077E-5</v>
      </c>
      <c r="O625" s="8">
        <f t="shared" si="444"/>
        <v>1.1210609172828123E-2</v>
      </c>
      <c r="P625">
        <f t="shared" si="445"/>
        <v>0.27544788341964827</v>
      </c>
      <c r="Q625">
        <f t="shared" si="461"/>
        <v>1.1493124998162496</v>
      </c>
      <c r="R625" s="89">
        <f t="shared" si="433"/>
        <v>5000</v>
      </c>
      <c r="S625">
        <f t="shared" si="434"/>
        <v>0.8333333333333357</v>
      </c>
      <c r="U625">
        <f>O624*AV624*'Real assumptions'!$B$33/12+AX625*'Real assumptions'!$B$34</f>
        <v>0.22377770886996318</v>
      </c>
      <c r="V625">
        <f>IF(P625=0,0,IF(E625&lt;=$C$7,$AN$5*O624,0))*'Real assumptions'!$D$28</f>
        <v>0</v>
      </c>
      <c r="X625" s="94">
        <f t="shared" si="446"/>
        <v>0</v>
      </c>
      <c r="Y625">
        <f t="shared" si="435"/>
        <v>24</v>
      </c>
      <c r="Z625">
        <f t="shared" si="462"/>
        <v>47</v>
      </c>
      <c r="AA625">
        <f t="shared" si="436"/>
        <v>47.833333333333336</v>
      </c>
      <c r="AB625">
        <f t="shared" si="447"/>
        <v>50.505050505050505</v>
      </c>
      <c r="AC625">
        <f t="shared" si="483"/>
        <v>2415.8249158249159</v>
      </c>
      <c r="AD625">
        <f t="shared" si="448"/>
        <v>80.505050505050505</v>
      </c>
      <c r="AE625">
        <f t="shared" si="449"/>
        <v>192.54124579124579</v>
      </c>
      <c r="AF625" s="94">
        <f t="shared" si="450"/>
        <v>2391.6338383838383</v>
      </c>
      <c r="AG625">
        <f t="shared" si="463"/>
        <v>8.7350766015287837E-2</v>
      </c>
      <c r="AH625">
        <f t="shared" si="451"/>
        <v>26.811672246631993</v>
      </c>
      <c r="AI625">
        <f>HLOOKUP(AW625,'Real assumptions'!$A$21:$AK$24,2,TRUE)</f>
        <v>0</v>
      </c>
      <c r="AJ625" s="123">
        <f t="shared" si="484"/>
        <v>0</v>
      </c>
      <c r="AK625" s="122">
        <f>(1+HLOOKUP(YEAR(A625),'Real assumptions'!$A$21:$AK$24,2,TRUE)/100)^(1/12)-1</f>
        <v>0</v>
      </c>
      <c r="AL625">
        <f t="shared" si="464"/>
        <v>0.22377770886996318</v>
      </c>
      <c r="AM625">
        <f>('Real assumptions'!$B$33/12)*O624*AV624</f>
        <v>0.21625931550843674</v>
      </c>
      <c r="AN625">
        <f t="shared" si="452"/>
        <v>27.448286451701495</v>
      </c>
      <c r="AO625">
        <f t="shared" si="485"/>
        <v>0</v>
      </c>
      <c r="AP625" s="121">
        <f t="shared" si="453"/>
        <v>0</v>
      </c>
      <c r="AQ625">
        <f t="shared" si="454"/>
        <v>0</v>
      </c>
      <c r="AR625">
        <v>0</v>
      </c>
      <c r="AS625">
        <f t="shared" si="437"/>
        <v>0</v>
      </c>
      <c r="AT625">
        <f t="shared" si="455"/>
        <v>0</v>
      </c>
      <c r="AU625">
        <f>IFERROR(HLOOKUP(B625,'Real assumptions'!$B$43:$AL$44,2,TRUE)*($W$3/$U$2),0)</f>
        <v>0</v>
      </c>
      <c r="AV625">
        <f>AV624*(1+'Real assumptions'!$B$35)^(1/12)</f>
        <v>1.8862367940824667</v>
      </c>
      <c r="AW625">
        <f t="shared" si="438"/>
        <v>2070</v>
      </c>
      <c r="AX625">
        <f t="shared" si="465"/>
        <v>27.444920128761598</v>
      </c>
      <c r="AY625">
        <f t="shared" si="466"/>
        <v>4.8303851609786799E-2</v>
      </c>
      <c r="AZ625">
        <f t="shared" si="439"/>
        <v>51.380502647685091</v>
      </c>
      <c r="BA625">
        <f t="shared" si="456"/>
        <v>1.2366632658315375</v>
      </c>
      <c r="BB625">
        <f t="shared" si="457"/>
        <v>47.833333333333336</v>
      </c>
      <c r="BC625">
        <f t="shared" si="440"/>
        <v>28.700000000000003</v>
      </c>
      <c r="BD625">
        <f t="shared" si="458"/>
        <v>0</v>
      </c>
      <c r="BE625">
        <f t="shared" si="441"/>
        <v>24</v>
      </c>
      <c r="BF625">
        <f t="shared" si="467"/>
        <v>5000</v>
      </c>
      <c r="BU625"/>
      <c r="DW625" s="89"/>
      <c r="DX625" s="89"/>
      <c r="FD625"/>
      <c r="FE625"/>
    </row>
    <row r="626" spans="1:161" x14ac:dyDescent="0.25">
      <c r="A626" s="7">
        <f t="shared" si="459"/>
        <v>62152</v>
      </c>
      <c r="B626">
        <f t="shared" si="442"/>
        <v>615</v>
      </c>
      <c r="C626">
        <f t="shared" si="477"/>
        <v>51.166666666666664</v>
      </c>
      <c r="D626">
        <f t="shared" si="478"/>
        <v>0</v>
      </c>
      <c r="E626">
        <f t="shared" si="443"/>
        <v>103</v>
      </c>
      <c r="F626">
        <f>IF(C626&gt;=$T$2,0,VLOOKUP($E626,EKM_F05!$A$3:$C$128,2,TRUE))</f>
        <v>0.5172848717948717</v>
      </c>
      <c r="G626">
        <f>F626*'Real assumptions'!$B$3</f>
        <v>0.21586297699999996</v>
      </c>
      <c r="H626">
        <f t="shared" si="479"/>
        <v>2.0060350776723301E-2</v>
      </c>
      <c r="I626">
        <f t="shared" si="480"/>
        <v>2.2452729295302168E-4</v>
      </c>
      <c r="J626">
        <f>IF(B626&gt;$AJ$2,0,HLOOKUP(C626,'Real assumptions'!$B$5:$L$8,4,TRUE))</f>
        <v>3.7900000000000003E-2</v>
      </c>
      <c r="K626">
        <f t="shared" si="432"/>
        <v>1</v>
      </c>
      <c r="L626">
        <f t="shared" si="460"/>
        <v>8.3333333333333329E-2</v>
      </c>
      <c r="M626">
        <f t="shared" si="481"/>
        <v>3.2145624959929453E-3</v>
      </c>
      <c r="N626">
        <f t="shared" si="482"/>
        <v>3.5675744329545441E-5</v>
      </c>
      <c r="O626" s="8">
        <f t="shared" si="444"/>
        <v>1.0950406135545557E-2</v>
      </c>
      <c r="P626">
        <f t="shared" si="445"/>
        <v>0.26905462014787496</v>
      </c>
      <c r="Q626">
        <f t="shared" si="461"/>
        <v>1.1226364647651084</v>
      </c>
      <c r="R626" s="89">
        <f t="shared" si="433"/>
        <v>5000</v>
      </c>
      <c r="S626">
        <f t="shared" si="434"/>
        <v>0.75</v>
      </c>
      <c r="U626">
        <f>O625*AV625*'Real assumptions'!$B$33/12+AX626*'Real assumptions'!$B$34</f>
        <v>0.21881647890629338</v>
      </c>
      <c r="V626">
        <f>IF(P626=0,0,IF(E626&lt;=$C$7,$AN$5*O625,0))*'Real assumptions'!$D$28</f>
        <v>0</v>
      </c>
      <c r="X626" s="94">
        <f t="shared" si="446"/>
        <v>0</v>
      </c>
      <c r="Y626">
        <f t="shared" si="435"/>
        <v>24</v>
      </c>
      <c r="Z626">
        <f t="shared" si="462"/>
        <v>47</v>
      </c>
      <c r="AA626">
        <f t="shared" si="436"/>
        <v>47.75</v>
      </c>
      <c r="AB626">
        <f t="shared" si="447"/>
        <v>50.505050505050505</v>
      </c>
      <c r="AC626">
        <f t="shared" si="483"/>
        <v>2411.6161616161617</v>
      </c>
      <c r="AD626">
        <f t="shared" si="448"/>
        <v>80.505050505050505</v>
      </c>
      <c r="AE626">
        <f t="shared" si="449"/>
        <v>192.20580808080808</v>
      </c>
      <c r="AF626" s="94">
        <f t="shared" si="450"/>
        <v>2396.17803030303</v>
      </c>
      <c r="AG626">
        <f t="shared" si="463"/>
        <v>8.5485434777164693E-2</v>
      </c>
      <c r="AH626">
        <f t="shared" si="451"/>
        <v>26.239122604889769</v>
      </c>
      <c r="AI626">
        <f>HLOOKUP(AW626,'Real assumptions'!$A$21:$AK$24,2,TRUE)</f>
        <v>0</v>
      </c>
      <c r="AJ626" s="123">
        <f t="shared" si="484"/>
        <v>0</v>
      </c>
      <c r="AK626" s="122">
        <f>(1+HLOOKUP(YEAR(A626),'Real assumptions'!$A$21:$AK$24,2,TRUE)/100)^(1/12)-1</f>
        <v>0</v>
      </c>
      <c r="AL626">
        <f t="shared" si="464"/>
        <v>0.21881647890629338</v>
      </c>
      <c r="AM626">
        <f>('Real assumptions'!$B$33/12)*O625*AV625</f>
        <v>0.21145863505866813</v>
      </c>
      <c r="AN626">
        <f t="shared" si="452"/>
        <v>26.861910387873575</v>
      </c>
      <c r="AO626">
        <f t="shared" si="485"/>
        <v>0</v>
      </c>
      <c r="AP626" s="121">
        <f t="shared" si="453"/>
        <v>0</v>
      </c>
      <c r="AQ626">
        <f t="shared" si="454"/>
        <v>0</v>
      </c>
      <c r="AR626">
        <v>0</v>
      </c>
      <c r="AS626">
        <f t="shared" si="437"/>
        <v>0</v>
      </c>
      <c r="AT626">
        <f t="shared" si="455"/>
        <v>0</v>
      </c>
      <c r="AU626">
        <f>IFERROR(HLOOKUP(B626,'Real assumptions'!$B$43:$AL$44,2,TRUE)*($W$3/$U$2),0)</f>
        <v>0</v>
      </c>
      <c r="AV626">
        <f>AV625*(1+'Real assumptions'!$B$35)^(1/12)</f>
        <v>1.8881904563247149</v>
      </c>
      <c r="AW626">
        <f t="shared" si="438"/>
        <v>2070</v>
      </c>
      <c r="AX626">
        <f t="shared" si="465"/>
        <v>26.858854945170833</v>
      </c>
      <c r="AY626">
        <f t="shared" si="466"/>
        <v>4.7182698538838899E-2</v>
      </c>
      <c r="AZ626">
        <f t="shared" si="439"/>
        <v>50.222618889384407</v>
      </c>
      <c r="BA626">
        <f t="shared" si="456"/>
        <v>1.2081218995422731</v>
      </c>
      <c r="BB626">
        <f t="shared" si="457"/>
        <v>47.75</v>
      </c>
      <c r="BC626">
        <f t="shared" si="440"/>
        <v>28.65</v>
      </c>
      <c r="BD626">
        <f t="shared" si="458"/>
        <v>0</v>
      </c>
      <c r="BE626">
        <f t="shared" si="441"/>
        <v>24</v>
      </c>
      <c r="BF626">
        <f t="shared" si="467"/>
        <v>5000</v>
      </c>
      <c r="BU626"/>
      <c r="DW626" s="89"/>
      <c r="DX626" s="89"/>
      <c r="FD626"/>
      <c r="FE626"/>
    </row>
    <row r="627" spans="1:161" x14ac:dyDescent="0.25">
      <c r="A627" s="7">
        <f t="shared" si="459"/>
        <v>62183</v>
      </c>
      <c r="B627">
        <f t="shared" si="442"/>
        <v>616</v>
      </c>
      <c r="C627">
        <f t="shared" si="477"/>
        <v>51.25</v>
      </c>
      <c r="D627">
        <f t="shared" si="478"/>
        <v>0</v>
      </c>
      <c r="E627">
        <f t="shared" si="443"/>
        <v>103</v>
      </c>
      <c r="F627">
        <f>IF(C627&gt;=$T$2,0,VLOOKUP($E627,EKM_F05!$A$3:$C$128,2,TRUE))</f>
        <v>0.5172848717948717</v>
      </c>
      <c r="G627">
        <f>F627*'Real assumptions'!$B$3</f>
        <v>0.21586297699999996</v>
      </c>
      <c r="H627">
        <f t="shared" si="479"/>
        <v>2.0060350776723301E-2</v>
      </c>
      <c r="I627">
        <f t="shared" si="480"/>
        <v>2.1931591838108392E-4</v>
      </c>
      <c r="J627">
        <f>IF(B627&gt;$AJ$2,0,HLOOKUP(C627,'Real assumptions'!$B$5:$L$8,4,TRUE))</f>
        <v>3.7900000000000003E-2</v>
      </c>
      <c r="K627">
        <f t="shared" si="432"/>
        <v>1</v>
      </c>
      <c r="L627">
        <f t="shared" si="460"/>
        <v>8.3333333333333329E-2</v>
      </c>
      <c r="M627">
        <f t="shared" si="481"/>
        <v>3.2145624959929453E-3</v>
      </c>
      <c r="N627">
        <f t="shared" si="482"/>
        <v>3.4847695033672773E-5</v>
      </c>
      <c r="O627" s="8">
        <f t="shared" si="444"/>
        <v>1.06962425221308E-2</v>
      </c>
      <c r="P627">
        <f t="shared" si="445"/>
        <v>0.26280974725309336</v>
      </c>
      <c r="Q627">
        <f t="shared" si="461"/>
        <v>1.0965795919054195</v>
      </c>
      <c r="R627" s="89">
        <f t="shared" si="433"/>
        <v>5000</v>
      </c>
      <c r="S627">
        <f t="shared" si="434"/>
        <v>0.6666666666666643</v>
      </c>
      <c r="U627">
        <f>O626*AV626*'Real assumptions'!$B$33/12+AX627*'Real assumptions'!$B$34</f>
        <v>0.21396522042105201</v>
      </c>
      <c r="V627">
        <f>IF(P627=0,0,IF(E627&lt;=$C$7,$AN$5*O626,0))*'Real assumptions'!$D$28</f>
        <v>0</v>
      </c>
      <c r="X627" s="94">
        <f t="shared" si="446"/>
        <v>0</v>
      </c>
      <c r="Y627">
        <f t="shared" si="435"/>
        <v>24</v>
      </c>
      <c r="Z627">
        <f t="shared" si="462"/>
        <v>47</v>
      </c>
      <c r="AA627">
        <f t="shared" si="436"/>
        <v>47.666666666666664</v>
      </c>
      <c r="AB627">
        <f t="shared" si="447"/>
        <v>50.505050505050505</v>
      </c>
      <c r="AC627">
        <f t="shared" si="483"/>
        <v>2407.4074074074074</v>
      </c>
      <c r="AD627">
        <f t="shared" si="448"/>
        <v>80.505050505050505</v>
      </c>
      <c r="AE627">
        <f t="shared" si="449"/>
        <v>191.87037037037035</v>
      </c>
      <c r="AF627" s="94">
        <f t="shared" si="450"/>
        <v>2400.7222222222222</v>
      </c>
      <c r="AG627">
        <f t="shared" si="463"/>
        <v>8.3659635860561202E-2</v>
      </c>
      <c r="AH627">
        <f t="shared" si="451"/>
        <v>25.678707117157682</v>
      </c>
      <c r="AI627">
        <f>HLOOKUP(AW627,'Real assumptions'!$A$21:$AK$24,2,TRUE)</f>
        <v>0</v>
      </c>
      <c r="AJ627" s="123">
        <f t="shared" si="484"/>
        <v>0</v>
      </c>
      <c r="AK627" s="122">
        <f>(1+HLOOKUP(YEAR(A627),'Real assumptions'!$A$21:$AK$24,2,TRUE)/100)^(1/12)-1</f>
        <v>0</v>
      </c>
      <c r="AL627">
        <f t="shared" si="464"/>
        <v>0.21396522042105201</v>
      </c>
      <c r="AM627">
        <f>('Real assumptions'!$B$33/12)*O626*AV626</f>
        <v>0.20676452358016723</v>
      </c>
      <c r="AN627">
        <f t="shared" si="452"/>
        <v>26.28796713172181</v>
      </c>
      <c r="AO627">
        <f t="shared" si="485"/>
        <v>0</v>
      </c>
      <c r="AP627" s="121">
        <f t="shared" si="453"/>
        <v>0</v>
      </c>
      <c r="AQ627">
        <f t="shared" si="454"/>
        <v>0</v>
      </c>
      <c r="AR627">
        <v>0</v>
      </c>
      <c r="AS627">
        <f t="shared" si="437"/>
        <v>0</v>
      </c>
      <c r="AT627">
        <f t="shared" si="455"/>
        <v>0</v>
      </c>
      <c r="AU627">
        <f>IFERROR(HLOOKUP(B627,'Real assumptions'!$B$43:$AL$44,2,TRUE)*($W$3/$U$2),0)</f>
        <v>0</v>
      </c>
      <c r="AV627">
        <f>AV626*(1+'Real assumptions'!$B$35)^(1/12)</f>
        <v>1.8901461420648447</v>
      </c>
      <c r="AW627">
        <f t="shared" si="438"/>
        <v>2070</v>
      </c>
      <c r="AX627">
        <f t="shared" si="465"/>
        <v>26.285210172800316</v>
      </c>
      <c r="AY627">
        <f t="shared" si="466"/>
        <v>4.6087567910545267E-2</v>
      </c>
      <c r="AZ627">
        <f t="shared" si="439"/>
        <v>49.091224188450468</v>
      </c>
      <c r="BA627">
        <f t="shared" si="456"/>
        <v>1.1802392277659808</v>
      </c>
      <c r="BB627">
        <f t="shared" si="457"/>
        <v>47.666666666666664</v>
      </c>
      <c r="BC627">
        <f t="shared" si="440"/>
        <v>28.599999999999994</v>
      </c>
      <c r="BD627">
        <f t="shared" si="458"/>
        <v>0</v>
      </c>
      <c r="BE627">
        <f t="shared" si="441"/>
        <v>24</v>
      </c>
      <c r="BF627">
        <f t="shared" si="467"/>
        <v>5000</v>
      </c>
      <c r="BU627"/>
      <c r="DW627" s="89"/>
      <c r="DX627" s="89"/>
      <c r="FD627"/>
      <c r="FE627"/>
    </row>
    <row r="628" spans="1:161" x14ac:dyDescent="0.25">
      <c r="A628" s="7">
        <f t="shared" si="459"/>
        <v>62213</v>
      </c>
      <c r="B628">
        <f t="shared" si="442"/>
        <v>617</v>
      </c>
      <c r="C628">
        <f t="shared" si="477"/>
        <v>51.333333333333336</v>
      </c>
      <c r="D628">
        <f t="shared" si="478"/>
        <v>0</v>
      </c>
      <c r="E628">
        <f t="shared" si="443"/>
        <v>103</v>
      </c>
      <c r="F628">
        <f>IF(C628&gt;=$T$2,0,VLOOKUP($E628,EKM_F05!$A$3:$C$128,2,TRUE))</f>
        <v>0.5172848717948717</v>
      </c>
      <c r="G628">
        <f>F628*'Real assumptions'!$B$3</f>
        <v>0.21586297699999996</v>
      </c>
      <c r="H628">
        <f t="shared" si="479"/>
        <v>2.0060350776723301E-2</v>
      </c>
      <c r="I628">
        <f t="shared" si="480"/>
        <v>2.142255020435409E-4</v>
      </c>
      <c r="J628">
        <f>IF(B628&gt;$AJ$2,0,HLOOKUP(C628,'Real assumptions'!$B$5:$L$8,4,TRUE))</f>
        <v>3.7900000000000003E-2</v>
      </c>
      <c r="K628">
        <f t="shared" si="432"/>
        <v>1</v>
      </c>
      <c r="L628">
        <f t="shared" si="460"/>
        <v>8.3333333333333329E-2</v>
      </c>
      <c r="M628">
        <f t="shared" si="481"/>
        <v>3.2145624959929453E-3</v>
      </c>
      <c r="N628">
        <f t="shared" si="482"/>
        <v>3.4038865116380167E-5</v>
      </c>
      <c r="O628" s="8">
        <f t="shared" si="444"/>
        <v>1.044797815497088E-2</v>
      </c>
      <c r="P628">
        <f t="shared" si="445"/>
        <v>0.25670982053113922</v>
      </c>
      <c r="Q628">
        <f t="shared" si="461"/>
        <v>1.0711275102177045</v>
      </c>
      <c r="R628" s="89">
        <f t="shared" si="433"/>
        <v>5000</v>
      </c>
      <c r="S628">
        <f t="shared" si="434"/>
        <v>0.5833333333333357</v>
      </c>
      <c r="U628">
        <f>O627*AV627*'Real assumptions'!$B$33/12+AX628*'Real assumptions'!$B$34</f>
        <v>0.20922149626383624</v>
      </c>
      <c r="V628">
        <f>IF(P628=0,0,IF(E628&lt;=$C$7,$AN$5*O627,0))*'Real assumptions'!$D$28</f>
        <v>0</v>
      </c>
      <c r="X628" s="94">
        <f t="shared" si="446"/>
        <v>0</v>
      </c>
      <c r="Y628">
        <f t="shared" si="435"/>
        <v>24</v>
      </c>
      <c r="Z628">
        <f t="shared" si="462"/>
        <v>47</v>
      </c>
      <c r="AA628">
        <f t="shared" si="436"/>
        <v>47.583333333333336</v>
      </c>
      <c r="AB628">
        <f t="shared" si="447"/>
        <v>50.505050505050505</v>
      </c>
      <c r="AC628">
        <f t="shared" si="483"/>
        <v>2403.1986531986531</v>
      </c>
      <c r="AD628">
        <f t="shared" si="448"/>
        <v>80.505050505050505</v>
      </c>
      <c r="AE628">
        <f t="shared" si="449"/>
        <v>191.53493265993265</v>
      </c>
      <c r="AF628" s="94">
        <f t="shared" si="450"/>
        <v>2405.2664141414143</v>
      </c>
      <c r="AG628">
        <f t="shared" si="463"/>
        <v>8.1872539039918993E-2</v>
      </c>
      <c r="AH628">
        <f t="shared" si="451"/>
        <v>25.130170951834639</v>
      </c>
      <c r="AI628">
        <f>HLOOKUP(AW628,'Real assumptions'!$A$21:$AK$24,2,TRUE)</f>
        <v>0</v>
      </c>
      <c r="AJ628" s="123">
        <f t="shared" si="484"/>
        <v>0</v>
      </c>
      <c r="AK628" s="122">
        <f>(1+HLOOKUP(YEAR(A628),'Real assumptions'!$A$21:$AK$24,2,TRUE)/100)^(1/12)-1</f>
        <v>0</v>
      </c>
      <c r="AL628">
        <f t="shared" si="464"/>
        <v>0.20922149626383624</v>
      </c>
      <c r="AM628">
        <f>('Real assumptions'!$B$33/12)*O627*AV627</f>
        <v>0.20217461537795475</v>
      </c>
      <c r="AN628">
        <f t="shared" si="452"/>
        <v>25.726195441424984</v>
      </c>
      <c r="AO628">
        <f t="shared" si="485"/>
        <v>0</v>
      </c>
      <c r="AP628" s="121">
        <f t="shared" si="453"/>
        <v>0</v>
      </c>
      <c r="AQ628">
        <f t="shared" si="454"/>
        <v>0</v>
      </c>
      <c r="AR628">
        <v>0</v>
      </c>
      <c r="AS628">
        <f t="shared" si="437"/>
        <v>0</v>
      </c>
      <c r="AT628">
        <f t="shared" si="455"/>
        <v>0</v>
      </c>
      <c r="AU628">
        <f>IFERROR(HLOOKUP(B628,'Real assumptions'!$B$43:$AL$44,2,TRUE)*($W$3/$U$2),0)</f>
        <v>0</v>
      </c>
      <c r="AV628">
        <f>AV627*(1+'Real assumptions'!$B$35)^(1/12)</f>
        <v>1.8921038533986858</v>
      </c>
      <c r="AW628">
        <f t="shared" si="438"/>
        <v>2070</v>
      </c>
      <c r="AX628">
        <f t="shared" si="465"/>
        <v>25.723724972890555</v>
      </c>
      <c r="AY628">
        <f t="shared" si="466"/>
        <v>4.5017855732873736E-2</v>
      </c>
      <c r="AZ628">
        <f t="shared" si="439"/>
        <v>47.985712463460153</v>
      </c>
      <c r="BA628">
        <f t="shared" si="456"/>
        <v>1.1530000492576236</v>
      </c>
      <c r="BB628">
        <f t="shared" si="457"/>
        <v>47.583333333333336</v>
      </c>
      <c r="BC628">
        <f t="shared" si="440"/>
        <v>28.549999999999997</v>
      </c>
      <c r="BD628">
        <f t="shared" si="458"/>
        <v>0</v>
      </c>
      <c r="BE628">
        <f t="shared" si="441"/>
        <v>24</v>
      </c>
      <c r="BF628">
        <f t="shared" si="467"/>
        <v>5000</v>
      </c>
      <c r="BU628"/>
      <c r="DW628" s="89"/>
      <c r="DX628" s="89"/>
      <c r="FD628"/>
      <c r="FE628"/>
    </row>
    <row r="629" spans="1:161" x14ac:dyDescent="0.25">
      <c r="A629" s="7">
        <f t="shared" si="459"/>
        <v>62244</v>
      </c>
      <c r="B629">
        <f t="shared" si="442"/>
        <v>618</v>
      </c>
      <c r="C629">
        <f t="shared" si="477"/>
        <v>51.416666666666664</v>
      </c>
      <c r="D629">
        <f t="shared" si="478"/>
        <v>0</v>
      </c>
      <c r="E629">
        <f t="shared" si="443"/>
        <v>103</v>
      </c>
      <c r="F629">
        <f>IF(C629&gt;=$T$2,0,VLOOKUP($E629,EKM_F05!$A$3:$C$128,2,TRUE))</f>
        <v>0.5172848717948717</v>
      </c>
      <c r="G629">
        <f>F629*'Real assumptions'!$B$3</f>
        <v>0.21586297699999996</v>
      </c>
      <c r="H629">
        <f t="shared" si="479"/>
        <v>2.0060350776723301E-2</v>
      </c>
      <c r="I629">
        <f t="shared" si="480"/>
        <v>2.092532364479997E-4</v>
      </c>
      <c r="J629">
        <f>IF(B629&gt;$AJ$2,0,HLOOKUP(C629,'Real assumptions'!$B$5:$L$8,4,TRUE))</f>
        <v>3.7900000000000003E-2</v>
      </c>
      <c r="K629">
        <f t="shared" si="432"/>
        <v>1</v>
      </c>
      <c r="L629">
        <f t="shared" si="460"/>
        <v>8.3333333333333329E-2</v>
      </c>
      <c r="M629">
        <f t="shared" si="481"/>
        <v>3.2145624959929453E-3</v>
      </c>
      <c r="N629">
        <f t="shared" si="482"/>
        <v>3.3248808487664482E-5</v>
      </c>
      <c r="O629" s="8">
        <f t="shared" si="444"/>
        <v>1.0205476110035215E-2</v>
      </c>
      <c r="P629">
        <f t="shared" si="445"/>
        <v>0.25075147571930112</v>
      </c>
      <c r="Q629">
        <f t="shared" si="461"/>
        <v>1.0462661822399986</v>
      </c>
      <c r="R629" s="89">
        <f t="shared" si="433"/>
        <v>5000</v>
      </c>
      <c r="S629">
        <f t="shared" si="434"/>
        <v>0.5</v>
      </c>
      <c r="U629">
        <f>O628*AV628*'Real assumptions'!$B$33/12+AX629*'Real assumptions'!$B$34</f>
        <v>0.2045829232836581</v>
      </c>
      <c r="V629">
        <f>IF(P629=0,0,IF(E629&lt;=$C$7,$AN$5*O628,0))*'Real assumptions'!$D$28</f>
        <v>0</v>
      </c>
      <c r="X629" s="94">
        <f t="shared" si="446"/>
        <v>0</v>
      </c>
      <c r="Y629">
        <f t="shared" si="435"/>
        <v>24</v>
      </c>
      <c r="Z629">
        <f t="shared" si="462"/>
        <v>47</v>
      </c>
      <c r="AA629">
        <f t="shared" si="436"/>
        <v>47.5</v>
      </c>
      <c r="AB629">
        <f t="shared" si="447"/>
        <v>50.505050505050505</v>
      </c>
      <c r="AC629">
        <f t="shared" si="483"/>
        <v>2398.9898989898988</v>
      </c>
      <c r="AD629">
        <f t="shared" si="448"/>
        <v>80.505050505050505</v>
      </c>
      <c r="AE629">
        <f t="shared" si="449"/>
        <v>191.19949494949495</v>
      </c>
      <c r="AF629" s="94">
        <f t="shared" si="450"/>
        <v>2409.810606060606</v>
      </c>
      <c r="AG629">
        <f t="shared" si="463"/>
        <v>8.0123331332451767E-2</v>
      </c>
      <c r="AH629">
        <f t="shared" si="451"/>
        <v>24.593264569860999</v>
      </c>
      <c r="AI629">
        <f>HLOOKUP(AW629,'Real assumptions'!$A$21:$AK$24,2,TRUE)</f>
        <v>0</v>
      </c>
      <c r="AJ629" s="123">
        <f t="shared" si="484"/>
        <v>0</v>
      </c>
      <c r="AK629" s="122">
        <f>(1+HLOOKUP(YEAR(A629),'Real assumptions'!$A$21:$AK$24,2,TRUE)/100)^(1/12)-1</f>
        <v>0</v>
      </c>
      <c r="AL629">
        <f t="shared" si="464"/>
        <v>0.2045829232836581</v>
      </c>
      <c r="AM629">
        <f>('Real assumptions'!$B$33/12)*O628*AV628</f>
        <v>0.19768659727245694</v>
      </c>
      <c r="AN629">
        <f t="shared" si="452"/>
        <v>25.176339504270281</v>
      </c>
      <c r="AO629">
        <f t="shared" si="485"/>
        <v>0</v>
      </c>
      <c r="AP629" s="121">
        <f t="shared" si="453"/>
        <v>0</v>
      </c>
      <c r="AQ629">
        <f t="shared" si="454"/>
        <v>0</v>
      </c>
      <c r="AR629">
        <v>0</v>
      </c>
      <c r="AS629">
        <f t="shared" si="437"/>
        <v>0</v>
      </c>
      <c r="AT629">
        <f t="shared" si="455"/>
        <v>0</v>
      </c>
      <c r="AU629">
        <f>IFERROR(HLOOKUP(B629,'Real assumptions'!$B$43:$AL$44,2,TRUE)*($W$3/$U$2),0)</f>
        <v>0</v>
      </c>
      <c r="AV629">
        <f>AV628*(1+'Real assumptions'!$B$35)^(1/12)</f>
        <v>1.8940635924242388</v>
      </c>
      <c r="AW629">
        <f t="shared" si="438"/>
        <v>2070</v>
      </c>
      <c r="AX629">
        <f t="shared" si="465"/>
        <v>25.174143923867344</v>
      </c>
      <c r="AY629">
        <f t="shared" si="466"/>
        <v>4.3972972032705719E-2</v>
      </c>
      <c r="AZ629">
        <f t="shared" si="439"/>
        <v>46.905491502323343</v>
      </c>
      <c r="BA629">
        <f t="shared" si="456"/>
        <v>1.1263895135724504</v>
      </c>
      <c r="BB629">
        <f t="shared" si="457"/>
        <v>47.5</v>
      </c>
      <c r="BC629">
        <f t="shared" si="440"/>
        <v>28.5</v>
      </c>
      <c r="BD629">
        <f t="shared" si="458"/>
        <v>0</v>
      </c>
      <c r="BE629">
        <f t="shared" si="441"/>
        <v>24</v>
      </c>
      <c r="BF629">
        <f t="shared" si="467"/>
        <v>5000</v>
      </c>
      <c r="BU629"/>
      <c r="DW629" s="89"/>
      <c r="DX629" s="89"/>
      <c r="FD629"/>
      <c r="FE629"/>
    </row>
    <row r="630" spans="1:161" x14ac:dyDescent="0.25">
      <c r="A630" s="7">
        <f t="shared" si="459"/>
        <v>62274</v>
      </c>
      <c r="B630">
        <f t="shared" si="442"/>
        <v>619</v>
      </c>
      <c r="C630">
        <f t="shared" si="477"/>
        <v>51.5</v>
      </c>
      <c r="D630">
        <f t="shared" si="478"/>
        <v>0</v>
      </c>
      <c r="E630">
        <f t="shared" si="443"/>
        <v>103</v>
      </c>
      <c r="F630">
        <f>IF(C630&gt;=$T$2,0,VLOOKUP($E630,EKM_F05!$A$3:$C$128,2,TRUE))</f>
        <v>0.5172848717948717</v>
      </c>
      <c r="G630">
        <f>F630*'Real assumptions'!$B$3</f>
        <v>0.21586297699999996</v>
      </c>
      <c r="H630">
        <f t="shared" si="479"/>
        <v>2.0060350776723301E-2</v>
      </c>
      <c r="I630">
        <f t="shared" si="480"/>
        <v>2.0439637926516731E-4</v>
      </c>
      <c r="J630">
        <f>IF(B630&gt;$AJ$2,0,HLOOKUP(C630,'Real assumptions'!$B$5:$L$8,4,TRUE))</f>
        <v>3.7900000000000003E-2</v>
      </c>
      <c r="K630">
        <f t="shared" si="432"/>
        <v>1</v>
      </c>
      <c r="L630">
        <f t="shared" si="460"/>
        <v>8.3333333333333329E-2</v>
      </c>
      <c r="M630">
        <f t="shared" si="481"/>
        <v>3.2145624959929453E-3</v>
      </c>
      <c r="N630">
        <f t="shared" si="482"/>
        <v>3.2477089411462474E-5</v>
      </c>
      <c r="O630" s="8">
        <f t="shared" si="444"/>
        <v>9.9686026413585861E-3</v>
      </c>
      <c r="P630">
        <f t="shared" si="445"/>
        <v>0.24493142664084516</v>
      </c>
      <c r="Q630">
        <f t="shared" si="461"/>
        <v>1.0219818963258365</v>
      </c>
      <c r="R630" s="89">
        <f t="shared" si="433"/>
        <v>5000</v>
      </c>
      <c r="S630">
        <f t="shared" si="434"/>
        <v>0.4166666666666643</v>
      </c>
      <c r="U630">
        <f>O629*AV629*'Real assumptions'!$B$33/12+AX630*'Real assumptions'!$B$34</f>
        <v>0.2000471711327759</v>
      </c>
      <c r="V630">
        <f>IF(P630=0,0,IF(E630&lt;=$C$7,$AN$5*O629,0))*'Real assumptions'!$D$28</f>
        <v>0</v>
      </c>
      <c r="X630" s="94">
        <f t="shared" si="446"/>
        <v>0</v>
      </c>
      <c r="Y630">
        <f t="shared" si="435"/>
        <v>24</v>
      </c>
      <c r="Z630">
        <f t="shared" si="462"/>
        <v>47</v>
      </c>
      <c r="AA630">
        <f t="shared" si="436"/>
        <v>47.416666666666664</v>
      </c>
      <c r="AB630">
        <f t="shared" si="447"/>
        <v>50.505050505050505</v>
      </c>
      <c r="AC630">
        <f t="shared" si="483"/>
        <v>2394.7811447811446</v>
      </c>
      <c r="AD630">
        <f t="shared" si="448"/>
        <v>80.505050505050505</v>
      </c>
      <c r="AE630">
        <f t="shared" si="449"/>
        <v>190.86405723905722</v>
      </c>
      <c r="AF630" s="94">
        <f t="shared" si="450"/>
        <v>2414.3547979797981</v>
      </c>
      <c r="AG630">
        <f t="shared" si="463"/>
        <v>7.8411216644983323E-2</v>
      </c>
      <c r="AH630">
        <f t="shared" si="451"/>
        <v>24.067743616318189</v>
      </c>
      <c r="AI630">
        <f>HLOOKUP(AW630,'Real assumptions'!$A$21:$AK$24,2,TRUE)</f>
        <v>0</v>
      </c>
      <c r="AJ630" s="123">
        <f t="shared" si="484"/>
        <v>0</v>
      </c>
      <c r="AK630" s="122">
        <f>(1+HLOOKUP(YEAR(A630),'Real assumptions'!$A$21:$AK$24,2,TRUE)/100)^(1/12)-1</f>
        <v>0</v>
      </c>
      <c r="AL630">
        <f t="shared" si="464"/>
        <v>0.2000471711327759</v>
      </c>
      <c r="AM630">
        <f>('Real assumptions'!$B$33/12)*O629*AV629</f>
        <v>0.19329820743373047</v>
      </c>
      <c r="AN630">
        <f t="shared" si="452"/>
        <v>24.638148825369068</v>
      </c>
      <c r="AO630">
        <f t="shared" si="485"/>
        <v>0</v>
      </c>
      <c r="AP630" s="121">
        <f t="shared" si="453"/>
        <v>0</v>
      </c>
      <c r="AQ630">
        <f t="shared" si="454"/>
        <v>0</v>
      </c>
      <c r="AR630">
        <v>0</v>
      </c>
      <c r="AS630">
        <f t="shared" si="437"/>
        <v>0</v>
      </c>
      <c r="AT630">
        <f t="shared" si="455"/>
        <v>0</v>
      </c>
      <c r="AU630">
        <f>IFERROR(HLOOKUP(B630,'Real assumptions'!$B$43:$AL$44,2,TRUE)*($W$3/$U$2),0)</f>
        <v>0</v>
      </c>
      <c r="AV630">
        <f>AV629*(1+'Real assumptions'!$B$35)^(1/12)</f>
        <v>1.8960253612416775</v>
      </c>
      <c r="AW630">
        <f t="shared" si="438"/>
        <v>2070</v>
      </c>
      <c r="AX630">
        <f t="shared" si="465"/>
        <v>24.63621691039145</v>
      </c>
      <c r="AY630">
        <f t="shared" si="466"/>
        <v>4.2952340530451237E-2</v>
      </c>
      <c r="AZ630">
        <f t="shared" si="439"/>
        <v>45.849982644860596</v>
      </c>
      <c r="BA630">
        <f t="shared" si="456"/>
        <v>1.1003931129708198</v>
      </c>
      <c r="BB630">
        <f t="shared" si="457"/>
        <v>47.416666666666664</v>
      </c>
      <c r="BC630">
        <f t="shared" si="440"/>
        <v>28.449999999999996</v>
      </c>
      <c r="BD630">
        <f t="shared" si="458"/>
        <v>0</v>
      </c>
      <c r="BE630">
        <f t="shared" si="441"/>
        <v>24</v>
      </c>
      <c r="BF630">
        <f t="shared" si="467"/>
        <v>5000</v>
      </c>
      <c r="BU630"/>
      <c r="DW630" s="89"/>
      <c r="DX630" s="89"/>
      <c r="FD630"/>
      <c r="FE630"/>
    </row>
    <row r="631" spans="1:161" x14ac:dyDescent="0.25">
      <c r="A631" s="7">
        <f t="shared" si="459"/>
        <v>62305</v>
      </c>
      <c r="B631">
        <f t="shared" si="442"/>
        <v>620</v>
      </c>
      <c r="C631">
        <f t="shared" si="477"/>
        <v>51.583333333333336</v>
      </c>
      <c r="D631">
        <f t="shared" si="478"/>
        <v>0</v>
      </c>
      <c r="E631">
        <f t="shared" si="443"/>
        <v>103</v>
      </c>
      <c r="F631">
        <f>IF(C631&gt;=$T$2,0,VLOOKUP($E631,EKM_F05!$A$3:$C$128,2,TRUE))</f>
        <v>0.5172848717948717</v>
      </c>
      <c r="G631">
        <f>F631*'Real assumptions'!$B$3</f>
        <v>0.21586297699999996</v>
      </c>
      <c r="H631">
        <f t="shared" si="479"/>
        <v>2.0060350776723301E-2</v>
      </c>
      <c r="I631">
        <f t="shared" si="480"/>
        <v>1.996522518163876E-4</v>
      </c>
      <c r="J631">
        <f>IF(B631&gt;$AJ$2,0,HLOOKUP(C631,'Real assumptions'!$B$5:$L$8,4,TRUE))</f>
        <v>3.7900000000000003E-2</v>
      </c>
      <c r="K631">
        <f t="shared" si="432"/>
        <v>1</v>
      </c>
      <c r="L631">
        <f t="shared" si="460"/>
        <v>8.3333333333333329E-2</v>
      </c>
      <c r="M631">
        <f t="shared" si="481"/>
        <v>3.2145624959929453E-3</v>
      </c>
      <c r="N631">
        <f t="shared" si="482"/>
        <v>3.172328226533143E-5</v>
      </c>
      <c r="O631" s="8">
        <f t="shared" si="444"/>
        <v>9.7372271072768673E-3</v>
      </c>
      <c r="P631">
        <f t="shared" si="445"/>
        <v>0.23924646339260608</v>
      </c>
      <c r="Q631">
        <f t="shared" si="461"/>
        <v>0.99826125908193797</v>
      </c>
      <c r="R631" s="89">
        <f t="shared" si="433"/>
        <v>5000</v>
      </c>
      <c r="S631">
        <f t="shared" si="434"/>
        <v>0.3333333333333357</v>
      </c>
      <c r="U631">
        <f>O630*AV630*'Real assumptions'!$B$33/12+AX631*'Real assumptions'!$B$34</f>
        <v>0.19561196109701515</v>
      </c>
      <c r="V631">
        <f>IF(P631=0,0,IF(E631&lt;=$C$7,$AN$5*O630,0))*'Real assumptions'!$D$28</f>
        <v>0</v>
      </c>
      <c r="X631" s="94">
        <f t="shared" si="446"/>
        <v>0</v>
      </c>
      <c r="Y631">
        <f t="shared" si="435"/>
        <v>24</v>
      </c>
      <c r="Z631">
        <f t="shared" si="462"/>
        <v>47</v>
      </c>
      <c r="AA631">
        <f t="shared" si="436"/>
        <v>47.333333333333336</v>
      </c>
      <c r="AB631">
        <f t="shared" si="447"/>
        <v>50.505050505050505</v>
      </c>
      <c r="AC631">
        <f t="shared" si="483"/>
        <v>2390.5723905723908</v>
      </c>
      <c r="AD631">
        <f t="shared" si="448"/>
        <v>80.505050505050505</v>
      </c>
      <c r="AE631">
        <f t="shared" si="449"/>
        <v>190.52861952861954</v>
      </c>
      <c r="AF631" s="94">
        <f t="shared" si="450"/>
        <v>2418.8989898989898</v>
      </c>
      <c r="AG631">
        <f t="shared" si="463"/>
        <v>7.6735415427890738E-2</v>
      </c>
      <c r="AH631">
        <f t="shared" si="451"/>
        <v>23.553368814209076</v>
      </c>
      <c r="AI631">
        <f>HLOOKUP(AW631,'Real assumptions'!$A$21:$AK$24,2,TRUE)</f>
        <v>0</v>
      </c>
      <c r="AJ631" s="123">
        <f t="shared" si="484"/>
        <v>0</v>
      </c>
      <c r="AK631" s="122">
        <f>(1+HLOOKUP(YEAR(A631),'Real assumptions'!$A$21:$AK$24,2,TRUE)/100)^(1/12)-1</f>
        <v>0</v>
      </c>
      <c r="AL631">
        <f t="shared" si="464"/>
        <v>0.19561196109701515</v>
      </c>
      <c r="AM631">
        <f>('Real assumptions'!$B$33/12)*O630*AV630</f>
        <v>0.18900723424156654</v>
      </c>
      <c r="AN631">
        <f t="shared" si="452"/>
        <v>24.111378118613782</v>
      </c>
      <c r="AO631">
        <f t="shared" si="485"/>
        <v>0</v>
      </c>
      <c r="AP631" s="121">
        <f t="shared" si="453"/>
        <v>0</v>
      </c>
      <c r="AQ631">
        <f t="shared" si="454"/>
        <v>0</v>
      </c>
      <c r="AR631">
        <v>0</v>
      </c>
      <c r="AS631">
        <f t="shared" si="437"/>
        <v>0</v>
      </c>
      <c r="AT631">
        <f t="shared" si="455"/>
        <v>0</v>
      </c>
      <c r="AU631">
        <f>IFERROR(HLOOKUP(B631,'Real assumptions'!$B$43:$AL$44,2,TRUE)*($W$3/$U$2),0)</f>
        <v>0</v>
      </c>
      <c r="AV631">
        <f>AV630*(1+'Real assumptions'!$B$35)^(1/12)</f>
        <v>1.8979891619533507</v>
      </c>
      <c r="AW631">
        <f t="shared" si="438"/>
        <v>2070</v>
      </c>
      <c r="AX631">
        <f t="shared" si="465"/>
        <v>24.109699014640405</v>
      </c>
      <c r="AY631">
        <f t="shared" si="466"/>
        <v>4.1955398322216265E-2</v>
      </c>
      <c r="AZ631">
        <f t="shared" si="439"/>
        <v>44.818620472646359</v>
      </c>
      <c r="BA631">
        <f t="shared" si="456"/>
        <v>1.0749966745098287</v>
      </c>
      <c r="BB631">
        <f t="shared" si="457"/>
        <v>47.333333333333336</v>
      </c>
      <c r="BC631">
        <f t="shared" si="440"/>
        <v>28.4</v>
      </c>
      <c r="BD631">
        <f t="shared" si="458"/>
        <v>0</v>
      </c>
      <c r="BE631">
        <f t="shared" si="441"/>
        <v>24</v>
      </c>
      <c r="BF631">
        <f t="shared" si="467"/>
        <v>5000</v>
      </c>
      <c r="BU631"/>
      <c r="DW631" s="89"/>
      <c r="DX631" s="89"/>
      <c r="FD631"/>
      <c r="FE631"/>
    </row>
    <row r="632" spans="1:161" x14ac:dyDescent="0.25">
      <c r="A632" s="7">
        <f t="shared" si="459"/>
        <v>62336</v>
      </c>
      <c r="B632">
        <f t="shared" si="442"/>
        <v>621</v>
      </c>
      <c r="C632">
        <f t="shared" si="477"/>
        <v>51.666666666666664</v>
      </c>
      <c r="D632">
        <f t="shared" si="478"/>
        <v>0</v>
      </c>
      <c r="E632">
        <f t="shared" si="443"/>
        <v>103</v>
      </c>
      <c r="F632">
        <f>IF(C632&gt;=$T$2,0,VLOOKUP($E632,EKM_F05!$A$3:$C$128,2,TRUE))</f>
        <v>0.5172848717948717</v>
      </c>
      <c r="G632">
        <f>F632*'Real assumptions'!$B$3</f>
        <v>0.21586297699999996</v>
      </c>
      <c r="H632">
        <f t="shared" si="479"/>
        <v>2.0060350776723301E-2</v>
      </c>
      <c r="I632">
        <f t="shared" si="480"/>
        <v>1.9501823759628231E-4</v>
      </c>
      <c r="J632">
        <f>IF(B632&gt;$AJ$2,0,HLOOKUP(C632,'Real assumptions'!$B$5:$L$8,4,TRUE))</f>
        <v>3.7900000000000003E-2</v>
      </c>
      <c r="K632">
        <f t="shared" si="432"/>
        <v>1</v>
      </c>
      <c r="L632">
        <f t="shared" si="460"/>
        <v>8.3333333333333329E-2</v>
      </c>
      <c r="M632">
        <f t="shared" si="481"/>
        <v>3.2145624959929453E-3</v>
      </c>
      <c r="N632">
        <f t="shared" si="482"/>
        <v>3.098697130570773E-5</v>
      </c>
      <c r="O632" s="8">
        <f t="shared" si="444"/>
        <v>9.5112218983748765E-3</v>
      </c>
      <c r="P632">
        <f t="shared" si="445"/>
        <v>0.2336934505746448</v>
      </c>
      <c r="Q632">
        <f t="shared" si="461"/>
        <v>0.97509118798141159</v>
      </c>
      <c r="R632" s="89">
        <f t="shared" si="433"/>
        <v>5000</v>
      </c>
      <c r="S632">
        <f t="shared" si="434"/>
        <v>0.25</v>
      </c>
      <c r="U632">
        <f>O631*AV631*'Real assumptions'!$B$33/12+AX632*'Real assumptions'!$B$34</f>
        <v>0.19127506495199298</v>
      </c>
      <c r="V632">
        <f>IF(P632=0,0,IF(E632&lt;=$C$7,$AN$5*O631,0))*'Real assumptions'!$D$28</f>
        <v>0</v>
      </c>
      <c r="X632" s="94">
        <f t="shared" si="446"/>
        <v>0</v>
      </c>
      <c r="Y632">
        <f t="shared" si="435"/>
        <v>24</v>
      </c>
      <c r="Z632">
        <f t="shared" si="462"/>
        <v>47</v>
      </c>
      <c r="AA632">
        <f t="shared" si="436"/>
        <v>47.25</v>
      </c>
      <c r="AB632">
        <f t="shared" si="447"/>
        <v>50.505050505050505</v>
      </c>
      <c r="AC632">
        <f t="shared" si="483"/>
        <v>2386.3636363636365</v>
      </c>
      <c r="AD632">
        <f t="shared" si="448"/>
        <v>80.505050505050505</v>
      </c>
      <c r="AE632">
        <f t="shared" si="449"/>
        <v>190.19318181818181</v>
      </c>
      <c r="AF632" s="94">
        <f t="shared" si="450"/>
        <v>2423.4431818181815</v>
      </c>
      <c r="AG632">
        <f t="shared" si="463"/>
        <v>7.5095164336013029E-2</v>
      </c>
      <c r="AH632">
        <f t="shared" si="451"/>
        <v>23.049905860376377</v>
      </c>
      <c r="AI632">
        <f>HLOOKUP(AW632,'Real assumptions'!$A$21:$AK$24,2,TRUE)</f>
        <v>0</v>
      </c>
      <c r="AJ632" s="123">
        <f t="shared" si="484"/>
        <v>0</v>
      </c>
      <c r="AK632" s="122">
        <f>(1+HLOOKUP(YEAR(A632),'Real assumptions'!$A$21:$AK$24,2,TRUE)/100)^(1/12)-1</f>
        <v>0</v>
      </c>
      <c r="AL632">
        <f t="shared" si="464"/>
        <v>0.19127506495199298</v>
      </c>
      <c r="AM632">
        <f>('Real assumptions'!$B$33/12)*O631*AV631</f>
        <v>0.18481151517089872</v>
      </c>
      <c r="AN632">
        <f t="shared" si="452"/>
        <v>23.595787199831729</v>
      </c>
      <c r="AO632">
        <f t="shared" si="485"/>
        <v>0</v>
      </c>
      <c r="AP632" s="121">
        <f t="shared" si="453"/>
        <v>0</v>
      </c>
      <c r="AQ632">
        <f t="shared" si="454"/>
        <v>0</v>
      </c>
      <c r="AR632">
        <v>0</v>
      </c>
      <c r="AS632">
        <f t="shared" si="437"/>
        <v>0</v>
      </c>
      <c r="AT632">
        <f t="shared" si="455"/>
        <v>0</v>
      </c>
      <c r="AU632">
        <f>IFERROR(HLOOKUP(B632,'Real assumptions'!$B$43:$AL$44,2,TRUE)*($W$3/$U$2),0)</f>
        <v>0</v>
      </c>
      <c r="AV632">
        <f>AV631*(1+'Real assumptions'!$B$35)^(1/12)</f>
        <v>1.8999549966637845</v>
      </c>
      <c r="AW632">
        <f t="shared" si="438"/>
        <v>2070</v>
      </c>
      <c r="AX632">
        <f t="shared" si="465"/>
        <v>23.594350409778421</v>
      </c>
      <c r="AY632">
        <f t="shared" si="466"/>
        <v>4.0981595569347079E-2</v>
      </c>
      <c r="AZ632">
        <f t="shared" si="439"/>
        <v>43.81085250595158</v>
      </c>
      <c r="BA632">
        <f t="shared" si="456"/>
        <v>1.0501863523174246</v>
      </c>
      <c r="BB632">
        <f t="shared" si="457"/>
        <v>47.25</v>
      </c>
      <c r="BC632">
        <f t="shared" si="440"/>
        <v>28.349999999999998</v>
      </c>
      <c r="BD632">
        <f t="shared" si="458"/>
        <v>0</v>
      </c>
      <c r="BE632">
        <f t="shared" si="441"/>
        <v>24</v>
      </c>
      <c r="BF632">
        <f t="shared" si="467"/>
        <v>5000</v>
      </c>
      <c r="BU632"/>
      <c r="DW632" s="89"/>
      <c r="DX632" s="89"/>
      <c r="FD632"/>
      <c r="FE632"/>
    </row>
    <row r="633" spans="1:161" x14ac:dyDescent="0.25">
      <c r="A633" s="7">
        <f t="shared" si="459"/>
        <v>62366</v>
      </c>
      <c r="B633">
        <f t="shared" si="442"/>
        <v>622</v>
      </c>
      <c r="C633">
        <f t="shared" si="477"/>
        <v>51.75</v>
      </c>
      <c r="D633">
        <f t="shared" si="478"/>
        <v>0</v>
      </c>
      <c r="E633">
        <f t="shared" si="443"/>
        <v>103</v>
      </c>
      <c r="F633">
        <f>IF(C633&gt;=$T$2,0,VLOOKUP($E633,EKM_F05!$A$3:$C$128,2,TRUE))</f>
        <v>0.5172848717948717</v>
      </c>
      <c r="G633">
        <f>F633*'Real assumptions'!$B$3</f>
        <v>0.21586297699999996</v>
      </c>
      <c r="H633">
        <f t="shared" si="479"/>
        <v>2.0060350776723301E-2</v>
      </c>
      <c r="I633">
        <f t="shared" si="480"/>
        <v>1.9049178082968318E-4</v>
      </c>
      <c r="J633">
        <f>IF(B633&gt;$AJ$2,0,HLOOKUP(C633,'Real assumptions'!$B$5:$L$8,4,TRUE))</f>
        <v>3.7900000000000003E-2</v>
      </c>
      <c r="K633">
        <f t="shared" si="432"/>
        <v>1</v>
      </c>
      <c r="L633">
        <f t="shared" si="460"/>
        <v>8.3333333333333329E-2</v>
      </c>
      <c r="M633">
        <f t="shared" si="481"/>
        <v>3.2145624959929453E-3</v>
      </c>
      <c r="N633">
        <f t="shared" si="482"/>
        <v>3.026775043861377E-5</v>
      </c>
      <c r="O633" s="8">
        <f t="shared" si="444"/>
        <v>9.2904623671065788E-3</v>
      </c>
      <c r="P633">
        <f t="shared" si="445"/>
        <v>0.22826932556099705</v>
      </c>
      <c r="Q633">
        <f t="shared" si="461"/>
        <v>0.95245890414841594</v>
      </c>
      <c r="R633" s="89">
        <f t="shared" si="433"/>
        <v>5000</v>
      </c>
      <c r="S633">
        <f t="shared" si="434"/>
        <v>0.1666666666666643</v>
      </c>
      <c r="U633">
        <f>O632*AV632*'Real assumptions'!$B$33/12+AX633*'Real assumptions'!$B$34</f>
        <v>0.18703430384467337</v>
      </c>
      <c r="V633">
        <f>IF(P633=0,0,IF(E633&lt;=$C$7,$AN$5*O632,0))*'Real assumptions'!$D$28</f>
        <v>0</v>
      </c>
      <c r="X633" s="94">
        <f t="shared" si="446"/>
        <v>0</v>
      </c>
      <c r="Y633">
        <f t="shared" si="435"/>
        <v>24</v>
      </c>
      <c r="Z633">
        <f t="shared" si="462"/>
        <v>47</v>
      </c>
      <c r="AA633">
        <f t="shared" si="436"/>
        <v>47.166666666666664</v>
      </c>
      <c r="AB633">
        <f t="shared" si="447"/>
        <v>50.505050505050505</v>
      </c>
      <c r="AC633">
        <f t="shared" si="483"/>
        <v>2382.1548821548822</v>
      </c>
      <c r="AD633">
        <f t="shared" si="448"/>
        <v>80.505050505050505</v>
      </c>
      <c r="AE633">
        <f t="shared" si="449"/>
        <v>189.85774410774408</v>
      </c>
      <c r="AF633" s="94">
        <f t="shared" si="450"/>
        <v>2427.9873737373737</v>
      </c>
      <c r="AG633">
        <f t="shared" si="463"/>
        <v>7.3489715896388086E-2</v>
      </c>
      <c r="AH633">
        <f t="shared" si="451"/>
        <v>22.557125323517006</v>
      </c>
      <c r="AI633">
        <f>HLOOKUP(AW633,'Real assumptions'!$A$21:$AK$24,2,TRUE)</f>
        <v>0</v>
      </c>
      <c r="AJ633" s="123">
        <f t="shared" si="484"/>
        <v>0</v>
      </c>
      <c r="AK633" s="122">
        <f>(1+HLOOKUP(YEAR(A633),'Real assumptions'!$A$21:$AK$24,2,TRUE)/100)^(1/12)-1</f>
        <v>0</v>
      </c>
      <c r="AL633">
        <f t="shared" si="464"/>
        <v>0.18703430384467337</v>
      </c>
      <c r="AM633">
        <f>('Real assumptions'!$B$33/12)*O632*AV632</f>
        <v>0.18070893570195351</v>
      </c>
      <c r="AN633">
        <f t="shared" si="452"/>
        <v>23.091140882092702</v>
      </c>
      <c r="AO633">
        <f t="shared" si="485"/>
        <v>0</v>
      </c>
      <c r="AP633" s="121">
        <f t="shared" si="453"/>
        <v>0</v>
      </c>
      <c r="AQ633">
        <f t="shared" si="454"/>
        <v>0</v>
      </c>
      <c r="AR633">
        <v>0</v>
      </c>
      <c r="AS633">
        <f t="shared" si="437"/>
        <v>0</v>
      </c>
      <c r="AT633">
        <f t="shared" si="455"/>
        <v>0</v>
      </c>
      <c r="AU633">
        <f>IFERROR(HLOOKUP(B633,'Real assumptions'!$B$43:$AL$44,2,TRUE)*($W$3/$U$2),0)</f>
        <v>0</v>
      </c>
      <c r="AV633">
        <f>AV632*(1+'Real assumptions'!$B$35)^(1/12)</f>
        <v>1.9019228674796853</v>
      </c>
      <c r="AW633">
        <f t="shared" si="438"/>
        <v>2070</v>
      </c>
      <c r="AX633">
        <f t="shared" si="465"/>
        <v>23.089936255571558</v>
      </c>
      <c r="AY633">
        <f t="shared" si="466"/>
        <v>4.0030395195180452E-2</v>
      </c>
      <c r="AZ633">
        <f t="shared" si="439"/>
        <v>42.826138907623097</v>
      </c>
      <c r="BA633">
        <f t="shared" si="456"/>
        <v>1.025948620044804</v>
      </c>
      <c r="BB633">
        <f t="shared" si="457"/>
        <v>47.166666666666664</v>
      </c>
      <c r="BC633">
        <f t="shared" si="440"/>
        <v>28.299999999999997</v>
      </c>
      <c r="BD633">
        <f t="shared" si="458"/>
        <v>0</v>
      </c>
      <c r="BE633">
        <f t="shared" si="441"/>
        <v>24</v>
      </c>
      <c r="BF633">
        <f t="shared" si="467"/>
        <v>5000</v>
      </c>
      <c r="BU633"/>
      <c r="DW633" s="89"/>
      <c r="DX633" s="89"/>
      <c r="FD633"/>
      <c r="FE633"/>
    </row>
    <row r="634" spans="1:161" x14ac:dyDescent="0.25">
      <c r="A634" s="7">
        <f t="shared" si="459"/>
        <v>62397</v>
      </c>
      <c r="B634">
        <f t="shared" si="442"/>
        <v>623</v>
      </c>
      <c r="C634">
        <f t="shared" si="477"/>
        <v>51.833333333333336</v>
      </c>
      <c r="D634">
        <f t="shared" si="478"/>
        <v>0</v>
      </c>
      <c r="E634">
        <f t="shared" si="443"/>
        <v>103</v>
      </c>
      <c r="F634">
        <f>IF(C634&gt;=$T$2,0,VLOOKUP($E634,EKM_F05!$A$3:$C$128,2,TRUE))</f>
        <v>0.5172848717948717</v>
      </c>
      <c r="G634">
        <f>F634*'Real assumptions'!$B$3</f>
        <v>0.21586297699999996</v>
      </c>
      <c r="H634">
        <f t="shared" si="479"/>
        <v>2.0060350776723301E-2</v>
      </c>
      <c r="I634">
        <f t="shared" si="480"/>
        <v>1.8607038506205742E-4</v>
      </c>
      <c r="J634">
        <f>IF(B634&gt;$AJ$2,0,HLOOKUP(C634,'Real assumptions'!$B$5:$L$8,4,TRUE))</f>
        <v>3.7900000000000003E-2</v>
      </c>
      <c r="K634">
        <f t="shared" si="432"/>
        <v>1</v>
      </c>
      <c r="L634">
        <f t="shared" si="460"/>
        <v>8.3333333333333329E-2</v>
      </c>
      <c r="M634">
        <f t="shared" si="481"/>
        <v>3.2145624959929453E-3</v>
      </c>
      <c r="N634">
        <f t="shared" si="482"/>
        <v>2.9565222995687019E-5</v>
      </c>
      <c r="O634" s="8">
        <f t="shared" si="444"/>
        <v>9.0748267590488353E-3</v>
      </c>
      <c r="P634">
        <f t="shared" si="445"/>
        <v>0.22297109681055788</v>
      </c>
      <c r="Q634">
        <f t="shared" si="461"/>
        <v>0.9303519253102871</v>
      </c>
      <c r="R634" s="89">
        <f t="shared" si="433"/>
        <v>5000</v>
      </c>
      <c r="S634">
        <f t="shared" si="434"/>
        <v>8.3333333333335702E-2</v>
      </c>
      <c r="U634">
        <f>O633*AV633*'Real assumptions'!$B$33/12+AX634*'Real assumptions'!$B$34</f>
        <v>0.18288754719969108</v>
      </c>
      <c r="V634">
        <f>IF(P634=0,0,IF(E634&lt;=$C$7,$AN$5*O633,0))*'Real assumptions'!$D$28</f>
        <v>0</v>
      </c>
      <c r="X634" s="94">
        <f t="shared" si="446"/>
        <v>0</v>
      </c>
      <c r="Y634">
        <f t="shared" si="435"/>
        <v>24</v>
      </c>
      <c r="Z634">
        <f t="shared" si="462"/>
        <v>47</v>
      </c>
      <c r="AA634">
        <f t="shared" si="436"/>
        <v>47.083333333333336</v>
      </c>
      <c r="AB634">
        <f t="shared" si="447"/>
        <v>50.505050505050505</v>
      </c>
      <c r="AC634">
        <f t="shared" si="483"/>
        <v>2377.9461279461279</v>
      </c>
      <c r="AD634">
        <f t="shared" si="448"/>
        <v>80.505050505050505</v>
      </c>
      <c r="AE634">
        <f t="shared" si="449"/>
        <v>189.52230639730641</v>
      </c>
      <c r="AF634" s="94">
        <f t="shared" si="450"/>
        <v>2432.5315656565658</v>
      </c>
      <c r="AG634">
        <f t="shared" si="463"/>
        <v>7.1918338182684047E-2</v>
      </c>
      <c r="AH634">
        <f t="shared" si="451"/>
        <v>22.074802544251163</v>
      </c>
      <c r="AI634">
        <f>HLOOKUP(AW634,'Real assumptions'!$A$21:$AK$24,2,TRUE)</f>
        <v>0</v>
      </c>
      <c r="AJ634" s="123">
        <f t="shared" si="484"/>
        <v>0</v>
      </c>
      <c r="AK634" s="122">
        <f>(1+HLOOKUP(YEAR(A634),'Real assumptions'!$A$21:$AK$24,2,TRUE)/100)^(1/12)-1</f>
        <v>0</v>
      </c>
      <c r="AL634">
        <f t="shared" si="464"/>
        <v>0.18288754719969108</v>
      </c>
      <c r="AM634">
        <f>('Real assumptions'!$B$33/12)*O633*AV633</f>
        <v>0.1766974282545945</v>
      </c>
      <c r="AN634">
        <f t="shared" si="452"/>
        <v>22.597208873127872</v>
      </c>
      <c r="AO634">
        <f t="shared" si="485"/>
        <v>0</v>
      </c>
      <c r="AP634" s="121">
        <f t="shared" si="453"/>
        <v>0</v>
      </c>
      <c r="AQ634">
        <f t="shared" si="454"/>
        <v>0</v>
      </c>
      <c r="AR634">
        <v>0</v>
      </c>
      <c r="AS634">
        <f t="shared" si="437"/>
        <v>0</v>
      </c>
      <c r="AT634">
        <f t="shared" si="455"/>
        <v>0</v>
      </c>
      <c r="AU634">
        <f>IFERROR(HLOOKUP(B634,'Real assumptions'!$B$43:$AL$44,2,TRUE)*($W$3/$U$2),0)</f>
        <v>0</v>
      </c>
      <c r="AV634">
        <f>AV633*(1+'Real assumptions'!$B$35)^(1/12)</f>
        <v>1.9038927765099412</v>
      </c>
      <c r="AW634">
        <f t="shared" si="438"/>
        <v>2070</v>
      </c>
      <c r="AX634">
        <f t="shared" si="465"/>
        <v>22.59622659610584</v>
      </c>
      <c r="AY634">
        <f t="shared" si="466"/>
        <v>3.9101272588832399E-2</v>
      </c>
      <c r="AZ634">
        <f t="shared" si="439"/>
        <v>41.863952193740992</v>
      </c>
      <c r="BA634">
        <f t="shared" si="456"/>
        <v>1.0022702634929712</v>
      </c>
      <c r="BB634">
        <f t="shared" si="457"/>
        <v>47.083333333333336</v>
      </c>
      <c r="BC634">
        <f t="shared" si="440"/>
        <v>28.25</v>
      </c>
      <c r="BD634">
        <f t="shared" si="458"/>
        <v>0</v>
      </c>
      <c r="BE634">
        <f t="shared" si="441"/>
        <v>24</v>
      </c>
      <c r="BF634">
        <f t="shared" si="467"/>
        <v>5000</v>
      </c>
      <c r="BU634"/>
      <c r="DW634" s="89"/>
      <c r="DX634" s="89"/>
      <c r="FD634"/>
      <c r="FE634"/>
    </row>
    <row r="635" spans="1:161" x14ac:dyDescent="0.25">
      <c r="A635" s="7">
        <f t="shared" si="459"/>
        <v>62427</v>
      </c>
      <c r="B635">
        <f t="shared" si="442"/>
        <v>624</v>
      </c>
      <c r="C635">
        <f t="shared" si="477"/>
        <v>51.916666666666664</v>
      </c>
      <c r="D635">
        <f t="shared" si="478"/>
        <v>0</v>
      </c>
      <c r="E635">
        <f t="shared" si="443"/>
        <v>103</v>
      </c>
      <c r="F635">
        <f>IF(C635&gt;=$T$2,0,VLOOKUP($E635,EKM_F05!$A$3:$C$128,2,TRUE))</f>
        <v>0.5172848717948717</v>
      </c>
      <c r="G635">
        <f>F635*'Real assumptions'!$B$3</f>
        <v>0.21586297699999996</v>
      </c>
      <c r="H635">
        <f t="shared" si="479"/>
        <v>2.0060350776723301E-2</v>
      </c>
      <c r="I635">
        <f t="shared" si="480"/>
        <v>1.8175161178265054E-4</v>
      </c>
      <c r="J635">
        <f>IF(B635&gt;$AJ$2,0,HLOOKUP(C635,'Real assumptions'!$B$5:$L$8,4,TRUE))</f>
        <v>3.7900000000000003E-2</v>
      </c>
      <c r="K635">
        <f t="shared" si="432"/>
        <v>1</v>
      </c>
      <c r="L635">
        <f t="shared" si="460"/>
        <v>8.3333333333333329E-2</v>
      </c>
      <c r="M635">
        <f t="shared" si="481"/>
        <v>3.2145624959929453E-3</v>
      </c>
      <c r="N635">
        <f t="shared" si="482"/>
        <v>2.8879001515407424E-5</v>
      </c>
      <c r="O635" s="8">
        <f t="shared" si="444"/>
        <v>8.864196145750779E-3</v>
      </c>
      <c r="P635">
        <f t="shared" si="445"/>
        <v>0.21779584221717205</v>
      </c>
      <c r="Q635">
        <f t="shared" si="461"/>
        <v>0.90875805891325268</v>
      </c>
      <c r="R635" s="89">
        <f t="shared" si="433"/>
        <v>5000</v>
      </c>
      <c r="S635">
        <f t="shared" si="434"/>
        <v>1</v>
      </c>
      <c r="U635">
        <f>O634*AV634*'Real assumptions'!$B$33/12+AX635*'Real assumptions'!$B$34</f>
        <v>0.17883271164989728</v>
      </c>
      <c r="V635">
        <f>IF(P635=0,0,IF(E635&lt;=$C$7,$AN$5*O634,0))*'Real assumptions'!$D$28</f>
        <v>0</v>
      </c>
      <c r="X635" s="94">
        <f t="shared" si="446"/>
        <v>0</v>
      </c>
      <c r="Y635">
        <f t="shared" si="435"/>
        <v>24</v>
      </c>
      <c r="Z635">
        <f t="shared" si="462"/>
        <v>47</v>
      </c>
      <c r="AA635">
        <f t="shared" si="436"/>
        <v>47</v>
      </c>
      <c r="AB635">
        <f t="shared" si="447"/>
        <v>50.505050505050505</v>
      </c>
      <c r="AC635">
        <f t="shared" si="483"/>
        <v>2373.7373737373737</v>
      </c>
      <c r="AD635">
        <f t="shared" si="448"/>
        <v>80.505050505050505</v>
      </c>
      <c r="AE635">
        <f t="shared" si="449"/>
        <v>189.18686868686868</v>
      </c>
      <c r="AF635" s="94">
        <f t="shared" si="450"/>
        <v>2437.0757575757575</v>
      </c>
      <c r="AG635">
        <f t="shared" si="463"/>
        <v>7.0380314496193003E-2</v>
      </c>
      <c r="AH635">
        <f t="shared" si="451"/>
        <v>21.602717537205688</v>
      </c>
      <c r="AI635">
        <f>HLOOKUP(AW635,'Real assumptions'!$A$21:$AK$24,2,TRUE)</f>
        <v>0</v>
      </c>
      <c r="AJ635" s="123">
        <f t="shared" si="484"/>
        <v>0</v>
      </c>
      <c r="AK635" s="122">
        <f>(1+HLOOKUP(YEAR(A635),'Real assumptions'!$A$21:$AK$24,2,TRUE)/100)^(1/12)-1</f>
        <v>0</v>
      </c>
      <c r="AL635">
        <f t="shared" si="464"/>
        <v>0.17883271164989728</v>
      </c>
      <c r="AM635">
        <f>('Real assumptions'!$B$33/12)*O634*AV634</f>
        <v>0.17277497114632195</v>
      </c>
      <c r="AN635">
        <f t="shared" si="452"/>
        <v>22.113765674818438</v>
      </c>
      <c r="AO635">
        <f t="shared" si="485"/>
        <v>0</v>
      </c>
      <c r="AP635" s="121">
        <f t="shared" si="453"/>
        <v>0</v>
      </c>
      <c r="AQ635">
        <f t="shared" si="454"/>
        <v>0</v>
      </c>
      <c r="AR635">
        <v>0</v>
      </c>
      <c r="AS635">
        <f t="shared" si="437"/>
        <v>0</v>
      </c>
      <c r="AT635">
        <f t="shared" si="455"/>
        <v>0</v>
      </c>
      <c r="AU635">
        <f>IFERROR(HLOOKUP(B635,'Real assumptions'!$B$43:$AL$44,2,TRUE)*($W$3/$U$2),0)</f>
        <v>0</v>
      </c>
      <c r="AV635">
        <f>AV634*(1+'Real assumptions'!$B$35)^(1/12)</f>
        <v>1.9058647258656243</v>
      </c>
      <c r="AW635">
        <f t="shared" si="438"/>
        <v>2070</v>
      </c>
      <c r="AX635">
        <f t="shared" si="465"/>
        <v>22.112996259567026</v>
      </c>
      <c r="AY635">
        <f t="shared" si="466"/>
        <v>3.8193715315862097E-2</v>
      </c>
      <c r="AZ635">
        <f t="shared" si="439"/>
        <v>40.923776950898819</v>
      </c>
      <c r="BA635">
        <f t="shared" si="456"/>
        <v>0.97913837340944565</v>
      </c>
      <c r="BB635">
        <f t="shared" si="457"/>
        <v>47</v>
      </c>
      <c r="BC635">
        <f t="shared" si="440"/>
        <v>28.2</v>
      </c>
      <c r="BD635">
        <f t="shared" si="458"/>
        <v>0</v>
      </c>
      <c r="BE635">
        <f t="shared" si="441"/>
        <v>24</v>
      </c>
      <c r="BF635">
        <f t="shared" si="467"/>
        <v>5000</v>
      </c>
      <c r="BU635"/>
      <c r="DW635" s="89"/>
      <c r="DX635" s="89"/>
      <c r="FD635"/>
      <c r="FE635"/>
    </row>
    <row r="636" spans="1:161" x14ac:dyDescent="0.25">
      <c r="A636" s="7">
        <f t="shared" si="459"/>
        <v>62458</v>
      </c>
      <c r="B636">
        <f t="shared" si="442"/>
        <v>625</v>
      </c>
      <c r="C636">
        <f t="shared" si="477"/>
        <v>52</v>
      </c>
      <c r="D636">
        <f t="shared" si="478"/>
        <v>1</v>
      </c>
      <c r="E636">
        <f t="shared" si="443"/>
        <v>104</v>
      </c>
      <c r="F636">
        <f>IF(C636&gt;=$T$2,0,VLOOKUP($E636,EKM_F05!$A$3:$C$128,2,TRUE))</f>
        <v>0.56504692307692306</v>
      </c>
      <c r="G636">
        <f>F636*'Real assumptions'!$B$3</f>
        <v>0.23579408099999999</v>
      </c>
      <c r="H636">
        <f t="shared" si="479"/>
        <v>2.2160598151647171E-2</v>
      </c>
      <c r="I636">
        <f t="shared" si="480"/>
        <v>1.961201610029841E-4</v>
      </c>
      <c r="J636">
        <f>IF(B636&gt;$AJ$2,0,HLOOKUP(C636,'Real assumptions'!$B$5:$L$8,4,TRUE))</f>
        <v>3.7900000000000003E-2</v>
      </c>
      <c r="K636">
        <f t="shared" si="432"/>
        <v>1</v>
      </c>
      <c r="L636">
        <f t="shared" si="460"/>
        <v>8.3333333333333329E-2</v>
      </c>
      <c r="M636">
        <f t="shared" si="481"/>
        <v>3.2145624959929453E-3</v>
      </c>
      <c r="N636">
        <f t="shared" si="482"/>
        <v>2.8178784766877083E-5</v>
      </c>
      <c r="O636" s="8">
        <f t="shared" si="444"/>
        <v>8.6398971999809178E-3</v>
      </c>
      <c r="P636">
        <f t="shared" si="445"/>
        <v>0.21274070749801871</v>
      </c>
      <c r="Q636">
        <f t="shared" si="461"/>
        <v>0.98060080501492053</v>
      </c>
      <c r="R636" s="89">
        <f t="shared" si="433"/>
        <v>5000</v>
      </c>
      <c r="S636">
        <f t="shared" si="434"/>
        <v>0.9166666666666643</v>
      </c>
      <c r="U636">
        <f>O635*AV635*'Real assumptions'!$B$33/12+AX636*'Real assumptions'!$B$34</f>
        <v>0.17486775999058907</v>
      </c>
      <c r="V636">
        <f>IF(P636=0,0,IF(E636&lt;=$C$7,$AN$5*O635,0))*'Real assumptions'!$D$28</f>
        <v>0</v>
      </c>
      <c r="X636" s="94">
        <f t="shared" si="446"/>
        <v>0</v>
      </c>
      <c r="Y636">
        <f t="shared" si="435"/>
        <v>24</v>
      </c>
      <c r="Z636">
        <f t="shared" si="462"/>
        <v>47</v>
      </c>
      <c r="AA636">
        <f t="shared" si="436"/>
        <v>46.916666666666664</v>
      </c>
      <c r="AB636">
        <f t="shared" si="447"/>
        <v>50.505050505050505</v>
      </c>
      <c r="AC636">
        <f t="shared" si="483"/>
        <v>2369.5286195286194</v>
      </c>
      <c r="AD636">
        <f t="shared" si="448"/>
        <v>80.505050505050505</v>
      </c>
      <c r="AE636">
        <f t="shared" si="449"/>
        <v>188.85143097643095</v>
      </c>
      <c r="AF636" s="94">
        <f t="shared" si="450"/>
        <v>2441.6199494949497</v>
      </c>
      <c r="AG636">
        <f t="shared" si="463"/>
        <v>6.8801883039331477E-2</v>
      </c>
      <c r="AH636">
        <f t="shared" si="451"/>
        <v>21.095345365058964</v>
      </c>
      <c r="AI636">
        <f>HLOOKUP(AW636,'Real assumptions'!$A$21:$AK$24,2,TRUE)</f>
        <v>0</v>
      </c>
      <c r="AJ636" s="123">
        <f t="shared" si="484"/>
        <v>0</v>
      </c>
      <c r="AK636" s="122">
        <f>(1+HLOOKUP(YEAR(A636),'Real assumptions'!$A$21:$AK$24,2,TRUE)/100)^(1/12)-1</f>
        <v>0</v>
      </c>
      <c r="AL636">
        <f t="shared" si="464"/>
        <v>0.17486775999058907</v>
      </c>
      <c r="AM636">
        <f>('Real assumptions'!$B$33/12)*O635*AV635</f>
        <v>0.1689395875734043</v>
      </c>
      <c r="AN636">
        <f t="shared" si="452"/>
        <v>21.640590484713115</v>
      </c>
      <c r="AO636">
        <f t="shared" si="485"/>
        <v>0</v>
      </c>
      <c r="AP636" s="121">
        <f t="shared" si="453"/>
        <v>0</v>
      </c>
      <c r="AQ636">
        <f t="shared" si="454"/>
        <v>0</v>
      </c>
      <c r="AR636">
        <v>0</v>
      </c>
      <c r="AS636">
        <f t="shared" si="437"/>
        <v>0</v>
      </c>
      <c r="AT636">
        <f t="shared" si="455"/>
        <v>0</v>
      </c>
      <c r="AU636">
        <f>IFERROR(HLOOKUP(B636,'Real assumptions'!$B$43:$AL$44,2,TRUE)*($W$3/$U$2),0)</f>
        <v>0</v>
      </c>
      <c r="AV636">
        <f>AV635*(1+'Real assumptions'!$B$35)^(1/12)</f>
        <v>1.9078387176599938</v>
      </c>
      <c r="AW636">
        <f t="shared" si="438"/>
        <v>2070</v>
      </c>
      <c r="AX636">
        <f t="shared" si="465"/>
        <v>21.640024760041339</v>
      </c>
      <c r="AY636">
        <f t="shared" si="466"/>
        <v>3.7307222835651424E-2</v>
      </c>
      <c r="AZ636">
        <f t="shared" si="439"/>
        <v>39.912247210352</v>
      </c>
      <c r="BA636">
        <f t="shared" si="456"/>
        <v>1.049402688054252</v>
      </c>
      <c r="BB636">
        <f t="shared" si="457"/>
        <v>46.916666666666664</v>
      </c>
      <c r="BC636">
        <f t="shared" si="440"/>
        <v>28.15</v>
      </c>
      <c r="BD636">
        <f t="shared" si="458"/>
        <v>0</v>
      </c>
      <c r="BE636">
        <f t="shared" si="441"/>
        <v>24</v>
      </c>
      <c r="BF636">
        <f t="shared" si="467"/>
        <v>5000</v>
      </c>
      <c r="BU636"/>
      <c r="DW636" s="89"/>
      <c r="DX636" s="89"/>
      <c r="FD636"/>
      <c r="FE636"/>
    </row>
    <row r="637" spans="1:161" x14ac:dyDescent="0.25">
      <c r="A637" s="7">
        <f t="shared" si="459"/>
        <v>62489</v>
      </c>
      <c r="B637">
        <f t="shared" si="442"/>
        <v>626</v>
      </c>
      <c r="C637">
        <f t="shared" si="477"/>
        <v>52.083333333333336</v>
      </c>
      <c r="D637">
        <f t="shared" si="478"/>
        <v>0</v>
      </c>
      <c r="E637">
        <f t="shared" si="443"/>
        <v>104</v>
      </c>
      <c r="F637">
        <f>IF(C637&gt;=$T$2,0,VLOOKUP($E637,EKM_F05!$A$3:$C$128,2,TRUE))</f>
        <v>0.56504692307692306</v>
      </c>
      <c r="G637">
        <f>F637*'Real assumptions'!$B$3</f>
        <v>0.23579408099999999</v>
      </c>
      <c r="H637">
        <f t="shared" si="479"/>
        <v>2.2160598151647171E-2</v>
      </c>
      <c r="I637">
        <f t="shared" si="480"/>
        <v>1.9115755135018755E-4</v>
      </c>
      <c r="J637">
        <f>IF(B637&gt;$AJ$2,0,HLOOKUP(C637,'Real assumptions'!$B$5:$L$8,4,TRUE))</f>
        <v>3.7900000000000003E-2</v>
      </c>
      <c r="K637">
        <f t="shared" si="432"/>
        <v>1</v>
      </c>
      <c r="L637">
        <f t="shared" si="460"/>
        <v>8.3333333333333329E-2</v>
      </c>
      <c r="M637">
        <f t="shared" si="481"/>
        <v>3.2145624959929453E-3</v>
      </c>
      <c r="N637">
        <f t="shared" si="482"/>
        <v>2.746575093816198E-5</v>
      </c>
      <c r="O637" s="8">
        <f t="shared" si="444"/>
        <v>8.4212738976925695E-3</v>
      </c>
      <c r="P637">
        <f t="shared" si="445"/>
        <v>0.20735753279954203</v>
      </c>
      <c r="Q637">
        <f t="shared" si="461"/>
        <v>0.95578775675093774</v>
      </c>
      <c r="R637" s="89">
        <f t="shared" si="433"/>
        <v>5000</v>
      </c>
      <c r="S637">
        <f t="shared" si="434"/>
        <v>0.8333333333333357</v>
      </c>
      <c r="U637">
        <f>O636*AV636*'Real assumptions'!$B$33/12+AX637*'Real assumptions'!$B$34</f>
        <v>0.17062422578327341</v>
      </c>
      <c r="V637">
        <f>IF(P637=0,0,IF(E637&lt;=$C$7,$AN$5*O636,0))*'Real assumptions'!$D$28</f>
        <v>0</v>
      </c>
      <c r="X637" s="94">
        <f t="shared" si="446"/>
        <v>0</v>
      </c>
      <c r="Y637">
        <f t="shared" si="435"/>
        <v>24</v>
      </c>
      <c r="Z637">
        <f t="shared" si="462"/>
        <v>46</v>
      </c>
      <c r="AA637">
        <f t="shared" si="436"/>
        <v>46.833333333333336</v>
      </c>
      <c r="AB637">
        <f t="shared" si="447"/>
        <v>50.505050505050505</v>
      </c>
      <c r="AC637">
        <f t="shared" si="483"/>
        <v>2365.3198653198656</v>
      </c>
      <c r="AD637">
        <f t="shared" si="448"/>
        <v>80.505050505050505</v>
      </c>
      <c r="AE637">
        <f t="shared" si="449"/>
        <v>188.51599326599327</v>
      </c>
      <c r="AF637" s="94">
        <f t="shared" si="450"/>
        <v>2446.1641414141413</v>
      </c>
      <c r="AG637">
        <f t="shared" si="463"/>
        <v>6.7185735061943641E-2</v>
      </c>
      <c r="AH637">
        <f t="shared" si="451"/>
        <v>20.599818233562463</v>
      </c>
      <c r="AI637">
        <f>HLOOKUP(AW637,'Real assumptions'!$A$21:$AK$24,2,TRUE)</f>
        <v>0</v>
      </c>
      <c r="AJ637" s="123">
        <f t="shared" si="484"/>
        <v>0</v>
      </c>
      <c r="AK637" s="122">
        <f>(1+HLOOKUP(YEAR(A637),'Real assumptions'!$A$21:$AK$24,2,TRUE)/100)^(1/12)-1</f>
        <v>0</v>
      </c>
      <c r="AL637">
        <f t="shared" si="464"/>
        <v>0.17062422578327341</v>
      </c>
      <c r="AM637">
        <f>('Real assumptions'!$B$33/12)*O636*AV636</f>
        <v>0.16483530394725765</v>
      </c>
      <c r="AN637">
        <f t="shared" si="452"/>
        <v>21.132078672075231</v>
      </c>
      <c r="AO637">
        <f t="shared" si="485"/>
        <v>0</v>
      </c>
      <c r="AP637" s="121">
        <f t="shared" si="453"/>
        <v>0</v>
      </c>
      <c r="AQ637">
        <f t="shared" si="454"/>
        <v>0</v>
      </c>
      <c r="AR637">
        <v>0</v>
      </c>
      <c r="AS637">
        <f t="shared" si="437"/>
        <v>0</v>
      </c>
      <c r="AT637">
        <f t="shared" si="455"/>
        <v>0</v>
      </c>
      <c r="AU637">
        <f>IFERROR(HLOOKUP(B637,'Real assumptions'!$B$43:$AL$44,2,TRUE)*($W$3/$U$2),0)</f>
        <v>0</v>
      </c>
      <c r="AV637">
        <f>AV636*(1+'Real assumptions'!$B$35)^(1/12)</f>
        <v>1.9098147540084973</v>
      </c>
      <c r="AW637">
        <f t="shared" si="438"/>
        <v>2071</v>
      </c>
      <c r="AX637">
        <f t="shared" si="465"/>
        <v>21.131708568762587</v>
      </c>
      <c r="AY637">
        <f t="shared" si="466"/>
        <v>3.6363203703623392E-2</v>
      </c>
      <c r="AZ637">
        <f t="shared" si="439"/>
        <v>38.926007025555386</v>
      </c>
      <c r="BA637">
        <f t="shared" si="456"/>
        <v>1.0229734918128814</v>
      </c>
      <c r="BB637">
        <f t="shared" si="457"/>
        <v>46.833333333333336</v>
      </c>
      <c r="BC637">
        <f t="shared" si="440"/>
        <v>28.1</v>
      </c>
      <c r="BD637">
        <f t="shared" si="458"/>
        <v>0</v>
      </c>
      <c r="BE637">
        <f t="shared" si="441"/>
        <v>24</v>
      </c>
      <c r="BF637">
        <f t="shared" si="467"/>
        <v>5000</v>
      </c>
      <c r="BU637"/>
      <c r="DW637" s="89"/>
      <c r="DX637" s="89"/>
      <c r="FD637"/>
      <c r="FE637"/>
    </row>
    <row r="638" spans="1:161" x14ac:dyDescent="0.25">
      <c r="A638" s="7">
        <f t="shared" si="459"/>
        <v>62517</v>
      </c>
      <c r="B638">
        <f t="shared" si="442"/>
        <v>627</v>
      </c>
      <c r="C638">
        <f t="shared" si="477"/>
        <v>52.166666666666664</v>
      </c>
      <c r="D638">
        <f t="shared" si="478"/>
        <v>0</v>
      </c>
      <c r="E638">
        <f t="shared" si="443"/>
        <v>104</v>
      </c>
      <c r="F638">
        <f>IF(C638&gt;=$T$2,0,VLOOKUP($E638,EKM_F05!$A$3:$C$128,2,TRUE))</f>
        <v>0.56504692307692306</v>
      </c>
      <c r="G638">
        <f>F638*'Real assumptions'!$B$3</f>
        <v>0.23579408099999999</v>
      </c>
      <c r="H638">
        <f t="shared" si="479"/>
        <v>2.2160598151647171E-2</v>
      </c>
      <c r="I638">
        <f t="shared" si="480"/>
        <v>1.86320515194986E-4</v>
      </c>
      <c r="J638">
        <f>IF(B638&gt;$AJ$2,0,HLOOKUP(C638,'Real assumptions'!$B$5:$L$8,4,TRUE))</f>
        <v>3.7900000000000003E-2</v>
      </c>
      <c r="K638">
        <f t="shared" si="432"/>
        <v>1</v>
      </c>
      <c r="L638">
        <f t="shared" si="460"/>
        <v>8.3333333333333329E-2</v>
      </c>
      <c r="M638">
        <f t="shared" si="481"/>
        <v>3.2145624959929453E-3</v>
      </c>
      <c r="N638">
        <f t="shared" si="482"/>
        <v>2.677075966327233E-5</v>
      </c>
      <c r="O638" s="8">
        <f t="shared" si="444"/>
        <v>8.2081826228343115E-3</v>
      </c>
      <c r="P638">
        <f t="shared" si="445"/>
        <v>0.20211057354462167</v>
      </c>
      <c r="Q638">
        <f t="shared" si="461"/>
        <v>0.93160257597493001</v>
      </c>
      <c r="R638" s="89">
        <f t="shared" si="433"/>
        <v>5000</v>
      </c>
      <c r="S638">
        <f t="shared" si="434"/>
        <v>0.75</v>
      </c>
      <c r="U638">
        <f>O637*AV637*'Real assumptions'!$B$33/12+AX638*'Real assumptions'!$B$34</f>
        <v>0.16648365405965271</v>
      </c>
      <c r="V638">
        <f>IF(P638=0,0,IF(E638&lt;=$C$7,$AN$5*O637,0))*'Real assumptions'!$D$28</f>
        <v>0</v>
      </c>
      <c r="X638" s="94">
        <f t="shared" si="446"/>
        <v>0</v>
      </c>
      <c r="Y638">
        <f t="shared" si="435"/>
        <v>24</v>
      </c>
      <c r="Z638">
        <f t="shared" si="462"/>
        <v>46</v>
      </c>
      <c r="AA638">
        <f t="shared" si="436"/>
        <v>46.75</v>
      </c>
      <c r="AB638">
        <f t="shared" si="447"/>
        <v>50.505050505050505</v>
      </c>
      <c r="AC638">
        <f t="shared" si="483"/>
        <v>2361.1111111111113</v>
      </c>
      <c r="AD638">
        <f t="shared" si="448"/>
        <v>80.505050505050505</v>
      </c>
      <c r="AE638">
        <f t="shared" si="449"/>
        <v>188.18055555555554</v>
      </c>
      <c r="AF638" s="94">
        <f t="shared" si="450"/>
        <v>2450.708333333333</v>
      </c>
      <c r="AG638">
        <f t="shared" si="463"/>
        <v>6.5607323796445349E-2</v>
      </c>
      <c r="AH638">
        <f t="shared" si="451"/>
        <v>20.115861555301901</v>
      </c>
      <c r="AI638">
        <f>HLOOKUP(AW638,'Real assumptions'!$A$21:$AK$24,2,TRUE)</f>
        <v>0</v>
      </c>
      <c r="AJ638" s="123">
        <f t="shared" si="484"/>
        <v>0</v>
      </c>
      <c r="AK638" s="122">
        <f>(1+HLOOKUP(YEAR(A638),'Real assumptions'!$A$21:$AK$24,2,TRUE)/100)^(1/12)-1</f>
        <v>0</v>
      </c>
      <c r="AL638">
        <f t="shared" si="464"/>
        <v>0.16648365405965271</v>
      </c>
      <c r="AM638">
        <f>('Real assumptions'!$B$33/12)*O637*AV637</f>
        <v>0.16083073137359913</v>
      </c>
      <c r="AN638">
        <f t="shared" si="452"/>
        <v>20.635445153047431</v>
      </c>
      <c r="AO638">
        <f t="shared" si="485"/>
        <v>0</v>
      </c>
      <c r="AP638" s="121">
        <f t="shared" si="453"/>
        <v>0</v>
      </c>
      <c r="AQ638">
        <f t="shared" si="454"/>
        <v>0</v>
      </c>
      <c r="AR638">
        <v>0</v>
      </c>
      <c r="AS638">
        <f t="shared" si="437"/>
        <v>0</v>
      </c>
      <c r="AT638">
        <f t="shared" si="455"/>
        <v>0</v>
      </c>
      <c r="AU638">
        <f>IFERROR(HLOOKUP(B638,'Real assumptions'!$B$43:$AL$44,2,TRUE)*($W$3/$U$2),0)</f>
        <v>0</v>
      </c>
      <c r="AV638">
        <f>AV637*(1+'Real assumptions'!$B$35)^(1/12)</f>
        <v>1.9117928370287738</v>
      </c>
      <c r="AW638">
        <f t="shared" si="438"/>
        <v>2071</v>
      </c>
      <c r="AX638">
        <f t="shared" si="465"/>
        <v>20.635261305522448</v>
      </c>
      <c r="AY638">
        <f t="shared" si="466"/>
        <v>3.5443071959985563E-2</v>
      </c>
      <c r="AZ638">
        <f t="shared" si="439"/>
        <v>37.964424045268977</v>
      </c>
      <c r="BA638">
        <f t="shared" si="456"/>
        <v>0.99720989977137542</v>
      </c>
      <c r="BB638">
        <f t="shared" si="457"/>
        <v>46.75</v>
      </c>
      <c r="BC638">
        <f t="shared" si="440"/>
        <v>28.05</v>
      </c>
      <c r="BD638">
        <f t="shared" si="458"/>
        <v>0</v>
      </c>
      <c r="BE638">
        <f t="shared" si="441"/>
        <v>24</v>
      </c>
      <c r="BF638">
        <f t="shared" si="467"/>
        <v>5000</v>
      </c>
      <c r="BU638"/>
      <c r="DW638" s="89"/>
      <c r="DX638" s="89"/>
      <c r="FD638"/>
      <c r="FE638"/>
    </row>
    <row r="639" spans="1:161" x14ac:dyDescent="0.25">
      <c r="A639" s="7">
        <f t="shared" si="459"/>
        <v>62548</v>
      </c>
      <c r="B639">
        <f t="shared" si="442"/>
        <v>628</v>
      </c>
      <c r="C639">
        <f t="shared" si="477"/>
        <v>52.25</v>
      </c>
      <c r="D639">
        <f t="shared" si="478"/>
        <v>0</v>
      </c>
      <c r="E639">
        <f t="shared" si="443"/>
        <v>104</v>
      </c>
      <c r="F639">
        <f>IF(C639&gt;=$T$2,0,VLOOKUP($E639,EKM_F05!$A$3:$C$128,2,TRUE))</f>
        <v>0.56504692307692306</v>
      </c>
      <c r="G639">
        <f>F639*'Real assumptions'!$B$3</f>
        <v>0.23579408099999999</v>
      </c>
      <c r="H639">
        <f t="shared" si="479"/>
        <v>2.2160598151647171E-2</v>
      </c>
      <c r="I639">
        <f t="shared" si="480"/>
        <v>1.8160587503513728E-4</v>
      </c>
      <c r="J639">
        <f>IF(B639&gt;$AJ$2,0,HLOOKUP(C639,'Real assumptions'!$B$5:$L$8,4,TRUE))</f>
        <v>3.7900000000000003E-2</v>
      </c>
      <c r="K639">
        <f t="shared" si="432"/>
        <v>1</v>
      </c>
      <c r="L639">
        <f t="shared" si="460"/>
        <v>8.3333333333333329E-2</v>
      </c>
      <c r="M639">
        <f t="shared" si="481"/>
        <v>3.2145624959929453E-3</v>
      </c>
      <c r="N639">
        <f t="shared" si="482"/>
        <v>2.6093354394796999E-5</v>
      </c>
      <c r="O639" s="8">
        <f t="shared" si="444"/>
        <v>8.000483393404376E-3</v>
      </c>
      <c r="P639">
        <f t="shared" si="445"/>
        <v>0.19699638294802346</v>
      </c>
      <c r="Q639">
        <f t="shared" si="461"/>
        <v>0.90802937517568638</v>
      </c>
      <c r="R639" s="89">
        <f t="shared" si="433"/>
        <v>5000</v>
      </c>
      <c r="S639">
        <f t="shared" si="434"/>
        <v>0.6666666666666643</v>
      </c>
      <c r="U639">
        <f>O638*AV638*'Real assumptions'!$B$33/12+AX639*'Real assumptions'!$B$34</f>
        <v>0.16244354701350419</v>
      </c>
      <c r="V639">
        <f>IF(P639=0,0,IF(E639&lt;=$C$7,$AN$5*O638,0))*'Real assumptions'!$D$28</f>
        <v>0</v>
      </c>
      <c r="X639" s="94">
        <f t="shared" si="446"/>
        <v>0</v>
      </c>
      <c r="Y639">
        <f t="shared" si="435"/>
        <v>24</v>
      </c>
      <c r="Z639">
        <f t="shared" si="462"/>
        <v>46</v>
      </c>
      <c r="AA639">
        <f t="shared" si="436"/>
        <v>46.666666666666664</v>
      </c>
      <c r="AB639">
        <f t="shared" si="447"/>
        <v>50.505050505050505</v>
      </c>
      <c r="AC639">
        <f t="shared" si="483"/>
        <v>2356.9023569023566</v>
      </c>
      <c r="AD639">
        <f t="shared" si="448"/>
        <v>80.505050505050505</v>
      </c>
      <c r="AE639">
        <f t="shared" si="449"/>
        <v>187.84511784511784</v>
      </c>
      <c r="AF639" s="94">
        <f t="shared" si="450"/>
        <v>2455.2525252525256</v>
      </c>
      <c r="AG639">
        <f t="shared" si="463"/>
        <v>6.4065774270134421E-2</v>
      </c>
      <c r="AH639">
        <f t="shared" si="451"/>
        <v>19.64320705489699</v>
      </c>
      <c r="AI639">
        <f>HLOOKUP(AW639,'Real assumptions'!$A$21:$AK$24,2,TRUE)</f>
        <v>0</v>
      </c>
      <c r="AJ639" s="123">
        <f t="shared" si="484"/>
        <v>0</v>
      </c>
      <c r="AK639" s="122">
        <f>(1+HLOOKUP(YEAR(A639),'Real assumptions'!$A$21:$AK$24,2,TRUE)/100)^(1/12)-1</f>
        <v>0</v>
      </c>
      <c r="AL639">
        <f t="shared" si="464"/>
        <v>0.16244354701350419</v>
      </c>
      <c r="AM639">
        <f>('Real assumptions'!$B$33/12)*O638*AV638</f>
        <v>0.15692344743358691</v>
      </c>
      <c r="AN639">
        <f t="shared" si="452"/>
        <v>20.150414391236421</v>
      </c>
      <c r="AO639">
        <f t="shared" si="485"/>
        <v>0</v>
      </c>
      <c r="AP639" s="121">
        <f t="shared" si="453"/>
        <v>0</v>
      </c>
      <c r="AQ639">
        <f t="shared" si="454"/>
        <v>0</v>
      </c>
      <c r="AR639">
        <v>0</v>
      </c>
      <c r="AS639">
        <f t="shared" si="437"/>
        <v>0</v>
      </c>
      <c r="AT639">
        <f t="shared" si="455"/>
        <v>0</v>
      </c>
      <c r="AU639">
        <f>IFERROR(HLOOKUP(B639,'Real assumptions'!$B$43:$AL$44,2,TRUE)*($W$3/$U$2),0)</f>
        <v>0</v>
      </c>
      <c r="AV639">
        <f>AV638*(1+'Real assumptions'!$B$35)^(1/12)</f>
        <v>1.9137729688406553</v>
      </c>
      <c r="AW639">
        <f t="shared" si="438"/>
        <v>2071</v>
      </c>
      <c r="AX639">
        <f t="shared" si="465"/>
        <v>20.150407778461979</v>
      </c>
      <c r="AY639">
        <f t="shared" si="466"/>
        <v>3.4546223160077064E-2</v>
      </c>
      <c r="AZ639">
        <f t="shared" si="439"/>
        <v>37.026881731757676</v>
      </c>
      <c r="BA639">
        <f t="shared" si="456"/>
        <v>0.97209514944582076</v>
      </c>
      <c r="BB639">
        <f t="shared" si="457"/>
        <v>46.666666666666664</v>
      </c>
      <c r="BC639">
        <f t="shared" si="440"/>
        <v>28</v>
      </c>
      <c r="BD639">
        <f t="shared" si="458"/>
        <v>0</v>
      </c>
      <c r="BE639">
        <f t="shared" si="441"/>
        <v>24</v>
      </c>
      <c r="BF639">
        <f t="shared" si="467"/>
        <v>5000</v>
      </c>
      <c r="BU639"/>
      <c r="DW639" s="89"/>
      <c r="DX639" s="89"/>
      <c r="FD639"/>
      <c r="FE639"/>
    </row>
    <row r="640" spans="1:161" x14ac:dyDescent="0.25">
      <c r="A640" s="7">
        <f t="shared" si="459"/>
        <v>62578</v>
      </c>
      <c r="B640">
        <f t="shared" si="442"/>
        <v>629</v>
      </c>
      <c r="C640">
        <f t="shared" si="477"/>
        <v>52.333333333333336</v>
      </c>
      <c r="D640">
        <f t="shared" si="478"/>
        <v>0</v>
      </c>
      <c r="E640">
        <f t="shared" si="443"/>
        <v>104</v>
      </c>
      <c r="F640">
        <f>IF(C640&gt;=$T$2,0,VLOOKUP($E640,EKM_F05!$A$3:$C$128,2,TRUE))</f>
        <v>0.56504692307692306</v>
      </c>
      <c r="G640">
        <f>F640*'Real assumptions'!$B$3</f>
        <v>0.23579408099999999</v>
      </c>
      <c r="H640">
        <f t="shared" si="479"/>
        <v>2.2160598151647171E-2</v>
      </c>
      <c r="I640">
        <f t="shared" si="480"/>
        <v>1.7701053377167469E-4</v>
      </c>
      <c r="J640">
        <f>IF(B640&gt;$AJ$2,0,HLOOKUP(C640,'Real assumptions'!$B$5:$L$8,4,TRUE))</f>
        <v>3.7900000000000003E-2</v>
      </c>
      <c r="K640">
        <f t="shared" si="432"/>
        <v>1</v>
      </c>
      <c r="L640">
        <f t="shared" si="460"/>
        <v>8.3333333333333329E-2</v>
      </c>
      <c r="M640">
        <f t="shared" si="481"/>
        <v>3.2145624959929453E-3</v>
      </c>
      <c r="N640">
        <f t="shared" si="482"/>
        <v>2.5433090137765865E-5</v>
      </c>
      <c r="O640" s="8">
        <f t="shared" si="444"/>
        <v>7.7980397694949353E-3</v>
      </c>
      <c r="P640">
        <f t="shared" si="445"/>
        <v>0.19201160144170504</v>
      </c>
      <c r="Q640">
        <f t="shared" si="461"/>
        <v>0.88505266885837341</v>
      </c>
      <c r="R640" s="89">
        <f t="shared" si="433"/>
        <v>5000</v>
      </c>
      <c r="S640">
        <f t="shared" si="434"/>
        <v>0.5833333333333357</v>
      </c>
      <c r="U640">
        <f>O639*AV639*'Real assumptions'!$B$33/12+AX640*'Real assumptions'!$B$34</f>
        <v>0.15850146742312354</v>
      </c>
      <c r="V640">
        <f>IF(P640=0,0,IF(E640&lt;=$C$7,$AN$5*O639,0))*'Real assumptions'!$D$28</f>
        <v>0</v>
      </c>
      <c r="X640" s="94">
        <f t="shared" si="446"/>
        <v>0</v>
      </c>
      <c r="Y640">
        <f t="shared" si="435"/>
        <v>24</v>
      </c>
      <c r="Z640">
        <f t="shared" si="462"/>
        <v>46</v>
      </c>
      <c r="AA640">
        <f t="shared" si="436"/>
        <v>46.583333333333336</v>
      </c>
      <c r="AB640">
        <f t="shared" si="447"/>
        <v>50.505050505050505</v>
      </c>
      <c r="AC640">
        <f t="shared" si="483"/>
        <v>2352.6936026936028</v>
      </c>
      <c r="AD640">
        <f t="shared" si="448"/>
        <v>80.505050505050505</v>
      </c>
      <c r="AE640">
        <f t="shared" si="449"/>
        <v>187.50968013468014</v>
      </c>
      <c r="AF640" s="94">
        <f t="shared" si="450"/>
        <v>2459.7967171717173</v>
      </c>
      <c r="AG640">
        <f t="shared" si="463"/>
        <v>6.2560231628408861E-2</v>
      </c>
      <c r="AH640">
        <f t="shared" si="451"/>
        <v>19.181592625378137</v>
      </c>
      <c r="AI640">
        <f>HLOOKUP(AW640,'Real assumptions'!$A$21:$AK$24,2,TRUE)</f>
        <v>0</v>
      </c>
      <c r="AJ640" s="123">
        <f t="shared" si="484"/>
        <v>0</v>
      </c>
      <c r="AK640" s="122">
        <f>(1+HLOOKUP(YEAR(A640),'Real assumptions'!$A$21:$AK$24,2,TRUE)/100)^(1/12)-1</f>
        <v>0</v>
      </c>
      <c r="AL640">
        <f t="shared" si="464"/>
        <v>0.15850146742312354</v>
      </c>
      <c r="AM640">
        <f>('Real assumptions'!$B$33/12)*O639*AV639</f>
        <v>0.15311108855955852</v>
      </c>
      <c r="AN640">
        <f t="shared" si="452"/>
        <v>19.676717188915575</v>
      </c>
      <c r="AO640">
        <f t="shared" si="485"/>
        <v>0</v>
      </c>
      <c r="AP640" s="121">
        <f t="shared" si="453"/>
        <v>0</v>
      </c>
      <c r="AQ640">
        <f t="shared" si="454"/>
        <v>0</v>
      </c>
      <c r="AR640">
        <v>0</v>
      </c>
      <c r="AS640">
        <f t="shared" si="437"/>
        <v>0</v>
      </c>
      <c r="AT640">
        <f t="shared" si="455"/>
        <v>0</v>
      </c>
      <c r="AU640">
        <f>IFERROR(HLOOKUP(B640,'Real assumptions'!$B$43:$AL$44,2,TRUE)*($W$3/$U$2),0)</f>
        <v>0</v>
      </c>
      <c r="AV640">
        <f>AV639*(1+'Real assumptions'!$B$35)^(1/12)</f>
        <v>1.9157551515661695</v>
      </c>
      <c r="AW640">
        <f t="shared" si="438"/>
        <v>2071</v>
      </c>
      <c r="AX640">
        <f t="shared" si="465"/>
        <v>19.676879123051048</v>
      </c>
      <c r="AY640">
        <f t="shared" si="466"/>
        <v>3.3672068154058821E-2</v>
      </c>
      <c r="AZ640">
        <f t="shared" si="439"/>
        <v>36.112778965289479</v>
      </c>
      <c r="BA640">
        <f t="shared" si="456"/>
        <v>0.94761290048678226</v>
      </c>
      <c r="BB640">
        <f t="shared" si="457"/>
        <v>46.583333333333336</v>
      </c>
      <c r="BC640">
        <f t="shared" si="440"/>
        <v>27.950000000000003</v>
      </c>
      <c r="BD640">
        <f t="shared" si="458"/>
        <v>0</v>
      </c>
      <c r="BE640">
        <f t="shared" si="441"/>
        <v>24</v>
      </c>
      <c r="BF640">
        <f t="shared" si="467"/>
        <v>5000</v>
      </c>
      <c r="BU640"/>
      <c r="DW640" s="89"/>
      <c r="DX640" s="89"/>
      <c r="FD640"/>
      <c r="FE640"/>
    </row>
    <row r="641" spans="1:161" x14ac:dyDescent="0.25">
      <c r="A641" s="7">
        <f t="shared" si="459"/>
        <v>62609</v>
      </c>
      <c r="B641">
        <f t="shared" si="442"/>
        <v>630</v>
      </c>
      <c r="C641">
        <f t="shared" si="477"/>
        <v>52.416666666666664</v>
      </c>
      <c r="D641">
        <f t="shared" si="478"/>
        <v>0</v>
      </c>
      <c r="E641">
        <f t="shared" si="443"/>
        <v>104</v>
      </c>
      <c r="F641">
        <f>IF(C641&gt;=$T$2,0,VLOOKUP($E641,EKM_F05!$A$3:$C$128,2,TRUE))</f>
        <v>0.56504692307692306</v>
      </c>
      <c r="G641">
        <f>F641*'Real assumptions'!$B$3</f>
        <v>0.23579408099999999</v>
      </c>
      <c r="H641">
        <f t="shared" si="479"/>
        <v>2.2160598151647171E-2</v>
      </c>
      <c r="I641">
        <f t="shared" si="480"/>
        <v>1.7253147267438842E-4</v>
      </c>
      <c r="J641">
        <f>IF(B641&gt;$AJ$2,0,HLOOKUP(C641,'Real assumptions'!$B$5:$L$8,4,TRUE))</f>
        <v>3.7900000000000003E-2</v>
      </c>
      <c r="K641">
        <f t="shared" si="432"/>
        <v>1</v>
      </c>
      <c r="L641">
        <f t="shared" si="460"/>
        <v>8.3333333333333329E-2</v>
      </c>
      <c r="M641">
        <f t="shared" si="481"/>
        <v>3.2145624959929453E-3</v>
      </c>
      <c r="N641">
        <f t="shared" si="482"/>
        <v>2.4789533157327728E-5</v>
      </c>
      <c r="O641" s="8">
        <f t="shared" si="444"/>
        <v>7.6007187636632188E-3</v>
      </c>
      <c r="P641">
        <f t="shared" si="445"/>
        <v>0.18715295446787844</v>
      </c>
      <c r="Q641">
        <f t="shared" si="461"/>
        <v>0.8626573633719421</v>
      </c>
      <c r="R641" s="89">
        <f t="shared" si="433"/>
        <v>5000</v>
      </c>
      <c r="S641">
        <f t="shared" si="434"/>
        <v>0.5</v>
      </c>
      <c r="U641">
        <f>O640*AV640*'Real assumptions'!$B$33/12+AX641*'Real assumptions'!$B$34</f>
        <v>0.15465503718212065</v>
      </c>
      <c r="V641">
        <f>IF(P641=0,0,IF(E641&lt;=$C$7,$AN$5*O640,0))*'Real assumptions'!$D$28</f>
        <v>0</v>
      </c>
      <c r="X641" s="94">
        <f t="shared" si="446"/>
        <v>0</v>
      </c>
      <c r="Y641">
        <f t="shared" si="435"/>
        <v>24</v>
      </c>
      <c r="Z641">
        <f t="shared" si="462"/>
        <v>46</v>
      </c>
      <c r="AA641">
        <f t="shared" si="436"/>
        <v>46.5</v>
      </c>
      <c r="AB641">
        <f t="shared" si="447"/>
        <v>50.505050505050505</v>
      </c>
      <c r="AC641">
        <f t="shared" si="483"/>
        <v>2348.4848484848485</v>
      </c>
      <c r="AD641">
        <f t="shared" si="448"/>
        <v>80.505050505050505</v>
      </c>
      <c r="AE641">
        <f t="shared" si="449"/>
        <v>187.17424242424241</v>
      </c>
      <c r="AF641" s="94">
        <f t="shared" si="450"/>
        <v>2464.340909090909</v>
      </c>
      <c r="AG641">
        <f t="shared" si="463"/>
        <v>6.1089860676868245E-2</v>
      </c>
      <c r="AH641">
        <f t="shared" si="451"/>
        <v>18.730762187790148</v>
      </c>
      <c r="AI641">
        <f>HLOOKUP(AW641,'Real assumptions'!$A$21:$AK$24,2,TRUE)</f>
        <v>0</v>
      </c>
      <c r="AJ641" s="123">
        <f t="shared" si="484"/>
        <v>0</v>
      </c>
      <c r="AK641" s="122">
        <f>(1+HLOOKUP(YEAR(A641),'Real assumptions'!$A$21:$AK$24,2,TRUE)/100)^(1/12)-1</f>
        <v>0</v>
      </c>
      <c r="AL641">
        <f t="shared" si="464"/>
        <v>0.15465503718212065</v>
      </c>
      <c r="AM641">
        <f>('Real assumptions'!$B$33/12)*O640*AV640</f>
        <v>0.14939134860527786</v>
      </c>
      <c r="AN641">
        <f t="shared" si="452"/>
        <v>19.214090542663897</v>
      </c>
      <c r="AO641">
        <f t="shared" si="485"/>
        <v>0</v>
      </c>
      <c r="AP641" s="121">
        <f t="shared" si="453"/>
        <v>0</v>
      </c>
      <c r="AQ641">
        <f t="shared" si="454"/>
        <v>0</v>
      </c>
      <c r="AR641">
        <v>0</v>
      </c>
      <c r="AS641">
        <f t="shared" si="437"/>
        <v>0</v>
      </c>
      <c r="AT641">
        <f t="shared" si="455"/>
        <v>0</v>
      </c>
      <c r="AU641">
        <f>IFERROR(HLOOKUP(B641,'Real assumptions'!$B$43:$AL$44,2,TRUE)*($W$3/$U$2),0)</f>
        <v>0</v>
      </c>
      <c r="AV641">
        <f>AV640*(1+'Real assumptions'!$B$35)^(1/12)</f>
        <v>1.9177393873295421</v>
      </c>
      <c r="AW641">
        <f t="shared" si="438"/>
        <v>2071</v>
      </c>
      <c r="AX641">
        <f t="shared" si="465"/>
        <v>19.214412658078032</v>
      </c>
      <c r="AY641">
        <f t="shared" si="466"/>
        <v>3.2820032699894509E-2</v>
      </c>
      <c r="AZ641">
        <f t="shared" si="439"/>
        <v>35.221529658526421</v>
      </c>
      <c r="BA641">
        <f t="shared" si="456"/>
        <v>0.92374722404881038</v>
      </c>
      <c r="BB641">
        <f t="shared" si="457"/>
        <v>46.5</v>
      </c>
      <c r="BC641">
        <f t="shared" si="440"/>
        <v>27.9</v>
      </c>
      <c r="BD641">
        <f t="shared" si="458"/>
        <v>0</v>
      </c>
      <c r="BE641">
        <f t="shared" si="441"/>
        <v>24</v>
      </c>
      <c r="BF641">
        <f t="shared" si="467"/>
        <v>5000</v>
      </c>
      <c r="BU641"/>
      <c r="DW641" s="89"/>
      <c r="DX641" s="89"/>
      <c r="FD641"/>
      <c r="FE641"/>
    </row>
    <row r="642" spans="1:161" x14ac:dyDescent="0.25">
      <c r="A642" s="7">
        <f t="shared" si="459"/>
        <v>62639</v>
      </c>
      <c r="B642">
        <f t="shared" si="442"/>
        <v>631</v>
      </c>
      <c r="C642">
        <f t="shared" si="477"/>
        <v>52.5</v>
      </c>
      <c r="D642">
        <f t="shared" si="478"/>
        <v>0</v>
      </c>
      <c r="E642">
        <f t="shared" si="443"/>
        <v>104</v>
      </c>
      <c r="F642">
        <f>IF(C642&gt;=$T$2,0,VLOOKUP($E642,EKM_F05!$A$3:$C$128,2,TRUE))</f>
        <v>0.56504692307692306</v>
      </c>
      <c r="G642">
        <f>F642*'Real assumptions'!$B$3</f>
        <v>0.23579408099999999</v>
      </c>
      <c r="H642">
        <f t="shared" si="479"/>
        <v>2.2160598151647171E-2</v>
      </c>
      <c r="I642">
        <f t="shared" si="480"/>
        <v>1.6816574939878853E-4</v>
      </c>
      <c r="J642">
        <f>IF(B642&gt;$AJ$2,0,HLOOKUP(C642,'Real assumptions'!$B$5:$L$8,4,TRUE))</f>
        <v>3.7900000000000003E-2</v>
      </c>
      <c r="K642">
        <f t="shared" si="432"/>
        <v>1</v>
      </c>
      <c r="L642">
        <f t="shared" si="460"/>
        <v>8.3333333333333329E-2</v>
      </c>
      <c r="M642">
        <f t="shared" si="481"/>
        <v>3.2145624959929453E-3</v>
      </c>
      <c r="N642">
        <f t="shared" si="482"/>
        <v>2.4162260693825095E-5</v>
      </c>
      <c r="O642" s="8">
        <f t="shared" si="444"/>
        <v>7.4083907535706052E-3</v>
      </c>
      <c r="P642">
        <f t="shared" si="445"/>
        <v>0.18241725032791725</v>
      </c>
      <c r="Q642">
        <f t="shared" si="461"/>
        <v>0.84082874699394272</v>
      </c>
      <c r="R642" s="89">
        <f t="shared" si="433"/>
        <v>5000</v>
      </c>
      <c r="S642">
        <f t="shared" si="434"/>
        <v>0.4166666666666643</v>
      </c>
      <c r="U642">
        <f>O641*AV641*'Real assumptions'!$B$33/12+AX642*'Real assumptions'!$B$34</f>
        <v>0.15090193586583697</v>
      </c>
      <c r="V642">
        <f>IF(P642=0,0,IF(E642&lt;=$C$7,$AN$5*O641,0))*'Real assumptions'!$D$28</f>
        <v>0</v>
      </c>
      <c r="X642" s="94">
        <f t="shared" si="446"/>
        <v>0</v>
      </c>
      <c r="Y642">
        <f t="shared" si="435"/>
        <v>24</v>
      </c>
      <c r="Z642">
        <f t="shared" si="462"/>
        <v>46</v>
      </c>
      <c r="AA642">
        <f t="shared" si="436"/>
        <v>46.416666666666664</v>
      </c>
      <c r="AB642">
        <f t="shared" si="447"/>
        <v>50.505050505050505</v>
      </c>
      <c r="AC642">
        <f t="shared" si="483"/>
        <v>2344.2760942760942</v>
      </c>
      <c r="AD642">
        <f t="shared" si="448"/>
        <v>80.505050505050505</v>
      </c>
      <c r="AE642">
        <f t="shared" si="449"/>
        <v>186.83880471380471</v>
      </c>
      <c r="AF642" s="94">
        <f t="shared" si="450"/>
        <v>2468.8851010101012</v>
      </c>
      <c r="AG642">
        <f t="shared" si="463"/>
        <v>5.9653845433706769E-2</v>
      </c>
      <c r="AH642">
        <f t="shared" si="451"/>
        <v>18.290465553951464</v>
      </c>
      <c r="AI642">
        <f>HLOOKUP(AW642,'Real assumptions'!$A$21:$AK$24,2,TRUE)</f>
        <v>0</v>
      </c>
      <c r="AJ642" s="123">
        <f t="shared" si="484"/>
        <v>0</v>
      </c>
      <c r="AK642" s="122">
        <f>(1+HLOOKUP(YEAR(A642),'Real assumptions'!$A$21:$AK$24,2,TRUE)/100)^(1/12)-1</f>
        <v>0</v>
      </c>
      <c r="AL642">
        <f t="shared" si="464"/>
        <v>0.15090193586583697</v>
      </c>
      <c r="AM642">
        <f>('Real assumptions'!$B$33/12)*O641*AV641</f>
        <v>0.14576197745091657</v>
      </c>
      <c r="AN642">
        <f t="shared" si="452"/>
        <v>18.762277502252228</v>
      </c>
      <c r="AO642">
        <f t="shared" si="485"/>
        <v>0</v>
      </c>
      <c r="AP642" s="121">
        <f t="shared" si="453"/>
        <v>0</v>
      </c>
      <c r="AQ642">
        <f t="shared" si="454"/>
        <v>0</v>
      </c>
      <c r="AR642">
        <v>0</v>
      </c>
      <c r="AS642">
        <f t="shared" si="437"/>
        <v>0</v>
      </c>
      <c r="AT642">
        <f t="shared" si="455"/>
        <v>0</v>
      </c>
      <c r="AU642">
        <f>IFERROR(HLOOKUP(B642,'Real assumptions'!$B$43:$AL$44,2,TRUE)*($W$3/$U$2),0)</f>
        <v>0</v>
      </c>
      <c r="AV642">
        <f>AV641*(1+'Real assumptions'!$B$35)^(1/12)</f>
        <v>1.9197256782571988</v>
      </c>
      <c r="AW642">
        <f t="shared" si="438"/>
        <v>2071</v>
      </c>
      <c r="AX642">
        <f t="shared" si="465"/>
        <v>18.762751744876272</v>
      </c>
      <c r="AY642">
        <f t="shared" si="466"/>
        <v>3.1989557086124658E-2</v>
      </c>
      <c r="AZ642">
        <f t="shared" si="439"/>
        <v>34.352562380560848</v>
      </c>
      <c r="BA642">
        <f t="shared" si="456"/>
        <v>0.9004825924276495</v>
      </c>
      <c r="BB642">
        <f t="shared" si="457"/>
        <v>46.416666666666664</v>
      </c>
      <c r="BC642">
        <f t="shared" si="440"/>
        <v>27.849999999999994</v>
      </c>
      <c r="BD642">
        <f t="shared" si="458"/>
        <v>0</v>
      </c>
      <c r="BE642">
        <f t="shared" si="441"/>
        <v>24</v>
      </c>
      <c r="BF642">
        <f t="shared" si="467"/>
        <v>5000</v>
      </c>
      <c r="BU642"/>
      <c r="DW642" s="89"/>
      <c r="DX642" s="89"/>
      <c r="FD642"/>
      <c r="FE642"/>
    </row>
    <row r="643" spans="1:161" x14ac:dyDescent="0.25">
      <c r="A643" s="7">
        <f t="shared" si="459"/>
        <v>62670</v>
      </c>
      <c r="B643">
        <f t="shared" si="442"/>
        <v>632</v>
      </c>
      <c r="C643">
        <f t="shared" si="477"/>
        <v>52.583333333333336</v>
      </c>
      <c r="D643">
        <f t="shared" si="478"/>
        <v>0</v>
      </c>
      <c r="E643">
        <f t="shared" si="443"/>
        <v>104</v>
      </c>
      <c r="F643">
        <f>IF(C643&gt;=$T$2,0,VLOOKUP($E643,EKM_F05!$A$3:$C$128,2,TRUE))</f>
        <v>0.56504692307692306</v>
      </c>
      <c r="G643">
        <f>F643*'Real assumptions'!$B$3</f>
        <v>0.23579408099999999</v>
      </c>
      <c r="H643">
        <f t="shared" si="479"/>
        <v>2.2160598151647171E-2</v>
      </c>
      <c r="I643">
        <f t="shared" si="480"/>
        <v>1.6391049605324649E-4</v>
      </c>
      <c r="J643">
        <f>IF(B643&gt;$AJ$2,0,HLOOKUP(C643,'Real assumptions'!$B$5:$L$8,4,TRUE))</f>
        <v>3.7900000000000003E-2</v>
      </c>
      <c r="K643">
        <f t="shared" si="432"/>
        <v>1</v>
      </c>
      <c r="L643">
        <f t="shared" si="460"/>
        <v>8.3333333333333329E-2</v>
      </c>
      <c r="M643">
        <f t="shared" si="481"/>
        <v>3.2145624959929453E-3</v>
      </c>
      <c r="N643">
        <f t="shared" si="482"/>
        <v>2.3550860685078729E-5</v>
      </c>
      <c r="O643" s="8">
        <f t="shared" si="444"/>
        <v>7.2209293968322798E-3</v>
      </c>
      <c r="P643">
        <f t="shared" si="445"/>
        <v>0.17780137808569452</v>
      </c>
      <c r="Q643">
        <f t="shared" si="461"/>
        <v>0.8195524802662324</v>
      </c>
      <c r="R643" s="89">
        <f t="shared" si="433"/>
        <v>5000</v>
      </c>
      <c r="S643">
        <f t="shared" si="434"/>
        <v>0.3333333333333357</v>
      </c>
      <c r="U643">
        <f>O642*AV642*'Real assumptions'!$B$33/12+AX643*'Real assumptions'!$B$34</f>
        <v>0.14723989933252146</v>
      </c>
      <c r="V643">
        <f>IF(P643=0,0,IF(E643&lt;=$C$7,$AN$5*O642,0))*'Real assumptions'!$D$28</f>
        <v>0</v>
      </c>
      <c r="X643" s="94">
        <f t="shared" si="446"/>
        <v>0</v>
      </c>
      <c r="Y643">
        <f t="shared" si="435"/>
        <v>24</v>
      </c>
      <c r="Z643">
        <f t="shared" si="462"/>
        <v>46</v>
      </c>
      <c r="AA643">
        <f t="shared" si="436"/>
        <v>46.333333333333336</v>
      </c>
      <c r="AB643">
        <f t="shared" si="447"/>
        <v>50.505050505050505</v>
      </c>
      <c r="AC643">
        <f t="shared" si="483"/>
        <v>2340.0673400673404</v>
      </c>
      <c r="AD643">
        <f t="shared" si="448"/>
        <v>80.505050505050505</v>
      </c>
      <c r="AE643">
        <f t="shared" si="449"/>
        <v>186.503367003367</v>
      </c>
      <c r="AF643" s="94">
        <f t="shared" si="450"/>
        <v>2473.4292929292924</v>
      </c>
      <c r="AG643">
        <f t="shared" si="463"/>
        <v>5.8251388692170551E-2</v>
      </c>
      <c r="AH643">
        <f t="shared" si="451"/>
        <v>17.860458292299207</v>
      </c>
      <c r="AI643">
        <f>HLOOKUP(AW643,'Real assumptions'!$A$21:$AK$24,2,TRUE)</f>
        <v>0</v>
      </c>
      <c r="AJ643" s="123">
        <f t="shared" si="484"/>
        <v>0</v>
      </c>
      <c r="AK643" s="122">
        <f>(1+HLOOKUP(YEAR(A643),'Real assumptions'!$A$21:$AK$24,2,TRUE)/100)^(1/12)-1</f>
        <v>0</v>
      </c>
      <c r="AL643">
        <f t="shared" si="464"/>
        <v>0.14723989933252146</v>
      </c>
      <c r="AM643">
        <f>('Real assumptions'!$B$33/12)*O642*AV642</f>
        <v>0.14222077964192689</v>
      </c>
      <c r="AN643">
        <f t="shared" si="452"/>
        <v>18.321027032704635</v>
      </c>
      <c r="AO643">
        <f t="shared" si="485"/>
        <v>0</v>
      </c>
      <c r="AP643" s="121">
        <f t="shared" si="453"/>
        <v>0</v>
      </c>
      <c r="AQ643">
        <f t="shared" si="454"/>
        <v>0</v>
      </c>
      <c r="AR643">
        <v>0</v>
      </c>
      <c r="AS643">
        <f t="shared" si="437"/>
        <v>0</v>
      </c>
      <c r="AT643">
        <f t="shared" si="455"/>
        <v>0</v>
      </c>
      <c r="AU643">
        <f>IFERROR(HLOOKUP(B643,'Real assumptions'!$B$43:$AL$44,2,TRUE)*($W$3/$U$2),0)</f>
        <v>0</v>
      </c>
      <c r="AV643">
        <f>AV642*(1+'Real assumptions'!$B$35)^(1/12)</f>
        <v>1.9217140264777677</v>
      </c>
      <c r="AW643">
        <f t="shared" si="438"/>
        <v>2071</v>
      </c>
      <c r="AX643">
        <f t="shared" si="465"/>
        <v>18.321645649715649</v>
      </c>
      <c r="AY643">
        <f t="shared" si="466"/>
        <v>3.1180095764186046E-2</v>
      </c>
      <c r="AZ643">
        <f t="shared" si="439"/>
        <v>33.505319990355623</v>
      </c>
      <c r="BA643">
        <f t="shared" si="456"/>
        <v>0.8778038689584029</v>
      </c>
      <c r="BB643">
        <f t="shared" si="457"/>
        <v>46.333333333333336</v>
      </c>
      <c r="BC643">
        <f t="shared" si="440"/>
        <v>27.799999999999997</v>
      </c>
      <c r="BD643">
        <f t="shared" si="458"/>
        <v>0</v>
      </c>
      <c r="BE643">
        <f t="shared" si="441"/>
        <v>24</v>
      </c>
      <c r="BF643">
        <f t="shared" si="467"/>
        <v>5000</v>
      </c>
      <c r="BU643"/>
      <c r="DW643" s="89"/>
      <c r="DX643" s="89"/>
      <c r="FD643"/>
      <c r="FE643"/>
    </row>
    <row r="644" spans="1:161" x14ac:dyDescent="0.25">
      <c r="A644" s="7">
        <f t="shared" si="459"/>
        <v>62701</v>
      </c>
      <c r="B644">
        <f t="shared" si="442"/>
        <v>633</v>
      </c>
      <c r="C644">
        <f t="shared" si="477"/>
        <v>52.666666666666664</v>
      </c>
      <c r="D644">
        <f t="shared" si="478"/>
        <v>0</v>
      </c>
      <c r="E644">
        <f t="shared" si="443"/>
        <v>104</v>
      </c>
      <c r="F644">
        <f>IF(C644&gt;=$T$2,0,VLOOKUP($E644,EKM_F05!$A$3:$C$128,2,TRUE))</f>
        <v>0.56504692307692306</v>
      </c>
      <c r="G644">
        <f>F644*'Real assumptions'!$B$3</f>
        <v>0.23579408099999999</v>
      </c>
      <c r="H644">
        <f t="shared" si="479"/>
        <v>2.2160598151647171E-2</v>
      </c>
      <c r="I644">
        <f t="shared" si="480"/>
        <v>1.5976291731504563E-4</v>
      </c>
      <c r="J644">
        <f>IF(B644&gt;$AJ$2,0,HLOOKUP(C644,'Real assumptions'!$B$5:$L$8,4,TRUE))</f>
        <v>3.7900000000000003E-2</v>
      </c>
      <c r="K644">
        <f t="shared" si="432"/>
        <v>1</v>
      </c>
      <c r="L644">
        <f t="shared" si="460"/>
        <v>8.3333333333333329E-2</v>
      </c>
      <c r="M644">
        <f t="shared" si="481"/>
        <v>3.2145624959929453E-3</v>
      </c>
      <c r="N644">
        <f t="shared" si="482"/>
        <v>2.2954931495699467E-5</v>
      </c>
      <c r="O644" s="8">
        <f t="shared" si="444"/>
        <v>7.0382115480215343E-3</v>
      </c>
      <c r="P644">
        <f t="shared" si="445"/>
        <v>0.17330230552397471</v>
      </c>
      <c r="Q644">
        <f t="shared" si="461"/>
        <v>0.79881458657522808</v>
      </c>
      <c r="R644" s="89">
        <f t="shared" si="433"/>
        <v>5000</v>
      </c>
      <c r="S644">
        <f t="shared" si="434"/>
        <v>0.25</v>
      </c>
      <c r="U644">
        <f>O643*AV643*'Real assumptions'!$B$33/12+AX644*'Real assumptions'!$B$34</f>
        <v>0.1436667183584216</v>
      </c>
      <c r="V644">
        <f>IF(P644=0,0,IF(E644&lt;=$C$7,$AN$5*O643,0))*'Real assumptions'!$D$28</f>
        <v>0</v>
      </c>
      <c r="X644" s="94">
        <f t="shared" si="446"/>
        <v>0</v>
      </c>
      <c r="Y644">
        <f t="shared" si="435"/>
        <v>24</v>
      </c>
      <c r="Z644">
        <f t="shared" si="462"/>
        <v>46</v>
      </c>
      <c r="AA644">
        <f t="shared" si="436"/>
        <v>46.25</v>
      </c>
      <c r="AB644">
        <f t="shared" si="447"/>
        <v>50.505050505050505</v>
      </c>
      <c r="AC644">
        <f t="shared" si="483"/>
        <v>2335.8585858585857</v>
      </c>
      <c r="AD644">
        <f t="shared" si="448"/>
        <v>80.505050505050505</v>
      </c>
      <c r="AE644">
        <f t="shared" si="449"/>
        <v>186.16792929292927</v>
      </c>
      <c r="AF644" s="94">
        <f t="shared" si="450"/>
        <v>2477.973484848485</v>
      </c>
      <c r="AG644">
        <f t="shared" si="463"/>
        <v>5.6881711592856654E-2</v>
      </c>
      <c r="AH644">
        <f t="shared" si="451"/>
        <v>17.440501596751773</v>
      </c>
      <c r="AI644">
        <f>HLOOKUP(AW644,'Real assumptions'!$A$21:$AK$24,2,TRUE)</f>
        <v>0</v>
      </c>
      <c r="AJ644" s="123">
        <f t="shared" si="484"/>
        <v>0</v>
      </c>
      <c r="AK644" s="122">
        <f>(1+HLOOKUP(YEAR(A644),'Real assumptions'!$A$21:$AK$24,2,TRUE)/100)^(1/12)-1</f>
        <v>0</v>
      </c>
      <c r="AL644">
        <f t="shared" si="464"/>
        <v>0.1436667183584216</v>
      </c>
      <c r="AM644">
        <f>('Real assumptions'!$B$33/12)*O643*AV643</f>
        <v>0.13876561306098237</v>
      </c>
      <c r="AN644">
        <f t="shared" si="452"/>
        <v>17.890093879464761</v>
      </c>
      <c r="AO644">
        <f t="shared" si="485"/>
        <v>0</v>
      </c>
      <c r="AP644" s="121">
        <f t="shared" si="453"/>
        <v>0</v>
      </c>
      <c r="AQ644">
        <f t="shared" si="454"/>
        <v>0</v>
      </c>
      <c r="AR644">
        <v>0</v>
      </c>
      <c r="AS644">
        <f t="shared" si="437"/>
        <v>0</v>
      </c>
      <c r="AT644">
        <f t="shared" si="455"/>
        <v>0</v>
      </c>
      <c r="AU644">
        <f>IFERROR(HLOOKUP(B644,'Real assumptions'!$B$43:$AL$44,2,TRUE)*($W$3/$U$2),0)</f>
        <v>0</v>
      </c>
      <c r="AV644">
        <f>AV643*(1+'Real assumptions'!$B$35)^(1/12)</f>
        <v>1.9237044341220819</v>
      </c>
      <c r="AW644">
        <f t="shared" si="438"/>
        <v>2071</v>
      </c>
      <c r="AX644">
        <f t="shared" si="465"/>
        <v>17.890849409289242</v>
      </c>
      <c r="AY644">
        <f t="shared" si="466"/>
        <v>3.0391116990034845E-2</v>
      </c>
      <c r="AZ644">
        <f t="shared" si="439"/>
        <v>32.67925927935309</v>
      </c>
      <c r="BA644">
        <f t="shared" si="456"/>
        <v>0.85569629816808468</v>
      </c>
      <c r="BB644">
        <f t="shared" si="457"/>
        <v>46.25</v>
      </c>
      <c r="BC644">
        <f t="shared" si="440"/>
        <v>27.75</v>
      </c>
      <c r="BD644">
        <f t="shared" si="458"/>
        <v>0</v>
      </c>
      <c r="BE644">
        <f t="shared" si="441"/>
        <v>24</v>
      </c>
      <c r="BF644">
        <f t="shared" si="467"/>
        <v>5000</v>
      </c>
      <c r="BU644"/>
      <c r="DW644" s="89"/>
      <c r="DX644" s="89"/>
      <c r="FD644"/>
      <c r="FE644"/>
    </row>
    <row r="645" spans="1:161" x14ac:dyDescent="0.25">
      <c r="A645" s="7">
        <f t="shared" si="459"/>
        <v>62731</v>
      </c>
      <c r="B645">
        <f t="shared" si="442"/>
        <v>634</v>
      </c>
      <c r="C645">
        <f t="shared" si="477"/>
        <v>52.75</v>
      </c>
      <c r="D645">
        <f t="shared" si="478"/>
        <v>0</v>
      </c>
      <c r="E645">
        <f t="shared" si="443"/>
        <v>104</v>
      </c>
      <c r="F645">
        <f>IF(C645&gt;=$T$2,0,VLOOKUP($E645,EKM_F05!$A$3:$C$128,2,TRUE))</f>
        <v>0.56504692307692306</v>
      </c>
      <c r="G645">
        <f>F645*'Real assumptions'!$B$3</f>
        <v>0.23579408099999999</v>
      </c>
      <c r="H645">
        <f t="shared" si="479"/>
        <v>2.2160598151647171E-2</v>
      </c>
      <c r="I645">
        <f t="shared" si="480"/>
        <v>1.5572028859410283E-4</v>
      </c>
      <c r="J645">
        <f>IF(B645&gt;$AJ$2,0,HLOOKUP(C645,'Real assumptions'!$B$5:$L$8,4,TRUE))</f>
        <v>3.7900000000000003E-2</v>
      </c>
      <c r="K645">
        <f t="shared" si="432"/>
        <v>1</v>
      </c>
      <c r="L645">
        <f t="shared" si="460"/>
        <v>8.3333333333333329E-2</v>
      </c>
      <c r="M645">
        <f t="shared" si="481"/>
        <v>3.2145624959929453E-3</v>
      </c>
      <c r="N645">
        <f t="shared" si="482"/>
        <v>2.237408165324952E-5</v>
      </c>
      <c r="O645" s="8">
        <f t="shared" si="444"/>
        <v>6.8601171777741823E-3</v>
      </c>
      <c r="P645">
        <f t="shared" si="445"/>
        <v>0.16891707715251683</v>
      </c>
      <c r="Q645">
        <f t="shared" si="461"/>
        <v>0.77860144297051415</v>
      </c>
      <c r="R645" s="89">
        <f t="shared" si="433"/>
        <v>5000</v>
      </c>
      <c r="S645">
        <f t="shared" si="434"/>
        <v>0.1666666666666643</v>
      </c>
      <c r="U645">
        <f>O644*AV644*'Real assumptions'!$B$33/12+AX645*'Real assumptions'!$B$34</f>
        <v>0.14018023730596849</v>
      </c>
      <c r="V645">
        <f>IF(P645=0,0,IF(E645&lt;=$C$7,$AN$5*O644,0))*'Real assumptions'!$D$28</f>
        <v>0</v>
      </c>
      <c r="X645" s="94">
        <f t="shared" si="446"/>
        <v>0</v>
      </c>
      <c r="Y645">
        <f t="shared" si="435"/>
        <v>24</v>
      </c>
      <c r="Z645">
        <f t="shared" si="462"/>
        <v>46</v>
      </c>
      <c r="AA645">
        <f t="shared" si="436"/>
        <v>46.166666666666664</v>
      </c>
      <c r="AB645">
        <f t="shared" si="447"/>
        <v>50.505050505050505</v>
      </c>
      <c r="AC645">
        <f t="shared" si="483"/>
        <v>2331.6498316498314</v>
      </c>
      <c r="AD645">
        <f t="shared" si="448"/>
        <v>80.505050505050505</v>
      </c>
      <c r="AE645">
        <f t="shared" si="449"/>
        <v>185.83249158249157</v>
      </c>
      <c r="AF645" s="94">
        <f t="shared" si="450"/>
        <v>2482.5176767676771</v>
      </c>
      <c r="AG645">
        <f t="shared" si="463"/>
        <v>5.5544053205635303E-2</v>
      </c>
      <c r="AH645">
        <f t="shared" si="451"/>
        <v>17.030362158521996</v>
      </c>
      <c r="AI645">
        <f>HLOOKUP(AW645,'Real assumptions'!$A$21:$AK$24,2,TRUE)</f>
        <v>0</v>
      </c>
      <c r="AJ645" s="123">
        <f t="shared" si="484"/>
        <v>0</v>
      </c>
      <c r="AK645" s="122">
        <f>(1+HLOOKUP(YEAR(A645),'Real assumptions'!$A$21:$AK$24,2,TRUE)/100)^(1/12)-1</f>
        <v>0</v>
      </c>
      <c r="AL645">
        <f t="shared" si="464"/>
        <v>0.14018023730596849</v>
      </c>
      <c r="AM645">
        <f>('Real assumptions'!$B$33/12)*O644*AV644</f>
        <v>0.1353943876321827</v>
      </c>
      <c r="AN645">
        <f t="shared" si="452"/>
        <v>17.469238436598321</v>
      </c>
      <c r="AO645">
        <f t="shared" si="485"/>
        <v>0</v>
      </c>
      <c r="AP645" s="121">
        <f t="shared" si="453"/>
        <v>0</v>
      </c>
      <c r="AQ645">
        <f t="shared" si="454"/>
        <v>0</v>
      </c>
      <c r="AR645">
        <v>0</v>
      </c>
      <c r="AS645">
        <f t="shared" si="437"/>
        <v>0</v>
      </c>
      <c r="AT645">
        <f t="shared" si="455"/>
        <v>0</v>
      </c>
      <c r="AU645">
        <f>IFERROR(HLOOKUP(B645,'Real assumptions'!$B$43:$AL$44,2,TRUE)*($W$3/$U$2),0)</f>
        <v>0</v>
      </c>
      <c r="AV645">
        <f>AV644*(1+'Real assumptions'!$B$35)^(1/12)</f>
        <v>1.9256969033231814</v>
      </c>
      <c r="AW645">
        <f t="shared" si="438"/>
        <v>2071</v>
      </c>
      <c r="AX645">
        <f t="shared" si="465"/>
        <v>17.470123699226612</v>
      </c>
      <c r="AY645">
        <f t="shared" si="466"/>
        <v>2.9622102474838107E-2</v>
      </c>
      <c r="AZ645">
        <f t="shared" si="439"/>
        <v>31.873850623023483</v>
      </c>
      <c r="BA645">
        <f t="shared" si="456"/>
        <v>0.83414549617614941</v>
      </c>
      <c r="BB645">
        <f t="shared" si="457"/>
        <v>46.166666666666664</v>
      </c>
      <c r="BC645">
        <f t="shared" si="440"/>
        <v>27.699999999999996</v>
      </c>
      <c r="BD645">
        <f t="shared" si="458"/>
        <v>0</v>
      </c>
      <c r="BE645">
        <f t="shared" si="441"/>
        <v>24</v>
      </c>
      <c r="BF645">
        <f t="shared" si="467"/>
        <v>5000</v>
      </c>
      <c r="BU645"/>
      <c r="DW645" s="89"/>
      <c r="DX645" s="89"/>
      <c r="FD645"/>
      <c r="FE645"/>
    </row>
    <row r="646" spans="1:161" x14ac:dyDescent="0.25">
      <c r="A646" s="7">
        <f t="shared" si="459"/>
        <v>62762</v>
      </c>
      <c r="B646">
        <f t="shared" si="442"/>
        <v>635</v>
      </c>
      <c r="C646">
        <f t="shared" si="477"/>
        <v>52.833333333333336</v>
      </c>
      <c r="D646">
        <f t="shared" si="478"/>
        <v>0</v>
      </c>
      <c r="E646">
        <f t="shared" si="443"/>
        <v>104</v>
      </c>
      <c r="F646">
        <f>IF(C646&gt;=$T$2,0,VLOOKUP($E646,EKM_F05!$A$3:$C$128,2,TRUE))</f>
        <v>0.56504692307692306</v>
      </c>
      <c r="G646">
        <f>F646*'Real assumptions'!$B$3</f>
        <v>0.23579408099999999</v>
      </c>
      <c r="H646">
        <f t="shared" si="479"/>
        <v>2.2160598151647171E-2</v>
      </c>
      <c r="I646">
        <f t="shared" si="480"/>
        <v>1.517799542431556E-4</v>
      </c>
      <c r="J646">
        <f>IF(B646&gt;$AJ$2,0,HLOOKUP(C646,'Real assumptions'!$B$5:$L$8,4,TRUE))</f>
        <v>3.7900000000000003E-2</v>
      </c>
      <c r="K646">
        <f t="shared" si="432"/>
        <v>1</v>
      </c>
      <c r="L646">
        <f t="shared" si="460"/>
        <v>8.3333333333333329E-2</v>
      </c>
      <c r="M646">
        <f t="shared" si="481"/>
        <v>3.2145624959929453E-3</v>
      </c>
      <c r="N646">
        <f t="shared" si="482"/>
        <v>2.1807929591079914E-5</v>
      </c>
      <c r="O646" s="8">
        <f t="shared" si="444"/>
        <v>6.6865292939399471E-3</v>
      </c>
      <c r="P646">
        <f t="shared" si="445"/>
        <v>0.16464281226658037</v>
      </c>
      <c r="Q646">
        <f t="shared" si="461"/>
        <v>0.75889977121577801</v>
      </c>
      <c r="R646" s="89">
        <f t="shared" si="433"/>
        <v>5000</v>
      </c>
      <c r="S646">
        <f t="shared" si="434"/>
        <v>8.3333333333335702E-2</v>
      </c>
      <c r="U646">
        <f>O645*AV645*'Real assumptions'!$B$33/12+AX646*'Real assumptions'!$B$34</f>
        <v>0.13677835282425282</v>
      </c>
      <c r="V646">
        <f>IF(P646=0,0,IF(E646&lt;=$C$7,$AN$5*O645,0))*'Real assumptions'!$D$28</f>
        <v>0</v>
      </c>
      <c r="X646" s="94">
        <f t="shared" si="446"/>
        <v>0</v>
      </c>
      <c r="Y646">
        <f t="shared" si="435"/>
        <v>24</v>
      </c>
      <c r="Z646">
        <f t="shared" si="462"/>
        <v>46</v>
      </c>
      <c r="AA646">
        <f t="shared" si="436"/>
        <v>46.083333333333336</v>
      </c>
      <c r="AB646">
        <f t="shared" si="447"/>
        <v>50.505050505050505</v>
      </c>
      <c r="AC646">
        <f t="shared" si="483"/>
        <v>2327.4410774410776</v>
      </c>
      <c r="AD646">
        <f t="shared" si="448"/>
        <v>80.505050505050505</v>
      </c>
      <c r="AE646">
        <f t="shared" si="449"/>
        <v>185.49705387205387</v>
      </c>
      <c r="AF646" s="94">
        <f t="shared" si="450"/>
        <v>2487.0618686868684</v>
      </c>
      <c r="AG646">
        <f t="shared" si="463"/>
        <v>5.4237670120982864E-2</v>
      </c>
      <c r="AH646">
        <f t="shared" si="451"/>
        <v>16.629812040815771</v>
      </c>
      <c r="AI646">
        <f>HLOOKUP(AW646,'Real assumptions'!$A$21:$AK$24,2,TRUE)</f>
        <v>0</v>
      </c>
      <c r="AJ646" s="123">
        <f t="shared" si="484"/>
        <v>0</v>
      </c>
      <c r="AK646" s="122">
        <f>(1+HLOOKUP(YEAR(A646),'Real assumptions'!$A$21:$AK$24,2,TRUE)/100)^(1/12)-1</f>
        <v>0</v>
      </c>
      <c r="AL646">
        <f t="shared" si="464"/>
        <v>0.13677835282425282</v>
      </c>
      <c r="AM646">
        <f>('Real assumptions'!$B$33/12)*O645*AV645</f>
        <v>0.13210506405673905</v>
      </c>
      <c r="AN646">
        <f t="shared" si="452"/>
        <v>17.058226617964326</v>
      </c>
      <c r="AO646">
        <f t="shared" si="485"/>
        <v>0</v>
      </c>
      <c r="AP646" s="121">
        <f t="shared" si="453"/>
        <v>0</v>
      </c>
      <c r="AQ646">
        <f t="shared" si="454"/>
        <v>0</v>
      </c>
      <c r="AR646">
        <v>0</v>
      </c>
      <c r="AS646">
        <f t="shared" si="437"/>
        <v>0</v>
      </c>
      <c r="AT646">
        <f t="shared" si="455"/>
        <v>0</v>
      </c>
      <c r="AU646">
        <f>IFERROR(HLOOKUP(B646,'Real assumptions'!$B$43:$AL$44,2,TRUE)*($W$3/$U$2),0)</f>
        <v>0</v>
      </c>
      <c r="AV646">
        <f>AV645*(1+'Real assumptions'!$B$35)^(1/12)</f>
        <v>1.9276914362163153</v>
      </c>
      <c r="AW646">
        <f t="shared" si="438"/>
        <v>2071</v>
      </c>
      <c r="AX646">
        <f t="shared" si="465"/>
        <v>17.059234705566499</v>
      </c>
      <c r="AY646">
        <f t="shared" si="466"/>
        <v>2.8872547044504131E-2</v>
      </c>
      <c r="AZ646">
        <f t="shared" si="439"/>
        <v>31.088577641129053</v>
      </c>
      <c r="BA646">
        <f t="shared" si="456"/>
        <v>0.81313744133676091</v>
      </c>
      <c r="BB646">
        <f t="shared" si="457"/>
        <v>46.083333333333336</v>
      </c>
      <c r="BC646">
        <f t="shared" si="440"/>
        <v>27.65</v>
      </c>
      <c r="BD646">
        <f t="shared" si="458"/>
        <v>0</v>
      </c>
      <c r="BE646">
        <f t="shared" si="441"/>
        <v>24</v>
      </c>
      <c r="BF646">
        <f t="shared" si="467"/>
        <v>5000</v>
      </c>
      <c r="BU646"/>
      <c r="DW646" s="89"/>
      <c r="DX646" s="89"/>
      <c r="FD646"/>
      <c r="FE646"/>
    </row>
    <row r="647" spans="1:161" x14ac:dyDescent="0.25">
      <c r="A647" s="7">
        <f t="shared" si="459"/>
        <v>62792</v>
      </c>
      <c r="B647">
        <f t="shared" si="442"/>
        <v>636</v>
      </c>
      <c r="C647">
        <f t="shared" si="477"/>
        <v>52.916666666666664</v>
      </c>
      <c r="D647">
        <f t="shared" si="478"/>
        <v>0</v>
      </c>
      <c r="E647">
        <f t="shared" si="443"/>
        <v>104</v>
      </c>
      <c r="F647">
        <f>IF(C647&gt;=$T$2,0,VLOOKUP($E647,EKM_F05!$A$3:$C$128,2,TRUE))</f>
        <v>0.56504692307692306</v>
      </c>
      <c r="G647">
        <f>F647*'Real assumptions'!$B$3</f>
        <v>0.23579408099999999</v>
      </c>
      <c r="H647">
        <f t="shared" si="479"/>
        <v>2.2160598151647171E-2</v>
      </c>
      <c r="I647">
        <f t="shared" si="480"/>
        <v>1.4793932581323789E-4</v>
      </c>
      <c r="J647">
        <f>IF(B647&gt;$AJ$2,0,HLOOKUP(C647,'Real assumptions'!$B$5:$L$8,4,TRUE))</f>
        <v>3.7900000000000003E-2</v>
      </c>
      <c r="K647">
        <f t="shared" si="432"/>
        <v>1</v>
      </c>
      <c r="L647">
        <f t="shared" si="460"/>
        <v>8.3333333333333329E-2</v>
      </c>
      <c r="M647">
        <f t="shared" si="481"/>
        <v>3.2145624959929453E-3</v>
      </c>
      <c r="N647">
        <f t="shared" si="482"/>
        <v>2.1256103397675182E-5</v>
      </c>
      <c r="O647" s="8">
        <f t="shared" si="444"/>
        <v>6.5173338647290342E-3</v>
      </c>
      <c r="P647">
        <f t="shared" si="445"/>
        <v>0.16047670305455874</v>
      </c>
      <c r="Q647">
        <f t="shared" si="461"/>
        <v>0.73969662906618949</v>
      </c>
      <c r="R647" s="89">
        <f t="shared" si="433"/>
        <v>5000</v>
      </c>
      <c r="S647">
        <f t="shared" si="434"/>
        <v>1</v>
      </c>
      <c r="U647">
        <f>O646*AV646*'Real assumptions'!$B$33/12+AX647*'Real assumptions'!$B$34</f>
        <v>0.1334590125810094</v>
      </c>
      <c r="V647">
        <f>IF(P647=0,0,IF(E647&lt;=$C$7,$AN$5*O646,0))*'Real assumptions'!$D$28</f>
        <v>0</v>
      </c>
      <c r="X647" s="94">
        <f t="shared" si="446"/>
        <v>0</v>
      </c>
      <c r="Y647">
        <f t="shared" si="435"/>
        <v>24</v>
      </c>
      <c r="Z647">
        <f t="shared" si="462"/>
        <v>46</v>
      </c>
      <c r="AA647">
        <f t="shared" si="436"/>
        <v>46</v>
      </c>
      <c r="AB647">
        <f t="shared" si="447"/>
        <v>50.505050505050505</v>
      </c>
      <c r="AC647">
        <f t="shared" si="483"/>
        <v>2323.2323232323233</v>
      </c>
      <c r="AD647">
        <f t="shared" si="448"/>
        <v>80.505050505050505</v>
      </c>
      <c r="AE647">
        <f t="shared" si="449"/>
        <v>185.16161616161617</v>
      </c>
      <c r="AF647" s="94">
        <f t="shared" si="450"/>
        <v>2491.6060606060605</v>
      </c>
      <c r="AG647">
        <f t="shared" si="463"/>
        <v>5.2961836050516554E-2</v>
      </c>
      <c r="AH647">
        <f t="shared" si="451"/>
        <v>16.23862855635198</v>
      </c>
      <c r="AI647">
        <f>HLOOKUP(AW647,'Real assumptions'!$A$21:$AK$24,2,TRUE)</f>
        <v>0</v>
      </c>
      <c r="AJ647" s="123">
        <f t="shared" si="484"/>
        <v>0</v>
      </c>
      <c r="AK647" s="122">
        <f>(1+HLOOKUP(YEAR(A647),'Real assumptions'!$A$21:$AK$24,2,TRUE)/100)^(1/12)-1</f>
        <v>0</v>
      </c>
      <c r="AL647">
        <f t="shared" si="464"/>
        <v>0.1334590125810094</v>
      </c>
      <c r="AM647">
        <f>('Real assumptions'!$B$33/12)*O646*AV646</f>
        <v>0.1288956525793756</v>
      </c>
      <c r="AN647">
        <f t="shared" si="452"/>
        <v>16.656829731289321</v>
      </c>
      <c r="AO647">
        <f t="shared" si="485"/>
        <v>0</v>
      </c>
      <c r="AP647" s="121">
        <f t="shared" si="453"/>
        <v>0</v>
      </c>
      <c r="AQ647">
        <f t="shared" si="454"/>
        <v>0</v>
      </c>
      <c r="AR647">
        <v>0</v>
      </c>
      <c r="AS647">
        <f t="shared" si="437"/>
        <v>0</v>
      </c>
      <c r="AT647">
        <f t="shared" si="455"/>
        <v>0</v>
      </c>
      <c r="AU647">
        <f>IFERROR(HLOOKUP(B647,'Real assumptions'!$B$43:$AL$44,2,TRUE)*($W$3/$U$2),0)</f>
        <v>0</v>
      </c>
      <c r="AV647">
        <f>AV646*(1+'Real assumptions'!$B$35)^(1/12)</f>
        <v>1.9296880349389445</v>
      </c>
      <c r="AW647">
        <f t="shared" si="438"/>
        <v>2071</v>
      </c>
      <c r="AX647">
        <f t="shared" si="465"/>
        <v>16.657953999123599</v>
      </c>
      <c r="AY647">
        <f t="shared" si="466"/>
        <v>2.814195830782806E-2</v>
      </c>
      <c r="AZ647">
        <f t="shared" si="439"/>
        <v>30.322936866485897</v>
      </c>
      <c r="BA647">
        <f t="shared" si="456"/>
        <v>0.79265846511670601</v>
      </c>
      <c r="BB647">
        <f t="shared" si="457"/>
        <v>46</v>
      </c>
      <c r="BC647">
        <f t="shared" si="440"/>
        <v>27.599999999999998</v>
      </c>
      <c r="BD647">
        <f t="shared" si="458"/>
        <v>0</v>
      </c>
      <c r="BE647">
        <f t="shared" si="441"/>
        <v>24</v>
      </c>
      <c r="BF647">
        <f t="shared" si="467"/>
        <v>5000</v>
      </c>
      <c r="BU647"/>
      <c r="DW647" s="89"/>
      <c r="DX647" s="89"/>
      <c r="FD647"/>
      <c r="FE647"/>
    </row>
    <row r="648" spans="1:161" x14ac:dyDescent="0.25">
      <c r="A648" s="7">
        <f t="shared" si="459"/>
        <v>62823</v>
      </c>
      <c r="B648">
        <f t="shared" si="442"/>
        <v>637</v>
      </c>
      <c r="C648">
        <f t="shared" si="477"/>
        <v>53</v>
      </c>
      <c r="D648">
        <f t="shared" si="478"/>
        <v>1</v>
      </c>
      <c r="E648">
        <f t="shared" si="443"/>
        <v>105</v>
      </c>
      <c r="F648">
        <f>IF(C648&gt;=$T$2,0,VLOOKUP($E648,EKM_F05!$A$3:$C$128,2,TRUE))</f>
        <v>0.61609051282051275</v>
      </c>
      <c r="G648">
        <f>F648*'Real assumptions'!$B$3</f>
        <v>0.25709457099999999</v>
      </c>
      <c r="H648">
        <f t="shared" si="479"/>
        <v>2.446139365902833E-2</v>
      </c>
      <c r="I648">
        <f t="shared" si="480"/>
        <v>1.5916683156271373E-4</v>
      </c>
      <c r="J648">
        <f>IF(B648&gt;$AJ$2,0,HLOOKUP(C648,'Real assumptions'!$B$5:$L$8,4,TRUE))</f>
        <v>3.7900000000000003E-2</v>
      </c>
      <c r="K648">
        <f t="shared" si="432"/>
        <v>1</v>
      </c>
      <c r="L648">
        <f t="shared" si="460"/>
        <v>8.3333333333333329E-2</v>
      </c>
      <c r="M648">
        <f t="shared" si="481"/>
        <v>3.2145624959929453E-3</v>
      </c>
      <c r="N648">
        <f t="shared" si="482"/>
        <v>2.0694139305683056E-5</v>
      </c>
      <c r="O648" s="8">
        <f t="shared" si="444"/>
        <v>6.3374728938606368E-3</v>
      </c>
      <c r="P648">
        <f t="shared" si="445"/>
        <v>0.15641601275349681</v>
      </c>
      <c r="Q648">
        <f t="shared" si="461"/>
        <v>0.7958341578135687</v>
      </c>
      <c r="R648" s="89">
        <f t="shared" si="433"/>
        <v>5000</v>
      </c>
      <c r="S648">
        <f t="shared" si="434"/>
        <v>0.9166666666666643</v>
      </c>
      <c r="U648">
        <f>O647*AV647*'Real assumptions'!$B$33/12+AX648*'Real assumptions'!$B$34</f>
        <v>0.13022021402534681</v>
      </c>
      <c r="V648">
        <f>IF(P648=0,0,IF(E648&lt;=$C$7,$AN$5*O647,0))*'Real assumptions'!$D$28</f>
        <v>0</v>
      </c>
      <c r="X648" s="94">
        <f t="shared" si="446"/>
        <v>0</v>
      </c>
      <c r="Y648">
        <f t="shared" si="435"/>
        <v>24</v>
      </c>
      <c r="Z648">
        <f t="shared" si="462"/>
        <v>46</v>
      </c>
      <c r="AA648">
        <f t="shared" si="436"/>
        <v>45.916666666666664</v>
      </c>
      <c r="AB648">
        <f t="shared" si="447"/>
        <v>50.505050505050505</v>
      </c>
      <c r="AC648">
        <f t="shared" si="483"/>
        <v>2319.0235690235691</v>
      </c>
      <c r="AD648">
        <f t="shared" si="448"/>
        <v>80.505050505050505</v>
      </c>
      <c r="AE648">
        <f t="shared" si="449"/>
        <v>184.82617845117844</v>
      </c>
      <c r="AF648" s="94">
        <f t="shared" si="450"/>
        <v>2496.1502525252527</v>
      </c>
      <c r="AG648">
        <f t="shared" si="463"/>
        <v>5.1655681053673519E-2</v>
      </c>
      <c r="AH648">
        <f t="shared" si="451"/>
        <v>15.819284564382173</v>
      </c>
      <c r="AI648">
        <f>HLOOKUP(AW648,'Real assumptions'!$A$21:$AK$24,2,TRUE)</f>
        <v>0</v>
      </c>
      <c r="AJ648" s="123">
        <f t="shared" si="484"/>
        <v>0</v>
      </c>
      <c r="AK648" s="122">
        <f>(1+HLOOKUP(YEAR(A648),'Real assumptions'!$A$21:$AK$24,2,TRUE)/100)^(1/12)-1</f>
        <v>0</v>
      </c>
      <c r="AL648">
        <f t="shared" si="464"/>
        <v>0.13022021402534681</v>
      </c>
      <c r="AM648">
        <f>('Real assumptions'!$B$33/12)*O647*AV647</f>
        <v>0.12576421178470007</v>
      </c>
      <c r="AN648">
        <f t="shared" si="452"/>
        <v>16.26482435508013</v>
      </c>
      <c r="AO648">
        <f t="shared" si="485"/>
        <v>0</v>
      </c>
      <c r="AP648" s="121">
        <f t="shared" si="453"/>
        <v>0</v>
      </c>
      <c r="AQ648">
        <f t="shared" si="454"/>
        <v>0</v>
      </c>
      <c r="AR648">
        <v>0</v>
      </c>
      <c r="AS648">
        <f t="shared" si="437"/>
        <v>0</v>
      </c>
      <c r="AT648">
        <f t="shared" si="455"/>
        <v>0</v>
      </c>
      <c r="AU648">
        <f>IFERROR(HLOOKUP(B648,'Real assumptions'!$B$43:$AL$44,2,TRUE)*($W$3/$U$2),0)</f>
        <v>0</v>
      </c>
      <c r="AV648">
        <f>AV647*(1+'Real assumptions'!$B$35)^(1/12)</f>
        <v>1.9316867016307435</v>
      </c>
      <c r="AW648">
        <f t="shared" si="438"/>
        <v>2071</v>
      </c>
      <c r="AX648">
        <f t="shared" si="465"/>
        <v>16.266058412685016</v>
      </c>
      <c r="AY648">
        <f t="shared" si="466"/>
        <v>2.7429856333034654E-2</v>
      </c>
      <c r="AZ648">
        <f t="shared" si="439"/>
        <v>29.501642826346803</v>
      </c>
      <c r="BA648">
        <f t="shared" si="456"/>
        <v>0.84748983886724227</v>
      </c>
      <c r="BB648">
        <f t="shared" si="457"/>
        <v>45.916666666666664</v>
      </c>
      <c r="BC648">
        <f t="shared" si="440"/>
        <v>27.549999999999997</v>
      </c>
      <c r="BD648">
        <f t="shared" si="458"/>
        <v>0</v>
      </c>
      <c r="BE648">
        <f t="shared" si="441"/>
        <v>24</v>
      </c>
      <c r="BF648">
        <f t="shared" si="467"/>
        <v>5000</v>
      </c>
      <c r="BU648"/>
      <c r="DW648" s="89"/>
      <c r="DX648" s="89"/>
      <c r="FD648"/>
      <c r="FE648"/>
    </row>
    <row r="649" spans="1:161" x14ac:dyDescent="0.25">
      <c r="A649" s="7">
        <f t="shared" si="459"/>
        <v>62854</v>
      </c>
      <c r="B649">
        <f t="shared" si="442"/>
        <v>638</v>
      </c>
      <c r="C649">
        <f t="shared" si="477"/>
        <v>53.083333333333336</v>
      </c>
      <c r="D649">
        <f t="shared" si="478"/>
        <v>0</v>
      </c>
      <c r="E649">
        <f t="shared" si="443"/>
        <v>105</v>
      </c>
      <c r="F649">
        <f>IF(C649&gt;=$T$2,0,VLOOKUP($E649,EKM_F05!$A$3:$C$128,2,TRUE))</f>
        <v>0.61609051282051275</v>
      </c>
      <c r="G649">
        <f>F649*'Real assumptions'!$B$3</f>
        <v>0.25709457099999999</v>
      </c>
      <c r="H649">
        <f t="shared" si="479"/>
        <v>2.446139365902833E-2</v>
      </c>
      <c r="I649">
        <f t="shared" si="480"/>
        <v>1.5477425302536937E-4</v>
      </c>
      <c r="J649">
        <f>IF(B649&gt;$AJ$2,0,HLOOKUP(C649,'Real assumptions'!$B$5:$L$8,4,TRUE))</f>
        <v>3.7900000000000003E-2</v>
      </c>
      <c r="K649">
        <f t="shared" si="432"/>
        <v>1</v>
      </c>
      <c r="L649">
        <f t="shared" si="460"/>
        <v>8.3333333333333329E-2</v>
      </c>
      <c r="M649">
        <f t="shared" si="481"/>
        <v>3.2145624959929453E-3</v>
      </c>
      <c r="N649">
        <f t="shared" si="482"/>
        <v>2.0123036449199155E-5</v>
      </c>
      <c r="O649" s="8">
        <f t="shared" si="444"/>
        <v>6.1625756043860681E-3</v>
      </c>
      <c r="P649">
        <f t="shared" si="445"/>
        <v>0.1520993494526553</v>
      </c>
      <c r="Q649">
        <f t="shared" si="461"/>
        <v>0.77387126512684679</v>
      </c>
      <c r="R649" s="89">
        <f t="shared" si="433"/>
        <v>5000</v>
      </c>
      <c r="S649">
        <f t="shared" si="434"/>
        <v>0.8333333333333357</v>
      </c>
      <c r="U649">
        <f>O648*AV648*'Real assumptions'!$B$33/12+AX649*'Real assumptions'!$B$34</f>
        <v>0.12676103886800011</v>
      </c>
      <c r="V649">
        <f>IF(P649=0,0,IF(E649&lt;=$C$7,$AN$5*O648,0))*'Real assumptions'!$D$28</f>
        <v>0</v>
      </c>
      <c r="X649" s="94">
        <f t="shared" si="446"/>
        <v>0</v>
      </c>
      <c r="Y649">
        <f t="shared" si="435"/>
        <v>24</v>
      </c>
      <c r="Z649">
        <f t="shared" si="462"/>
        <v>45</v>
      </c>
      <c r="AA649">
        <f t="shared" si="436"/>
        <v>45.833333333333336</v>
      </c>
      <c r="AB649">
        <f t="shared" si="447"/>
        <v>50.505050505050505</v>
      </c>
      <c r="AC649">
        <f t="shared" si="483"/>
        <v>2314.8148148148148</v>
      </c>
      <c r="AD649">
        <f t="shared" si="448"/>
        <v>80.505050505050505</v>
      </c>
      <c r="AE649">
        <f t="shared" si="449"/>
        <v>184.49074074074073</v>
      </c>
      <c r="AF649" s="94">
        <f t="shared" si="450"/>
        <v>2500.6944444444443</v>
      </c>
      <c r="AG649">
        <f t="shared" si="463"/>
        <v>5.0321565453865388E-2</v>
      </c>
      <c r="AH649">
        <f t="shared" si="451"/>
        <v>15.410718577357104</v>
      </c>
      <c r="AI649">
        <f>HLOOKUP(AW649,'Real assumptions'!$A$21:$AK$24,2,TRUE)</f>
        <v>0</v>
      </c>
      <c r="AJ649" s="123">
        <f t="shared" si="484"/>
        <v>0</v>
      </c>
      <c r="AK649" s="122">
        <f>(1+HLOOKUP(YEAR(A649),'Real assumptions'!$A$21:$AK$24,2,TRUE)/100)^(1/12)-1</f>
        <v>0</v>
      </c>
      <c r="AL649">
        <f t="shared" si="464"/>
        <v>0.12676103886800011</v>
      </c>
      <c r="AM649">
        <f>('Real assumptions'!$B$33/12)*O648*AV648</f>
        <v>0.12242012111015896</v>
      </c>
      <c r="AN649">
        <f t="shared" si="452"/>
        <v>15.844622874966827</v>
      </c>
      <c r="AO649">
        <f t="shared" si="485"/>
        <v>0</v>
      </c>
      <c r="AP649" s="121">
        <f t="shared" si="453"/>
        <v>0</v>
      </c>
      <c r="AQ649">
        <f t="shared" si="454"/>
        <v>0</v>
      </c>
      <c r="AR649">
        <v>0</v>
      </c>
      <c r="AS649">
        <f t="shared" si="437"/>
        <v>0</v>
      </c>
      <c r="AT649">
        <f t="shared" si="455"/>
        <v>0</v>
      </c>
      <c r="AU649">
        <f>IFERROR(HLOOKUP(B649,'Real assumptions'!$B$43:$AL$44,2,TRUE)*($W$3/$U$2),0)</f>
        <v>0</v>
      </c>
      <c r="AV649">
        <f>AV648*(1+'Real assumptions'!$B$35)^(1/12)</f>
        <v>1.9336874384336034</v>
      </c>
      <c r="AW649">
        <f t="shared" si="438"/>
        <v>2072</v>
      </c>
      <c r="AX649">
        <f t="shared" si="465"/>
        <v>15.845957430097075</v>
      </c>
      <c r="AY649">
        <f t="shared" si="466"/>
        <v>2.667286571490167E-2</v>
      </c>
      <c r="AZ649">
        <f t="shared" si="439"/>
        <v>28.702788306350744</v>
      </c>
      <c r="BA649">
        <f t="shared" si="456"/>
        <v>0.82419283058071213</v>
      </c>
      <c r="BB649">
        <f t="shared" si="457"/>
        <v>45.833333333333336</v>
      </c>
      <c r="BC649">
        <f t="shared" si="440"/>
        <v>27.5</v>
      </c>
      <c r="BD649">
        <f t="shared" si="458"/>
        <v>0</v>
      </c>
      <c r="BE649">
        <f t="shared" si="441"/>
        <v>24</v>
      </c>
      <c r="BF649">
        <f t="shared" si="467"/>
        <v>5000</v>
      </c>
      <c r="BU649"/>
      <c r="DW649" s="89"/>
      <c r="DX649" s="89"/>
      <c r="FD649"/>
      <c r="FE649"/>
    </row>
    <row r="650" spans="1:161" x14ac:dyDescent="0.25">
      <c r="A650" s="7">
        <f t="shared" si="459"/>
        <v>62883</v>
      </c>
      <c r="B650">
        <f t="shared" si="442"/>
        <v>639</v>
      </c>
      <c r="C650">
        <f t="shared" si="477"/>
        <v>53.166666666666664</v>
      </c>
      <c r="D650">
        <f t="shared" si="478"/>
        <v>0</v>
      </c>
      <c r="E650">
        <f t="shared" si="443"/>
        <v>105</v>
      </c>
      <c r="F650">
        <f>IF(C650&gt;=$T$2,0,VLOOKUP($E650,EKM_F05!$A$3:$C$128,2,TRUE))</f>
        <v>0.61609051282051275</v>
      </c>
      <c r="G650">
        <f>F650*'Real assumptions'!$B$3</f>
        <v>0.25709457099999999</v>
      </c>
      <c r="H650">
        <f t="shared" si="479"/>
        <v>2.446139365902833E-2</v>
      </c>
      <c r="I650">
        <f t="shared" si="480"/>
        <v>1.5050289789881544E-4</v>
      </c>
      <c r="J650">
        <f>IF(B650&gt;$AJ$2,0,HLOOKUP(C650,'Real assumptions'!$B$5:$L$8,4,TRUE))</f>
        <v>3.7900000000000003E-2</v>
      </c>
      <c r="K650">
        <f t="shared" si="432"/>
        <v>1</v>
      </c>
      <c r="L650">
        <f t="shared" si="460"/>
        <v>8.3333333333333329E-2</v>
      </c>
      <c r="M650">
        <f t="shared" si="481"/>
        <v>3.2145624959929453E-3</v>
      </c>
      <c r="N650">
        <f t="shared" si="482"/>
        <v>1.9567694502983915E-5</v>
      </c>
      <c r="O650" s="8">
        <f t="shared" si="444"/>
        <v>5.992505011984269E-3</v>
      </c>
      <c r="P650">
        <f t="shared" si="445"/>
        <v>0.14790181450526563</v>
      </c>
      <c r="Q650">
        <f t="shared" si="461"/>
        <v>0.75251448949407718</v>
      </c>
      <c r="R650" s="89">
        <f t="shared" si="433"/>
        <v>5000</v>
      </c>
      <c r="S650">
        <f t="shared" si="434"/>
        <v>0.75</v>
      </c>
      <c r="U650">
        <f>O649*AV649*'Real assumptions'!$B$33/12+AX650*'Real assumptions'!$B$34</f>
        <v>0.12339374192247013</v>
      </c>
      <c r="V650">
        <f>IF(P650=0,0,IF(E650&lt;=$C$7,$AN$5*O649,0))*'Real assumptions'!$D$28</f>
        <v>0</v>
      </c>
      <c r="X650" s="94">
        <f t="shared" si="446"/>
        <v>0</v>
      </c>
      <c r="Y650">
        <f t="shared" si="435"/>
        <v>24</v>
      </c>
      <c r="Z650">
        <f t="shared" si="462"/>
        <v>45</v>
      </c>
      <c r="AA650">
        <f t="shared" si="436"/>
        <v>45.75</v>
      </c>
      <c r="AB650">
        <f t="shared" si="447"/>
        <v>50.505050505050505</v>
      </c>
      <c r="AC650">
        <f t="shared" si="483"/>
        <v>2310.6060606060605</v>
      </c>
      <c r="AD650">
        <f t="shared" si="448"/>
        <v>80.505050505050505</v>
      </c>
      <c r="AE650">
        <f t="shared" si="449"/>
        <v>184.15530303030303</v>
      </c>
      <c r="AF650" s="94">
        <f t="shared" si="450"/>
        <v>2505.2386363636365</v>
      </c>
      <c r="AG650">
        <f t="shared" si="463"/>
        <v>4.902174429343565E-2</v>
      </c>
      <c r="AH650">
        <f t="shared" si="451"/>
        <v>15.012655084625727</v>
      </c>
      <c r="AI650">
        <f>HLOOKUP(AW650,'Real assumptions'!$A$21:$AK$24,2,TRUE)</f>
        <v>0</v>
      </c>
      <c r="AJ650" s="123">
        <f t="shared" si="484"/>
        <v>0</v>
      </c>
      <c r="AK650" s="122">
        <f>(1+HLOOKUP(YEAR(A650),'Real assumptions'!$A$21:$AK$24,2,TRUE)/100)^(1/12)-1</f>
        <v>0</v>
      </c>
      <c r="AL650">
        <f t="shared" si="464"/>
        <v>0.12339374192247013</v>
      </c>
      <c r="AM650">
        <f>('Real assumptions'!$B$33/12)*O649*AV649</f>
        <v>0.11916495034598712</v>
      </c>
      <c r="AN650">
        <f t="shared" si="452"/>
        <v>15.435226649939899</v>
      </c>
      <c r="AO650">
        <f t="shared" si="485"/>
        <v>0</v>
      </c>
      <c r="AP650" s="121">
        <f t="shared" si="453"/>
        <v>0</v>
      </c>
      <c r="AQ650">
        <f t="shared" si="454"/>
        <v>0</v>
      </c>
      <c r="AR650">
        <v>0</v>
      </c>
      <c r="AS650">
        <f t="shared" si="437"/>
        <v>0</v>
      </c>
      <c r="AT650">
        <f t="shared" si="455"/>
        <v>0</v>
      </c>
      <c r="AU650">
        <f>IFERROR(HLOOKUP(B650,'Real assumptions'!$B$43:$AL$44,2,TRUE)*($W$3/$U$2),0)</f>
        <v>0</v>
      </c>
      <c r="AV650">
        <f>AV649*(1+'Real assumptions'!$B$35)^(1/12)</f>
        <v>1.9356902474916333</v>
      </c>
      <c r="AW650">
        <f t="shared" si="438"/>
        <v>2072</v>
      </c>
      <c r="AX650">
        <f t="shared" si="465"/>
        <v>15.43665534336883</v>
      </c>
      <c r="AY650">
        <f t="shared" si="466"/>
        <v>2.5936766011725874E-2</v>
      </c>
      <c r="AZ650">
        <f t="shared" si="439"/>
        <v>27.925760145146025</v>
      </c>
      <c r="BA650">
        <f t="shared" si="456"/>
        <v>0.80153623378751282</v>
      </c>
      <c r="BB650">
        <f t="shared" si="457"/>
        <v>45.75</v>
      </c>
      <c r="BC650">
        <f t="shared" si="440"/>
        <v>27.45</v>
      </c>
      <c r="BD650">
        <f t="shared" si="458"/>
        <v>0</v>
      </c>
      <c r="BE650">
        <f t="shared" si="441"/>
        <v>24</v>
      </c>
      <c r="BF650">
        <f t="shared" si="467"/>
        <v>5000</v>
      </c>
      <c r="BU650"/>
      <c r="DW650" s="89"/>
      <c r="DX650" s="89"/>
      <c r="FD650"/>
      <c r="FE650"/>
    </row>
    <row r="651" spans="1:161" x14ac:dyDescent="0.25">
      <c r="A651" s="7">
        <f t="shared" si="459"/>
        <v>62914</v>
      </c>
      <c r="B651">
        <f t="shared" si="442"/>
        <v>640</v>
      </c>
      <c r="C651">
        <f t="shared" si="477"/>
        <v>53.25</v>
      </c>
      <c r="D651">
        <f t="shared" si="478"/>
        <v>0</v>
      </c>
      <c r="E651">
        <f t="shared" si="443"/>
        <v>105</v>
      </c>
      <c r="F651">
        <f>IF(C651&gt;=$T$2,0,VLOOKUP($E651,EKM_F05!$A$3:$C$128,2,TRUE))</f>
        <v>0.61609051282051275</v>
      </c>
      <c r="G651">
        <f>F651*'Real assumptions'!$B$3</f>
        <v>0.25709457099999999</v>
      </c>
      <c r="H651">
        <f t="shared" si="479"/>
        <v>2.446139365902833E-2</v>
      </c>
      <c r="I651">
        <f t="shared" si="480"/>
        <v>1.4634942074137148E-4</v>
      </c>
      <c r="J651">
        <f>IF(B651&gt;$AJ$2,0,HLOOKUP(C651,'Real assumptions'!$B$5:$L$8,4,TRUE))</f>
        <v>3.7900000000000003E-2</v>
      </c>
      <c r="K651">
        <f t="shared" si="432"/>
        <v>1</v>
      </c>
      <c r="L651">
        <f t="shared" si="460"/>
        <v>8.3333333333333329E-2</v>
      </c>
      <c r="M651">
        <f t="shared" si="481"/>
        <v>3.2145624959929453E-3</v>
      </c>
      <c r="N651">
        <f t="shared" si="482"/>
        <v>1.9027678508098379E-5</v>
      </c>
      <c r="O651" s="8">
        <f t="shared" si="444"/>
        <v>5.8271279127347989E-3</v>
      </c>
      <c r="P651">
        <f t="shared" si="445"/>
        <v>0.14382012028762245</v>
      </c>
      <c r="Q651">
        <f t="shared" si="461"/>
        <v>0.73174710370685736</v>
      </c>
      <c r="R651" s="89">
        <f t="shared" si="433"/>
        <v>5000</v>
      </c>
      <c r="S651">
        <f t="shared" si="434"/>
        <v>0.6666666666666643</v>
      </c>
      <c r="U651">
        <f>O650*AV650*'Real assumptions'!$B$33/12+AX651*'Real assumptions'!$B$34</f>
        <v>0.12011588316134866</v>
      </c>
      <c r="V651">
        <f>IF(P651=0,0,IF(E651&lt;=$C$7,$AN$5*O650,0))*'Real assumptions'!$D$28</f>
        <v>0</v>
      </c>
      <c r="X651" s="94">
        <f t="shared" si="446"/>
        <v>0</v>
      </c>
      <c r="Y651">
        <f t="shared" si="435"/>
        <v>24</v>
      </c>
      <c r="Z651">
        <f t="shared" si="462"/>
        <v>45</v>
      </c>
      <c r="AA651">
        <f t="shared" si="436"/>
        <v>45.666666666666664</v>
      </c>
      <c r="AB651">
        <f t="shared" si="447"/>
        <v>50.505050505050505</v>
      </c>
      <c r="AC651">
        <f t="shared" si="483"/>
        <v>2306.3973063973062</v>
      </c>
      <c r="AD651">
        <f t="shared" si="448"/>
        <v>80.505050505050505</v>
      </c>
      <c r="AE651">
        <f t="shared" si="449"/>
        <v>183.8198653198653</v>
      </c>
      <c r="AF651" s="94">
        <f t="shared" si="450"/>
        <v>2509.7828282828286</v>
      </c>
      <c r="AG651">
        <f t="shared" si="463"/>
        <v>4.7755340781711543E-2</v>
      </c>
      <c r="AH651">
        <f t="shared" si="451"/>
        <v>14.624825573589359</v>
      </c>
      <c r="AI651">
        <f>HLOOKUP(AW651,'Real assumptions'!$A$21:$AK$24,2,TRUE)</f>
        <v>0</v>
      </c>
      <c r="AJ651" s="123">
        <f t="shared" si="484"/>
        <v>0</v>
      </c>
      <c r="AK651" s="122">
        <f>(1+HLOOKUP(YEAR(A651),'Real assumptions'!$A$21:$AK$24,2,TRUE)/100)^(1/12)-1</f>
        <v>0</v>
      </c>
      <c r="AL651">
        <f t="shared" si="464"/>
        <v>0.12011588316134866</v>
      </c>
      <c r="AM651">
        <f>('Real assumptions'!$B$33/12)*O650*AV650</f>
        <v>0.11599633509742684</v>
      </c>
      <c r="AN651">
        <f t="shared" si="452"/>
        <v>15.036359321752002</v>
      </c>
      <c r="AO651">
        <f t="shared" si="485"/>
        <v>0</v>
      </c>
      <c r="AP651" s="121">
        <f t="shared" si="453"/>
        <v>0</v>
      </c>
      <c r="AQ651">
        <f t="shared" si="454"/>
        <v>0</v>
      </c>
      <c r="AR651">
        <v>0</v>
      </c>
      <c r="AS651">
        <f t="shared" si="437"/>
        <v>0</v>
      </c>
      <c r="AT651">
        <f t="shared" si="455"/>
        <v>0</v>
      </c>
      <c r="AU651">
        <f>IFERROR(HLOOKUP(B651,'Real assumptions'!$B$43:$AL$44,2,TRUE)*($W$3/$U$2),0)</f>
        <v>0</v>
      </c>
      <c r="AV651">
        <f>AV650*(1+'Real assumptions'!$B$35)^(1/12)</f>
        <v>1.9376951309511632</v>
      </c>
      <c r="AW651">
        <f t="shared" si="438"/>
        <v>2072</v>
      </c>
      <c r="AX651">
        <f t="shared" si="465"/>
        <v>15.037876065315897</v>
      </c>
      <c r="AY651">
        <f t="shared" si="466"/>
        <v>2.5220980690169481E-2</v>
      </c>
      <c r="AZ651">
        <f t="shared" si="439"/>
        <v>27.169961937783732</v>
      </c>
      <c r="BA651">
        <f t="shared" si="456"/>
        <v>0.77950244448856887</v>
      </c>
      <c r="BB651">
        <f t="shared" si="457"/>
        <v>45.666666666666664</v>
      </c>
      <c r="BC651">
        <f t="shared" si="440"/>
        <v>27.4</v>
      </c>
      <c r="BD651">
        <f t="shared" si="458"/>
        <v>0</v>
      </c>
      <c r="BE651">
        <f t="shared" si="441"/>
        <v>24</v>
      </c>
      <c r="BF651">
        <f t="shared" si="467"/>
        <v>5000</v>
      </c>
      <c r="BU651"/>
      <c r="DW651" s="89"/>
      <c r="DX651" s="89"/>
      <c r="FD651"/>
      <c r="FE651"/>
    </row>
    <row r="652" spans="1:161" x14ac:dyDescent="0.25">
      <c r="A652" s="7">
        <f t="shared" si="459"/>
        <v>62944</v>
      </c>
      <c r="B652">
        <f t="shared" si="442"/>
        <v>641</v>
      </c>
      <c r="C652">
        <f t="shared" si="477"/>
        <v>53.333333333333336</v>
      </c>
      <c r="D652">
        <f t="shared" si="478"/>
        <v>0</v>
      </c>
      <c r="E652">
        <f t="shared" si="443"/>
        <v>105</v>
      </c>
      <c r="F652">
        <f>IF(C652&gt;=$T$2,0,VLOOKUP($E652,EKM_F05!$A$3:$C$128,2,TRUE))</f>
        <v>0.61609051282051275</v>
      </c>
      <c r="G652">
        <f>F652*'Real assumptions'!$B$3</f>
        <v>0.25709457099999999</v>
      </c>
      <c r="H652">
        <f t="shared" si="479"/>
        <v>2.446139365902833E-2</v>
      </c>
      <c r="I652">
        <f t="shared" si="480"/>
        <v>1.4231056843659316E-4</v>
      </c>
      <c r="J652">
        <f>IF(B652&gt;$AJ$2,0,HLOOKUP(C652,'Real assumptions'!$B$5:$L$8,4,TRUE))</f>
        <v>3.7900000000000003E-2</v>
      </c>
      <c r="K652">
        <f t="shared" ref="K652:K715" si="486">IF(B652&gt;$AJ$2,0,IF(($U$2*(B652+11))/12-INT(($U$2*(B652+11))/12)=0,1,0))</f>
        <v>1</v>
      </c>
      <c r="L652">
        <f t="shared" si="460"/>
        <v>8.3333333333333329E-2</v>
      </c>
      <c r="M652">
        <f t="shared" si="481"/>
        <v>3.2145624959929453E-3</v>
      </c>
      <c r="N652">
        <f t="shared" si="482"/>
        <v>1.8502565509306104E-5</v>
      </c>
      <c r="O652" s="8">
        <f t="shared" si="444"/>
        <v>5.6663147787888992E-3</v>
      </c>
      <c r="P652">
        <f t="shared" si="445"/>
        <v>0.13985106990563517</v>
      </c>
      <c r="Q652">
        <f t="shared" si="461"/>
        <v>0.71155284218296577</v>
      </c>
      <c r="R652" s="89">
        <f t="shared" ref="R652:R715" si="487">$AI$2</f>
        <v>5000</v>
      </c>
      <c r="S652">
        <f t="shared" ref="S652:S715" si="488">INT(B652/12)+1-B652/12</f>
        <v>0.5833333333333357</v>
      </c>
      <c r="U652">
        <f>O651*AV651*'Real assumptions'!$B$33/12+AX652*'Real assumptions'!$B$34</f>
        <v>0.11692508734830409</v>
      </c>
      <c r="V652">
        <f>IF(P652=0,0,IF(E652&lt;=$C$7,$AN$5*O651,0))*'Real assumptions'!$D$28</f>
        <v>0</v>
      </c>
      <c r="X652" s="94">
        <f t="shared" si="446"/>
        <v>0</v>
      </c>
      <c r="Y652">
        <f t="shared" ref="Y652:Y715" si="489">IF(P652=0,0,$AN$5)</f>
        <v>24</v>
      </c>
      <c r="Z652">
        <f t="shared" si="462"/>
        <v>45</v>
      </c>
      <c r="AA652">
        <f t="shared" ref="AA652:AA715" si="490">99-(B652/12)</f>
        <v>45.583333333333336</v>
      </c>
      <c r="AB652">
        <f t="shared" si="447"/>
        <v>50.505050505050505</v>
      </c>
      <c r="AC652">
        <f t="shared" si="483"/>
        <v>2302.1885521885524</v>
      </c>
      <c r="AD652">
        <f t="shared" si="448"/>
        <v>80.505050505050505</v>
      </c>
      <c r="AE652">
        <f t="shared" si="449"/>
        <v>183.4844276094276</v>
      </c>
      <c r="AF652" s="94">
        <f t="shared" si="450"/>
        <v>2514.3270202020199</v>
      </c>
      <c r="AG652">
        <f t="shared" si="463"/>
        <v>4.6521500403106285E-2</v>
      </c>
      <c r="AH652">
        <f t="shared" si="451"/>
        <v>14.246968353278961</v>
      </c>
      <c r="AI652">
        <f>HLOOKUP(AW652,'Real assumptions'!$A$21:$AK$24,2,TRUE)</f>
        <v>0</v>
      </c>
      <c r="AJ652" s="123">
        <f t="shared" si="484"/>
        <v>0</v>
      </c>
      <c r="AK652" s="122">
        <f>(1+HLOOKUP(YEAR(A652),'Real assumptions'!$A$21:$AK$24,2,TRUE)/100)^(1/12)-1</f>
        <v>0</v>
      </c>
      <c r="AL652">
        <f t="shared" si="464"/>
        <v>0.11692508734830409</v>
      </c>
      <c r="AM652">
        <f>('Real assumptions'!$B$33/12)*O651*AV651</f>
        <v>0.11291197383935835</v>
      </c>
      <c r="AN652">
        <f t="shared" si="452"/>
        <v>14.647751556146689</v>
      </c>
      <c r="AO652">
        <f t="shared" si="485"/>
        <v>0</v>
      </c>
      <c r="AP652" s="121">
        <f t="shared" si="453"/>
        <v>0</v>
      </c>
      <c r="AQ652">
        <f t="shared" si="454"/>
        <v>0</v>
      </c>
      <c r="AR652">
        <v>0</v>
      </c>
      <c r="AS652">
        <f t="shared" ref="AS652:AS715" si="491">IF(B652&gt;$B$12,IF(B652&lt;=$AJ$2,AT652,0),0)</f>
        <v>0</v>
      </c>
      <c r="AT652">
        <f t="shared" si="455"/>
        <v>0</v>
      </c>
      <c r="AU652">
        <f>IFERROR(HLOOKUP(B652,'Real assumptions'!$B$43:$AL$44,2,TRUE)*($W$3/$U$2),0)</f>
        <v>0</v>
      </c>
      <c r="AV652">
        <f>AV651*(1+'Real assumptions'!$B$35)^(1/12)</f>
        <v>1.9397020909607463</v>
      </c>
      <c r="AW652">
        <f t="shared" ref="AW652:AW715" si="492">YEAR(A652)</f>
        <v>2072</v>
      </c>
      <c r="AX652">
        <f t="shared" si="465"/>
        <v>14.649350522717031</v>
      </c>
      <c r="AY652">
        <f t="shared" si="466"/>
        <v>2.4524949127671711E-2</v>
      </c>
      <c r="AZ652">
        <f t="shared" ref="AZ652:AZ715" si="493">(AZ653+BA653-P653+U653+AQ653)/((1+AJ653))</f>
        <v>26.434813577754991</v>
      </c>
      <c r="BA652">
        <f t="shared" si="456"/>
        <v>0.75807434258607209</v>
      </c>
      <c r="BB652">
        <f t="shared" si="457"/>
        <v>45.583333333333336</v>
      </c>
      <c r="BC652">
        <f t="shared" ref="BC652:BC715" si="494">$AQ$5*BB652+IF($W$3=0,0,$AP$5*AA652)</f>
        <v>27.35</v>
      </c>
      <c r="BD652">
        <f t="shared" si="458"/>
        <v>0</v>
      </c>
      <c r="BE652">
        <f t="shared" ref="BE652:BE715" si="495">IF(B652=1,$AR$5,IF(P652=0,0,$W$3/$U$2))</f>
        <v>24</v>
      </c>
      <c r="BF652">
        <f t="shared" si="467"/>
        <v>5000</v>
      </c>
      <c r="BU652"/>
      <c r="DW652" s="89"/>
      <c r="DX652" s="89"/>
      <c r="FD652"/>
      <c r="FE652"/>
    </row>
    <row r="653" spans="1:161" x14ac:dyDescent="0.25">
      <c r="A653" s="7">
        <f t="shared" si="459"/>
        <v>62975</v>
      </c>
      <c r="B653">
        <f t="shared" ref="B653:B716" si="496">B652+1</f>
        <v>642</v>
      </c>
      <c r="C653">
        <f t="shared" si="477"/>
        <v>53.416666666666664</v>
      </c>
      <c r="D653">
        <f t="shared" si="478"/>
        <v>0</v>
      </c>
      <c r="E653">
        <f t="shared" ref="E653:E716" si="497">$C$2+INT($C653)</f>
        <v>105</v>
      </c>
      <c r="F653">
        <f>IF(C653&gt;=$T$2,0,VLOOKUP($E653,EKM_F05!$A$3:$C$128,2,TRUE))</f>
        <v>0.61609051282051275</v>
      </c>
      <c r="G653">
        <f>F653*'Real assumptions'!$B$3</f>
        <v>0.25709457099999999</v>
      </c>
      <c r="H653">
        <f t="shared" si="479"/>
        <v>2.446139365902833E-2</v>
      </c>
      <c r="I653">
        <f t="shared" si="480"/>
        <v>1.3838317764534308E-4</v>
      </c>
      <c r="J653">
        <f>IF(B653&gt;$AJ$2,0,HLOOKUP(C653,'Real assumptions'!$B$5:$L$8,4,TRUE))</f>
        <v>3.7900000000000003E-2</v>
      </c>
      <c r="K653">
        <f t="shared" si="486"/>
        <v>1</v>
      </c>
      <c r="L653">
        <f t="shared" si="460"/>
        <v>8.3333333333333329E-2</v>
      </c>
      <c r="M653">
        <f t="shared" si="481"/>
        <v>3.2145624959929453E-3</v>
      </c>
      <c r="N653">
        <f t="shared" si="482"/>
        <v>1.7991944223803144E-5</v>
      </c>
      <c r="O653" s="8">
        <f t="shared" ref="O653:O716" si="498">IF(E654&gt;$C$5,0,IF(B653&gt;$AJ$2,0,O652-I653-N653))</f>
        <v>5.5099396569197523E-3</v>
      </c>
      <c r="P653">
        <f t="shared" ref="P653:P716" si="499">IF($U$2=0,0,$W$3/$U$2*K653*O652)</f>
        <v>0.13599155469093357</v>
      </c>
      <c r="Q653">
        <f t="shared" si="461"/>
        <v>0.69191588822671535</v>
      </c>
      <c r="R653" s="89">
        <f t="shared" si="487"/>
        <v>5000</v>
      </c>
      <c r="S653">
        <f t="shared" si="488"/>
        <v>0.5</v>
      </c>
      <c r="U653">
        <f>O652*AV652*'Real assumptions'!$B$33/12+AX653*'Real assumptions'!$B$34</f>
        <v>0.11381904231791745</v>
      </c>
      <c r="V653">
        <f>IF(P653=0,0,IF(E653&lt;=$C$7,$AN$5*O652,0))*'Real assumptions'!$D$28</f>
        <v>0</v>
      </c>
      <c r="X653" s="94">
        <f t="shared" ref="X653:X716" si="500">IF($U$2=12,0,IF($AM$2&lt;&gt;0,0,X652+Y653-($AN$5*($U$2/12))))</f>
        <v>0</v>
      </c>
      <c r="Y653">
        <f t="shared" si="489"/>
        <v>24</v>
      </c>
      <c r="Z653">
        <f t="shared" si="462"/>
        <v>45</v>
      </c>
      <c r="AA653">
        <f t="shared" si="490"/>
        <v>45.5</v>
      </c>
      <c r="AB653">
        <f t="shared" ref="AB653:AB716" si="501">IF($AM$2&lt;&gt;0,0,R653/99)</f>
        <v>50.505050505050505</v>
      </c>
      <c r="AC653">
        <f t="shared" si="483"/>
        <v>2297.9797979797981</v>
      </c>
      <c r="AD653">
        <f t="shared" ref="AD653:AD716" si="502">IF($AM$2&lt;&gt;0,0,AB653+$Q$4*$AI$2+$Q$5*$AI$2)</f>
        <v>80.505050505050505</v>
      </c>
      <c r="AE653">
        <f t="shared" ref="AE653:AE716" si="503">MIN($C$6*AD653*AA653,$AI$2-AC653+BD653)</f>
        <v>183.1489898989899</v>
      </c>
      <c r="AF653" s="94">
        <f t="shared" ref="AF653:AF716" si="504">MAX(($AI$2+$Y$2-AC653-AE653+X653+BD653),0)</f>
        <v>2518.871212121212</v>
      </c>
      <c r="AG653">
        <f t="shared" si="463"/>
        <v>4.5319390355428264E-2</v>
      </c>
      <c r="AH653">
        <f t="shared" ref="AH653:AH716" si="505">AF653*O653</f>
        <v>13.878828382340192</v>
      </c>
      <c r="AI653">
        <f>HLOOKUP(AW653,'Real assumptions'!$A$21:$AK$24,2,TRUE)</f>
        <v>0</v>
      </c>
      <c r="AJ653" s="123">
        <f t="shared" si="484"/>
        <v>0</v>
      </c>
      <c r="AK653" s="122">
        <f>(1+HLOOKUP(YEAR(A653),'Real assumptions'!$A$21:$AK$24,2,TRUE)/100)^(1/12)-1</f>
        <v>0</v>
      </c>
      <c r="AL653">
        <f t="shared" si="464"/>
        <v>0.11381904231791745</v>
      </c>
      <c r="AM653">
        <f>('Real assumptions'!$B$33/12)*O652*AV652</f>
        <v>0.10990962624458607</v>
      </c>
      <c r="AN653">
        <f t="shared" ref="AN653:AN716" si="506">AP652+P653+AH652-V653-AL653</f>
        <v>14.269140865651977</v>
      </c>
      <c r="AO653">
        <f t="shared" si="485"/>
        <v>0</v>
      </c>
      <c r="AP653" s="121">
        <f t="shared" ref="AP653:AP716" si="507">IF(MONTH(A653)=12,0,AP652+AO653)</f>
        <v>0</v>
      </c>
      <c r="AQ653">
        <f t="shared" ref="AQ653:AQ716" si="508">IF(P653=0,0,AR653+AS653)</f>
        <v>0</v>
      </c>
      <c r="AR653">
        <v>0</v>
      </c>
      <c r="AS653">
        <f t="shared" si="491"/>
        <v>0</v>
      </c>
      <c r="AT653">
        <f t="shared" ref="AT653:AT716" si="509">IF(OR(B653&lt;=$B$12,B653&gt;$AJ$2),0,AU653*O652)</f>
        <v>0</v>
      </c>
      <c r="AU653">
        <f>IFERROR(HLOOKUP(B653,'Real assumptions'!$B$43:$AL$44,2,TRUE)*($W$3/$U$2),0)</f>
        <v>0</v>
      </c>
      <c r="AV653">
        <f>AV652*(1+'Real assumptions'!$B$35)^(1/12)</f>
        <v>1.9417111296711609</v>
      </c>
      <c r="AW653">
        <f t="shared" si="492"/>
        <v>2072</v>
      </c>
      <c r="AX653">
        <f t="shared" si="465"/>
        <v>14.270816479452314</v>
      </c>
      <c r="AY653">
        <f t="shared" si="466"/>
        <v>2.384812617335395E-2</v>
      </c>
      <c r="AZ653">
        <f t="shared" si="493"/>
        <v>25.719750811545861</v>
      </c>
      <c r="BA653">
        <f t="shared" ref="BA653:BA716" si="510">AG653+V653+Q653</f>
        <v>0.73723527858214366</v>
      </c>
      <c r="BB653">
        <f t="shared" ref="BB653:BB716" si="511">Z654+IF(S653=1,0,S653)</f>
        <v>45.5</v>
      </c>
      <c r="BC653">
        <f t="shared" si="494"/>
        <v>27.299999999999997</v>
      </c>
      <c r="BD653">
        <f t="shared" ref="BD653:BD716" si="512">(BC653/100)*($AI$2+$Y$2)-AA653*(AD653-AB653)</f>
        <v>0</v>
      </c>
      <c r="BE653">
        <f t="shared" si="495"/>
        <v>24</v>
      </c>
      <c r="BF653">
        <f t="shared" si="467"/>
        <v>5000</v>
      </c>
      <c r="BU653"/>
      <c r="DW653" s="89"/>
      <c r="DX653" s="89"/>
      <c r="FD653"/>
      <c r="FE653"/>
    </row>
    <row r="654" spans="1:161" x14ac:dyDescent="0.25">
      <c r="A654" s="7">
        <f t="shared" ref="A654:A717" si="513">DATE(YEAR(A653),MONTH(A653)+2,1)-1</f>
        <v>63005</v>
      </c>
      <c r="B654">
        <f t="shared" si="496"/>
        <v>643</v>
      </c>
      <c r="C654">
        <f t="shared" si="477"/>
        <v>53.5</v>
      </c>
      <c r="D654">
        <f t="shared" si="478"/>
        <v>0</v>
      </c>
      <c r="E654">
        <f t="shared" si="497"/>
        <v>105</v>
      </c>
      <c r="F654">
        <f>IF(C654&gt;=$T$2,0,VLOOKUP($E654,EKM_F05!$A$3:$C$128,2,TRUE))</f>
        <v>0.61609051282051275</v>
      </c>
      <c r="G654">
        <f>F654*'Real assumptions'!$B$3</f>
        <v>0.25709457099999999</v>
      </c>
      <c r="H654">
        <f t="shared" si="479"/>
        <v>2.446139365902833E-2</v>
      </c>
      <c r="I654">
        <f t="shared" si="480"/>
        <v>1.3456417232817719E-4</v>
      </c>
      <c r="J654">
        <f>IF(B654&gt;$AJ$2,0,HLOOKUP(C654,'Real assumptions'!$B$5:$L$8,4,TRUE))</f>
        <v>3.7900000000000003E-2</v>
      </c>
      <c r="K654">
        <f t="shared" si="486"/>
        <v>1</v>
      </c>
      <c r="L654">
        <f t="shared" ref="L654:L717" si="514">IF(B654&gt;$AJ$2,0,1/12)</f>
        <v>8.3333333333333329E-2</v>
      </c>
      <c r="M654">
        <f t="shared" si="481"/>
        <v>3.2145624959929453E-3</v>
      </c>
      <c r="N654">
        <f t="shared" si="482"/>
        <v>1.7495414719090122E-5</v>
      </c>
      <c r="O654" s="8">
        <f t="shared" si="498"/>
        <v>5.3578800698724852E-3</v>
      </c>
      <c r="P654">
        <f t="shared" si="499"/>
        <v>0.13223855176607405</v>
      </c>
      <c r="Q654">
        <f t="shared" ref="Q654:Q717" si="515">BF654*I654</f>
        <v>0.67282086164088595</v>
      </c>
      <c r="R654" s="89">
        <f t="shared" si="487"/>
        <v>5000</v>
      </c>
      <c r="S654">
        <f t="shared" si="488"/>
        <v>0.4166666666666643</v>
      </c>
      <c r="U654">
        <f>O653*AV653*'Real assumptions'!$B$33/12+AX654*'Real assumptions'!$B$34</f>
        <v>0.11079549730118003</v>
      </c>
      <c r="V654">
        <f>IF(P654=0,0,IF(E654&lt;=$C$7,$AN$5*O653,0))*'Real assumptions'!$D$28</f>
        <v>0</v>
      </c>
      <c r="X654" s="94">
        <f t="shared" si="500"/>
        <v>0</v>
      </c>
      <c r="Y654">
        <f t="shared" si="489"/>
        <v>24</v>
      </c>
      <c r="Z654">
        <f t="shared" ref="Z654:Z717" si="516">IF(S652=1,Z653-1,Z653)</f>
        <v>45</v>
      </c>
      <c r="AA654">
        <f t="shared" si="490"/>
        <v>45.416666666666664</v>
      </c>
      <c r="AB654">
        <f t="shared" si="501"/>
        <v>50.505050505050505</v>
      </c>
      <c r="AC654">
        <f t="shared" si="483"/>
        <v>2293.7710437710439</v>
      </c>
      <c r="AD654">
        <f t="shared" si="502"/>
        <v>80.505050505050505</v>
      </c>
      <c r="AE654">
        <f t="shared" si="503"/>
        <v>182.81355218855217</v>
      </c>
      <c r="AF654" s="94">
        <f t="shared" si="504"/>
        <v>2523.4154040404042</v>
      </c>
      <c r="AG654">
        <f t="shared" ref="AG654:AG717" si="517">IF(B654&lt;=$C$8,0,AF654*N654)</f>
        <v>4.4148199002227231E-2</v>
      </c>
      <c r="AH654">
        <f t="shared" si="505"/>
        <v>13.520157101317306</v>
      </c>
      <c r="AI654">
        <f>HLOOKUP(AW654,'Real assumptions'!$A$21:$AK$24,2,TRUE)</f>
        <v>0</v>
      </c>
      <c r="AJ654" s="123">
        <f t="shared" si="484"/>
        <v>0</v>
      </c>
      <c r="AK654" s="122">
        <f>(1+HLOOKUP(YEAR(A654),'Real assumptions'!$A$21:$AK$24,2,TRUE)/100)^(1/12)-1</f>
        <v>0</v>
      </c>
      <c r="AL654">
        <f t="shared" ref="AL654:AL717" si="518">AQ654+U654</f>
        <v>0.11079549730118003</v>
      </c>
      <c r="AM654">
        <f>('Real assumptions'!$B$33/12)*O653*AV653</f>
        <v>0.10698711155657581</v>
      </c>
      <c r="AN654">
        <f t="shared" si="506"/>
        <v>13.900271436805086</v>
      </c>
      <c r="AO654">
        <f t="shared" si="485"/>
        <v>0</v>
      </c>
      <c r="AP654" s="121">
        <f t="shared" si="507"/>
        <v>0</v>
      </c>
      <c r="AQ654">
        <f t="shared" si="508"/>
        <v>0</v>
      </c>
      <c r="AR654">
        <v>0</v>
      </c>
      <c r="AS654">
        <f t="shared" si="491"/>
        <v>0</v>
      </c>
      <c r="AT654">
        <f t="shared" si="509"/>
        <v>0</v>
      </c>
      <c r="AU654">
        <f>IFERROR(HLOOKUP(B654,'Real assumptions'!$B$43:$AL$44,2,TRUE)*($W$3/$U$2),0)</f>
        <v>0</v>
      </c>
      <c r="AV654">
        <f>AV653*(1+'Real assumptions'!$B$35)^(1/12)</f>
        <v>1.9437222492354131</v>
      </c>
      <c r="AW654">
        <f t="shared" si="492"/>
        <v>2072</v>
      </c>
      <c r="AX654">
        <f t="shared" ref="AX654:AX717" si="519">MAX(0,AH653+AP653-V654+AY654)</f>
        <v>13.902018364061234</v>
      </c>
      <c r="AY654">
        <f t="shared" ref="AY654:AY717" si="520">IF(P654=0,0,(AB654/$U$2)*O653)</f>
        <v>2.3189981721042727E-2</v>
      </c>
      <c r="AZ654">
        <f t="shared" si="493"/>
        <v>25.024224805367645</v>
      </c>
      <c r="BA654">
        <f t="shared" si="510"/>
        <v>0.71696906064311317</v>
      </c>
      <c r="BB654">
        <f t="shared" si="511"/>
        <v>45.416666666666664</v>
      </c>
      <c r="BC654">
        <f t="shared" si="494"/>
        <v>27.25</v>
      </c>
      <c r="BD654">
        <f t="shared" si="512"/>
        <v>0</v>
      </c>
      <c r="BE654">
        <f t="shared" si="495"/>
        <v>24</v>
      </c>
      <c r="BF654">
        <f t="shared" ref="BF654:BF717" si="521">((IF(B654&lt;13,BF653+BE654,$AI$2+$Y$2)))</f>
        <v>5000</v>
      </c>
      <c r="BU654"/>
      <c r="DW654" s="89"/>
      <c r="DX654" s="89"/>
      <c r="FD654"/>
      <c r="FE654"/>
    </row>
    <row r="655" spans="1:161" x14ac:dyDescent="0.25">
      <c r="A655" s="7">
        <f t="shared" si="513"/>
        <v>63036</v>
      </c>
      <c r="B655">
        <f t="shared" si="496"/>
        <v>644</v>
      </c>
      <c r="C655">
        <f t="shared" si="477"/>
        <v>53.583333333333336</v>
      </c>
      <c r="D655">
        <f t="shared" si="478"/>
        <v>0</v>
      </c>
      <c r="E655">
        <f t="shared" si="497"/>
        <v>105</v>
      </c>
      <c r="F655">
        <f>IF(C655&gt;=$T$2,0,VLOOKUP($E655,EKM_F05!$A$3:$C$128,2,TRUE))</f>
        <v>0.61609051282051275</v>
      </c>
      <c r="G655">
        <f>F655*'Real assumptions'!$B$3</f>
        <v>0.25709457099999999</v>
      </c>
      <c r="H655">
        <f t="shared" si="479"/>
        <v>2.446139365902833E-2</v>
      </c>
      <c r="I655">
        <f t="shared" si="480"/>
        <v>1.3085056133610716E-4</v>
      </c>
      <c r="J655">
        <f>IF(B655&gt;$AJ$2,0,HLOOKUP(C655,'Real assumptions'!$B$5:$L$8,4,TRUE))</f>
        <v>3.7900000000000003E-2</v>
      </c>
      <c r="K655">
        <f t="shared" si="486"/>
        <v>1</v>
      </c>
      <c r="L655">
        <f t="shared" si="514"/>
        <v>8.3333333333333329E-2</v>
      </c>
      <c r="M655">
        <f t="shared" si="481"/>
        <v>3.2145624959929453E-3</v>
      </c>
      <c r="N655">
        <f t="shared" si="482"/>
        <v>1.7012588099734231E-5</v>
      </c>
      <c r="O655" s="8">
        <f t="shared" si="498"/>
        <v>5.210016920436644E-3</v>
      </c>
      <c r="P655">
        <f t="shared" si="499"/>
        <v>0.12858912167693964</v>
      </c>
      <c r="Q655">
        <f t="shared" si="515"/>
        <v>0.65425280668053587</v>
      </c>
      <c r="R655" s="89">
        <f t="shared" si="487"/>
        <v>5000</v>
      </c>
      <c r="S655">
        <f t="shared" si="488"/>
        <v>0.3333333333333357</v>
      </c>
      <c r="U655">
        <f>O654*AV654*'Real assumptions'!$B$33/12+AX655*'Real assumptions'!$B$34</f>
        <v>0.10785226129544122</v>
      </c>
      <c r="V655">
        <f>IF(P655=0,0,IF(E655&lt;=$C$7,$AN$5*O654,0))*'Real assumptions'!$D$28</f>
        <v>0</v>
      </c>
      <c r="X655" s="94">
        <f t="shared" si="500"/>
        <v>0</v>
      </c>
      <c r="Y655">
        <f t="shared" si="489"/>
        <v>24</v>
      </c>
      <c r="Z655">
        <f t="shared" si="516"/>
        <v>45</v>
      </c>
      <c r="AA655">
        <f t="shared" si="490"/>
        <v>45.333333333333336</v>
      </c>
      <c r="AB655">
        <f t="shared" si="501"/>
        <v>50.505050505050505</v>
      </c>
      <c r="AC655">
        <f t="shared" si="483"/>
        <v>2289.5622895622896</v>
      </c>
      <c r="AD655">
        <f t="shared" si="502"/>
        <v>80.505050505050505</v>
      </c>
      <c r="AE655">
        <f t="shared" si="503"/>
        <v>182.47811447811449</v>
      </c>
      <c r="AF655" s="94">
        <f t="shared" si="504"/>
        <v>2527.9595959595958</v>
      </c>
      <c r="AG655">
        <f t="shared" si="517"/>
        <v>4.3007135338831173E-2</v>
      </c>
      <c r="AH655">
        <f t="shared" si="505"/>
        <v>13.170712269129677</v>
      </c>
      <c r="AI655">
        <f>HLOOKUP(AW655,'Real assumptions'!$A$21:$AK$24,2,TRUE)</f>
        <v>0</v>
      </c>
      <c r="AJ655" s="123">
        <f t="shared" si="484"/>
        <v>0</v>
      </c>
      <c r="AK655" s="122">
        <f>(1+HLOOKUP(YEAR(A655),'Real assumptions'!$A$21:$AK$24,2,TRUE)/100)^(1/12)-1</f>
        <v>0</v>
      </c>
      <c r="AL655">
        <f t="shared" si="518"/>
        <v>0.10785226129544122</v>
      </c>
      <c r="AM655">
        <f>('Real assumptions'!$B$33/12)*O654*AV654</f>
        <v>0.1041423070054614</v>
      </c>
      <c r="AN655">
        <f t="shared" si="506"/>
        <v>13.540893961698805</v>
      </c>
      <c r="AO655">
        <f t="shared" si="485"/>
        <v>0</v>
      </c>
      <c r="AP655" s="121">
        <f t="shared" si="507"/>
        <v>0</v>
      </c>
      <c r="AQ655">
        <f t="shared" si="508"/>
        <v>0</v>
      </c>
      <c r="AR655">
        <v>0</v>
      </c>
      <c r="AS655">
        <f t="shared" si="491"/>
        <v>0</v>
      </c>
      <c r="AT655">
        <f t="shared" si="509"/>
        <v>0</v>
      </c>
      <c r="AU655">
        <f>IFERROR(HLOOKUP(B655,'Real assumptions'!$B$43:$AL$44,2,TRUE)*($W$3/$U$2),0)</f>
        <v>0</v>
      </c>
      <c r="AV655">
        <f>AV654*(1+'Real assumptions'!$B$35)^(1/12)</f>
        <v>1.9457354518087393</v>
      </c>
      <c r="AW655">
        <f t="shared" si="492"/>
        <v>2072</v>
      </c>
      <c r="AX655">
        <f t="shared" si="519"/>
        <v>13.542707101611382</v>
      </c>
      <c r="AY655">
        <f t="shared" si="520"/>
        <v>2.2550000294076115E-2</v>
      </c>
      <c r="AZ655">
        <f t="shared" si="493"/>
        <v>24.347701723729774</v>
      </c>
      <c r="BA655">
        <f t="shared" si="510"/>
        <v>0.69725994201936703</v>
      </c>
      <c r="BB655">
        <f t="shared" si="511"/>
        <v>45.333333333333336</v>
      </c>
      <c r="BC655">
        <f t="shared" si="494"/>
        <v>27.200000000000003</v>
      </c>
      <c r="BD655">
        <f t="shared" si="512"/>
        <v>0</v>
      </c>
      <c r="BE655">
        <f t="shared" si="495"/>
        <v>24</v>
      </c>
      <c r="BF655">
        <f t="shared" si="521"/>
        <v>5000</v>
      </c>
      <c r="BU655"/>
      <c r="DW655" s="89"/>
      <c r="DX655" s="89"/>
      <c r="FD655"/>
      <c r="FE655"/>
    </row>
    <row r="656" spans="1:161" x14ac:dyDescent="0.25">
      <c r="A656" s="7">
        <f t="shared" si="513"/>
        <v>63067</v>
      </c>
      <c r="B656">
        <f t="shared" si="496"/>
        <v>645</v>
      </c>
      <c r="C656">
        <f t="shared" si="477"/>
        <v>53.666666666666664</v>
      </c>
      <c r="D656">
        <f t="shared" si="478"/>
        <v>0</v>
      </c>
      <c r="E656">
        <f t="shared" si="497"/>
        <v>105</v>
      </c>
      <c r="F656">
        <f>IF(C656&gt;=$T$2,0,VLOOKUP($E656,EKM_F05!$A$3:$C$128,2,TRUE))</f>
        <v>0.61609051282051275</v>
      </c>
      <c r="G656">
        <f>F656*'Real assumptions'!$B$3</f>
        <v>0.25709457099999999</v>
      </c>
      <c r="H656">
        <f t="shared" si="479"/>
        <v>2.446139365902833E-2</v>
      </c>
      <c r="I656">
        <f t="shared" si="480"/>
        <v>1.2723943606785066E-4</v>
      </c>
      <c r="J656">
        <f>IF(B656&gt;$AJ$2,0,HLOOKUP(C656,'Real assumptions'!$B$5:$L$8,4,TRUE))</f>
        <v>3.7900000000000003E-2</v>
      </c>
      <c r="K656">
        <f t="shared" si="486"/>
        <v>1</v>
      </c>
      <c r="L656">
        <f t="shared" si="514"/>
        <v>8.3333333333333329E-2</v>
      </c>
      <c r="M656">
        <f t="shared" si="481"/>
        <v>3.2145624959929453E-3</v>
      </c>
      <c r="N656">
        <f t="shared" si="482"/>
        <v>1.6543086202775702E-5</v>
      </c>
      <c r="O656" s="8">
        <f t="shared" si="498"/>
        <v>5.0662343981660177E-3</v>
      </c>
      <c r="P656">
        <f t="shared" si="499"/>
        <v>0.12504040609047945</v>
      </c>
      <c r="Q656">
        <f t="shared" si="515"/>
        <v>0.63619718033925332</v>
      </c>
      <c r="R656" s="89">
        <f t="shared" si="487"/>
        <v>5000</v>
      </c>
      <c r="S656">
        <f t="shared" si="488"/>
        <v>0.25</v>
      </c>
      <c r="U656">
        <f>O655*AV655*'Real assumptions'!$B$33/12+AX656*'Real assumptions'!$B$34</f>
        <v>0.10498720147762661</v>
      </c>
      <c r="V656">
        <f>IF(P656=0,0,IF(E656&lt;=$C$7,$AN$5*O655,0))*'Real assumptions'!$D$28</f>
        <v>0</v>
      </c>
      <c r="X656" s="94">
        <f t="shared" si="500"/>
        <v>0</v>
      </c>
      <c r="Y656">
        <f t="shared" si="489"/>
        <v>24</v>
      </c>
      <c r="Z656">
        <f t="shared" si="516"/>
        <v>45</v>
      </c>
      <c r="AA656">
        <f t="shared" si="490"/>
        <v>45.25</v>
      </c>
      <c r="AB656">
        <f t="shared" si="501"/>
        <v>50.505050505050505</v>
      </c>
      <c r="AC656">
        <f t="shared" si="483"/>
        <v>2285.3535353535353</v>
      </c>
      <c r="AD656">
        <f t="shared" si="502"/>
        <v>80.505050505050505</v>
      </c>
      <c r="AE656">
        <f t="shared" si="503"/>
        <v>182.14267676767676</v>
      </c>
      <c r="AF656" s="94">
        <f t="shared" si="504"/>
        <v>2532.503787878788</v>
      </c>
      <c r="AG656">
        <f t="shared" si="517"/>
        <v>4.1895428471734782E-2</v>
      </c>
      <c r="AH656">
        <f t="shared" si="505"/>
        <v>12.830257803637252</v>
      </c>
      <c r="AI656">
        <f>HLOOKUP(AW656,'Real assumptions'!$A$21:$AK$24,2,TRUE)</f>
        <v>0</v>
      </c>
      <c r="AJ656" s="123">
        <f t="shared" si="484"/>
        <v>0</v>
      </c>
      <c r="AK656" s="122">
        <f>(1+HLOOKUP(YEAR(A656),'Real assumptions'!$A$21:$AK$24,2,TRUE)/100)^(1/12)-1</f>
        <v>0</v>
      </c>
      <c r="AL656">
        <f t="shared" si="518"/>
        <v>0.10498720147762661</v>
      </c>
      <c r="AM656">
        <f>('Real assumptions'!$B$33/12)*O655*AV655</f>
        <v>0.10137314626616971</v>
      </c>
      <c r="AN656">
        <f t="shared" si="506"/>
        <v>13.190765473742529</v>
      </c>
      <c r="AO656">
        <f t="shared" si="485"/>
        <v>0</v>
      </c>
      <c r="AP656" s="121">
        <f t="shared" si="507"/>
        <v>0</v>
      </c>
      <c r="AQ656">
        <f t="shared" si="508"/>
        <v>0</v>
      </c>
      <c r="AR656">
        <v>0</v>
      </c>
      <c r="AS656">
        <f t="shared" si="491"/>
        <v>0</v>
      </c>
      <c r="AT656">
        <f t="shared" si="509"/>
        <v>0</v>
      </c>
      <c r="AU656">
        <f>IFERROR(HLOOKUP(B656,'Real assumptions'!$B$43:$AL$44,2,TRUE)*($W$3/$U$2),0)</f>
        <v>0</v>
      </c>
      <c r="AV656">
        <f>AV655*(1+'Real assumptions'!$B$35)^(1/12)</f>
        <v>1.9477507395486076</v>
      </c>
      <c r="AW656">
        <f t="shared" si="492"/>
        <v>2072</v>
      </c>
      <c r="AX656">
        <f t="shared" si="519"/>
        <v>13.192639949771245</v>
      </c>
      <c r="AY656">
        <f t="shared" si="520"/>
        <v>2.1927680641568366E-2</v>
      </c>
      <c r="AZ656">
        <f t="shared" si="493"/>
        <v>23.689662319531639</v>
      </c>
      <c r="BA656">
        <f t="shared" si="510"/>
        <v>0.6780926088109881</v>
      </c>
      <c r="BB656">
        <f t="shared" si="511"/>
        <v>45.25</v>
      </c>
      <c r="BC656">
        <f t="shared" si="494"/>
        <v>27.15</v>
      </c>
      <c r="BD656">
        <f t="shared" si="512"/>
        <v>0</v>
      </c>
      <c r="BE656">
        <f t="shared" si="495"/>
        <v>24</v>
      </c>
      <c r="BF656">
        <f t="shared" si="521"/>
        <v>5000</v>
      </c>
      <c r="BU656"/>
      <c r="DW656" s="89"/>
      <c r="DX656" s="89"/>
      <c r="FD656"/>
      <c r="FE656"/>
    </row>
    <row r="657" spans="1:161" x14ac:dyDescent="0.25">
      <c r="A657" s="7">
        <f t="shared" si="513"/>
        <v>63097</v>
      </c>
      <c r="B657">
        <f t="shared" si="496"/>
        <v>646</v>
      </c>
      <c r="C657">
        <f t="shared" si="477"/>
        <v>53.75</v>
      </c>
      <c r="D657">
        <f t="shared" si="478"/>
        <v>0</v>
      </c>
      <c r="E657">
        <f t="shared" si="497"/>
        <v>105</v>
      </c>
      <c r="F657">
        <f>IF(C657&gt;=$T$2,0,VLOOKUP($E657,EKM_F05!$A$3:$C$128,2,TRUE))</f>
        <v>0.61609051282051275</v>
      </c>
      <c r="G657">
        <f>F657*'Real assumptions'!$B$3</f>
        <v>0.25709457099999999</v>
      </c>
      <c r="H657">
        <f t="shared" si="479"/>
        <v>2.446139365902833E-2</v>
      </c>
      <c r="I657">
        <f t="shared" si="480"/>
        <v>1.2372796819173587E-4</v>
      </c>
      <c r="J657">
        <f>IF(B657&gt;$AJ$2,0,HLOOKUP(C657,'Real assumptions'!$B$5:$L$8,4,TRUE))</f>
        <v>3.7900000000000003E-2</v>
      </c>
      <c r="K657">
        <f t="shared" si="486"/>
        <v>1</v>
      </c>
      <c r="L657">
        <f t="shared" si="514"/>
        <v>8.3333333333333329E-2</v>
      </c>
      <c r="M657">
        <f t="shared" si="481"/>
        <v>3.2145624959929453E-3</v>
      </c>
      <c r="N657">
        <f t="shared" si="482"/>
        <v>1.6086541301540309E-5</v>
      </c>
      <c r="O657" s="8">
        <f t="shared" si="498"/>
        <v>4.9264198886727418E-3</v>
      </c>
      <c r="P657">
        <f t="shared" si="499"/>
        <v>0.12158962555598443</v>
      </c>
      <c r="Q657">
        <f t="shared" si="515"/>
        <v>0.6186398409586793</v>
      </c>
      <c r="R657" s="89">
        <f t="shared" si="487"/>
        <v>5000</v>
      </c>
      <c r="S657">
        <f t="shared" si="488"/>
        <v>0.1666666666666643</v>
      </c>
      <c r="U657">
        <f>O656*AV656*'Real assumptions'!$B$33/12+AX657*'Real assumptions'!$B$34</f>
        <v>0.10219824165957805</v>
      </c>
      <c r="V657">
        <f>IF(P657=0,0,IF(E657&lt;=$C$7,$AN$5*O656,0))*'Real assumptions'!$D$28</f>
        <v>0</v>
      </c>
      <c r="X657" s="94">
        <f t="shared" si="500"/>
        <v>0</v>
      </c>
      <c r="Y657">
        <f t="shared" si="489"/>
        <v>24</v>
      </c>
      <c r="Z657">
        <f t="shared" si="516"/>
        <v>45</v>
      </c>
      <c r="AA657">
        <f t="shared" si="490"/>
        <v>45.166666666666664</v>
      </c>
      <c r="AB657">
        <f t="shared" si="501"/>
        <v>50.505050505050505</v>
      </c>
      <c r="AC657">
        <f t="shared" si="483"/>
        <v>2281.1447811447811</v>
      </c>
      <c r="AD657">
        <f t="shared" si="502"/>
        <v>80.505050505050505</v>
      </c>
      <c r="AE657">
        <f t="shared" si="503"/>
        <v>181.80723905723903</v>
      </c>
      <c r="AF657" s="94">
        <f t="shared" si="504"/>
        <v>2537.0479797979797</v>
      </c>
      <c r="AG657">
        <f t="shared" si="517"/>
        <v>4.08123271110096E-2</v>
      </c>
      <c r="AH657">
        <f t="shared" si="505"/>
        <v>12.498563626193768</v>
      </c>
      <c r="AI657">
        <f>HLOOKUP(AW657,'Real assumptions'!$A$21:$AK$24,2,TRUE)</f>
        <v>0</v>
      </c>
      <c r="AJ657" s="123">
        <f t="shared" si="484"/>
        <v>0</v>
      </c>
      <c r="AK657" s="122">
        <f>(1+HLOOKUP(YEAR(A657),'Real assumptions'!$A$21:$AK$24,2,TRUE)/100)^(1/12)-1</f>
        <v>0</v>
      </c>
      <c r="AL657">
        <f t="shared" si="518"/>
        <v>0.10219824165957805</v>
      </c>
      <c r="AM657">
        <f>('Real assumptions'!$B$33/12)*O656*AV656</f>
        <v>9.8677617957544553E-2</v>
      </c>
      <c r="AN657">
        <f t="shared" si="506"/>
        <v>12.849649187533659</v>
      </c>
      <c r="AO657">
        <f t="shared" si="485"/>
        <v>0</v>
      </c>
      <c r="AP657" s="121">
        <f t="shared" si="507"/>
        <v>0</v>
      </c>
      <c r="AQ657">
        <f t="shared" si="508"/>
        <v>0</v>
      </c>
      <c r="AR657">
        <v>0</v>
      </c>
      <c r="AS657">
        <f t="shared" si="491"/>
        <v>0</v>
      </c>
      <c r="AT657">
        <f t="shared" si="509"/>
        <v>0</v>
      </c>
      <c r="AU657">
        <f>IFERROR(HLOOKUP(B657,'Real assumptions'!$B$43:$AL$44,2,TRUE)*($W$3/$U$2),0)</f>
        <v>0</v>
      </c>
      <c r="AV657">
        <f>AV656*(1+'Real assumptions'!$B$35)^(1/12)</f>
        <v>1.9497681146147208</v>
      </c>
      <c r="AW657">
        <f t="shared" si="492"/>
        <v>2072</v>
      </c>
      <c r="AX657">
        <f t="shared" si="519"/>
        <v>12.851580338983069</v>
      </c>
      <c r="AY657">
        <f t="shared" si="520"/>
        <v>2.132253534581657E-2</v>
      </c>
      <c r="AZ657">
        <f t="shared" si="493"/>
        <v>23.049601535358356</v>
      </c>
      <c r="BA657">
        <f t="shared" si="510"/>
        <v>0.65945216806968887</v>
      </c>
      <c r="BB657">
        <f t="shared" si="511"/>
        <v>45.166666666666664</v>
      </c>
      <c r="BC657">
        <f t="shared" si="494"/>
        <v>27.099999999999998</v>
      </c>
      <c r="BD657">
        <f t="shared" si="512"/>
        <v>0</v>
      </c>
      <c r="BE657">
        <f t="shared" si="495"/>
        <v>24</v>
      </c>
      <c r="BF657">
        <f t="shared" si="521"/>
        <v>5000</v>
      </c>
      <c r="BU657"/>
      <c r="DW657" s="89"/>
      <c r="DX657" s="89"/>
      <c r="FD657"/>
      <c r="FE657"/>
    </row>
    <row r="658" spans="1:161" x14ac:dyDescent="0.25">
      <c r="A658" s="7">
        <f t="shared" si="513"/>
        <v>63128</v>
      </c>
      <c r="B658">
        <f t="shared" si="496"/>
        <v>647</v>
      </c>
      <c r="C658">
        <f t="shared" si="477"/>
        <v>53.833333333333336</v>
      </c>
      <c r="D658">
        <f t="shared" si="478"/>
        <v>0</v>
      </c>
      <c r="E658">
        <f t="shared" si="497"/>
        <v>105</v>
      </c>
      <c r="F658">
        <f>IF(C658&gt;=$T$2,0,VLOOKUP($E658,EKM_F05!$A$3:$C$128,2,TRUE))</f>
        <v>0.61609051282051275</v>
      </c>
      <c r="G658">
        <f>F658*'Real assumptions'!$B$3</f>
        <v>0.25709457099999999</v>
      </c>
      <c r="H658">
        <f t="shared" si="479"/>
        <v>2.446139365902833E-2</v>
      </c>
      <c r="I658">
        <f t="shared" si="480"/>
        <v>1.2031340743047511E-4</v>
      </c>
      <c r="J658">
        <f>IF(B658&gt;$AJ$2,0,HLOOKUP(C658,'Real assumptions'!$B$5:$L$8,4,TRUE))</f>
        <v>3.7900000000000003E-2</v>
      </c>
      <c r="K658">
        <f t="shared" si="486"/>
        <v>1</v>
      </c>
      <c r="L658">
        <f t="shared" si="514"/>
        <v>8.3333333333333329E-2</v>
      </c>
      <c r="M658">
        <f t="shared" si="481"/>
        <v>3.2145624959929453E-3</v>
      </c>
      <c r="N658">
        <f t="shared" si="482"/>
        <v>1.5642595817625791E-5</v>
      </c>
      <c r="O658" s="8">
        <f t="shared" si="498"/>
        <v>4.7904638854246407E-3</v>
      </c>
      <c r="P658">
        <f t="shared" si="499"/>
        <v>0.11823407732814581</v>
      </c>
      <c r="Q658">
        <f t="shared" si="515"/>
        <v>0.60156703715237558</v>
      </c>
      <c r="R658" s="89">
        <f t="shared" si="487"/>
        <v>5000</v>
      </c>
      <c r="S658">
        <f t="shared" si="488"/>
        <v>8.3333333333335702E-2</v>
      </c>
      <c r="U658">
        <f>O657*AV657*'Real assumptions'!$B$33/12+AX658*'Real assumptions'!$B$34</f>
        <v>9.9483360784397706E-2</v>
      </c>
      <c r="V658">
        <f>IF(P658=0,0,IF(E658&lt;=$C$7,$AN$5*O657,0))*'Real assumptions'!$D$28</f>
        <v>0</v>
      </c>
      <c r="X658" s="94">
        <f t="shared" si="500"/>
        <v>0</v>
      </c>
      <c r="Y658">
        <f t="shared" si="489"/>
        <v>24</v>
      </c>
      <c r="Z658">
        <f t="shared" si="516"/>
        <v>45</v>
      </c>
      <c r="AA658">
        <f t="shared" si="490"/>
        <v>45.083333333333336</v>
      </c>
      <c r="AB658">
        <f t="shared" si="501"/>
        <v>50.505050505050505</v>
      </c>
      <c r="AC658">
        <f t="shared" si="483"/>
        <v>2276.9360269360272</v>
      </c>
      <c r="AD658">
        <f t="shared" si="502"/>
        <v>80.505050505050505</v>
      </c>
      <c r="AE658">
        <f t="shared" si="503"/>
        <v>181.47180134680136</v>
      </c>
      <c r="AF658" s="94">
        <f t="shared" si="504"/>
        <v>2541.5921717171714</v>
      </c>
      <c r="AG658">
        <f t="shared" si="517"/>
        <v>3.9757099075413478E-2</v>
      </c>
      <c r="AH658">
        <f t="shared" si="505"/>
        <v>12.175405510089092</v>
      </c>
      <c r="AI658">
        <f>HLOOKUP(AW658,'Real assumptions'!$A$21:$AK$24,2,TRUE)</f>
        <v>0</v>
      </c>
      <c r="AJ658" s="123">
        <f t="shared" si="484"/>
        <v>0</v>
      </c>
      <c r="AK658" s="122">
        <f>(1+HLOOKUP(YEAR(A658),'Real assumptions'!$A$21:$AK$24,2,TRUE)/100)^(1/12)-1</f>
        <v>0</v>
      </c>
      <c r="AL658">
        <f t="shared" si="518"/>
        <v>9.9483360784397706E-2</v>
      </c>
      <c r="AM658">
        <f>('Real assumptions'!$B$33/12)*O657*AV657</f>
        <v>9.6053764181379134E-2</v>
      </c>
      <c r="AN658">
        <f t="shared" si="506"/>
        <v>12.517314342737516</v>
      </c>
      <c r="AO658">
        <f t="shared" si="485"/>
        <v>0</v>
      </c>
      <c r="AP658" s="121">
        <f t="shared" si="507"/>
        <v>0</v>
      </c>
      <c r="AQ658">
        <f t="shared" si="508"/>
        <v>0</v>
      </c>
      <c r="AR658">
        <v>0</v>
      </c>
      <c r="AS658">
        <f t="shared" si="491"/>
        <v>0</v>
      </c>
      <c r="AT658">
        <f t="shared" si="509"/>
        <v>0</v>
      </c>
      <c r="AU658">
        <f>IFERROR(HLOOKUP(B658,'Real assumptions'!$B$43:$AL$44,2,TRUE)*($W$3/$U$2),0)</f>
        <v>0</v>
      </c>
      <c r="AV658">
        <f>AV657*(1+'Real assumptions'!$B$35)^(1/12)</f>
        <v>1.9517875791690189</v>
      </c>
      <c r="AW658">
        <f t="shared" si="492"/>
        <v>2072</v>
      </c>
      <c r="AX658">
        <f t="shared" si="519"/>
        <v>12.519297716634309</v>
      </c>
      <c r="AY658">
        <f t="shared" si="520"/>
        <v>2.0734090440541839E-2</v>
      </c>
      <c r="AZ658">
        <f t="shared" si="493"/>
        <v>22.427028115674315</v>
      </c>
      <c r="BA658">
        <f t="shared" si="510"/>
        <v>0.64132413622778905</v>
      </c>
      <c r="BB658">
        <f t="shared" si="511"/>
        <v>45.083333333333336</v>
      </c>
      <c r="BC658">
        <f t="shared" si="494"/>
        <v>27.05</v>
      </c>
      <c r="BD658">
        <f t="shared" si="512"/>
        <v>0</v>
      </c>
      <c r="BE658">
        <f t="shared" si="495"/>
        <v>24</v>
      </c>
      <c r="BF658">
        <f t="shared" si="521"/>
        <v>5000</v>
      </c>
      <c r="BU658"/>
      <c r="DW658" s="89"/>
      <c r="DX658" s="89"/>
      <c r="FD658"/>
      <c r="FE658"/>
    </row>
    <row r="659" spans="1:161" x14ac:dyDescent="0.25">
      <c r="A659" s="7">
        <f t="shared" si="513"/>
        <v>63158</v>
      </c>
      <c r="B659">
        <f t="shared" si="496"/>
        <v>648</v>
      </c>
      <c r="C659">
        <f t="shared" si="477"/>
        <v>53.916666666666664</v>
      </c>
      <c r="D659">
        <f t="shared" si="478"/>
        <v>0</v>
      </c>
      <c r="E659">
        <f t="shared" si="497"/>
        <v>105</v>
      </c>
      <c r="F659">
        <f>IF(C659&gt;=$T$2,0,VLOOKUP($E659,EKM_F05!$A$3:$C$128,2,TRUE))</f>
        <v>0.61609051282051275</v>
      </c>
      <c r="G659">
        <f>F659*'Real assumptions'!$B$3</f>
        <v>0.25709457099999999</v>
      </c>
      <c r="H659">
        <f t="shared" si="479"/>
        <v>2.446139365902833E-2</v>
      </c>
      <c r="I659">
        <f t="shared" si="480"/>
        <v>1.1699307940707256E-4</v>
      </c>
      <c r="J659">
        <f>IF(B659&gt;$AJ$2,0,HLOOKUP(C659,'Real assumptions'!$B$5:$L$8,4,TRUE))</f>
        <v>3.7900000000000003E-2</v>
      </c>
      <c r="K659">
        <f t="shared" si="486"/>
        <v>1</v>
      </c>
      <c r="L659">
        <f t="shared" si="514"/>
        <v>8.3333333333333329E-2</v>
      </c>
      <c r="M659">
        <f t="shared" si="481"/>
        <v>3.2145624959929453E-3</v>
      </c>
      <c r="N659">
        <f t="shared" si="482"/>
        <v>1.5210902040836735E-5</v>
      </c>
      <c r="O659" s="8">
        <f t="shared" si="498"/>
        <v>4.6582599039767317E-3</v>
      </c>
      <c r="P659">
        <f t="shared" si="499"/>
        <v>0.11497113325019137</v>
      </c>
      <c r="Q659">
        <f t="shared" si="515"/>
        <v>0.58496539703536277</v>
      </c>
      <c r="R659" s="89">
        <f t="shared" si="487"/>
        <v>5000</v>
      </c>
      <c r="S659">
        <f t="shared" si="488"/>
        <v>1</v>
      </c>
      <c r="U659">
        <f>O658*AV658*'Real assumptions'!$B$33/12+AX659*'Real assumptions'!$B$34</f>
        <v>9.6840591462707543E-2</v>
      </c>
      <c r="V659">
        <f>IF(P659=0,0,IF(E659&lt;=$C$7,$AN$5*O658,0))*'Real assumptions'!$D$28</f>
        <v>0</v>
      </c>
      <c r="X659" s="94">
        <f t="shared" si="500"/>
        <v>0</v>
      </c>
      <c r="Y659">
        <f t="shared" si="489"/>
        <v>24</v>
      </c>
      <c r="Z659">
        <f t="shared" si="516"/>
        <v>45</v>
      </c>
      <c r="AA659">
        <f t="shared" si="490"/>
        <v>45</v>
      </c>
      <c r="AB659">
        <f t="shared" si="501"/>
        <v>50.505050505050505</v>
      </c>
      <c r="AC659">
        <f t="shared" si="483"/>
        <v>2272.7272727272725</v>
      </c>
      <c r="AD659">
        <f t="shared" si="502"/>
        <v>80.505050505050505</v>
      </c>
      <c r="AE659">
        <f t="shared" si="503"/>
        <v>181.13636363636363</v>
      </c>
      <c r="AF659" s="94">
        <f t="shared" si="504"/>
        <v>2546.136363636364</v>
      </c>
      <c r="AG659">
        <f t="shared" si="517"/>
        <v>3.872903080988499E-2</v>
      </c>
      <c r="AH659">
        <f t="shared" si="505"/>
        <v>11.860564932784394</v>
      </c>
      <c r="AI659">
        <f>HLOOKUP(AW659,'Real assumptions'!$A$21:$AK$24,2,TRUE)</f>
        <v>0</v>
      </c>
      <c r="AJ659" s="123">
        <f t="shared" si="484"/>
        <v>0</v>
      </c>
      <c r="AK659" s="122">
        <f>(1+HLOOKUP(YEAR(A659),'Real assumptions'!$A$21:$AK$24,2,TRUE)/100)^(1/12)-1</f>
        <v>0</v>
      </c>
      <c r="AL659">
        <f t="shared" si="518"/>
        <v>9.6840591462707543E-2</v>
      </c>
      <c r="AM659">
        <f>('Real assumptions'!$B$33/12)*O658*AV658</f>
        <v>9.3499679100295718E-2</v>
      </c>
      <c r="AN659">
        <f t="shared" si="506"/>
        <v>12.193536051876576</v>
      </c>
      <c r="AO659">
        <f t="shared" si="485"/>
        <v>0</v>
      </c>
      <c r="AP659" s="121">
        <f t="shared" si="507"/>
        <v>0</v>
      </c>
      <c r="AQ659">
        <f t="shared" si="508"/>
        <v>0</v>
      </c>
      <c r="AR659">
        <v>0</v>
      </c>
      <c r="AS659">
        <f t="shared" si="491"/>
        <v>0</v>
      </c>
      <c r="AT659">
        <f t="shared" si="509"/>
        <v>0</v>
      </c>
      <c r="AU659">
        <f>IFERROR(HLOOKUP(B659,'Real assumptions'!$B$43:$AL$44,2,TRUE)*($W$3/$U$2),0)</f>
        <v>0</v>
      </c>
      <c r="AV659">
        <f>AV658*(1+'Real assumptions'!$B$35)^(1/12)</f>
        <v>1.953809135375681</v>
      </c>
      <c r="AW659">
        <f t="shared" si="492"/>
        <v>2072</v>
      </c>
      <c r="AX659">
        <f t="shared" si="519"/>
        <v>12.195567395128759</v>
      </c>
      <c r="AY659">
        <f t="shared" si="520"/>
        <v>2.0161885039665994E-2</v>
      </c>
      <c r="AZ659">
        <f t="shared" si="493"/>
        <v>21.821464229616549</v>
      </c>
      <c r="BA659">
        <f t="shared" si="510"/>
        <v>0.62369442784524776</v>
      </c>
      <c r="BB659">
        <f t="shared" si="511"/>
        <v>45</v>
      </c>
      <c r="BC659">
        <f t="shared" si="494"/>
        <v>27</v>
      </c>
      <c r="BD659">
        <f t="shared" si="512"/>
        <v>0</v>
      </c>
      <c r="BE659">
        <f t="shared" si="495"/>
        <v>24</v>
      </c>
      <c r="BF659">
        <f t="shared" si="521"/>
        <v>5000</v>
      </c>
      <c r="BU659"/>
      <c r="DW659" s="89"/>
      <c r="DX659" s="89"/>
      <c r="FD659"/>
      <c r="FE659"/>
    </row>
    <row r="660" spans="1:161" x14ac:dyDescent="0.25">
      <c r="A660" s="7">
        <f t="shared" si="513"/>
        <v>63189</v>
      </c>
      <c r="B660">
        <f t="shared" si="496"/>
        <v>649</v>
      </c>
      <c r="C660">
        <f t="shared" si="477"/>
        <v>54</v>
      </c>
      <c r="D660">
        <f t="shared" si="478"/>
        <v>1</v>
      </c>
      <c r="E660">
        <f t="shared" si="497"/>
        <v>106</v>
      </c>
      <c r="F660">
        <f>IF(C660&gt;=$T$2,0,VLOOKUP($E660,EKM_F05!$A$3:$C$128,2,TRUE))</f>
        <v>0.67046974358974365</v>
      </c>
      <c r="G660">
        <f>F660*'Real assumptions'!$B$3</f>
        <v>0.27978702400000005</v>
      </c>
      <c r="H660">
        <f t="shared" si="479"/>
        <v>2.6980049173076059E-2</v>
      </c>
      <c r="I660">
        <f t="shared" si="480"/>
        <v>1.2547807803238843E-4</v>
      </c>
      <c r="J660">
        <f>IF(B660&gt;$AJ$2,0,HLOOKUP(C660,'Real assumptions'!$B$5:$L$8,4,TRUE))</f>
        <v>3.7900000000000003E-2</v>
      </c>
      <c r="K660">
        <f t="shared" si="486"/>
        <v>1</v>
      </c>
      <c r="L660">
        <f t="shared" si="514"/>
        <v>8.3333333333333329E-2</v>
      </c>
      <c r="M660">
        <f t="shared" si="481"/>
        <v>3.2145624959929453E-3</v>
      </c>
      <c r="N660">
        <f t="shared" si="482"/>
        <v>1.4772264346038936E-5</v>
      </c>
      <c r="O660" s="8">
        <f t="shared" si="498"/>
        <v>4.5180095615983042E-3</v>
      </c>
      <c r="P660">
        <f t="shared" si="499"/>
        <v>0.11179823769544156</v>
      </c>
      <c r="Q660">
        <f t="shared" si="515"/>
        <v>0.6273903901619422</v>
      </c>
      <c r="R660" s="89">
        <f t="shared" si="487"/>
        <v>5000</v>
      </c>
      <c r="S660">
        <f t="shared" si="488"/>
        <v>0.9166666666666643</v>
      </c>
      <c r="U660">
        <f>O659*AV659*'Real assumptions'!$B$33/12+AX660*'Real assumptions'!$B$34</f>
        <v>9.4268018547765231E-2</v>
      </c>
      <c r="V660">
        <f>IF(P660=0,0,IF(E660&lt;=$C$7,$AN$5*O659,0))*'Real assumptions'!$D$28</f>
        <v>0</v>
      </c>
      <c r="X660" s="94">
        <f t="shared" si="500"/>
        <v>0</v>
      </c>
      <c r="Y660">
        <f t="shared" si="489"/>
        <v>24</v>
      </c>
      <c r="Z660">
        <f t="shared" si="516"/>
        <v>45</v>
      </c>
      <c r="AA660">
        <f t="shared" si="490"/>
        <v>44.916666666666664</v>
      </c>
      <c r="AB660">
        <f t="shared" si="501"/>
        <v>50.505050505050505</v>
      </c>
      <c r="AC660">
        <f t="shared" si="483"/>
        <v>2268.5185185185182</v>
      </c>
      <c r="AD660">
        <f t="shared" si="502"/>
        <v>80.505050505050505</v>
      </c>
      <c r="AE660">
        <f t="shared" si="503"/>
        <v>180.8009259259259</v>
      </c>
      <c r="AF660" s="94">
        <f t="shared" si="504"/>
        <v>2550.6805555555557</v>
      </c>
      <c r="AG660">
        <f t="shared" si="517"/>
        <v>3.7679327428968123E-2</v>
      </c>
      <c r="AH660">
        <f t="shared" si="505"/>
        <v>11.523999138582875</v>
      </c>
      <c r="AI660">
        <f>HLOOKUP(AW660,'Real assumptions'!$A$21:$AK$24,2,TRUE)</f>
        <v>0</v>
      </c>
      <c r="AJ660" s="123">
        <f t="shared" si="484"/>
        <v>0</v>
      </c>
      <c r="AK660" s="122">
        <f>(1+HLOOKUP(YEAR(A660),'Real assumptions'!$A$21:$AK$24,2,TRUE)/100)^(1/12)-1</f>
        <v>0</v>
      </c>
      <c r="AL660">
        <f t="shared" si="518"/>
        <v>9.4268018547765231E-2</v>
      </c>
      <c r="AM660">
        <f>('Real assumptions'!$B$33/12)*O659*AV659</f>
        <v>9.1013507553439815E-2</v>
      </c>
      <c r="AN660">
        <f t="shared" si="506"/>
        <v>11.878095151932071</v>
      </c>
      <c r="AO660">
        <f t="shared" si="485"/>
        <v>0</v>
      </c>
      <c r="AP660" s="121">
        <f t="shared" si="507"/>
        <v>0</v>
      </c>
      <c r="AQ660">
        <f t="shared" si="508"/>
        <v>0</v>
      </c>
      <c r="AR660">
        <v>0</v>
      </c>
      <c r="AS660">
        <f t="shared" si="491"/>
        <v>0</v>
      </c>
      <c r="AT660">
        <f t="shared" si="509"/>
        <v>0</v>
      </c>
      <c r="AU660">
        <f>IFERROR(HLOOKUP(B660,'Real assumptions'!$B$43:$AL$44,2,TRUE)*($W$3/$U$2),0)</f>
        <v>0</v>
      </c>
      <c r="AV660">
        <f>AV659*(1+'Real assumptions'!$B$35)^(1/12)</f>
        <v>1.9558327854011277</v>
      </c>
      <c r="AW660">
        <f t="shared" si="492"/>
        <v>2072</v>
      </c>
      <c r="AX660">
        <f t="shared" si="519"/>
        <v>11.880170403760728</v>
      </c>
      <c r="AY660">
        <f t="shared" si="520"/>
        <v>1.9605470976333046E-2</v>
      </c>
      <c r="AZ660">
        <f t="shared" si="493"/>
        <v>21.173924731173315</v>
      </c>
      <c r="BA660">
        <f t="shared" si="510"/>
        <v>0.66506971759091038</v>
      </c>
      <c r="BB660">
        <f t="shared" si="511"/>
        <v>44.916666666666664</v>
      </c>
      <c r="BC660">
        <f t="shared" si="494"/>
        <v>26.949999999999996</v>
      </c>
      <c r="BD660">
        <f t="shared" si="512"/>
        <v>0</v>
      </c>
      <c r="BE660">
        <f t="shared" si="495"/>
        <v>24</v>
      </c>
      <c r="BF660">
        <f t="shared" si="521"/>
        <v>5000</v>
      </c>
      <c r="BU660"/>
      <c r="DW660" s="89"/>
      <c r="DX660" s="89"/>
      <c r="FD660"/>
      <c r="FE660"/>
    </row>
    <row r="661" spans="1:161" x14ac:dyDescent="0.25">
      <c r="A661" s="7">
        <f t="shared" si="513"/>
        <v>63220</v>
      </c>
      <c r="B661">
        <f t="shared" si="496"/>
        <v>650</v>
      </c>
      <c r="C661">
        <f t="shared" si="477"/>
        <v>54.083333333333336</v>
      </c>
      <c r="D661">
        <f t="shared" si="478"/>
        <v>0</v>
      </c>
      <c r="E661">
        <f t="shared" si="497"/>
        <v>106</v>
      </c>
      <c r="F661">
        <f>IF(C661&gt;=$T$2,0,VLOOKUP($E661,EKM_F05!$A$3:$C$128,2,TRUE))</f>
        <v>0.67046974358974365</v>
      </c>
      <c r="G661">
        <f>F661*'Real assumptions'!$B$3</f>
        <v>0.27978702400000005</v>
      </c>
      <c r="H661">
        <f t="shared" si="479"/>
        <v>2.6980049173076059E-2</v>
      </c>
      <c r="I661">
        <f t="shared" si="480"/>
        <v>1.2170019878825138E-4</v>
      </c>
      <c r="J661">
        <f>IF(B661&gt;$AJ$2,0,HLOOKUP(C661,'Real assumptions'!$B$5:$L$8,4,TRUE))</f>
        <v>3.7900000000000003E-2</v>
      </c>
      <c r="K661">
        <f t="shared" si="486"/>
        <v>1</v>
      </c>
      <c r="L661">
        <f t="shared" si="514"/>
        <v>8.3333333333333329E-2</v>
      </c>
      <c r="M661">
        <f t="shared" si="481"/>
        <v>3.2145624959929453E-3</v>
      </c>
      <c r="N661">
        <f t="shared" si="482"/>
        <v>1.4327502745152756E-5</v>
      </c>
      <c r="O661" s="8">
        <f t="shared" si="498"/>
        <v>4.3819818600649004E-3</v>
      </c>
      <c r="P661">
        <f t="shared" si="499"/>
        <v>0.1084322294783593</v>
      </c>
      <c r="Q661">
        <f t="shared" si="515"/>
        <v>0.6085009939412569</v>
      </c>
      <c r="R661" s="89">
        <f t="shared" si="487"/>
        <v>5000</v>
      </c>
      <c r="S661">
        <f t="shared" si="488"/>
        <v>0.8333333333333357</v>
      </c>
      <c r="U661">
        <f>O660*AV660*'Real assumptions'!$B$33/12+AX661*'Real assumptions'!$B$34</f>
        <v>9.1526861091992248E-2</v>
      </c>
      <c r="V661">
        <f>IF(P661=0,0,IF(E661&lt;=$C$7,$AN$5*O660,0))*'Real assumptions'!$D$28</f>
        <v>0</v>
      </c>
      <c r="X661" s="94">
        <f t="shared" si="500"/>
        <v>0</v>
      </c>
      <c r="Y661">
        <f t="shared" si="489"/>
        <v>24</v>
      </c>
      <c r="Z661">
        <f t="shared" si="516"/>
        <v>44</v>
      </c>
      <c r="AA661">
        <f t="shared" si="490"/>
        <v>44.833333333333336</v>
      </c>
      <c r="AB661">
        <f t="shared" si="501"/>
        <v>50.505050505050505</v>
      </c>
      <c r="AC661">
        <f t="shared" si="483"/>
        <v>2264.3097643097644</v>
      </c>
      <c r="AD661">
        <f t="shared" si="502"/>
        <v>80.505050505050505</v>
      </c>
      <c r="AE661">
        <f t="shared" si="503"/>
        <v>180.46548821548822</v>
      </c>
      <c r="AF661" s="94">
        <f t="shared" si="504"/>
        <v>2555.2247474747473</v>
      </c>
      <c r="AG661">
        <f t="shared" si="517"/>
        <v>3.6609989583926701E-2</v>
      </c>
      <c r="AH661">
        <f t="shared" si="505"/>
        <v>11.196948491823258</v>
      </c>
      <c r="AI661">
        <f>HLOOKUP(AW661,'Real assumptions'!$A$21:$AK$24,2,TRUE)</f>
        <v>0</v>
      </c>
      <c r="AJ661" s="123">
        <f t="shared" si="484"/>
        <v>0</v>
      </c>
      <c r="AK661" s="122">
        <f>(1+HLOOKUP(YEAR(A661),'Real assumptions'!$A$21:$AK$24,2,TRUE)/100)^(1/12)-1</f>
        <v>0</v>
      </c>
      <c r="AL661">
        <f t="shared" si="518"/>
        <v>9.1526861091992248E-2</v>
      </c>
      <c r="AM661">
        <f>('Real assumptions'!$B$33/12)*O660*AV660</f>
        <v>8.8364712253297395E-2</v>
      </c>
      <c r="AN661">
        <f t="shared" si="506"/>
        <v>11.540904506969241</v>
      </c>
      <c r="AO661">
        <f t="shared" si="485"/>
        <v>0</v>
      </c>
      <c r="AP661" s="121">
        <f t="shared" si="507"/>
        <v>0</v>
      </c>
      <c r="AQ661">
        <f t="shared" si="508"/>
        <v>0</v>
      </c>
      <c r="AR661">
        <v>0</v>
      </c>
      <c r="AS661">
        <f t="shared" si="491"/>
        <v>0</v>
      </c>
      <c r="AT661">
        <f t="shared" si="509"/>
        <v>0</v>
      </c>
      <c r="AU661">
        <f>IFERROR(HLOOKUP(B661,'Real assumptions'!$B$43:$AL$44,2,TRUE)*($W$3/$U$2),0)</f>
        <v>0</v>
      </c>
      <c r="AV661">
        <f>AV660*(1+'Real assumptions'!$B$35)^(1/12)</f>
        <v>1.9578585314140233</v>
      </c>
      <c r="AW661">
        <f t="shared" si="492"/>
        <v>2073</v>
      </c>
      <c r="AX661">
        <f t="shared" si="519"/>
        <v>11.543014330340444</v>
      </c>
      <c r="AY661">
        <f t="shared" si="520"/>
        <v>1.901519175756862E-2</v>
      </c>
      <c r="AZ661">
        <f t="shared" si="493"/>
        <v>20.545719116034501</v>
      </c>
      <c r="BA661">
        <f t="shared" si="510"/>
        <v>0.64511098352518359</v>
      </c>
      <c r="BB661">
        <f t="shared" si="511"/>
        <v>44.833333333333336</v>
      </c>
      <c r="BC661">
        <f t="shared" si="494"/>
        <v>26.9</v>
      </c>
      <c r="BD661">
        <f t="shared" si="512"/>
        <v>0</v>
      </c>
      <c r="BE661">
        <f t="shared" si="495"/>
        <v>24</v>
      </c>
      <c r="BF661">
        <f t="shared" si="521"/>
        <v>5000</v>
      </c>
      <c r="BU661"/>
      <c r="DW661" s="89"/>
      <c r="DX661" s="89"/>
      <c r="FD661"/>
      <c r="FE661"/>
    </row>
    <row r="662" spans="1:161" x14ac:dyDescent="0.25">
      <c r="A662" s="7">
        <f t="shared" si="513"/>
        <v>63248</v>
      </c>
      <c r="B662">
        <f t="shared" si="496"/>
        <v>651</v>
      </c>
      <c r="C662">
        <f t="shared" si="477"/>
        <v>54.166666666666664</v>
      </c>
      <c r="D662">
        <f t="shared" si="478"/>
        <v>0</v>
      </c>
      <c r="E662">
        <f t="shared" si="497"/>
        <v>106</v>
      </c>
      <c r="F662">
        <f>IF(C662&gt;=$T$2,0,VLOOKUP($E662,EKM_F05!$A$3:$C$128,2,TRUE))</f>
        <v>0.67046974358974365</v>
      </c>
      <c r="G662">
        <f>F662*'Real assumptions'!$B$3</f>
        <v>0.27978702400000005</v>
      </c>
      <c r="H662">
        <f t="shared" si="479"/>
        <v>2.6980049173076059E-2</v>
      </c>
      <c r="I662">
        <f t="shared" si="480"/>
        <v>1.1803606348892993E-4</v>
      </c>
      <c r="J662">
        <f>IF(B662&gt;$AJ$2,0,HLOOKUP(C662,'Real assumptions'!$B$5:$L$8,4,TRUE))</f>
        <v>3.7900000000000003E-2</v>
      </c>
      <c r="K662">
        <f t="shared" si="486"/>
        <v>1</v>
      </c>
      <c r="L662">
        <f t="shared" si="514"/>
        <v>8.3333333333333329E-2</v>
      </c>
      <c r="M662">
        <f t="shared" si="481"/>
        <v>3.2145624959929453E-3</v>
      </c>
      <c r="N662">
        <f t="shared" si="482"/>
        <v>1.3896131974337654E-5</v>
      </c>
      <c r="O662" s="8">
        <f t="shared" si="498"/>
        <v>4.2500496646016329E-3</v>
      </c>
      <c r="P662">
        <f t="shared" si="499"/>
        <v>0.1051675646415576</v>
      </c>
      <c r="Q662">
        <f t="shared" si="515"/>
        <v>0.5901803174446496</v>
      </c>
      <c r="R662" s="89">
        <f t="shared" si="487"/>
        <v>5000</v>
      </c>
      <c r="S662">
        <f t="shared" si="488"/>
        <v>0.75</v>
      </c>
      <c r="U662">
        <f>O661*AV661*'Real assumptions'!$B$33/12+AX662*'Real assumptions'!$B$34</f>
        <v>8.8865403869156978E-2</v>
      </c>
      <c r="V662">
        <f>IF(P662=0,0,IF(E662&lt;=$C$7,$AN$5*O661,0))*'Real assumptions'!$D$28</f>
        <v>0</v>
      </c>
      <c r="X662" s="94">
        <f t="shared" si="500"/>
        <v>0</v>
      </c>
      <c r="Y662">
        <f t="shared" si="489"/>
        <v>24</v>
      </c>
      <c r="Z662">
        <f t="shared" si="516"/>
        <v>44</v>
      </c>
      <c r="AA662">
        <f t="shared" si="490"/>
        <v>44.75</v>
      </c>
      <c r="AB662">
        <f t="shared" si="501"/>
        <v>50.505050505050505</v>
      </c>
      <c r="AC662">
        <f t="shared" si="483"/>
        <v>2260.1010101010102</v>
      </c>
      <c r="AD662">
        <f t="shared" si="502"/>
        <v>80.505050505050505</v>
      </c>
      <c r="AE662">
        <f t="shared" si="503"/>
        <v>180.13005050505049</v>
      </c>
      <c r="AF662" s="94">
        <f t="shared" si="504"/>
        <v>2559.7689393939395</v>
      </c>
      <c r="AG662">
        <f t="shared" si="517"/>
        <v>3.5570887005628507E-2</v>
      </c>
      <c r="AH662">
        <f t="shared" si="505"/>
        <v>10.87914512232889</v>
      </c>
      <c r="AI662">
        <f>HLOOKUP(AW662,'Real assumptions'!$A$21:$AK$24,2,TRUE)</f>
        <v>0</v>
      </c>
      <c r="AJ662" s="123">
        <f t="shared" si="484"/>
        <v>0</v>
      </c>
      <c r="AK662" s="122">
        <f>(1+HLOOKUP(YEAR(A662),'Real assumptions'!$A$21:$AK$24,2,TRUE)/100)^(1/12)-1</f>
        <v>0</v>
      </c>
      <c r="AL662">
        <f t="shared" si="518"/>
        <v>8.8865403869156978E-2</v>
      </c>
      <c r="AM662">
        <f>('Real assumptions'!$B$33/12)*O661*AV661</f>
        <v>8.579300569229556E-2</v>
      </c>
      <c r="AN662">
        <f t="shared" si="506"/>
        <v>11.21325065259566</v>
      </c>
      <c r="AO662">
        <f t="shared" si="485"/>
        <v>0</v>
      </c>
      <c r="AP662" s="121">
        <f t="shared" si="507"/>
        <v>0</v>
      </c>
      <c r="AQ662">
        <f t="shared" si="508"/>
        <v>0</v>
      </c>
      <c r="AR662">
        <v>0</v>
      </c>
      <c r="AS662">
        <f t="shared" si="491"/>
        <v>0</v>
      </c>
      <c r="AT662">
        <f t="shared" si="509"/>
        <v>0</v>
      </c>
      <c r="AU662">
        <f>IFERROR(HLOOKUP(B662,'Real assumptions'!$B$43:$AL$44,2,TRUE)*($W$3/$U$2),0)</f>
        <v>0</v>
      </c>
      <c r="AV662">
        <f>AV661*(1+'Real assumptions'!$B$35)^(1/12)</f>
        <v>1.9598863755852787</v>
      </c>
      <c r="AW662">
        <f t="shared" si="492"/>
        <v>2073</v>
      </c>
      <c r="AX662">
        <f t="shared" si="519"/>
        <v>11.215391176419491</v>
      </c>
      <c r="AY662">
        <f t="shared" si="520"/>
        <v>1.8442684596232745E-2</v>
      </c>
      <c r="AZ662">
        <f t="shared" si="493"/>
        <v>19.936270072356624</v>
      </c>
      <c r="BA662">
        <f t="shared" si="510"/>
        <v>0.6257512044502781</v>
      </c>
      <c r="BB662">
        <f t="shared" si="511"/>
        <v>44.75</v>
      </c>
      <c r="BC662">
        <f t="shared" si="494"/>
        <v>26.85</v>
      </c>
      <c r="BD662">
        <f t="shared" si="512"/>
        <v>0</v>
      </c>
      <c r="BE662">
        <f t="shared" si="495"/>
        <v>24</v>
      </c>
      <c r="BF662">
        <f t="shared" si="521"/>
        <v>5000</v>
      </c>
      <c r="BU662"/>
      <c r="DW662" s="89"/>
      <c r="DX662" s="89"/>
      <c r="FD662"/>
      <c r="FE662"/>
    </row>
    <row r="663" spans="1:161" x14ac:dyDescent="0.25">
      <c r="A663" s="7">
        <f t="shared" si="513"/>
        <v>63279</v>
      </c>
      <c r="B663">
        <f t="shared" si="496"/>
        <v>652</v>
      </c>
      <c r="C663">
        <f t="shared" si="477"/>
        <v>54.25</v>
      </c>
      <c r="D663">
        <f t="shared" si="478"/>
        <v>0</v>
      </c>
      <c r="E663">
        <f t="shared" si="497"/>
        <v>106</v>
      </c>
      <c r="F663">
        <f>IF(C663&gt;=$T$2,0,VLOOKUP($E663,EKM_F05!$A$3:$C$128,2,TRUE))</f>
        <v>0.67046974358974365</v>
      </c>
      <c r="G663">
        <f>F663*'Real assumptions'!$B$3</f>
        <v>0.27978702400000005</v>
      </c>
      <c r="H663">
        <f t="shared" si="479"/>
        <v>2.6980049173076059E-2</v>
      </c>
      <c r="I663">
        <f t="shared" si="480"/>
        <v>1.144822475450854E-4</v>
      </c>
      <c r="J663">
        <f>IF(B663&gt;$AJ$2,0,HLOOKUP(C663,'Real assumptions'!$B$5:$L$8,4,TRUE))</f>
        <v>3.7900000000000003E-2</v>
      </c>
      <c r="K663">
        <f t="shared" si="486"/>
        <v>1</v>
      </c>
      <c r="L663">
        <f t="shared" si="514"/>
        <v>8.3333333333333329E-2</v>
      </c>
      <c r="M663">
        <f t="shared" si="481"/>
        <v>3.2145624959929453E-3</v>
      </c>
      <c r="N663">
        <f t="shared" si="482"/>
        <v>1.3477748864053733E-5</v>
      </c>
      <c r="O663" s="8">
        <f t="shared" si="498"/>
        <v>4.1220896681924942E-3</v>
      </c>
      <c r="P663">
        <f t="shared" si="499"/>
        <v>0.10200119195043919</v>
      </c>
      <c r="Q663">
        <f t="shared" si="515"/>
        <v>0.57241123772542701</v>
      </c>
      <c r="R663" s="89">
        <f t="shared" si="487"/>
        <v>5000</v>
      </c>
      <c r="S663">
        <f t="shared" si="488"/>
        <v>0.6666666666666643</v>
      </c>
      <c r="U663">
        <f>O662*AV662*'Real assumptions'!$B$33/12+AX663*'Real assumptions'!$B$34</f>
        <v>8.6281329812734314E-2</v>
      </c>
      <c r="V663">
        <f>IF(P663=0,0,IF(E663&lt;=$C$7,$AN$5*O662,0))*'Real assumptions'!$D$28</f>
        <v>0</v>
      </c>
      <c r="X663" s="94">
        <f t="shared" si="500"/>
        <v>0</v>
      </c>
      <c r="Y663">
        <f t="shared" si="489"/>
        <v>24</v>
      </c>
      <c r="Z663">
        <f t="shared" si="516"/>
        <v>44</v>
      </c>
      <c r="AA663">
        <f t="shared" si="490"/>
        <v>44.666666666666664</v>
      </c>
      <c r="AB663">
        <f t="shared" si="501"/>
        <v>50.505050505050505</v>
      </c>
      <c r="AC663">
        <f t="shared" si="483"/>
        <v>2255.8922558922559</v>
      </c>
      <c r="AD663">
        <f t="shared" si="502"/>
        <v>80.505050505050505</v>
      </c>
      <c r="AE663">
        <f t="shared" si="503"/>
        <v>179.79461279461279</v>
      </c>
      <c r="AF663" s="94">
        <f t="shared" si="504"/>
        <v>2564.3131313131312</v>
      </c>
      <c r="AG663">
        <f t="shared" si="517"/>
        <v>3.4561168392633623E-2</v>
      </c>
      <c r="AH663">
        <f t="shared" si="505"/>
        <v>10.5703286645962</v>
      </c>
      <c r="AI663">
        <f>HLOOKUP(AW663,'Real assumptions'!$A$21:$AK$24,2,TRUE)</f>
        <v>0</v>
      </c>
      <c r="AJ663" s="123">
        <f t="shared" si="484"/>
        <v>0</v>
      </c>
      <c r="AK663" s="122">
        <f>(1+HLOOKUP(YEAR(A663),'Real assumptions'!$A$21:$AK$24,2,TRUE)/100)^(1/12)-1</f>
        <v>0</v>
      </c>
      <c r="AL663">
        <f t="shared" si="518"/>
        <v>8.6281329812734314E-2</v>
      </c>
      <c r="AM663">
        <f>('Real assumptions'!$B$33/12)*O662*AV662</f>
        <v>8.3296144332135238E-2</v>
      </c>
      <c r="AN663">
        <f t="shared" si="506"/>
        <v>10.894864984466594</v>
      </c>
      <c r="AO663">
        <f t="shared" si="485"/>
        <v>0</v>
      </c>
      <c r="AP663" s="121">
        <f t="shared" si="507"/>
        <v>0</v>
      </c>
      <c r="AQ663">
        <f t="shared" si="508"/>
        <v>0</v>
      </c>
      <c r="AR663">
        <v>0</v>
      </c>
      <c r="AS663">
        <f t="shared" si="491"/>
        <v>0</v>
      </c>
      <c r="AT663">
        <f t="shared" si="509"/>
        <v>0</v>
      </c>
      <c r="AU663">
        <f>IFERROR(HLOOKUP(B663,'Real assumptions'!$B$43:$AL$44,2,TRUE)*($W$3/$U$2),0)</f>
        <v>0</v>
      </c>
      <c r="AV663">
        <f>AV662*(1+'Real assumptions'!$B$35)^(1/12)</f>
        <v>1.9619163200880527</v>
      </c>
      <c r="AW663">
        <f t="shared" si="492"/>
        <v>2073</v>
      </c>
      <c r="AX663">
        <f t="shared" si="519"/>
        <v>10.897032536742197</v>
      </c>
      <c r="AY663">
        <f t="shared" si="520"/>
        <v>1.7887414413306536E-2</v>
      </c>
      <c r="AZ663">
        <f t="shared" si="493"/>
        <v>19.345017528376268</v>
      </c>
      <c r="BA663">
        <f t="shared" si="510"/>
        <v>0.60697240611806058</v>
      </c>
      <c r="BB663">
        <f t="shared" si="511"/>
        <v>44.666666666666664</v>
      </c>
      <c r="BC663">
        <f t="shared" si="494"/>
        <v>26.799999999999997</v>
      </c>
      <c r="BD663">
        <f t="shared" si="512"/>
        <v>0</v>
      </c>
      <c r="BE663">
        <f t="shared" si="495"/>
        <v>24</v>
      </c>
      <c r="BF663">
        <f t="shared" si="521"/>
        <v>5000</v>
      </c>
      <c r="BU663"/>
      <c r="DW663" s="89"/>
      <c r="DX663" s="89"/>
      <c r="FD663"/>
      <c r="FE663"/>
    </row>
    <row r="664" spans="1:161" x14ac:dyDescent="0.25">
      <c r="A664" s="7">
        <f t="shared" si="513"/>
        <v>63309</v>
      </c>
      <c r="B664">
        <f t="shared" si="496"/>
        <v>653</v>
      </c>
      <c r="C664">
        <f t="shared" si="477"/>
        <v>54.333333333333336</v>
      </c>
      <c r="D664">
        <f t="shared" si="478"/>
        <v>0</v>
      </c>
      <c r="E664">
        <f t="shared" si="497"/>
        <v>106</v>
      </c>
      <c r="F664">
        <f>IF(C664&gt;=$T$2,0,VLOOKUP($E664,EKM_F05!$A$3:$C$128,2,TRUE))</f>
        <v>0.67046974358974365</v>
      </c>
      <c r="G664">
        <f>F664*'Real assumptions'!$B$3</f>
        <v>0.27978702400000005</v>
      </c>
      <c r="H664">
        <f t="shared" si="479"/>
        <v>2.6980049173076059E-2</v>
      </c>
      <c r="I664">
        <f t="shared" si="480"/>
        <v>1.1103542947451296E-4</v>
      </c>
      <c r="J664">
        <f>IF(B664&gt;$AJ$2,0,HLOOKUP(C664,'Real assumptions'!$B$5:$L$8,4,TRUE))</f>
        <v>3.7900000000000003E-2</v>
      </c>
      <c r="K664">
        <f t="shared" si="486"/>
        <v>1</v>
      </c>
      <c r="L664">
        <f t="shared" si="514"/>
        <v>8.3333333333333329E-2</v>
      </c>
      <c r="M664">
        <f t="shared" si="481"/>
        <v>3.2145624959929453E-3</v>
      </c>
      <c r="N664">
        <f t="shared" si="482"/>
        <v>1.3071962383342279E-5</v>
      </c>
      <c r="O664" s="8">
        <f t="shared" si="498"/>
        <v>3.9979822763346389E-3</v>
      </c>
      <c r="P664">
        <f t="shared" si="499"/>
        <v>9.8930152036619867E-2</v>
      </c>
      <c r="Q664">
        <f t="shared" si="515"/>
        <v>0.55517714737256474</v>
      </c>
      <c r="R664" s="89">
        <f t="shared" si="487"/>
        <v>5000</v>
      </c>
      <c r="S664">
        <f t="shared" si="488"/>
        <v>0.5833333333333357</v>
      </c>
      <c r="U664">
        <f>O663*AV663*'Real assumptions'!$B$33/12+AX664*'Real assumptions'!$B$34</f>
        <v>8.3772389210893181E-2</v>
      </c>
      <c r="V664">
        <f>IF(P664=0,0,IF(E664&lt;=$C$7,$AN$5*O663,0))*'Real assumptions'!$D$28</f>
        <v>0</v>
      </c>
      <c r="X664" s="94">
        <f t="shared" si="500"/>
        <v>0</v>
      </c>
      <c r="Y664">
        <f t="shared" si="489"/>
        <v>24</v>
      </c>
      <c r="Z664">
        <f t="shared" si="516"/>
        <v>44</v>
      </c>
      <c r="AA664">
        <f t="shared" si="490"/>
        <v>44.583333333333336</v>
      </c>
      <c r="AB664">
        <f t="shared" si="501"/>
        <v>50.505050505050505</v>
      </c>
      <c r="AC664">
        <f t="shared" si="483"/>
        <v>2251.6835016835016</v>
      </c>
      <c r="AD664">
        <f t="shared" si="502"/>
        <v>80.505050505050505</v>
      </c>
      <c r="AE664">
        <f t="shared" si="503"/>
        <v>179.45917508417509</v>
      </c>
      <c r="AF664" s="94">
        <f t="shared" si="504"/>
        <v>2568.8573232323233</v>
      </c>
      <c r="AG664">
        <f t="shared" si="517"/>
        <v>3.3580006297466269E-2</v>
      </c>
      <c r="AH664">
        <f t="shared" si="505"/>
        <v>10.270246048715272</v>
      </c>
      <c r="AI664">
        <f>HLOOKUP(AW664,'Real assumptions'!$A$21:$AK$24,2,TRUE)</f>
        <v>0</v>
      </c>
      <c r="AJ664" s="123">
        <f t="shared" si="484"/>
        <v>0</v>
      </c>
      <c r="AK664" s="122">
        <f>(1+HLOOKUP(YEAR(A664),'Real assumptions'!$A$21:$AK$24,2,TRUE)/100)^(1/12)-1</f>
        <v>0</v>
      </c>
      <c r="AL664">
        <f t="shared" si="518"/>
        <v>8.3772389210893181E-2</v>
      </c>
      <c r="AM664">
        <f>('Real assumptions'!$B$33/12)*O663*AV663</f>
        <v>8.0871949928931999E-2</v>
      </c>
      <c r="AN664">
        <f t="shared" si="506"/>
        <v>10.585486427421927</v>
      </c>
      <c r="AO664">
        <f t="shared" si="485"/>
        <v>0</v>
      </c>
      <c r="AP664" s="121">
        <f t="shared" si="507"/>
        <v>0</v>
      </c>
      <c r="AQ664">
        <f t="shared" si="508"/>
        <v>0</v>
      </c>
      <c r="AR664">
        <v>0</v>
      </c>
      <c r="AS664">
        <f t="shared" si="491"/>
        <v>0</v>
      </c>
      <c r="AT664">
        <f t="shared" si="509"/>
        <v>0</v>
      </c>
      <c r="AU664">
        <f>IFERROR(HLOOKUP(B664,'Real assumptions'!$B$43:$AL$44,2,TRUE)*($W$3/$U$2),0)</f>
        <v>0</v>
      </c>
      <c r="AV664">
        <f>AV663*(1+'Real assumptions'!$B$35)^(1/12)</f>
        <v>1.9639483670977556</v>
      </c>
      <c r="AW664">
        <f t="shared" si="492"/>
        <v>2073</v>
      </c>
      <c r="AX664">
        <f t="shared" si="519"/>
        <v>10.587677526836067</v>
      </c>
      <c r="AY664">
        <f t="shared" si="520"/>
        <v>1.73488622398674E-2</v>
      </c>
      <c r="AZ664">
        <f t="shared" si="493"/>
        <v>18.771418137531963</v>
      </c>
      <c r="BA664">
        <f t="shared" si="510"/>
        <v>0.58875715367003101</v>
      </c>
      <c r="BB664">
        <f t="shared" si="511"/>
        <v>44.583333333333336</v>
      </c>
      <c r="BC664">
        <f t="shared" si="494"/>
        <v>26.75</v>
      </c>
      <c r="BD664">
        <f t="shared" si="512"/>
        <v>0</v>
      </c>
      <c r="BE664">
        <f t="shared" si="495"/>
        <v>24</v>
      </c>
      <c r="BF664">
        <f t="shared" si="521"/>
        <v>5000</v>
      </c>
      <c r="BU664"/>
      <c r="DW664" s="89"/>
      <c r="DX664" s="89"/>
      <c r="FD664"/>
      <c r="FE664"/>
    </row>
    <row r="665" spans="1:161" x14ac:dyDescent="0.25">
      <c r="A665" s="7">
        <f t="shared" si="513"/>
        <v>63340</v>
      </c>
      <c r="B665">
        <f t="shared" si="496"/>
        <v>654</v>
      </c>
      <c r="C665">
        <f t="shared" si="477"/>
        <v>54.416666666666664</v>
      </c>
      <c r="D665">
        <f t="shared" si="478"/>
        <v>0</v>
      </c>
      <c r="E665">
        <f t="shared" si="497"/>
        <v>106</v>
      </c>
      <c r="F665">
        <f>IF(C665&gt;=$T$2,0,VLOOKUP($E665,EKM_F05!$A$3:$C$128,2,TRUE))</f>
        <v>0.67046974358974365</v>
      </c>
      <c r="G665">
        <f>F665*'Real assumptions'!$B$3</f>
        <v>0.27978702400000005</v>
      </c>
      <c r="H665">
        <f t="shared" si="479"/>
        <v>2.6980049173076059E-2</v>
      </c>
      <c r="I665">
        <f t="shared" si="480"/>
        <v>1.0769238779780407E-4</v>
      </c>
      <c r="J665">
        <f>IF(B665&gt;$AJ$2,0,HLOOKUP(C665,'Real assumptions'!$B$5:$L$8,4,TRUE))</f>
        <v>3.7900000000000003E-2</v>
      </c>
      <c r="K665">
        <f t="shared" si="486"/>
        <v>1</v>
      </c>
      <c r="L665">
        <f t="shared" si="514"/>
        <v>8.3333333333333329E-2</v>
      </c>
      <c r="M665">
        <f t="shared" si="481"/>
        <v>3.2145624959929453E-3</v>
      </c>
      <c r="N665">
        <f t="shared" si="482"/>
        <v>1.2678393274358782E-5</v>
      </c>
      <c r="O665" s="8">
        <f t="shared" si="498"/>
        <v>3.877611495262476E-3</v>
      </c>
      <c r="P665">
        <f t="shared" si="499"/>
        <v>9.5951574632031328E-2</v>
      </c>
      <c r="Q665">
        <f t="shared" si="515"/>
        <v>0.53846193898902028</v>
      </c>
      <c r="R665" s="89">
        <f t="shared" si="487"/>
        <v>5000</v>
      </c>
      <c r="S665">
        <f t="shared" si="488"/>
        <v>0.5</v>
      </c>
      <c r="U665">
        <f>O664*AV664*'Real assumptions'!$B$33/12+AX665*'Real assumptions'!$B$34</f>
        <v>8.1336397748803385E-2</v>
      </c>
      <c r="V665">
        <f>IF(P665=0,0,IF(E665&lt;=$C$7,$AN$5*O664,0))*'Real assumptions'!$D$28</f>
        <v>0</v>
      </c>
      <c r="X665" s="94">
        <f t="shared" si="500"/>
        <v>0</v>
      </c>
      <c r="Y665">
        <f t="shared" si="489"/>
        <v>24</v>
      </c>
      <c r="Z665">
        <f t="shared" si="516"/>
        <v>44</v>
      </c>
      <c r="AA665">
        <f t="shared" si="490"/>
        <v>44.5</v>
      </c>
      <c r="AB665">
        <f t="shared" si="501"/>
        <v>50.505050505050505</v>
      </c>
      <c r="AC665">
        <f t="shared" si="483"/>
        <v>2247.4747474747473</v>
      </c>
      <c r="AD665">
        <f t="shared" si="502"/>
        <v>80.505050505050505</v>
      </c>
      <c r="AE665">
        <f t="shared" si="503"/>
        <v>179.12373737373736</v>
      </c>
      <c r="AF665" s="94">
        <f t="shared" si="504"/>
        <v>2573.4015151515155</v>
      </c>
      <c r="AG665">
        <f t="shared" si="517"/>
        <v>3.2626596461921675E-2</v>
      </c>
      <c r="AH665">
        <f t="shared" si="505"/>
        <v>9.9786512970773895</v>
      </c>
      <c r="AI665">
        <f>HLOOKUP(AW665,'Real assumptions'!$A$21:$AK$24,2,TRUE)</f>
        <v>0</v>
      </c>
      <c r="AJ665" s="123">
        <f t="shared" si="484"/>
        <v>0</v>
      </c>
      <c r="AK665" s="122">
        <f>(1+HLOOKUP(YEAR(A665),'Real assumptions'!$A$21:$AK$24,2,TRUE)/100)^(1/12)-1</f>
        <v>0</v>
      </c>
      <c r="AL665">
        <f t="shared" si="518"/>
        <v>8.1336397748803385E-2</v>
      </c>
      <c r="AM665">
        <f>('Real assumptions'!$B$33/12)*O664*AV664</f>
        <v>7.8518307632931827E-2</v>
      </c>
      <c r="AN665">
        <f t="shared" si="506"/>
        <v>10.284861225598501</v>
      </c>
      <c r="AO665">
        <f t="shared" si="485"/>
        <v>0</v>
      </c>
      <c r="AP665" s="121">
        <f t="shared" si="507"/>
        <v>0</v>
      </c>
      <c r="AQ665">
        <f t="shared" si="508"/>
        <v>0</v>
      </c>
      <c r="AR665">
        <v>0</v>
      </c>
      <c r="AS665">
        <f t="shared" si="491"/>
        <v>0</v>
      </c>
      <c r="AT665">
        <f t="shared" si="509"/>
        <v>0</v>
      </c>
      <c r="AU665">
        <f>IFERROR(HLOOKUP(B665,'Real assumptions'!$B$43:$AL$44,2,TRUE)*($W$3/$U$2),0)</f>
        <v>0</v>
      </c>
      <c r="AV665">
        <f>AV664*(1+'Real assumptions'!$B$35)^(1/12)</f>
        <v>1.9659825187920503</v>
      </c>
      <c r="AW665">
        <f t="shared" si="492"/>
        <v>2073</v>
      </c>
      <c r="AX665">
        <f t="shared" si="519"/>
        <v>10.28707257344732</v>
      </c>
      <c r="AY665">
        <f t="shared" si="520"/>
        <v>1.6826524732048143E-2</v>
      </c>
      <c r="AZ665">
        <f t="shared" si="493"/>
        <v>18.214944778964249</v>
      </c>
      <c r="BA665">
        <f t="shared" si="510"/>
        <v>0.57108853545094196</v>
      </c>
      <c r="BB665">
        <f t="shared" si="511"/>
        <v>44.5</v>
      </c>
      <c r="BC665">
        <f t="shared" si="494"/>
        <v>26.7</v>
      </c>
      <c r="BD665">
        <f t="shared" si="512"/>
        <v>0</v>
      </c>
      <c r="BE665">
        <f t="shared" si="495"/>
        <v>24</v>
      </c>
      <c r="BF665">
        <f t="shared" si="521"/>
        <v>5000</v>
      </c>
      <c r="BU665"/>
      <c r="DW665" s="89"/>
      <c r="DX665" s="89"/>
      <c r="FD665"/>
      <c r="FE665"/>
    </row>
    <row r="666" spans="1:161" x14ac:dyDescent="0.25">
      <c r="A666" s="7">
        <f t="shared" si="513"/>
        <v>63370</v>
      </c>
      <c r="B666">
        <f t="shared" si="496"/>
        <v>655</v>
      </c>
      <c r="C666">
        <f t="shared" si="477"/>
        <v>54.5</v>
      </c>
      <c r="D666">
        <f t="shared" si="478"/>
        <v>0</v>
      </c>
      <c r="E666">
        <f t="shared" si="497"/>
        <v>106</v>
      </c>
      <c r="F666">
        <f>IF(C666&gt;=$T$2,0,VLOOKUP($E666,EKM_F05!$A$3:$C$128,2,TRUE))</f>
        <v>0.67046974358974365</v>
      </c>
      <c r="G666">
        <f>F666*'Real assumptions'!$B$3</f>
        <v>0.27978702400000005</v>
      </c>
      <c r="H666">
        <f t="shared" si="479"/>
        <v>2.6980049173076059E-2</v>
      </c>
      <c r="I666">
        <f t="shared" si="480"/>
        <v>1.0444999802747409E-4</v>
      </c>
      <c r="J666">
        <f>IF(B666&gt;$AJ$2,0,HLOOKUP(C666,'Real assumptions'!$B$5:$L$8,4,TRUE))</f>
        <v>3.7900000000000003E-2</v>
      </c>
      <c r="K666">
        <f t="shared" si="486"/>
        <v>1</v>
      </c>
      <c r="L666">
        <f t="shared" si="514"/>
        <v>8.3333333333333329E-2</v>
      </c>
      <c r="M666">
        <f t="shared" si="481"/>
        <v>3.2145624959929453E-3</v>
      </c>
      <c r="N666">
        <f t="shared" si="482"/>
        <v>1.2296673697909392E-5</v>
      </c>
      <c r="O666" s="8">
        <f t="shared" si="498"/>
        <v>3.7608648235370927E-3</v>
      </c>
      <c r="P666">
        <f t="shared" si="499"/>
        <v>9.306267588629942E-2</v>
      </c>
      <c r="Q666">
        <f t="shared" si="515"/>
        <v>0.52224999013737039</v>
      </c>
      <c r="R666" s="89">
        <f t="shared" si="487"/>
        <v>5000</v>
      </c>
      <c r="S666">
        <f t="shared" si="488"/>
        <v>0.4166666666666643</v>
      </c>
      <c r="U666">
        <f>O665*AV665*'Real assumptions'!$B$33/12+AX666*'Real assumptions'!$B$34</f>
        <v>7.8971234607835936E-2</v>
      </c>
      <c r="V666">
        <f>IF(P666=0,0,IF(E666&lt;=$C$7,$AN$5*O665,0))*'Real assumptions'!$D$28</f>
        <v>0</v>
      </c>
      <c r="X666" s="94">
        <f t="shared" si="500"/>
        <v>0</v>
      </c>
      <c r="Y666">
        <f t="shared" si="489"/>
        <v>24</v>
      </c>
      <c r="Z666">
        <f t="shared" si="516"/>
        <v>44</v>
      </c>
      <c r="AA666">
        <f t="shared" si="490"/>
        <v>44.416666666666664</v>
      </c>
      <c r="AB666">
        <f t="shared" si="501"/>
        <v>50.505050505050505</v>
      </c>
      <c r="AC666">
        <f t="shared" si="483"/>
        <v>2243.2659932659931</v>
      </c>
      <c r="AD666">
        <f t="shared" si="502"/>
        <v>80.505050505050505</v>
      </c>
      <c r="AE666">
        <f t="shared" si="503"/>
        <v>178.78829966329965</v>
      </c>
      <c r="AF666" s="94">
        <f t="shared" si="504"/>
        <v>2577.9457070707072</v>
      </c>
      <c r="AG666">
        <f t="shared" si="517"/>
        <v>3.1700157170774797E-2</v>
      </c>
      <c r="AH666">
        <f t="shared" si="505"/>
        <v>9.695305326710681</v>
      </c>
      <c r="AI666">
        <f>HLOOKUP(AW666,'Real assumptions'!$A$21:$AK$24,2,TRUE)</f>
        <v>0</v>
      </c>
      <c r="AJ666" s="123">
        <f t="shared" si="484"/>
        <v>0</v>
      </c>
      <c r="AK666" s="122">
        <f>(1+HLOOKUP(YEAR(A666),'Real assumptions'!$A$21:$AK$24,2,TRUE)/100)^(1/12)-1</f>
        <v>0</v>
      </c>
      <c r="AL666">
        <f t="shared" si="518"/>
        <v>7.8971234607835936E-2</v>
      </c>
      <c r="AM666">
        <f>('Real assumptions'!$B$33/12)*O665*AV665</f>
        <v>7.6233164143531304E-2</v>
      </c>
      <c r="AN666">
        <f t="shared" si="506"/>
        <v>9.9927427383558527</v>
      </c>
      <c r="AO666">
        <f t="shared" si="485"/>
        <v>0</v>
      </c>
      <c r="AP666" s="121">
        <f t="shared" si="507"/>
        <v>0</v>
      </c>
      <c r="AQ666">
        <f t="shared" si="508"/>
        <v>0</v>
      </c>
      <c r="AR666">
        <v>0</v>
      </c>
      <c r="AS666">
        <f t="shared" si="491"/>
        <v>0</v>
      </c>
      <c r="AT666">
        <f t="shared" si="509"/>
        <v>0</v>
      </c>
      <c r="AU666">
        <f>IFERROR(HLOOKUP(B666,'Real assumptions'!$B$43:$AL$44,2,TRUE)*($W$3/$U$2),0)</f>
        <v>0</v>
      </c>
      <c r="AV666">
        <f>AV665*(1+'Real assumptions'!$B$35)^(1/12)</f>
        <v>1.9680187773508557</v>
      </c>
      <c r="AW666">
        <f t="shared" si="492"/>
        <v>2073</v>
      </c>
      <c r="AX666">
        <f t="shared" si="519"/>
        <v>9.9949712107779884</v>
      </c>
      <c r="AY666">
        <f t="shared" si="520"/>
        <v>1.6319913700599646E-2</v>
      </c>
      <c r="AZ666">
        <f t="shared" si="493"/>
        <v>17.675086072934565</v>
      </c>
      <c r="BA666">
        <f t="shared" si="510"/>
        <v>0.55395014730814518</v>
      </c>
      <c r="BB666">
        <f t="shared" si="511"/>
        <v>44.416666666666664</v>
      </c>
      <c r="BC666">
        <f t="shared" si="494"/>
        <v>26.65</v>
      </c>
      <c r="BD666">
        <f t="shared" si="512"/>
        <v>0</v>
      </c>
      <c r="BE666">
        <f t="shared" si="495"/>
        <v>24</v>
      </c>
      <c r="BF666">
        <f t="shared" si="521"/>
        <v>5000</v>
      </c>
      <c r="BU666"/>
      <c r="DW666" s="89"/>
      <c r="DX666" s="89"/>
      <c r="FD666"/>
      <c r="FE666"/>
    </row>
    <row r="667" spans="1:161" x14ac:dyDescent="0.25">
      <c r="A667" s="7">
        <f t="shared" si="513"/>
        <v>63401</v>
      </c>
      <c r="B667">
        <f t="shared" si="496"/>
        <v>656</v>
      </c>
      <c r="C667">
        <f t="shared" si="477"/>
        <v>54.583333333333336</v>
      </c>
      <c r="D667">
        <f t="shared" si="478"/>
        <v>0</v>
      </c>
      <c r="E667">
        <f t="shared" si="497"/>
        <v>106</v>
      </c>
      <c r="F667">
        <f>IF(C667&gt;=$T$2,0,VLOOKUP($E667,EKM_F05!$A$3:$C$128,2,TRUE))</f>
        <v>0.67046974358974365</v>
      </c>
      <c r="G667">
        <f>F667*'Real assumptions'!$B$3</f>
        <v>0.27978702400000005</v>
      </c>
      <c r="H667">
        <f t="shared" si="479"/>
        <v>2.6980049173076059E-2</v>
      </c>
      <c r="I667">
        <f t="shared" si="480"/>
        <v>1.0130522974774086E-4</v>
      </c>
      <c r="J667">
        <f>IF(B667&gt;$AJ$2,0,HLOOKUP(C667,'Real assumptions'!$B$5:$L$8,4,TRUE))</f>
        <v>3.7900000000000003E-2</v>
      </c>
      <c r="K667">
        <f t="shared" si="486"/>
        <v>1</v>
      </c>
      <c r="L667">
        <f t="shared" si="514"/>
        <v>8.3333333333333329E-2</v>
      </c>
      <c r="M667">
        <f t="shared" si="481"/>
        <v>3.2145624959929453E-3</v>
      </c>
      <c r="N667">
        <f t="shared" si="482"/>
        <v>1.1926446889659534E-5</v>
      </c>
      <c r="O667" s="8">
        <f t="shared" si="498"/>
        <v>3.6476331468996924E-3</v>
      </c>
      <c r="P667">
        <f t="shared" si="499"/>
        <v>9.0260755764890233E-2</v>
      </c>
      <c r="Q667">
        <f t="shared" si="515"/>
        <v>0.50652614873870427</v>
      </c>
      <c r="R667" s="89">
        <f t="shared" si="487"/>
        <v>5000</v>
      </c>
      <c r="S667">
        <f t="shared" si="488"/>
        <v>0.3333333333333357</v>
      </c>
      <c r="U667">
        <f>O666*AV666*'Real assumptions'!$B$33/12+AX667*'Real assumptions'!$B$34</f>
        <v>7.6674840620004403E-2</v>
      </c>
      <c r="V667">
        <f>IF(P667=0,0,IF(E667&lt;=$C$7,$AN$5*O666,0))*'Real assumptions'!$D$28</f>
        <v>0</v>
      </c>
      <c r="X667" s="94">
        <f t="shared" si="500"/>
        <v>0</v>
      </c>
      <c r="Y667">
        <f t="shared" si="489"/>
        <v>24</v>
      </c>
      <c r="Z667">
        <f t="shared" si="516"/>
        <v>44</v>
      </c>
      <c r="AA667">
        <f t="shared" si="490"/>
        <v>44.333333333333336</v>
      </c>
      <c r="AB667">
        <f t="shared" si="501"/>
        <v>50.505050505050505</v>
      </c>
      <c r="AC667">
        <f t="shared" si="483"/>
        <v>2239.0572390572393</v>
      </c>
      <c r="AD667">
        <f t="shared" si="502"/>
        <v>80.505050505050505</v>
      </c>
      <c r="AE667">
        <f t="shared" si="503"/>
        <v>178.45286195286195</v>
      </c>
      <c r="AF667" s="94">
        <f t="shared" si="504"/>
        <v>2582.4898989898988</v>
      </c>
      <c r="AG667">
        <f t="shared" si="517"/>
        <v>3.0799928623385243E-2</v>
      </c>
      <c r="AH667">
        <f t="shared" si="505"/>
        <v>9.419975757089194</v>
      </c>
      <c r="AI667">
        <f>HLOOKUP(AW667,'Real assumptions'!$A$21:$AK$24,2,TRUE)</f>
        <v>0</v>
      </c>
      <c r="AJ667" s="123">
        <f t="shared" si="484"/>
        <v>0</v>
      </c>
      <c r="AK667" s="122">
        <f>(1+HLOOKUP(YEAR(A667),'Real assumptions'!$A$21:$AK$24,2,TRUE)/100)^(1/12)-1</f>
        <v>0</v>
      </c>
      <c r="AL667">
        <f t="shared" si="518"/>
        <v>7.6674840620004403E-2</v>
      </c>
      <c r="AM667">
        <f>('Real assumptions'!$B$33/12)*O666*AV666</f>
        <v>7.401452591799311E-2</v>
      </c>
      <c r="AN667">
        <f t="shared" si="506"/>
        <v>9.7088912418555662</v>
      </c>
      <c r="AO667">
        <f t="shared" si="485"/>
        <v>0</v>
      </c>
      <c r="AP667" s="121">
        <f t="shared" si="507"/>
        <v>0</v>
      </c>
      <c r="AQ667">
        <f t="shared" si="508"/>
        <v>0</v>
      </c>
      <c r="AR667">
        <v>0</v>
      </c>
      <c r="AS667">
        <f t="shared" si="491"/>
        <v>0</v>
      </c>
      <c r="AT667">
        <f t="shared" si="509"/>
        <v>0</v>
      </c>
      <c r="AU667">
        <f>IFERROR(HLOOKUP(B667,'Real assumptions'!$B$43:$AL$44,2,TRUE)*($W$3/$U$2),0)</f>
        <v>0</v>
      </c>
      <c r="AV667">
        <f>AV666*(1+'Real assumptions'!$B$35)^(1/12)</f>
        <v>1.9700571449563484</v>
      </c>
      <c r="AW667">
        <f t="shared" si="492"/>
        <v>2073</v>
      </c>
      <c r="AX667">
        <f t="shared" si="519"/>
        <v>9.7111338823652993</v>
      </c>
      <c r="AY667">
        <f t="shared" si="520"/>
        <v>1.5828555654617393E-2</v>
      </c>
      <c r="AZ667">
        <f t="shared" si="493"/>
        <v>17.151345910717364</v>
      </c>
      <c r="BA667">
        <f t="shared" si="510"/>
        <v>0.53732607736208948</v>
      </c>
      <c r="BB667">
        <f t="shared" si="511"/>
        <v>44.333333333333336</v>
      </c>
      <c r="BC667">
        <f t="shared" si="494"/>
        <v>26.6</v>
      </c>
      <c r="BD667">
        <f t="shared" si="512"/>
        <v>0</v>
      </c>
      <c r="BE667">
        <f t="shared" si="495"/>
        <v>24</v>
      </c>
      <c r="BF667">
        <f t="shared" si="521"/>
        <v>5000</v>
      </c>
      <c r="BU667"/>
      <c r="DW667" s="89"/>
      <c r="DX667" s="89"/>
      <c r="FD667"/>
      <c r="FE667"/>
    </row>
    <row r="668" spans="1:161" x14ac:dyDescent="0.25">
      <c r="A668" s="7">
        <f t="shared" si="513"/>
        <v>63432</v>
      </c>
      <c r="B668">
        <f t="shared" si="496"/>
        <v>657</v>
      </c>
      <c r="C668">
        <f t="shared" si="477"/>
        <v>54.666666666666664</v>
      </c>
      <c r="D668">
        <f t="shared" si="478"/>
        <v>0</v>
      </c>
      <c r="E668">
        <f t="shared" si="497"/>
        <v>106</v>
      </c>
      <c r="F668">
        <f>IF(C668&gt;=$T$2,0,VLOOKUP($E668,EKM_F05!$A$3:$C$128,2,TRUE))</f>
        <v>0.67046974358974365</v>
      </c>
      <c r="G668">
        <f>F668*'Real assumptions'!$B$3</f>
        <v>0.27978702400000005</v>
      </c>
      <c r="H668">
        <f t="shared" si="479"/>
        <v>2.6980049173076059E-2</v>
      </c>
      <c r="I668">
        <f t="shared" si="480"/>
        <v>9.825514378222472E-5</v>
      </c>
      <c r="J668">
        <f>IF(B668&gt;$AJ$2,0,HLOOKUP(C668,'Real assumptions'!$B$5:$L$8,4,TRUE))</f>
        <v>3.7900000000000003E-2</v>
      </c>
      <c r="K668">
        <f t="shared" si="486"/>
        <v>1</v>
      </c>
      <c r="L668">
        <f t="shared" si="514"/>
        <v>8.3333333333333329E-2</v>
      </c>
      <c r="M668">
        <f t="shared" si="481"/>
        <v>3.2145624959929453E-3</v>
      </c>
      <c r="N668">
        <f t="shared" si="482"/>
        <v>1.1567366826693337E-5</v>
      </c>
      <c r="O668" s="8">
        <f t="shared" si="498"/>
        <v>3.5378106362907746E-3</v>
      </c>
      <c r="P668">
        <f t="shared" si="499"/>
        <v>8.7543195525592615E-2</v>
      </c>
      <c r="Q668">
        <f t="shared" si="515"/>
        <v>0.49127571891112359</v>
      </c>
      <c r="R668" s="89">
        <f t="shared" si="487"/>
        <v>5000</v>
      </c>
      <c r="S668">
        <f t="shared" si="488"/>
        <v>0.25</v>
      </c>
      <c r="U668">
        <f>O667*AV667*'Real assumptions'!$B$33/12+AX668*'Real assumptions'!$B$34</f>
        <v>7.4445216476041534E-2</v>
      </c>
      <c r="V668">
        <f>IF(P668=0,0,IF(E668&lt;=$C$7,$AN$5*O667,0))*'Real assumptions'!$D$28</f>
        <v>0</v>
      </c>
      <c r="X668" s="94">
        <f t="shared" si="500"/>
        <v>0</v>
      </c>
      <c r="Y668">
        <f t="shared" si="489"/>
        <v>24</v>
      </c>
      <c r="Z668">
        <f t="shared" si="516"/>
        <v>44</v>
      </c>
      <c r="AA668">
        <f t="shared" si="490"/>
        <v>44.25</v>
      </c>
      <c r="AB668">
        <f t="shared" si="501"/>
        <v>50.505050505050505</v>
      </c>
      <c r="AC668">
        <f t="shared" si="483"/>
        <v>2234.848484848485</v>
      </c>
      <c r="AD668">
        <f t="shared" si="502"/>
        <v>80.505050505050505</v>
      </c>
      <c r="AE668">
        <f t="shared" si="503"/>
        <v>178.11742424242422</v>
      </c>
      <c r="AF668" s="94">
        <f t="shared" si="504"/>
        <v>2587.034090909091</v>
      </c>
      <c r="AG668">
        <f t="shared" si="517"/>
        <v>2.9925172322706573E-2</v>
      </c>
      <c r="AH668">
        <f t="shared" si="505"/>
        <v>9.1524367232650174</v>
      </c>
      <c r="AI668">
        <f>HLOOKUP(AW668,'Real assumptions'!$A$21:$AK$24,2,TRUE)</f>
        <v>0</v>
      </c>
      <c r="AJ668" s="123">
        <f t="shared" si="484"/>
        <v>0</v>
      </c>
      <c r="AK668" s="122">
        <f>(1+HLOOKUP(YEAR(A668),'Real assumptions'!$A$21:$AK$24,2,TRUE)/100)^(1/12)-1</f>
        <v>0</v>
      </c>
      <c r="AL668">
        <f t="shared" si="518"/>
        <v>7.4445216476041534E-2</v>
      </c>
      <c r="AM668">
        <f>('Real assumptions'!$B$33/12)*O667*AV667</f>
        <v>7.1860457432293495E-2</v>
      </c>
      <c r="AN668">
        <f t="shared" si="506"/>
        <v>9.4330737361387449</v>
      </c>
      <c r="AO668">
        <f t="shared" si="485"/>
        <v>0</v>
      </c>
      <c r="AP668" s="121">
        <f t="shared" si="507"/>
        <v>0</v>
      </c>
      <c r="AQ668">
        <f t="shared" si="508"/>
        <v>0</v>
      </c>
      <c r="AR668">
        <v>0</v>
      </c>
      <c r="AS668">
        <f t="shared" si="491"/>
        <v>0</v>
      </c>
      <c r="AT668">
        <f t="shared" si="509"/>
        <v>0</v>
      </c>
      <c r="AU668">
        <f>IFERROR(HLOOKUP(B668,'Real assumptions'!$B$43:$AL$44,2,TRUE)*($W$3/$U$2),0)</f>
        <v>0</v>
      </c>
      <c r="AV668">
        <f>AV667*(1+'Real assumptions'!$B$35)^(1/12)</f>
        <v>1.972097623792965</v>
      </c>
      <c r="AW668">
        <f t="shared" si="492"/>
        <v>2073</v>
      </c>
      <c r="AX668">
        <f t="shared" si="519"/>
        <v>9.4353277484481985</v>
      </c>
      <c r="AY668">
        <f t="shared" si="520"/>
        <v>1.5351991359005439E-2</v>
      </c>
      <c r="AZ668">
        <f t="shared" si="493"/>
        <v>16.643242998533083</v>
      </c>
      <c r="BA668">
        <f t="shared" si="510"/>
        <v>0.52120089123383018</v>
      </c>
      <c r="BB668">
        <f t="shared" si="511"/>
        <v>44.25</v>
      </c>
      <c r="BC668">
        <f t="shared" si="494"/>
        <v>26.549999999999997</v>
      </c>
      <c r="BD668">
        <f t="shared" si="512"/>
        <v>0</v>
      </c>
      <c r="BE668">
        <f t="shared" si="495"/>
        <v>24</v>
      </c>
      <c r="BF668">
        <f t="shared" si="521"/>
        <v>5000</v>
      </c>
      <c r="BU668"/>
      <c r="DW668" s="89"/>
      <c r="DX668" s="89"/>
      <c r="FD668"/>
      <c r="FE668"/>
    </row>
    <row r="669" spans="1:161" x14ac:dyDescent="0.25">
      <c r="A669" s="7">
        <f t="shared" si="513"/>
        <v>63462</v>
      </c>
      <c r="B669">
        <f t="shared" si="496"/>
        <v>658</v>
      </c>
      <c r="C669">
        <f t="shared" si="477"/>
        <v>54.75</v>
      </c>
      <c r="D669">
        <f t="shared" si="478"/>
        <v>0</v>
      </c>
      <c r="E669">
        <f t="shared" si="497"/>
        <v>106</v>
      </c>
      <c r="F669">
        <f>IF(C669&gt;=$T$2,0,VLOOKUP($E669,EKM_F05!$A$3:$C$128,2,TRUE))</f>
        <v>0.67046974358974365</v>
      </c>
      <c r="G669">
        <f>F669*'Real assumptions'!$B$3</f>
        <v>0.27978702400000005</v>
      </c>
      <c r="H669">
        <f t="shared" si="479"/>
        <v>2.6980049173076059E-2</v>
      </c>
      <c r="I669">
        <f t="shared" si="480"/>
        <v>9.5296889446923588E-5</v>
      </c>
      <c r="J669">
        <f>IF(B669&gt;$AJ$2,0,HLOOKUP(C669,'Real assumptions'!$B$5:$L$8,4,TRUE))</f>
        <v>3.7900000000000003E-2</v>
      </c>
      <c r="K669">
        <f t="shared" si="486"/>
        <v>1</v>
      </c>
      <c r="L669">
        <f t="shared" si="514"/>
        <v>8.3333333333333329E-2</v>
      </c>
      <c r="M669">
        <f t="shared" si="481"/>
        <v>3.2145624959929453E-3</v>
      </c>
      <c r="N669">
        <f t="shared" si="482"/>
        <v>1.1219097904112262E-5</v>
      </c>
      <c r="O669" s="8">
        <f t="shared" si="498"/>
        <v>3.4312946489397388E-3</v>
      </c>
      <c r="P669">
        <f t="shared" si="499"/>
        <v>8.4907455270978593E-2</v>
      </c>
      <c r="Q669">
        <f t="shared" si="515"/>
        <v>0.47648444723461791</v>
      </c>
      <c r="R669" s="89">
        <f t="shared" si="487"/>
        <v>5000</v>
      </c>
      <c r="S669">
        <f t="shared" si="488"/>
        <v>0.1666666666666643</v>
      </c>
      <c r="U669">
        <f>O668*AV668*'Real assumptions'!$B$33/12+AX669*'Real assumptions'!$B$34</f>
        <v>7.2280420985553012E-2</v>
      </c>
      <c r="V669">
        <f>IF(P669=0,0,IF(E669&lt;=$C$7,$AN$5*O668,0))*'Real assumptions'!$D$28</f>
        <v>0</v>
      </c>
      <c r="X669" s="94">
        <f t="shared" si="500"/>
        <v>0</v>
      </c>
      <c r="Y669">
        <f t="shared" si="489"/>
        <v>24</v>
      </c>
      <c r="Z669">
        <f t="shared" si="516"/>
        <v>44</v>
      </c>
      <c r="AA669">
        <f t="shared" si="490"/>
        <v>44.166666666666664</v>
      </c>
      <c r="AB669">
        <f t="shared" si="501"/>
        <v>50.505050505050505</v>
      </c>
      <c r="AC669">
        <f t="shared" si="483"/>
        <v>2230.6397306397307</v>
      </c>
      <c r="AD669">
        <f t="shared" si="502"/>
        <v>80.505050505050505</v>
      </c>
      <c r="AE669">
        <f t="shared" si="503"/>
        <v>177.78198653198652</v>
      </c>
      <c r="AF669" s="94">
        <f t="shared" si="504"/>
        <v>2591.5782828282827</v>
      </c>
      <c r="AG669">
        <f t="shared" si="517"/>
        <v>2.9075170481221643E-2</v>
      </c>
      <c r="AH669">
        <f t="shared" si="505"/>
        <v>8.8924686941771238</v>
      </c>
      <c r="AI669">
        <f>HLOOKUP(AW669,'Real assumptions'!$A$21:$AK$24,2,TRUE)</f>
        <v>0</v>
      </c>
      <c r="AJ669" s="123">
        <f t="shared" si="484"/>
        <v>0</v>
      </c>
      <c r="AK669" s="122">
        <f>(1+HLOOKUP(YEAR(A669),'Real assumptions'!$A$21:$AK$24,2,TRUE)/100)^(1/12)-1</f>
        <v>0</v>
      </c>
      <c r="AL669">
        <f t="shared" si="518"/>
        <v>7.2280420985553012E-2</v>
      </c>
      <c r="AM669">
        <f>('Real assumptions'!$B$33/12)*O668*AV668</f>
        <v>6.9769079492585137E-2</v>
      </c>
      <c r="AN669">
        <f t="shared" si="506"/>
        <v>9.1650637575504437</v>
      </c>
      <c r="AO669">
        <f t="shared" si="485"/>
        <v>0</v>
      </c>
      <c r="AP669" s="121">
        <f t="shared" si="507"/>
        <v>0</v>
      </c>
      <c r="AQ669">
        <f t="shared" si="508"/>
        <v>0</v>
      </c>
      <c r="AR669">
        <v>0</v>
      </c>
      <c r="AS669">
        <f t="shared" si="491"/>
        <v>0</v>
      </c>
      <c r="AT669">
        <f t="shared" si="509"/>
        <v>0</v>
      </c>
      <c r="AU669">
        <f>IFERROR(HLOOKUP(B669,'Real assumptions'!$B$43:$AL$44,2,TRUE)*($W$3/$U$2),0)</f>
        <v>0</v>
      </c>
      <c r="AV669">
        <f>AV668*(1+'Real assumptions'!$B$35)^(1/12)</f>
        <v>1.9741402160474046</v>
      </c>
      <c r="AW669">
        <f t="shared" si="492"/>
        <v>2073</v>
      </c>
      <c r="AX669">
        <f t="shared" si="519"/>
        <v>9.1673264986702812</v>
      </c>
      <c r="AY669">
        <f t="shared" si="520"/>
        <v>1.4889775405264202E-2</v>
      </c>
      <c r="AZ669">
        <f t="shared" si="493"/>
        <v>16.15031041510267</v>
      </c>
      <c r="BA669">
        <f t="shared" si="510"/>
        <v>0.50555961771583957</v>
      </c>
      <c r="BB669">
        <f t="shared" si="511"/>
        <v>44.166666666666664</v>
      </c>
      <c r="BC669">
        <f t="shared" si="494"/>
        <v>26.5</v>
      </c>
      <c r="BD669">
        <f t="shared" si="512"/>
        <v>0</v>
      </c>
      <c r="BE669">
        <f t="shared" si="495"/>
        <v>24</v>
      </c>
      <c r="BF669">
        <f t="shared" si="521"/>
        <v>5000</v>
      </c>
      <c r="BU669"/>
      <c r="DW669" s="89"/>
      <c r="DX669" s="89"/>
      <c r="FD669"/>
      <c r="FE669"/>
    </row>
    <row r="670" spans="1:161" x14ac:dyDescent="0.25">
      <c r="A670" s="7">
        <f t="shared" si="513"/>
        <v>63493</v>
      </c>
      <c r="B670">
        <f t="shared" si="496"/>
        <v>659</v>
      </c>
      <c r="C670">
        <f t="shared" si="477"/>
        <v>54.833333333333336</v>
      </c>
      <c r="D670">
        <f t="shared" si="478"/>
        <v>0</v>
      </c>
      <c r="E670">
        <f t="shared" si="497"/>
        <v>106</v>
      </c>
      <c r="F670">
        <f>IF(C670&gt;=$T$2,0,VLOOKUP($E670,EKM_F05!$A$3:$C$128,2,TRUE))</f>
        <v>0.67046974358974365</v>
      </c>
      <c r="G670">
        <f>F670*'Real assumptions'!$B$3</f>
        <v>0.27978702400000005</v>
      </c>
      <c r="H670">
        <f t="shared" si="479"/>
        <v>2.6980049173076059E-2</v>
      </c>
      <c r="I670">
        <f t="shared" si="480"/>
        <v>9.2427701885894608E-5</v>
      </c>
      <c r="J670">
        <f>IF(B670&gt;$AJ$2,0,HLOOKUP(C670,'Real assumptions'!$B$5:$L$8,4,TRUE))</f>
        <v>3.7900000000000003E-2</v>
      </c>
      <c r="K670">
        <f t="shared" si="486"/>
        <v>1</v>
      </c>
      <c r="L670">
        <f t="shared" si="514"/>
        <v>8.3333333333333329E-2</v>
      </c>
      <c r="M670">
        <f t="shared" si="481"/>
        <v>3.2145624959929453E-3</v>
      </c>
      <c r="N670">
        <f t="shared" si="482"/>
        <v>1.088131462137066E-5</v>
      </c>
      <c r="O670" s="8">
        <f t="shared" si="498"/>
        <v>3.3279856324324739E-3</v>
      </c>
      <c r="P670">
        <f t="shared" si="499"/>
        <v>8.2351071574553736E-2</v>
      </c>
      <c r="Q670">
        <f t="shared" si="515"/>
        <v>0.46213850942947304</v>
      </c>
      <c r="R670" s="89">
        <f t="shared" si="487"/>
        <v>5000</v>
      </c>
      <c r="S670">
        <f t="shared" si="488"/>
        <v>8.3333333333335702E-2</v>
      </c>
      <c r="U670">
        <f>O669*AV669*'Real assumptions'!$B$33/12+AX670*'Real assumptions'!$B$34</f>
        <v>7.0178569387734868E-2</v>
      </c>
      <c r="V670">
        <f>IF(P670=0,0,IF(E670&lt;=$C$7,$AN$5*O669,0))*'Real assumptions'!$D$28</f>
        <v>0</v>
      </c>
      <c r="X670" s="94">
        <f t="shared" si="500"/>
        <v>0</v>
      </c>
      <c r="Y670">
        <f t="shared" si="489"/>
        <v>24</v>
      </c>
      <c r="Z670">
        <f t="shared" si="516"/>
        <v>44</v>
      </c>
      <c r="AA670">
        <f t="shared" si="490"/>
        <v>44.083333333333336</v>
      </c>
      <c r="AB670">
        <f t="shared" si="501"/>
        <v>50.505050505050505</v>
      </c>
      <c r="AC670">
        <f t="shared" si="483"/>
        <v>2226.4309764309764</v>
      </c>
      <c r="AD670">
        <f t="shared" si="502"/>
        <v>80.505050505050505</v>
      </c>
      <c r="AE670">
        <f t="shared" si="503"/>
        <v>177.44654882154882</v>
      </c>
      <c r="AF670" s="94">
        <f t="shared" si="504"/>
        <v>2596.1224747474748</v>
      </c>
      <c r="AG670">
        <f t="shared" si="517"/>
        <v>2.8249225443338681E-2</v>
      </c>
      <c r="AH670">
        <f t="shared" si="505"/>
        <v>8.6398582959946335</v>
      </c>
      <c r="AI670">
        <f>HLOOKUP(AW670,'Real assumptions'!$A$21:$AK$24,2,TRUE)</f>
        <v>0</v>
      </c>
      <c r="AJ670" s="123">
        <f t="shared" si="484"/>
        <v>0</v>
      </c>
      <c r="AK670" s="122">
        <f>(1+HLOOKUP(YEAR(A670),'Real assumptions'!$A$21:$AK$24,2,TRUE)/100)^(1/12)-1</f>
        <v>0</v>
      </c>
      <c r="AL670">
        <f t="shared" si="518"/>
        <v>7.0178569387734868E-2</v>
      </c>
      <c r="AM670">
        <f>('Real assumptions'!$B$33/12)*O669*AV669</f>
        <v>6.7738567595801991E-2</v>
      </c>
      <c r="AN670">
        <f t="shared" si="506"/>
        <v>8.9046411963639418</v>
      </c>
      <c r="AO670">
        <f t="shared" si="485"/>
        <v>0</v>
      </c>
      <c r="AP670" s="121">
        <f t="shared" si="507"/>
        <v>0</v>
      </c>
      <c r="AQ670">
        <f t="shared" si="508"/>
        <v>0</v>
      </c>
      <c r="AR670">
        <v>0</v>
      </c>
      <c r="AS670">
        <f t="shared" si="491"/>
        <v>0</v>
      </c>
      <c r="AT670">
        <f t="shared" si="509"/>
        <v>0</v>
      </c>
      <c r="AU670">
        <f>IFERROR(HLOOKUP(B670,'Real assumptions'!$B$43:$AL$44,2,TRUE)*($W$3/$U$2),0)</f>
        <v>0</v>
      </c>
      <c r="AV670">
        <f>AV669*(1+'Real assumptions'!$B$35)^(1/12)</f>
        <v>1.9761849239086315</v>
      </c>
      <c r="AW670">
        <f t="shared" si="492"/>
        <v>2073</v>
      </c>
      <c r="AX670">
        <f t="shared" si="519"/>
        <v>8.9069101699723241</v>
      </c>
      <c r="AY670">
        <f t="shared" si="520"/>
        <v>1.4441475795200919E-2</v>
      </c>
      <c r="AZ670">
        <f t="shared" si="493"/>
        <v>15.672095182416674</v>
      </c>
      <c r="BA670">
        <f t="shared" si="510"/>
        <v>0.49038773487281173</v>
      </c>
      <c r="BB670">
        <f t="shared" si="511"/>
        <v>44.083333333333336</v>
      </c>
      <c r="BC670">
        <f t="shared" si="494"/>
        <v>26.450000000000003</v>
      </c>
      <c r="BD670">
        <f t="shared" si="512"/>
        <v>0</v>
      </c>
      <c r="BE670">
        <f t="shared" si="495"/>
        <v>24</v>
      </c>
      <c r="BF670">
        <f t="shared" si="521"/>
        <v>5000</v>
      </c>
      <c r="BU670"/>
      <c r="DW670" s="89"/>
      <c r="DX670" s="89"/>
      <c r="FD670"/>
      <c r="FE670"/>
    </row>
    <row r="671" spans="1:161" x14ac:dyDescent="0.25">
      <c r="A671" s="7">
        <f t="shared" si="513"/>
        <v>63523</v>
      </c>
      <c r="B671">
        <f t="shared" si="496"/>
        <v>660</v>
      </c>
      <c r="C671">
        <f t="shared" si="477"/>
        <v>54.916666666666664</v>
      </c>
      <c r="D671">
        <f t="shared" si="478"/>
        <v>0</v>
      </c>
      <c r="E671">
        <f t="shared" si="497"/>
        <v>106</v>
      </c>
      <c r="F671">
        <f>IF(C671&gt;=$T$2,0,VLOOKUP($E671,EKM_F05!$A$3:$C$128,2,TRUE))</f>
        <v>0.67046974358974365</v>
      </c>
      <c r="G671">
        <f>F671*'Real assumptions'!$B$3</f>
        <v>0.27978702400000005</v>
      </c>
      <c r="H671">
        <f t="shared" si="479"/>
        <v>2.6980049173076059E-2</v>
      </c>
      <c r="I671">
        <f t="shared" si="480"/>
        <v>8.9644899487153093E-5</v>
      </c>
      <c r="J671">
        <f>IF(B671&gt;$AJ$2,0,HLOOKUP(C671,'Real assumptions'!$B$5:$L$8,4,TRUE))</f>
        <v>3.7900000000000003E-2</v>
      </c>
      <c r="K671">
        <f t="shared" si="486"/>
        <v>1</v>
      </c>
      <c r="L671">
        <f t="shared" si="514"/>
        <v>8.3333333333333329E-2</v>
      </c>
      <c r="M671">
        <f t="shared" si="481"/>
        <v>3.2145624959929453E-3</v>
      </c>
      <c r="N671">
        <f t="shared" si="482"/>
        <v>1.0553701278055104E-5</v>
      </c>
      <c r="O671" s="8">
        <f t="shared" si="498"/>
        <v>3.2277870316672658E-3</v>
      </c>
      <c r="P671">
        <f t="shared" si="499"/>
        <v>7.987165517837938E-2</v>
      </c>
      <c r="Q671">
        <f t="shared" si="515"/>
        <v>0.44822449743576548</v>
      </c>
      <c r="R671" s="89">
        <f t="shared" si="487"/>
        <v>5000</v>
      </c>
      <c r="S671">
        <f t="shared" si="488"/>
        <v>1</v>
      </c>
      <c r="U671">
        <f>O670*AV670*'Real assumptions'!$B$33/12+AX671*'Real assumptions'!$B$34</f>
        <v>6.8137831711185259E-2</v>
      </c>
      <c r="V671">
        <f>IF(P671=0,0,IF(E671&lt;=$C$7,$AN$5*O670,0))*'Real assumptions'!$D$28</f>
        <v>0</v>
      </c>
      <c r="X671" s="94">
        <f t="shared" si="500"/>
        <v>0</v>
      </c>
      <c r="Y671">
        <f t="shared" si="489"/>
        <v>24</v>
      </c>
      <c r="Z671">
        <f t="shared" si="516"/>
        <v>44</v>
      </c>
      <c r="AA671">
        <f t="shared" si="490"/>
        <v>44</v>
      </c>
      <c r="AB671">
        <f t="shared" si="501"/>
        <v>50.505050505050505</v>
      </c>
      <c r="AC671">
        <f t="shared" si="483"/>
        <v>2222.2222222222222</v>
      </c>
      <c r="AD671">
        <f t="shared" si="502"/>
        <v>80.505050505050505</v>
      </c>
      <c r="AE671">
        <f t="shared" si="503"/>
        <v>177.11111111111111</v>
      </c>
      <c r="AF671" s="94">
        <f t="shared" si="504"/>
        <v>2600.6666666666665</v>
      </c>
      <c r="AG671">
        <f t="shared" si="517"/>
        <v>2.7446659123795306E-2</v>
      </c>
      <c r="AH671">
        <f t="shared" si="505"/>
        <v>8.3943981403560013</v>
      </c>
      <c r="AI671">
        <f>HLOOKUP(AW671,'Real assumptions'!$A$21:$AK$24,2,TRUE)</f>
        <v>0</v>
      </c>
      <c r="AJ671" s="123">
        <f t="shared" si="484"/>
        <v>0</v>
      </c>
      <c r="AK671" s="122">
        <f>(1+HLOOKUP(YEAR(A671),'Real assumptions'!$A$21:$AK$24,2,TRUE)/100)^(1/12)-1</f>
        <v>0</v>
      </c>
      <c r="AL671">
        <f t="shared" si="518"/>
        <v>6.8137831711185259E-2</v>
      </c>
      <c r="AM671">
        <f>('Real assumptions'!$B$33/12)*O670*AV670</f>
        <v>6.5767150337975866E-2</v>
      </c>
      <c r="AN671">
        <f t="shared" si="506"/>
        <v>8.6515921194618279</v>
      </c>
      <c r="AO671">
        <f t="shared" si="485"/>
        <v>0</v>
      </c>
      <c r="AP671" s="121">
        <f t="shared" si="507"/>
        <v>0</v>
      </c>
      <c r="AQ671">
        <f t="shared" si="508"/>
        <v>0</v>
      </c>
      <c r="AR671">
        <v>0</v>
      </c>
      <c r="AS671">
        <f t="shared" si="491"/>
        <v>0</v>
      </c>
      <c r="AT671">
        <f t="shared" si="509"/>
        <v>0</v>
      </c>
      <c r="AU671">
        <f>IFERROR(HLOOKUP(B671,'Real assumptions'!$B$43:$AL$44,2,TRUE)*($W$3/$U$2),0)</f>
        <v>0</v>
      </c>
      <c r="AV671">
        <f>AV670*(1+'Real assumptions'!$B$35)^(1/12)</f>
        <v>1.978231749567877</v>
      </c>
      <c r="AW671">
        <f t="shared" si="492"/>
        <v>2073</v>
      </c>
      <c r="AX671">
        <f t="shared" si="519"/>
        <v>8.6538649695318064</v>
      </c>
      <c r="AY671">
        <f t="shared" si="520"/>
        <v>1.4006673537173711E-2</v>
      </c>
      <c r="AZ671">
        <f t="shared" si="493"/>
        <v>15.208157849324309</v>
      </c>
      <c r="BA671">
        <f t="shared" si="510"/>
        <v>0.47567115655956077</v>
      </c>
      <c r="BB671">
        <f t="shared" si="511"/>
        <v>44</v>
      </c>
      <c r="BC671">
        <f t="shared" si="494"/>
        <v>26.4</v>
      </c>
      <c r="BD671">
        <f t="shared" si="512"/>
        <v>0</v>
      </c>
      <c r="BE671">
        <f t="shared" si="495"/>
        <v>24</v>
      </c>
      <c r="BF671">
        <f t="shared" si="521"/>
        <v>5000</v>
      </c>
      <c r="BU671"/>
      <c r="DW671" s="89"/>
      <c r="DX671" s="89"/>
      <c r="FD671"/>
      <c r="FE671"/>
    </row>
    <row r="672" spans="1:161" x14ac:dyDescent="0.25">
      <c r="A672" s="7">
        <f t="shared" si="513"/>
        <v>63554</v>
      </c>
      <c r="B672">
        <f t="shared" si="496"/>
        <v>661</v>
      </c>
      <c r="C672">
        <f t="shared" si="477"/>
        <v>55</v>
      </c>
      <c r="D672">
        <f t="shared" si="478"/>
        <v>1</v>
      </c>
      <c r="E672">
        <f t="shared" si="497"/>
        <v>107</v>
      </c>
      <c r="F672">
        <f>IF(C672&gt;=$T$2,0,VLOOKUP($E672,EKM_F05!$A$3:$C$128,2,TRUE))</f>
        <v>0.72822833333333326</v>
      </c>
      <c r="G672">
        <f>F672*'Real assumptions'!$B$3</f>
        <v>0.30388968349999995</v>
      </c>
      <c r="H672">
        <f t="shared" si="479"/>
        <v>2.9736175916306062E-2</v>
      </c>
      <c r="I672">
        <f t="shared" si="480"/>
        <v>9.5827772856180491E-5</v>
      </c>
      <c r="J672">
        <f>IF(B672&gt;$AJ$2,0,HLOOKUP(C672,'Real assumptions'!$B$5:$L$8,4,TRUE))</f>
        <v>3.7900000000000003E-2</v>
      </c>
      <c r="K672">
        <f t="shared" si="486"/>
        <v>1</v>
      </c>
      <c r="L672">
        <f t="shared" si="514"/>
        <v>8.3333333333333329E-2</v>
      </c>
      <c r="M672">
        <f t="shared" si="481"/>
        <v>3.2145624959929453E-3</v>
      </c>
      <c r="N672">
        <f t="shared" si="482"/>
        <v>1.0221652999201291E-5</v>
      </c>
      <c r="O672" s="8">
        <f t="shared" si="498"/>
        <v>3.121737605811884E-3</v>
      </c>
      <c r="P672">
        <f t="shared" si="499"/>
        <v>7.7466888760014382E-2</v>
      </c>
      <c r="Q672">
        <f t="shared" si="515"/>
        <v>0.47913886428090247</v>
      </c>
      <c r="R672" s="89">
        <f t="shared" si="487"/>
        <v>5000</v>
      </c>
      <c r="S672">
        <f t="shared" si="488"/>
        <v>0.9166666666666643</v>
      </c>
      <c r="U672">
        <f>O671*AV671*'Real assumptions'!$B$33/12+AX672*'Real assumptions'!$B$34</f>
        <v>6.6156431181384284E-2</v>
      </c>
      <c r="V672">
        <f>IF(P672=0,0,IF(E672&lt;=$C$7,$AN$5*O671,0))*'Real assumptions'!$D$28</f>
        <v>0</v>
      </c>
      <c r="X672" s="94">
        <f t="shared" si="500"/>
        <v>0</v>
      </c>
      <c r="Y672">
        <f t="shared" si="489"/>
        <v>24</v>
      </c>
      <c r="Z672">
        <f t="shared" si="516"/>
        <v>44</v>
      </c>
      <c r="AA672">
        <f t="shared" si="490"/>
        <v>43.916666666666664</v>
      </c>
      <c r="AB672">
        <f t="shared" si="501"/>
        <v>50.505050505050505</v>
      </c>
      <c r="AC672">
        <f t="shared" si="483"/>
        <v>2218.0134680134679</v>
      </c>
      <c r="AD672">
        <f t="shared" si="502"/>
        <v>80.505050505050505</v>
      </c>
      <c r="AE672">
        <f t="shared" si="503"/>
        <v>176.77567340067338</v>
      </c>
      <c r="AF672" s="94">
        <f t="shared" si="504"/>
        <v>2605.2108585858587</v>
      </c>
      <c r="AG672">
        <f t="shared" si="517"/>
        <v>2.6629561386215913E-2</v>
      </c>
      <c r="AH672">
        <f t="shared" si="505"/>
        <v>8.132784708316942</v>
      </c>
      <c r="AI672">
        <f>HLOOKUP(AW672,'Real assumptions'!$A$21:$AK$24,2,TRUE)</f>
        <v>0</v>
      </c>
      <c r="AJ672" s="123">
        <f t="shared" si="484"/>
        <v>0</v>
      </c>
      <c r="AK672" s="122">
        <f>(1+HLOOKUP(YEAR(A672),'Real assumptions'!$A$21:$AK$24,2,TRUE)/100)^(1/12)-1</f>
        <v>0</v>
      </c>
      <c r="AL672">
        <f t="shared" si="518"/>
        <v>6.6156431181384284E-2</v>
      </c>
      <c r="AM672">
        <f>('Real assumptions'!$B$33/12)*O671*AV671</f>
        <v>6.3853107868876394E-2</v>
      </c>
      <c r="AN672">
        <f t="shared" si="506"/>
        <v>8.4057085979346304</v>
      </c>
      <c r="AO672">
        <f t="shared" si="485"/>
        <v>0</v>
      </c>
      <c r="AP672" s="121">
        <f t="shared" si="507"/>
        <v>0</v>
      </c>
      <c r="AQ672">
        <f t="shared" si="508"/>
        <v>0</v>
      </c>
      <c r="AR672">
        <v>0</v>
      </c>
      <c r="AS672">
        <f t="shared" si="491"/>
        <v>0</v>
      </c>
      <c r="AT672">
        <f t="shared" si="509"/>
        <v>0</v>
      </c>
      <c r="AU672">
        <f>IFERROR(HLOOKUP(B672,'Real assumptions'!$B$43:$AL$44,2,TRUE)*($W$3/$U$2),0)</f>
        <v>0</v>
      </c>
      <c r="AV672">
        <f>AV671*(1+'Real assumptions'!$B$35)^(1/12)</f>
        <v>1.9802806952186416</v>
      </c>
      <c r="AW672">
        <f t="shared" si="492"/>
        <v>2073</v>
      </c>
      <c r="AX672">
        <f t="shared" si="519"/>
        <v>8.4079831026104923</v>
      </c>
      <c r="AY672">
        <f t="shared" si="520"/>
        <v>1.3584962254491859E-2</v>
      </c>
      <c r="AZ672">
        <f t="shared" si="493"/>
        <v>14.713699881235819</v>
      </c>
      <c r="BA672">
        <f t="shared" si="510"/>
        <v>0.50576842566711833</v>
      </c>
      <c r="BB672">
        <f t="shared" si="511"/>
        <v>43.916666666666664</v>
      </c>
      <c r="BC672">
        <f t="shared" si="494"/>
        <v>26.349999999999998</v>
      </c>
      <c r="BD672">
        <f t="shared" si="512"/>
        <v>0</v>
      </c>
      <c r="BE672">
        <f t="shared" si="495"/>
        <v>24</v>
      </c>
      <c r="BF672">
        <f t="shared" si="521"/>
        <v>5000</v>
      </c>
      <c r="BU672"/>
      <c r="DW672" s="89"/>
      <c r="DX672" s="89"/>
      <c r="FD672"/>
      <c r="FE672"/>
    </row>
    <row r="673" spans="1:161" x14ac:dyDescent="0.25">
      <c r="A673" s="7">
        <f t="shared" si="513"/>
        <v>63585</v>
      </c>
      <c r="B673">
        <f t="shared" si="496"/>
        <v>662</v>
      </c>
      <c r="C673">
        <f t="shared" si="477"/>
        <v>55.083333333333336</v>
      </c>
      <c r="D673">
        <f t="shared" si="478"/>
        <v>0</v>
      </c>
      <c r="E673">
        <f t="shared" si="497"/>
        <v>107</v>
      </c>
      <c r="F673">
        <f>IF(C673&gt;=$T$2,0,VLOOKUP($E673,EKM_F05!$A$3:$C$128,2,TRUE))</f>
        <v>0.72822833333333326</v>
      </c>
      <c r="G673">
        <f>F673*'Real assumptions'!$B$3</f>
        <v>0.30388968349999995</v>
      </c>
      <c r="H673">
        <f t="shared" si="479"/>
        <v>2.9736175916306062E-2</v>
      </c>
      <c r="I673">
        <f t="shared" si="480"/>
        <v>9.2679337041581966E-5</v>
      </c>
      <c r="J673">
        <f>IF(B673&gt;$AJ$2,0,HLOOKUP(C673,'Real assumptions'!$B$5:$L$8,4,TRUE))</f>
        <v>3.7900000000000003E-2</v>
      </c>
      <c r="K673">
        <f t="shared" si="486"/>
        <v>1</v>
      </c>
      <c r="L673">
        <f t="shared" si="514"/>
        <v>8.3333333333333329E-2</v>
      </c>
      <c r="M673">
        <f t="shared" si="481"/>
        <v>3.2145624959929453E-3</v>
      </c>
      <c r="N673">
        <f t="shared" si="482"/>
        <v>9.8858190605853611E-6</v>
      </c>
      <c r="O673" s="8">
        <f t="shared" si="498"/>
        <v>3.0191724497097166E-3</v>
      </c>
      <c r="P673">
        <f t="shared" si="499"/>
        <v>7.4921702539485213E-2</v>
      </c>
      <c r="Q673">
        <f t="shared" si="515"/>
        <v>0.46339668520790983</v>
      </c>
      <c r="R673" s="89">
        <f t="shared" si="487"/>
        <v>5000</v>
      </c>
      <c r="S673">
        <f t="shared" si="488"/>
        <v>0.8333333333333357</v>
      </c>
      <c r="U673">
        <f>O672*AV672*'Real assumptions'!$B$33/12+AX673*'Real assumptions'!$B$34</f>
        <v>6.4050700563081209E-2</v>
      </c>
      <c r="V673">
        <f>IF(P673=0,0,IF(E673&lt;=$C$7,$AN$5*O672,0))*'Real assumptions'!$D$28</f>
        <v>0</v>
      </c>
      <c r="X673" s="94">
        <f t="shared" si="500"/>
        <v>0</v>
      </c>
      <c r="Y673">
        <f t="shared" si="489"/>
        <v>24</v>
      </c>
      <c r="Z673">
        <f t="shared" si="516"/>
        <v>43</v>
      </c>
      <c r="AA673">
        <f t="shared" si="490"/>
        <v>43.833333333333336</v>
      </c>
      <c r="AB673">
        <f t="shared" si="501"/>
        <v>50.505050505050505</v>
      </c>
      <c r="AC673">
        <f t="shared" si="483"/>
        <v>2213.8047138047141</v>
      </c>
      <c r="AD673">
        <f t="shared" si="502"/>
        <v>80.505050505050505</v>
      </c>
      <c r="AE673">
        <f t="shared" si="503"/>
        <v>176.44023569023568</v>
      </c>
      <c r="AF673" s="94">
        <f t="shared" si="504"/>
        <v>2609.7550505050503</v>
      </c>
      <c r="AG673">
        <f t="shared" si="517"/>
        <v>2.5799566221741739E-2</v>
      </c>
      <c r="AH673">
        <f t="shared" si="505"/>
        <v>7.879300548975638</v>
      </c>
      <c r="AI673">
        <f>HLOOKUP(AW673,'Real assumptions'!$A$21:$AK$24,2,TRUE)</f>
        <v>0</v>
      </c>
      <c r="AJ673" s="123">
        <f t="shared" si="484"/>
        <v>0</v>
      </c>
      <c r="AK673" s="122">
        <f>(1+HLOOKUP(YEAR(A673),'Real assumptions'!$A$21:$AK$24,2,TRUE)/100)^(1/12)-1</f>
        <v>0</v>
      </c>
      <c r="AL673">
        <f t="shared" si="518"/>
        <v>6.4050700563081209E-2</v>
      </c>
      <c r="AM673">
        <f>('Real assumptions'!$B$33/12)*O672*AV672</f>
        <v>6.1819167163273354E-2</v>
      </c>
      <c r="AN673">
        <f t="shared" si="506"/>
        <v>8.1436557102933467</v>
      </c>
      <c r="AO673">
        <f t="shared" si="485"/>
        <v>0</v>
      </c>
      <c r="AP673" s="121">
        <f t="shared" si="507"/>
        <v>0</v>
      </c>
      <c r="AQ673">
        <f t="shared" si="508"/>
        <v>0</v>
      </c>
      <c r="AR673">
        <v>0</v>
      </c>
      <c r="AS673">
        <f t="shared" si="491"/>
        <v>0</v>
      </c>
      <c r="AT673">
        <f t="shared" si="509"/>
        <v>0</v>
      </c>
      <c r="AU673">
        <f>IFERROR(HLOOKUP(B673,'Real assumptions'!$B$43:$AL$44,2,TRUE)*($W$3/$U$2),0)</f>
        <v>0</v>
      </c>
      <c r="AV673">
        <f>AV672*(1+'Real assumptions'!$B$35)^(1/12)</f>
        <v>1.9823317630566983</v>
      </c>
      <c r="AW673">
        <f t="shared" si="492"/>
        <v>2074</v>
      </c>
      <c r="AX673">
        <f t="shared" si="519"/>
        <v>8.1459233346040296</v>
      </c>
      <c r="AY673">
        <f t="shared" si="520"/>
        <v>1.3138626287087053E-2</v>
      </c>
      <c r="AZ673">
        <f t="shared" si="493"/>
        <v>14.235374631782571</v>
      </c>
      <c r="BA673">
        <f t="shared" si="510"/>
        <v>0.48919625142965156</v>
      </c>
      <c r="BB673">
        <f t="shared" si="511"/>
        <v>43.833333333333336</v>
      </c>
      <c r="BC673">
        <f t="shared" si="494"/>
        <v>26.3</v>
      </c>
      <c r="BD673">
        <f t="shared" si="512"/>
        <v>0</v>
      </c>
      <c r="BE673">
        <f t="shared" si="495"/>
        <v>24</v>
      </c>
      <c r="BF673">
        <f t="shared" si="521"/>
        <v>5000</v>
      </c>
      <c r="BU673"/>
      <c r="DW673" s="89"/>
      <c r="DX673" s="89"/>
      <c r="FD673"/>
      <c r="FE673"/>
    </row>
    <row r="674" spans="1:161" x14ac:dyDescent="0.25">
      <c r="A674" s="7">
        <f t="shared" si="513"/>
        <v>63613</v>
      </c>
      <c r="B674">
        <f t="shared" si="496"/>
        <v>663</v>
      </c>
      <c r="C674">
        <f t="shared" si="477"/>
        <v>55.166666666666664</v>
      </c>
      <c r="D674">
        <f t="shared" si="478"/>
        <v>0</v>
      </c>
      <c r="E674">
        <f t="shared" si="497"/>
        <v>107</v>
      </c>
      <c r="F674">
        <f>IF(C674&gt;=$T$2,0,VLOOKUP($E674,EKM_F05!$A$3:$C$128,2,TRUE))</f>
        <v>0.72822833333333326</v>
      </c>
      <c r="G674">
        <f>F674*'Real assumptions'!$B$3</f>
        <v>0.30388968349999995</v>
      </c>
      <c r="H674">
        <f t="shared" si="479"/>
        <v>2.9736175916306062E-2</v>
      </c>
      <c r="I674">
        <f t="shared" si="480"/>
        <v>8.963434355672978E-5</v>
      </c>
      <c r="J674">
        <f>IF(B674&gt;$AJ$2,0,HLOOKUP(C674,'Real assumptions'!$B$5:$L$8,4,TRUE))</f>
        <v>3.7900000000000003E-2</v>
      </c>
      <c r="K674">
        <f t="shared" si="486"/>
        <v>1</v>
      </c>
      <c r="L674">
        <f t="shared" si="514"/>
        <v>8.3333333333333329E-2</v>
      </c>
      <c r="M674">
        <f t="shared" si="481"/>
        <v>3.2145624959929453E-3</v>
      </c>
      <c r="N674">
        <f t="shared" si="482"/>
        <v>9.5610189962689307E-6</v>
      </c>
      <c r="O674" s="8">
        <f t="shared" si="498"/>
        <v>2.9199770871567179E-3</v>
      </c>
      <c r="P674">
        <f t="shared" si="499"/>
        <v>7.2460138793033202E-2</v>
      </c>
      <c r="Q674">
        <f t="shared" si="515"/>
        <v>0.44817171778364889</v>
      </c>
      <c r="R674" s="89">
        <f t="shared" si="487"/>
        <v>5000</v>
      </c>
      <c r="S674">
        <f t="shared" si="488"/>
        <v>0.75</v>
      </c>
      <c r="U674">
        <f>O673*AV673*'Real assumptions'!$B$33/12+AX674*'Real assumptions'!$B$34</f>
        <v>6.2011988928450681E-2</v>
      </c>
      <c r="V674">
        <f>IF(P674=0,0,IF(E674&lt;=$C$7,$AN$5*O673,0))*'Real assumptions'!$D$28</f>
        <v>0</v>
      </c>
      <c r="X674" s="94">
        <f t="shared" si="500"/>
        <v>0</v>
      </c>
      <c r="Y674">
        <f t="shared" si="489"/>
        <v>24</v>
      </c>
      <c r="Z674">
        <f t="shared" si="516"/>
        <v>43</v>
      </c>
      <c r="AA674">
        <f t="shared" si="490"/>
        <v>43.75</v>
      </c>
      <c r="AB674">
        <f t="shared" si="501"/>
        <v>50.505050505050505</v>
      </c>
      <c r="AC674">
        <f t="shared" si="483"/>
        <v>2209.5959595959598</v>
      </c>
      <c r="AD674">
        <f t="shared" si="502"/>
        <v>80.505050505050505</v>
      </c>
      <c r="AE674">
        <f t="shared" si="503"/>
        <v>176.10479797979798</v>
      </c>
      <c r="AF674" s="94">
        <f t="shared" si="504"/>
        <v>2614.299242424242</v>
      </c>
      <c r="AG674">
        <f t="shared" si="517"/>
        <v>2.4995364718749653E-2</v>
      </c>
      <c r="AH674">
        <f t="shared" si="505"/>
        <v>7.6336938868499526</v>
      </c>
      <c r="AI674">
        <f>HLOOKUP(AW674,'Real assumptions'!$A$21:$AK$24,2,TRUE)</f>
        <v>0</v>
      </c>
      <c r="AJ674" s="123">
        <f t="shared" si="484"/>
        <v>0</v>
      </c>
      <c r="AK674" s="122">
        <f>(1+HLOOKUP(YEAR(A674),'Real assumptions'!$A$21:$AK$24,2,TRUE)/100)^(1/12)-1</f>
        <v>0</v>
      </c>
      <c r="AL674">
        <f t="shared" si="518"/>
        <v>6.2011988928450681E-2</v>
      </c>
      <c r="AM674">
        <f>('Real assumptions'!$B$33/12)*O673*AV673</f>
        <v>5.9850014452052736E-2</v>
      </c>
      <c r="AN674">
        <f t="shared" si="506"/>
        <v>7.8897486988402212</v>
      </c>
      <c r="AO674">
        <f t="shared" si="485"/>
        <v>0</v>
      </c>
      <c r="AP674" s="121">
        <f t="shared" si="507"/>
        <v>0</v>
      </c>
      <c r="AQ674">
        <f t="shared" si="508"/>
        <v>0</v>
      </c>
      <c r="AR674">
        <v>0</v>
      </c>
      <c r="AS674">
        <f t="shared" si="491"/>
        <v>0</v>
      </c>
      <c r="AT674">
        <f t="shared" si="509"/>
        <v>0</v>
      </c>
      <c r="AU674">
        <f>IFERROR(HLOOKUP(B674,'Real assumptions'!$B$43:$AL$44,2,TRUE)*($W$3/$U$2),0)</f>
        <v>0</v>
      </c>
      <c r="AV674">
        <f>AV673*(1+'Real assumptions'!$B$35)^(1/12)</f>
        <v>1.9843849552800943</v>
      </c>
      <c r="AW674">
        <f t="shared" si="492"/>
        <v>2074</v>
      </c>
      <c r="AX674">
        <f t="shared" si="519"/>
        <v>7.8920075037303086</v>
      </c>
      <c r="AY674">
        <f t="shared" si="520"/>
        <v>1.2706954754670523E-2</v>
      </c>
      <c r="AZ674">
        <f t="shared" si="493"/>
        <v>13.772655699144757</v>
      </c>
      <c r="BA674">
        <f t="shared" si="510"/>
        <v>0.47316708250239853</v>
      </c>
      <c r="BB674">
        <f t="shared" si="511"/>
        <v>43.75</v>
      </c>
      <c r="BC674">
        <f t="shared" si="494"/>
        <v>26.25</v>
      </c>
      <c r="BD674">
        <f t="shared" si="512"/>
        <v>0</v>
      </c>
      <c r="BE674">
        <f t="shared" si="495"/>
        <v>24</v>
      </c>
      <c r="BF674">
        <f t="shared" si="521"/>
        <v>5000</v>
      </c>
      <c r="BU674"/>
      <c r="DW674" s="89"/>
      <c r="DX674" s="89"/>
      <c r="FD674"/>
      <c r="FE674"/>
    </row>
    <row r="675" spans="1:161" x14ac:dyDescent="0.25">
      <c r="A675" s="7">
        <f t="shared" si="513"/>
        <v>63644</v>
      </c>
      <c r="B675">
        <f t="shared" si="496"/>
        <v>664</v>
      </c>
      <c r="C675">
        <f t="shared" si="477"/>
        <v>55.25</v>
      </c>
      <c r="D675">
        <f t="shared" si="478"/>
        <v>0</v>
      </c>
      <c r="E675">
        <f t="shared" si="497"/>
        <v>107</v>
      </c>
      <c r="F675">
        <f>IF(C675&gt;=$T$2,0,VLOOKUP($E675,EKM_F05!$A$3:$C$128,2,TRUE))</f>
        <v>0.72822833333333326</v>
      </c>
      <c r="G675">
        <f>F675*'Real assumptions'!$B$3</f>
        <v>0.30388968349999995</v>
      </c>
      <c r="H675">
        <f t="shared" si="479"/>
        <v>2.9736175916306062E-2</v>
      </c>
      <c r="I675">
        <f t="shared" si="480"/>
        <v>8.6689393788403452E-5</v>
      </c>
      <c r="J675">
        <f>IF(B675&gt;$AJ$2,0,HLOOKUP(C675,'Real assumptions'!$B$5:$L$8,4,TRUE))</f>
        <v>3.7900000000000003E-2</v>
      </c>
      <c r="K675">
        <f t="shared" si="486"/>
        <v>1</v>
      </c>
      <c r="L675">
        <f t="shared" si="514"/>
        <v>8.3333333333333329E-2</v>
      </c>
      <c r="M675">
        <f t="shared" si="481"/>
        <v>3.2145624959929453E-3</v>
      </c>
      <c r="N675">
        <f t="shared" si="482"/>
        <v>9.2468902866610407E-6</v>
      </c>
      <c r="O675" s="8">
        <f t="shared" si="498"/>
        <v>2.8240408030816536E-3</v>
      </c>
      <c r="P675">
        <f t="shared" si="499"/>
        <v>7.0079450091761225E-2</v>
      </c>
      <c r="Q675">
        <f t="shared" si="515"/>
        <v>0.43344696894201729</v>
      </c>
      <c r="R675" s="89">
        <f t="shared" si="487"/>
        <v>5000</v>
      </c>
      <c r="S675">
        <f t="shared" si="488"/>
        <v>0.6666666666666643</v>
      </c>
      <c r="U675">
        <f>O674*AV674*'Real assumptions'!$B$33/12+AX675*'Real assumptions'!$B$34</f>
        <v>6.003816345286881E-2</v>
      </c>
      <c r="V675">
        <f>IF(P675=0,0,IF(E675&lt;=$C$7,$AN$5*O674,0))*'Real assumptions'!$D$28</f>
        <v>0</v>
      </c>
      <c r="X675" s="94">
        <f t="shared" si="500"/>
        <v>0</v>
      </c>
      <c r="Y675">
        <f t="shared" si="489"/>
        <v>24</v>
      </c>
      <c r="Z675">
        <f t="shared" si="516"/>
        <v>43</v>
      </c>
      <c r="AA675">
        <f t="shared" si="490"/>
        <v>43.666666666666664</v>
      </c>
      <c r="AB675">
        <f t="shared" si="501"/>
        <v>50.505050505050505</v>
      </c>
      <c r="AC675">
        <f t="shared" si="483"/>
        <v>2205.3872053872051</v>
      </c>
      <c r="AD675">
        <f t="shared" si="502"/>
        <v>80.505050505050505</v>
      </c>
      <c r="AE675">
        <f t="shared" si="503"/>
        <v>175.76936026936025</v>
      </c>
      <c r="AF675" s="94">
        <f t="shared" si="504"/>
        <v>2618.8434343434346</v>
      </c>
      <c r="AG675">
        <f t="shared" si="517"/>
        <v>2.4216157915316346E-2</v>
      </c>
      <c r="AH675">
        <f t="shared" si="505"/>
        <v>7.3957207154683493</v>
      </c>
      <c r="AI675">
        <f>HLOOKUP(AW675,'Real assumptions'!$A$21:$AK$24,2,TRUE)</f>
        <v>0</v>
      </c>
      <c r="AJ675" s="123">
        <f t="shared" si="484"/>
        <v>0</v>
      </c>
      <c r="AK675" s="122">
        <f>(1+HLOOKUP(YEAR(A675),'Real assumptions'!$A$21:$AK$24,2,TRUE)/100)^(1/12)-1</f>
        <v>0</v>
      </c>
      <c r="AL675">
        <f t="shared" si="518"/>
        <v>6.003816345286881E-2</v>
      </c>
      <c r="AM675">
        <f>('Real assumptions'!$B$33/12)*O674*AV674</f>
        <v>5.7943586015163834E-2</v>
      </c>
      <c r="AN675">
        <f t="shared" si="506"/>
        <v>7.643735173488845</v>
      </c>
      <c r="AO675">
        <f t="shared" si="485"/>
        <v>0</v>
      </c>
      <c r="AP675" s="121">
        <f t="shared" si="507"/>
        <v>0</v>
      </c>
      <c r="AQ675">
        <f t="shared" si="508"/>
        <v>0</v>
      </c>
      <c r="AR675">
        <v>0</v>
      </c>
      <c r="AS675">
        <f t="shared" si="491"/>
        <v>0</v>
      </c>
      <c r="AT675">
        <f t="shared" si="509"/>
        <v>0</v>
      </c>
      <c r="AU675">
        <f>IFERROR(HLOOKUP(B675,'Real assumptions'!$B$43:$AL$44,2,TRUE)*($W$3/$U$2),0)</f>
        <v>0</v>
      </c>
      <c r="AV675">
        <f>AV674*(1+'Real assumptions'!$B$35)^(1/12)</f>
        <v>1.9864402740891529</v>
      </c>
      <c r="AW675">
        <f t="shared" si="492"/>
        <v>2074</v>
      </c>
      <c r="AX675">
        <f t="shared" si="519"/>
        <v>7.645983352704989</v>
      </c>
      <c r="AY675">
        <f t="shared" si="520"/>
        <v>1.228946585503669E-2</v>
      </c>
      <c r="AZ675">
        <f t="shared" si="493"/>
        <v>13.325033858926314</v>
      </c>
      <c r="BA675">
        <f t="shared" si="510"/>
        <v>0.45766312685733362</v>
      </c>
      <c r="BB675">
        <f t="shared" si="511"/>
        <v>43.666666666666664</v>
      </c>
      <c r="BC675">
        <f t="shared" si="494"/>
        <v>26.199999999999996</v>
      </c>
      <c r="BD675">
        <f t="shared" si="512"/>
        <v>0</v>
      </c>
      <c r="BE675">
        <f t="shared" si="495"/>
        <v>24</v>
      </c>
      <c r="BF675">
        <f t="shared" si="521"/>
        <v>5000</v>
      </c>
      <c r="BU675"/>
      <c r="DW675" s="89"/>
      <c r="DX675" s="89"/>
      <c r="FD675"/>
      <c r="FE675"/>
    </row>
    <row r="676" spans="1:161" x14ac:dyDescent="0.25">
      <c r="A676" s="7">
        <f t="shared" si="513"/>
        <v>63674</v>
      </c>
      <c r="B676">
        <f t="shared" si="496"/>
        <v>665</v>
      </c>
      <c r="C676">
        <f t="shared" si="477"/>
        <v>55.333333333333336</v>
      </c>
      <c r="D676">
        <f t="shared" si="478"/>
        <v>0</v>
      </c>
      <c r="E676">
        <f t="shared" si="497"/>
        <v>107</v>
      </c>
      <c r="F676">
        <f>IF(C676&gt;=$T$2,0,VLOOKUP($E676,EKM_F05!$A$3:$C$128,2,TRUE))</f>
        <v>0.72822833333333326</v>
      </c>
      <c r="G676">
        <f>F676*'Real assumptions'!$B$3</f>
        <v>0.30388968349999995</v>
      </c>
      <c r="H676">
        <f t="shared" si="479"/>
        <v>2.9736175916306062E-2</v>
      </c>
      <c r="I676">
        <f t="shared" si="480"/>
        <v>8.3841200785328345E-5</v>
      </c>
      <c r="J676">
        <f>IF(B676&gt;$AJ$2,0,HLOOKUP(C676,'Real assumptions'!$B$5:$L$8,4,TRUE))</f>
        <v>3.7900000000000003E-2</v>
      </c>
      <c r="K676">
        <f t="shared" si="486"/>
        <v>1</v>
      </c>
      <c r="L676">
        <f t="shared" si="514"/>
        <v>8.3333333333333329E-2</v>
      </c>
      <c r="M676">
        <f t="shared" si="481"/>
        <v>3.2145624959929453E-3</v>
      </c>
      <c r="N676">
        <f t="shared" si="482"/>
        <v>8.9430823228061331E-6</v>
      </c>
      <c r="O676" s="8">
        <f t="shared" si="498"/>
        <v>2.7312565199735192E-3</v>
      </c>
      <c r="P676">
        <f t="shared" si="499"/>
        <v>6.7776979273959689E-2</v>
      </c>
      <c r="Q676">
        <f t="shared" si="515"/>
        <v>0.4192060039266417</v>
      </c>
      <c r="R676" s="89">
        <f t="shared" si="487"/>
        <v>5000</v>
      </c>
      <c r="S676">
        <f t="shared" si="488"/>
        <v>0.5833333333333357</v>
      </c>
      <c r="U676">
        <f>O675*AV675*'Real assumptions'!$B$33/12+AX676*'Real assumptions'!$B$34</f>
        <v>5.8127159180896996E-2</v>
      </c>
      <c r="V676">
        <f>IF(P676=0,0,IF(E676&lt;=$C$7,$AN$5*O675,0))*'Real assumptions'!$D$28</f>
        <v>0</v>
      </c>
      <c r="X676" s="94">
        <f t="shared" si="500"/>
        <v>0</v>
      </c>
      <c r="Y676">
        <f t="shared" si="489"/>
        <v>24</v>
      </c>
      <c r="Z676">
        <f t="shared" si="516"/>
        <v>43</v>
      </c>
      <c r="AA676">
        <f t="shared" si="490"/>
        <v>43.583333333333336</v>
      </c>
      <c r="AB676">
        <f t="shared" si="501"/>
        <v>50.505050505050505</v>
      </c>
      <c r="AC676">
        <f t="shared" si="483"/>
        <v>2201.1784511784513</v>
      </c>
      <c r="AD676">
        <f t="shared" si="502"/>
        <v>80.505050505050505</v>
      </c>
      <c r="AE676">
        <f t="shared" si="503"/>
        <v>175.43392255892257</v>
      </c>
      <c r="AF676" s="94">
        <f t="shared" si="504"/>
        <v>2623.3876262626263</v>
      </c>
      <c r="AG676">
        <f t="shared" si="517"/>
        <v>2.3461171506297635E-2</v>
      </c>
      <c r="AH676">
        <f t="shared" si="505"/>
        <v>7.1651445586476514</v>
      </c>
      <c r="AI676">
        <f>HLOOKUP(AW676,'Real assumptions'!$A$21:$AK$24,2,TRUE)</f>
        <v>0</v>
      </c>
      <c r="AJ676" s="123">
        <f t="shared" si="484"/>
        <v>0</v>
      </c>
      <c r="AK676" s="122">
        <f>(1+HLOOKUP(YEAR(A676),'Real assumptions'!$A$21:$AK$24,2,TRUE)/100)^(1/12)-1</f>
        <v>0</v>
      </c>
      <c r="AL676">
        <f t="shared" si="518"/>
        <v>5.8127159180896996E-2</v>
      </c>
      <c r="AM676">
        <f>('Real assumptions'!$B$33/12)*O675*AV675</f>
        <v>5.6097883869124711E-2</v>
      </c>
      <c r="AN676">
        <f t="shared" si="506"/>
        <v>7.4053705355614126</v>
      </c>
      <c r="AO676">
        <f t="shared" si="485"/>
        <v>0</v>
      </c>
      <c r="AP676" s="121">
        <f t="shared" si="507"/>
        <v>0</v>
      </c>
      <c r="AQ676">
        <f t="shared" si="508"/>
        <v>0</v>
      </c>
      <c r="AR676">
        <v>0</v>
      </c>
      <c r="AS676">
        <f t="shared" si="491"/>
        <v>0</v>
      </c>
      <c r="AT676">
        <f t="shared" si="509"/>
        <v>0</v>
      </c>
      <c r="AU676">
        <f>IFERROR(HLOOKUP(B676,'Real assumptions'!$B$43:$AL$44,2,TRUE)*($W$3/$U$2),0)</f>
        <v>0</v>
      </c>
      <c r="AV676">
        <f>AV675*(1+'Real assumptions'!$B$35)^(1/12)</f>
        <v>1.988497721686477</v>
      </c>
      <c r="AW676">
        <f t="shared" si="492"/>
        <v>2074</v>
      </c>
      <c r="AX676">
        <f t="shared" si="519"/>
        <v>7.4076064090840132</v>
      </c>
      <c r="AY676">
        <f t="shared" si="520"/>
        <v>1.1885693615663525E-2</v>
      </c>
      <c r="AZ676">
        <f t="shared" si="493"/>
        <v>12.892016503586438</v>
      </c>
      <c r="BA676">
        <f t="shared" si="510"/>
        <v>0.44266717543293932</v>
      </c>
      <c r="BB676">
        <f t="shared" si="511"/>
        <v>43.583333333333336</v>
      </c>
      <c r="BC676">
        <f t="shared" si="494"/>
        <v>26.15</v>
      </c>
      <c r="BD676">
        <f t="shared" si="512"/>
        <v>0</v>
      </c>
      <c r="BE676">
        <f t="shared" si="495"/>
        <v>24</v>
      </c>
      <c r="BF676">
        <f t="shared" si="521"/>
        <v>5000</v>
      </c>
      <c r="BU676"/>
      <c r="DW676" s="89"/>
      <c r="DX676" s="89"/>
      <c r="FD676"/>
      <c r="FE676"/>
    </row>
    <row r="677" spans="1:161" x14ac:dyDescent="0.25">
      <c r="A677" s="7">
        <f t="shared" si="513"/>
        <v>63705</v>
      </c>
      <c r="B677">
        <f t="shared" si="496"/>
        <v>666</v>
      </c>
      <c r="C677">
        <f t="shared" si="477"/>
        <v>55.416666666666664</v>
      </c>
      <c r="D677">
        <f t="shared" si="478"/>
        <v>0</v>
      </c>
      <c r="E677">
        <f t="shared" si="497"/>
        <v>107</v>
      </c>
      <c r="F677">
        <f>IF(C677&gt;=$T$2,0,VLOOKUP($E677,EKM_F05!$A$3:$C$128,2,TRUE))</f>
        <v>0.72822833333333326</v>
      </c>
      <c r="G677">
        <f>F677*'Real assumptions'!$B$3</f>
        <v>0.30388968349999995</v>
      </c>
      <c r="H677">
        <f t="shared" si="479"/>
        <v>2.9736175916306062E-2</v>
      </c>
      <c r="I677">
        <f t="shared" si="480"/>
        <v>8.1086585589505722E-5</v>
      </c>
      <c r="J677">
        <f>IF(B677&gt;$AJ$2,0,HLOOKUP(C677,'Real assumptions'!$B$5:$L$8,4,TRUE))</f>
        <v>3.7900000000000003E-2</v>
      </c>
      <c r="K677">
        <f t="shared" si="486"/>
        <v>1</v>
      </c>
      <c r="L677">
        <f t="shared" si="514"/>
        <v>8.3333333333333329E-2</v>
      </c>
      <c r="M677">
        <f t="shared" si="481"/>
        <v>3.2145624959929453E-3</v>
      </c>
      <c r="N677">
        <f t="shared" si="482"/>
        <v>8.64925601505834E-6</v>
      </c>
      <c r="O677" s="8">
        <f t="shared" si="498"/>
        <v>2.6415206783689548E-3</v>
      </c>
      <c r="P677">
        <f t="shared" si="499"/>
        <v>6.5550156479364463E-2</v>
      </c>
      <c r="Q677">
        <f t="shared" si="515"/>
        <v>0.40543292794752861</v>
      </c>
      <c r="R677" s="89">
        <f t="shared" si="487"/>
        <v>5000</v>
      </c>
      <c r="S677">
        <f t="shared" si="488"/>
        <v>0.5</v>
      </c>
      <c r="U677">
        <f>O676*AV676*'Real assumptions'!$B$33/12+AX677*'Real assumptions'!$B$34</f>
        <v>5.6276976866807431E-2</v>
      </c>
      <c r="V677">
        <f>IF(P677=0,0,IF(E677&lt;=$C$7,$AN$5*O676,0))*'Real assumptions'!$D$28</f>
        <v>0</v>
      </c>
      <c r="X677" s="94">
        <f t="shared" si="500"/>
        <v>0</v>
      </c>
      <c r="Y677">
        <f t="shared" si="489"/>
        <v>24</v>
      </c>
      <c r="Z677">
        <f t="shared" si="516"/>
        <v>43</v>
      </c>
      <c r="AA677">
        <f t="shared" si="490"/>
        <v>43.5</v>
      </c>
      <c r="AB677">
        <f t="shared" si="501"/>
        <v>50.505050505050505</v>
      </c>
      <c r="AC677">
        <f t="shared" si="483"/>
        <v>2196.969696969697</v>
      </c>
      <c r="AD677">
        <f t="shared" si="502"/>
        <v>80.505050505050505</v>
      </c>
      <c r="AE677">
        <f t="shared" si="503"/>
        <v>175.09848484848484</v>
      </c>
      <c r="AF677" s="94">
        <f t="shared" si="504"/>
        <v>2627.931818181818</v>
      </c>
      <c r="AG677">
        <f t="shared" si="517"/>
        <v>2.272965508557229E-2</v>
      </c>
      <c r="AH677">
        <f t="shared" si="505"/>
        <v>6.9417362390709965</v>
      </c>
      <c r="AI677">
        <f>HLOOKUP(AW677,'Real assumptions'!$A$21:$AK$24,2,TRUE)</f>
        <v>0</v>
      </c>
      <c r="AJ677" s="123">
        <f t="shared" si="484"/>
        <v>0</v>
      </c>
      <c r="AK677" s="122">
        <f>(1+HLOOKUP(YEAR(A677),'Real assumptions'!$A$21:$AK$24,2,TRUE)/100)^(1/12)-1</f>
        <v>0</v>
      </c>
      <c r="AL677">
        <f t="shared" si="518"/>
        <v>5.6276976866807431E-2</v>
      </c>
      <c r="AM677">
        <f>('Real assumptions'!$B$33/12)*O676*AV676</f>
        <v>5.4310973673086786E-2</v>
      </c>
      <c r="AN677">
        <f t="shared" si="506"/>
        <v>7.1744177382602086</v>
      </c>
      <c r="AO677">
        <f t="shared" si="485"/>
        <v>0</v>
      </c>
      <c r="AP677" s="121">
        <f t="shared" si="507"/>
        <v>0</v>
      </c>
      <c r="AQ677">
        <f t="shared" si="508"/>
        <v>0</v>
      </c>
      <c r="AR677">
        <v>0</v>
      </c>
      <c r="AS677">
        <f t="shared" si="491"/>
        <v>0</v>
      </c>
      <c r="AT677">
        <f t="shared" si="509"/>
        <v>0</v>
      </c>
      <c r="AU677">
        <f>IFERROR(HLOOKUP(B677,'Real assumptions'!$B$43:$AL$44,2,TRUE)*($W$3/$U$2),0)</f>
        <v>0</v>
      </c>
      <c r="AV677">
        <f>AV676*(1+'Real assumptions'!$B$35)^(1/12)</f>
        <v>1.9905573002769505</v>
      </c>
      <c r="AW677">
        <f t="shared" si="492"/>
        <v>2074</v>
      </c>
      <c r="AX677">
        <f t="shared" si="519"/>
        <v>7.1766397460212774</v>
      </c>
      <c r="AY677">
        <f t="shared" si="520"/>
        <v>1.1495187373625922E-2</v>
      </c>
      <c r="AZ677">
        <f t="shared" si="493"/>
        <v>12.473127100165895</v>
      </c>
      <c r="BA677">
        <f t="shared" si="510"/>
        <v>0.4281625830331009</v>
      </c>
      <c r="BB677">
        <f t="shared" si="511"/>
        <v>43.5</v>
      </c>
      <c r="BC677">
        <f t="shared" si="494"/>
        <v>26.1</v>
      </c>
      <c r="BD677">
        <f t="shared" si="512"/>
        <v>0</v>
      </c>
      <c r="BE677">
        <f t="shared" si="495"/>
        <v>24</v>
      </c>
      <c r="BF677">
        <f t="shared" si="521"/>
        <v>5000</v>
      </c>
      <c r="BU677"/>
      <c r="DW677" s="89"/>
      <c r="DX677" s="89"/>
      <c r="FD677"/>
      <c r="FE677"/>
    </row>
    <row r="678" spans="1:161" x14ac:dyDescent="0.25">
      <c r="A678" s="7">
        <f t="shared" si="513"/>
        <v>63735</v>
      </c>
      <c r="B678">
        <f t="shared" si="496"/>
        <v>667</v>
      </c>
      <c r="C678">
        <f t="shared" si="477"/>
        <v>55.5</v>
      </c>
      <c r="D678">
        <f t="shared" si="478"/>
        <v>0</v>
      </c>
      <c r="E678">
        <f t="shared" si="497"/>
        <v>107</v>
      </c>
      <c r="F678">
        <f>IF(C678&gt;=$T$2,0,VLOOKUP($E678,EKM_F05!$A$3:$C$128,2,TRUE))</f>
        <v>0.72822833333333326</v>
      </c>
      <c r="G678">
        <f>F678*'Real assumptions'!$B$3</f>
        <v>0.30388968349999995</v>
      </c>
      <c r="H678">
        <f t="shared" si="479"/>
        <v>2.9736175916306062E-2</v>
      </c>
      <c r="I678">
        <f t="shared" si="480"/>
        <v>7.8422473688077521E-5</v>
      </c>
      <c r="J678">
        <f>IF(B678&gt;$AJ$2,0,HLOOKUP(C678,'Real assumptions'!$B$5:$L$8,4,TRUE))</f>
        <v>3.7900000000000003E-2</v>
      </c>
      <c r="K678">
        <f t="shared" si="486"/>
        <v>1</v>
      </c>
      <c r="L678">
        <f t="shared" si="514"/>
        <v>8.3333333333333329E-2</v>
      </c>
      <c r="M678">
        <f t="shared" si="481"/>
        <v>3.2145624959929453E-3</v>
      </c>
      <c r="N678">
        <f t="shared" si="482"/>
        <v>8.3650834146128401E-6</v>
      </c>
      <c r="O678" s="8">
        <f t="shared" si="498"/>
        <v>2.5547331212662648E-3</v>
      </c>
      <c r="P678">
        <f t="shared" si="499"/>
        <v>6.3396496280854919E-2</v>
      </c>
      <c r="Q678">
        <f t="shared" si="515"/>
        <v>0.3921123684403876</v>
      </c>
      <c r="R678" s="89">
        <f t="shared" si="487"/>
        <v>5000</v>
      </c>
      <c r="S678">
        <f t="shared" si="488"/>
        <v>0.4166666666666643</v>
      </c>
      <c r="U678">
        <f>O677*AV677*'Real assumptions'!$B$33/12+AX678*'Real assumptions'!$B$34</f>
        <v>5.448568088381199E-2</v>
      </c>
      <c r="V678">
        <f>IF(P678=0,0,IF(E678&lt;=$C$7,$AN$5*O677,0))*'Real assumptions'!$D$28</f>
        <v>0</v>
      </c>
      <c r="X678" s="94">
        <f t="shared" si="500"/>
        <v>0</v>
      </c>
      <c r="Y678">
        <f t="shared" si="489"/>
        <v>24</v>
      </c>
      <c r="Z678">
        <f t="shared" si="516"/>
        <v>43</v>
      </c>
      <c r="AA678">
        <f t="shared" si="490"/>
        <v>43.416666666666664</v>
      </c>
      <c r="AB678">
        <f t="shared" si="501"/>
        <v>50.505050505050505</v>
      </c>
      <c r="AC678">
        <f t="shared" si="483"/>
        <v>2192.7609427609427</v>
      </c>
      <c r="AD678">
        <f t="shared" si="502"/>
        <v>80.505050505050505</v>
      </c>
      <c r="AE678">
        <f t="shared" si="503"/>
        <v>174.76304713804711</v>
      </c>
      <c r="AF678" s="94">
        <f t="shared" si="504"/>
        <v>2632.4760101010102</v>
      </c>
      <c r="AG678">
        <f t="shared" si="517"/>
        <v>2.2020881411462145E-2</v>
      </c>
      <c r="AH678">
        <f t="shared" si="505"/>
        <v>6.7252736539439173</v>
      </c>
      <c r="AI678">
        <f>HLOOKUP(AW678,'Real assumptions'!$A$21:$AK$24,2,TRUE)</f>
        <v>0</v>
      </c>
      <c r="AJ678" s="123">
        <f t="shared" si="484"/>
        <v>0</v>
      </c>
      <c r="AK678" s="122">
        <f>(1+HLOOKUP(YEAR(A678),'Real assumptions'!$A$21:$AK$24,2,TRUE)/100)^(1/12)-1</f>
        <v>0</v>
      </c>
      <c r="AL678">
        <f t="shared" si="518"/>
        <v>5.448568088381199E-2</v>
      </c>
      <c r="AM678">
        <f>('Real assumptions'!$B$33/12)*O677*AV677</f>
        <v>5.2580982701598458E-2</v>
      </c>
      <c r="AN678">
        <f t="shared" si="506"/>
        <v>6.950647054468039</v>
      </c>
      <c r="AO678">
        <f t="shared" si="485"/>
        <v>0</v>
      </c>
      <c r="AP678" s="121">
        <f t="shared" si="507"/>
        <v>0</v>
      </c>
      <c r="AQ678">
        <f t="shared" si="508"/>
        <v>0</v>
      </c>
      <c r="AR678">
        <v>0</v>
      </c>
      <c r="AS678">
        <f t="shared" si="491"/>
        <v>0</v>
      </c>
      <c r="AT678">
        <f t="shared" si="509"/>
        <v>0</v>
      </c>
      <c r="AU678">
        <f>IFERROR(HLOOKUP(B678,'Real assumptions'!$B$43:$AL$44,2,TRUE)*($W$3/$U$2),0)</f>
        <v>0</v>
      </c>
      <c r="AV678">
        <f>AV677*(1+'Real assumptions'!$B$35)^(1/12)</f>
        <v>1.9926190120677412</v>
      </c>
      <c r="AW678">
        <f t="shared" si="492"/>
        <v>2074</v>
      </c>
      <c r="AX678">
        <f t="shared" si="519"/>
        <v>6.9528537503435928</v>
      </c>
      <c r="AY678">
        <f t="shared" si="520"/>
        <v>1.111751127259661E-2</v>
      </c>
      <c r="AZ678">
        <f t="shared" si="493"/>
        <v>12.06790466571109</v>
      </c>
      <c r="BA678">
        <f t="shared" si="510"/>
        <v>0.41413324985184974</v>
      </c>
      <c r="BB678">
        <f t="shared" si="511"/>
        <v>43.416666666666664</v>
      </c>
      <c r="BC678">
        <f t="shared" si="494"/>
        <v>26.049999999999997</v>
      </c>
      <c r="BD678">
        <f t="shared" si="512"/>
        <v>0</v>
      </c>
      <c r="BE678">
        <f t="shared" si="495"/>
        <v>24</v>
      </c>
      <c r="BF678">
        <f t="shared" si="521"/>
        <v>5000</v>
      </c>
      <c r="BU678"/>
      <c r="DW678" s="89"/>
      <c r="DX678" s="89"/>
      <c r="FD678"/>
      <c r="FE678"/>
    </row>
    <row r="679" spans="1:161" x14ac:dyDescent="0.25">
      <c r="A679" s="7">
        <f t="shared" si="513"/>
        <v>63766</v>
      </c>
      <c r="B679">
        <f t="shared" si="496"/>
        <v>668</v>
      </c>
      <c r="C679">
        <f t="shared" si="477"/>
        <v>55.583333333333336</v>
      </c>
      <c r="D679">
        <f t="shared" si="478"/>
        <v>0</v>
      </c>
      <c r="E679">
        <f t="shared" si="497"/>
        <v>107</v>
      </c>
      <c r="F679">
        <f>IF(C679&gt;=$T$2,0,VLOOKUP($E679,EKM_F05!$A$3:$C$128,2,TRUE))</f>
        <v>0.72822833333333326</v>
      </c>
      <c r="G679">
        <f>F679*'Real assumptions'!$B$3</f>
        <v>0.30388968349999995</v>
      </c>
      <c r="H679">
        <f t="shared" si="479"/>
        <v>2.9736175916306062E-2</v>
      </c>
      <c r="I679">
        <f t="shared" si="480"/>
        <v>7.5845891581765654E-5</v>
      </c>
      <c r="J679">
        <f>IF(B679&gt;$AJ$2,0,HLOOKUP(C679,'Real assumptions'!$B$5:$L$8,4,TRUE))</f>
        <v>3.7900000000000003E-2</v>
      </c>
      <c r="K679">
        <f t="shared" si="486"/>
        <v>1</v>
      </c>
      <c r="L679">
        <f t="shared" si="514"/>
        <v>8.3333333333333329E-2</v>
      </c>
      <c r="M679">
        <f t="shared" si="481"/>
        <v>3.2145624959929453E-3</v>
      </c>
      <c r="N679">
        <f t="shared" si="482"/>
        <v>8.0902473474718693E-6</v>
      </c>
      <c r="O679" s="8">
        <f t="shared" si="498"/>
        <v>2.4707969823370272E-3</v>
      </c>
      <c r="P679">
        <f t="shared" si="499"/>
        <v>6.1313594910390359E-2</v>
      </c>
      <c r="Q679">
        <f t="shared" si="515"/>
        <v>0.37922945790882828</v>
      </c>
      <c r="R679" s="89">
        <f t="shared" si="487"/>
        <v>5000</v>
      </c>
      <c r="S679">
        <f t="shared" si="488"/>
        <v>0.3333333333333357</v>
      </c>
      <c r="U679">
        <f>O678*AV678*'Real assumptions'!$B$33/12+AX679*'Real assumptions'!$B$34</f>
        <v>5.2751397199809216E-2</v>
      </c>
      <c r="V679">
        <f>IF(P679=0,0,IF(E679&lt;=$C$7,$AN$5*O678,0))*'Real assumptions'!$D$28</f>
        <v>0</v>
      </c>
      <c r="X679" s="94">
        <f t="shared" si="500"/>
        <v>0</v>
      </c>
      <c r="Y679">
        <f t="shared" si="489"/>
        <v>24</v>
      </c>
      <c r="Z679">
        <f t="shared" si="516"/>
        <v>43</v>
      </c>
      <c r="AA679">
        <f t="shared" si="490"/>
        <v>43.333333333333336</v>
      </c>
      <c r="AB679">
        <f t="shared" si="501"/>
        <v>50.505050505050505</v>
      </c>
      <c r="AC679">
        <f t="shared" si="483"/>
        <v>2188.5521885521885</v>
      </c>
      <c r="AD679">
        <f t="shared" si="502"/>
        <v>80.505050505050505</v>
      </c>
      <c r="AE679">
        <f t="shared" si="503"/>
        <v>174.42760942760944</v>
      </c>
      <c r="AF679" s="94">
        <f t="shared" si="504"/>
        <v>2637.0202020202023</v>
      </c>
      <c r="AG679">
        <f t="shared" si="517"/>
        <v>2.1334145694623673E-2</v>
      </c>
      <c r="AH679">
        <f t="shared" si="505"/>
        <v>6.515541557513294</v>
      </c>
      <c r="AI679">
        <f>HLOOKUP(AW679,'Real assumptions'!$A$21:$AK$24,2,TRUE)</f>
        <v>0</v>
      </c>
      <c r="AJ679" s="123">
        <f t="shared" si="484"/>
        <v>0</v>
      </c>
      <c r="AK679" s="122">
        <f>(1+HLOOKUP(YEAR(A679),'Real assumptions'!$A$21:$AK$24,2,TRUE)/100)^(1/12)-1</f>
        <v>0</v>
      </c>
      <c r="AL679">
        <f t="shared" si="518"/>
        <v>5.2751397199809216E-2</v>
      </c>
      <c r="AM679">
        <f>('Real assumptions'!$B$33/12)*O678*AV678</f>
        <v>5.090609788194321E-2</v>
      </c>
      <c r="AN679">
        <f t="shared" si="506"/>
        <v>6.7338358516544989</v>
      </c>
      <c r="AO679">
        <f t="shared" si="485"/>
        <v>0</v>
      </c>
      <c r="AP679" s="121">
        <f t="shared" si="507"/>
        <v>0</v>
      </c>
      <c r="AQ679">
        <f t="shared" si="508"/>
        <v>0</v>
      </c>
      <c r="AR679">
        <v>0</v>
      </c>
      <c r="AS679">
        <f t="shared" si="491"/>
        <v>0</v>
      </c>
      <c r="AT679">
        <f t="shared" si="509"/>
        <v>0</v>
      </c>
      <c r="AU679">
        <f>IFERROR(HLOOKUP(B679,'Real assumptions'!$B$43:$AL$44,2,TRUE)*($W$3/$U$2),0)</f>
        <v>0</v>
      </c>
      <c r="AV679">
        <f>AV678*(1+'Real assumptions'!$B$35)^(1/12)</f>
        <v>1.9946828592683026</v>
      </c>
      <c r="AW679">
        <f t="shared" si="492"/>
        <v>2074</v>
      </c>
      <c r="AX679">
        <f t="shared" si="519"/>
        <v>6.7360258977202907</v>
      </c>
      <c r="AY679">
        <f t="shared" si="520"/>
        <v>1.0752243776373167E-2</v>
      </c>
      <c r="AZ679">
        <f t="shared" si="493"/>
        <v>11.675903259818218</v>
      </c>
      <c r="BA679">
        <f t="shared" si="510"/>
        <v>0.40056360360345195</v>
      </c>
      <c r="BB679">
        <f t="shared" si="511"/>
        <v>43.333333333333336</v>
      </c>
      <c r="BC679">
        <f t="shared" si="494"/>
        <v>26</v>
      </c>
      <c r="BD679">
        <f t="shared" si="512"/>
        <v>0</v>
      </c>
      <c r="BE679">
        <f t="shared" si="495"/>
        <v>24</v>
      </c>
      <c r="BF679">
        <f t="shared" si="521"/>
        <v>5000</v>
      </c>
      <c r="BU679"/>
      <c r="DW679" s="89"/>
      <c r="DX679" s="89"/>
      <c r="FD679"/>
      <c r="FE679"/>
    </row>
    <row r="680" spans="1:161" x14ac:dyDescent="0.25">
      <c r="A680" s="7">
        <f t="shared" si="513"/>
        <v>63797</v>
      </c>
      <c r="B680">
        <f t="shared" si="496"/>
        <v>669</v>
      </c>
      <c r="C680">
        <f t="shared" si="477"/>
        <v>55.666666666666664</v>
      </c>
      <c r="D680">
        <f t="shared" si="478"/>
        <v>0</v>
      </c>
      <c r="E680">
        <f t="shared" si="497"/>
        <v>107</v>
      </c>
      <c r="F680">
        <f>IF(C680&gt;=$T$2,0,VLOOKUP($E680,EKM_F05!$A$3:$C$128,2,TRUE))</f>
        <v>0.72822833333333326</v>
      </c>
      <c r="G680">
        <f>F680*'Real assumptions'!$B$3</f>
        <v>0.30388968349999995</v>
      </c>
      <c r="H680">
        <f t="shared" si="479"/>
        <v>2.9736175916306062E-2</v>
      </c>
      <c r="I680">
        <f t="shared" si="480"/>
        <v>7.3353963466055649E-5</v>
      </c>
      <c r="J680">
        <f>IF(B680&gt;$AJ$2,0,HLOOKUP(C680,'Real assumptions'!$B$5:$L$8,4,TRUE))</f>
        <v>3.7900000000000003E-2</v>
      </c>
      <c r="K680">
        <f t="shared" si="486"/>
        <v>1</v>
      </c>
      <c r="L680">
        <f t="shared" si="514"/>
        <v>8.3333333333333329E-2</v>
      </c>
      <c r="M680">
        <f t="shared" si="481"/>
        <v>3.2145624959929453E-3</v>
      </c>
      <c r="N680">
        <f t="shared" si="482"/>
        <v>7.8244410604367999E-6</v>
      </c>
      <c r="O680" s="8">
        <f t="shared" si="498"/>
        <v>2.3896185778105347E-3</v>
      </c>
      <c r="P680">
        <f t="shared" si="499"/>
        <v>5.9299127576088656E-2</v>
      </c>
      <c r="Q680">
        <f t="shared" si="515"/>
        <v>0.36676981733027825</v>
      </c>
      <c r="R680" s="89">
        <f t="shared" si="487"/>
        <v>5000</v>
      </c>
      <c r="S680">
        <f t="shared" si="488"/>
        <v>0.25</v>
      </c>
      <c r="U680">
        <f>O679*AV679*'Real assumptions'!$B$33/12+AX680*'Real assumptions'!$B$34</f>
        <v>5.1072311417533191E-2</v>
      </c>
      <c r="V680">
        <f>IF(P680=0,0,IF(E680&lt;=$C$7,$AN$5*O679,0))*'Real assumptions'!$D$28</f>
        <v>0</v>
      </c>
      <c r="X680" s="94">
        <f t="shared" si="500"/>
        <v>0</v>
      </c>
      <c r="Y680">
        <f t="shared" si="489"/>
        <v>24</v>
      </c>
      <c r="Z680">
        <f t="shared" si="516"/>
        <v>43</v>
      </c>
      <c r="AA680">
        <f t="shared" si="490"/>
        <v>43.25</v>
      </c>
      <c r="AB680">
        <f t="shared" si="501"/>
        <v>50.505050505050505</v>
      </c>
      <c r="AC680">
        <f t="shared" si="483"/>
        <v>2184.3434343434342</v>
      </c>
      <c r="AD680">
        <f t="shared" si="502"/>
        <v>80.505050505050505</v>
      </c>
      <c r="AE680">
        <f t="shared" si="503"/>
        <v>174.09217171717171</v>
      </c>
      <c r="AF680" s="94">
        <f t="shared" si="504"/>
        <v>2641.564393939394</v>
      </c>
      <c r="AG680">
        <f t="shared" si="517"/>
        <v>2.0668764907727243E-2</v>
      </c>
      <c r="AH680">
        <f t="shared" si="505"/>
        <v>6.3123313502404015</v>
      </c>
      <c r="AI680">
        <f>HLOOKUP(AW680,'Real assumptions'!$A$21:$AK$24,2,TRUE)</f>
        <v>0</v>
      </c>
      <c r="AJ680" s="123">
        <f t="shared" si="484"/>
        <v>0</v>
      </c>
      <c r="AK680" s="122">
        <f>(1+HLOOKUP(YEAR(A680),'Real assumptions'!$A$21:$AK$24,2,TRUE)/100)^(1/12)-1</f>
        <v>0</v>
      </c>
      <c r="AL680">
        <f t="shared" si="518"/>
        <v>5.1072311417533191E-2</v>
      </c>
      <c r="AM680">
        <f>('Real assumptions'!$B$33/12)*O679*AV679</f>
        <v>4.9284563893995152E-2</v>
      </c>
      <c r="AN680">
        <f t="shared" si="506"/>
        <v>6.5237683736718495</v>
      </c>
      <c r="AO680">
        <f t="shared" si="485"/>
        <v>0</v>
      </c>
      <c r="AP680" s="121">
        <f t="shared" si="507"/>
        <v>0</v>
      </c>
      <c r="AQ680">
        <f t="shared" si="508"/>
        <v>0</v>
      </c>
      <c r="AR680">
        <v>0</v>
      </c>
      <c r="AS680">
        <f t="shared" si="491"/>
        <v>0</v>
      </c>
      <c r="AT680">
        <f t="shared" si="509"/>
        <v>0</v>
      </c>
      <c r="AU680">
        <f>IFERROR(HLOOKUP(B680,'Real assumptions'!$B$43:$AL$44,2,TRUE)*($W$3/$U$2),0)</f>
        <v>0</v>
      </c>
      <c r="AV680">
        <f>AV679*(1+'Real assumptions'!$B$35)^(1/12)</f>
        <v>1.9967488440903769</v>
      </c>
      <c r="AW680">
        <f t="shared" si="492"/>
        <v>2074</v>
      </c>
      <c r="AX680">
        <f t="shared" si="519"/>
        <v>6.5259405347116823</v>
      </c>
      <c r="AY680">
        <f t="shared" si="520"/>
        <v>1.039897719838816E-2</v>
      </c>
      <c r="AZ680">
        <f t="shared" si="493"/>
        <v>11.29669149373877</v>
      </c>
      <c r="BA680">
        <f t="shared" si="510"/>
        <v>0.38743858223800548</v>
      </c>
      <c r="BB680">
        <f t="shared" si="511"/>
        <v>43.25</v>
      </c>
      <c r="BC680">
        <f t="shared" si="494"/>
        <v>25.95</v>
      </c>
      <c r="BD680">
        <f t="shared" si="512"/>
        <v>0</v>
      </c>
      <c r="BE680">
        <f t="shared" si="495"/>
        <v>24</v>
      </c>
      <c r="BF680">
        <f t="shared" si="521"/>
        <v>5000</v>
      </c>
      <c r="BU680"/>
      <c r="DW680" s="89"/>
      <c r="DX680" s="89"/>
      <c r="FD680"/>
      <c r="FE680"/>
    </row>
    <row r="681" spans="1:161" x14ac:dyDescent="0.25">
      <c r="A681" s="7">
        <f t="shared" si="513"/>
        <v>63827</v>
      </c>
      <c r="B681">
        <f t="shared" si="496"/>
        <v>670</v>
      </c>
      <c r="C681">
        <f t="shared" si="477"/>
        <v>55.75</v>
      </c>
      <c r="D681">
        <f t="shared" si="478"/>
        <v>0</v>
      </c>
      <c r="E681">
        <f t="shared" si="497"/>
        <v>107</v>
      </c>
      <c r="F681">
        <f>IF(C681&gt;=$T$2,0,VLOOKUP($E681,EKM_F05!$A$3:$C$128,2,TRUE))</f>
        <v>0.72822833333333326</v>
      </c>
      <c r="G681">
        <f>F681*'Real assumptions'!$B$3</f>
        <v>0.30388968349999995</v>
      </c>
      <c r="H681">
        <f t="shared" si="479"/>
        <v>2.9736175916306062E-2</v>
      </c>
      <c r="I681">
        <f t="shared" si="480"/>
        <v>7.0943908021420683E-5</v>
      </c>
      <c r="J681">
        <f>IF(B681&gt;$AJ$2,0,HLOOKUP(C681,'Real assumptions'!$B$5:$L$8,4,TRUE))</f>
        <v>3.7900000000000003E-2</v>
      </c>
      <c r="K681">
        <f t="shared" si="486"/>
        <v>1</v>
      </c>
      <c r="L681">
        <f t="shared" si="514"/>
        <v>8.3333333333333329E-2</v>
      </c>
      <c r="M681">
        <f t="shared" si="481"/>
        <v>3.2145624959929453E-3</v>
      </c>
      <c r="N681">
        <f t="shared" si="482"/>
        <v>7.5673678787312566E-6</v>
      </c>
      <c r="O681" s="8">
        <f t="shared" si="498"/>
        <v>2.3111073019103827E-3</v>
      </c>
      <c r="P681">
        <f t="shared" si="499"/>
        <v>5.7350845867452829E-2</v>
      </c>
      <c r="Q681">
        <f t="shared" si="515"/>
        <v>0.35471954010710344</v>
      </c>
      <c r="R681" s="89">
        <f t="shared" si="487"/>
        <v>5000</v>
      </c>
      <c r="S681">
        <f t="shared" si="488"/>
        <v>0.1666666666666643</v>
      </c>
      <c r="U681">
        <f>O680*AV680*'Real assumptions'!$B$33/12+AX681*'Real assumptions'!$B$34</f>
        <v>4.9446666877055678E-2</v>
      </c>
      <c r="V681">
        <f>IF(P681=0,0,IF(E681&lt;=$C$7,$AN$5*O680,0))*'Real assumptions'!$D$28</f>
        <v>0</v>
      </c>
      <c r="X681" s="94">
        <f t="shared" si="500"/>
        <v>0</v>
      </c>
      <c r="Y681">
        <f t="shared" si="489"/>
        <v>24</v>
      </c>
      <c r="Z681">
        <f t="shared" si="516"/>
        <v>43</v>
      </c>
      <c r="AA681">
        <f t="shared" si="490"/>
        <v>43.166666666666664</v>
      </c>
      <c r="AB681">
        <f t="shared" si="501"/>
        <v>50.505050505050505</v>
      </c>
      <c r="AC681">
        <f t="shared" si="483"/>
        <v>2180.1346801346799</v>
      </c>
      <c r="AD681">
        <f t="shared" si="502"/>
        <v>80.505050505050505</v>
      </c>
      <c r="AE681">
        <f t="shared" si="503"/>
        <v>173.75673400673398</v>
      </c>
      <c r="AF681" s="94">
        <f t="shared" si="504"/>
        <v>2646.1085858585861</v>
      </c>
      <c r="AG681">
        <f t="shared" si="517"/>
        <v>2.0024077116261255E-2</v>
      </c>
      <c r="AH681">
        <f t="shared" si="505"/>
        <v>6.1154408744255351</v>
      </c>
      <c r="AI681">
        <f>HLOOKUP(AW681,'Real assumptions'!$A$21:$AK$24,2,TRUE)</f>
        <v>0</v>
      </c>
      <c r="AJ681" s="123">
        <f t="shared" si="484"/>
        <v>0</v>
      </c>
      <c r="AK681" s="122">
        <f>(1+HLOOKUP(YEAR(A681),'Real assumptions'!$A$21:$AK$24,2,TRUE)/100)^(1/12)-1</f>
        <v>0</v>
      </c>
      <c r="AL681">
        <f t="shared" si="518"/>
        <v>4.9446666877055678E-2</v>
      </c>
      <c r="AM681">
        <f>('Real assumptions'!$B$33/12)*O680*AV680</f>
        <v>4.7714681330600757E-2</v>
      </c>
      <c r="AN681">
        <f t="shared" si="506"/>
        <v>6.320235529230799</v>
      </c>
      <c r="AO681">
        <f t="shared" si="485"/>
        <v>0</v>
      </c>
      <c r="AP681" s="121">
        <f t="shared" si="507"/>
        <v>0</v>
      </c>
      <c r="AQ681">
        <f t="shared" si="508"/>
        <v>0</v>
      </c>
      <c r="AR681">
        <v>0</v>
      </c>
      <c r="AS681">
        <f t="shared" si="491"/>
        <v>0</v>
      </c>
      <c r="AT681">
        <f t="shared" si="509"/>
        <v>0</v>
      </c>
      <c r="AU681">
        <f>IFERROR(HLOOKUP(B681,'Real assumptions'!$B$43:$AL$44,2,TRUE)*($W$3/$U$2),0)</f>
        <v>0</v>
      </c>
      <c r="AV681">
        <f>AV680*(1+'Real assumptions'!$B$35)^(1/12)</f>
        <v>1.9988169687479971</v>
      </c>
      <c r="AW681">
        <f t="shared" si="492"/>
        <v>2074</v>
      </c>
      <c r="AX681">
        <f t="shared" si="519"/>
        <v>6.3223886674870791</v>
      </c>
      <c r="AY681">
        <f t="shared" si="520"/>
        <v>1.0057317246677334E-2</v>
      </c>
      <c r="AZ681">
        <f t="shared" si="493"/>
        <v>10.929852055505801</v>
      </c>
      <c r="BA681">
        <f t="shared" si="510"/>
        <v>0.37474361722336469</v>
      </c>
      <c r="BB681">
        <f t="shared" si="511"/>
        <v>43.166666666666664</v>
      </c>
      <c r="BC681">
        <f t="shared" si="494"/>
        <v>25.9</v>
      </c>
      <c r="BD681">
        <f t="shared" si="512"/>
        <v>0</v>
      </c>
      <c r="BE681">
        <f t="shared" si="495"/>
        <v>24</v>
      </c>
      <c r="BF681">
        <f t="shared" si="521"/>
        <v>5000</v>
      </c>
      <c r="BU681"/>
      <c r="DW681" s="89"/>
      <c r="DX681" s="89"/>
      <c r="FD681"/>
      <c r="FE681"/>
    </row>
    <row r="682" spans="1:161" x14ac:dyDescent="0.25">
      <c r="A682" s="7">
        <f t="shared" si="513"/>
        <v>63858</v>
      </c>
      <c r="B682">
        <f t="shared" si="496"/>
        <v>671</v>
      </c>
      <c r="C682">
        <f t="shared" ref="C682:C745" si="522">(B682+11)/12-1</f>
        <v>55.833333333333336</v>
      </c>
      <c r="D682">
        <f t="shared" ref="D682:D745" si="523">IF(C682-INT(C682)=0,1,0)</f>
        <v>0</v>
      </c>
      <c r="E682">
        <f t="shared" si="497"/>
        <v>107</v>
      </c>
      <c r="F682">
        <f>IF(C682&gt;=$T$2,0,VLOOKUP($E682,EKM_F05!$A$3:$C$128,2,TRUE))</f>
        <v>0.72822833333333326</v>
      </c>
      <c r="G682">
        <f>F682*'Real assumptions'!$B$3</f>
        <v>0.30388968349999995</v>
      </c>
      <c r="H682">
        <f t="shared" ref="H682:H745" si="524">(1-(1-G682)^(1/12))</f>
        <v>2.9736175916306062E-2</v>
      </c>
      <c r="I682">
        <f t="shared" ref="I682:I745" si="525">H682*O681*(1-M682/2)</f>
        <v>6.8613035309003065E-5</v>
      </c>
      <c r="J682">
        <f>IF(B682&gt;$AJ$2,0,HLOOKUP(C682,'Real assumptions'!$B$5:$L$8,4,TRUE))</f>
        <v>3.7900000000000003E-2</v>
      </c>
      <c r="K682">
        <f t="shared" si="486"/>
        <v>1</v>
      </c>
      <c r="L682">
        <f t="shared" si="514"/>
        <v>8.3333333333333329E-2</v>
      </c>
      <c r="M682">
        <f t="shared" ref="M682:M745" si="526">(1-(1-J682)^L682)</f>
        <v>3.2145624959929453E-3</v>
      </c>
      <c r="N682">
        <f t="shared" ref="N682:N745" si="527">M682*O681*(1-H682/2)</f>
        <v>7.318740874873018E-6</v>
      </c>
      <c r="O682" s="8">
        <f t="shared" si="498"/>
        <v>2.2351755257265069E-3</v>
      </c>
      <c r="P682">
        <f t="shared" si="499"/>
        <v>5.5466575245849185E-2</v>
      </c>
      <c r="Q682">
        <f t="shared" si="515"/>
        <v>0.34306517654501534</v>
      </c>
      <c r="R682" s="89">
        <f t="shared" si="487"/>
        <v>5000</v>
      </c>
      <c r="S682">
        <f t="shared" si="488"/>
        <v>8.3333333333335702E-2</v>
      </c>
      <c r="U682">
        <f>O681*AV681*'Real assumptions'!$B$33/12+AX682*'Real assumptions'!$B$34</f>
        <v>4.7872762818657856E-2</v>
      </c>
      <c r="V682">
        <f>IF(P682=0,0,IF(E682&lt;=$C$7,$AN$5*O681,0))*'Real assumptions'!$D$28</f>
        <v>0</v>
      </c>
      <c r="X682" s="94">
        <f t="shared" si="500"/>
        <v>0</v>
      </c>
      <c r="Y682">
        <f t="shared" si="489"/>
        <v>24</v>
      </c>
      <c r="Z682">
        <f t="shared" si="516"/>
        <v>43</v>
      </c>
      <c r="AA682">
        <f t="shared" si="490"/>
        <v>43.083333333333336</v>
      </c>
      <c r="AB682">
        <f t="shared" si="501"/>
        <v>50.505050505050505</v>
      </c>
      <c r="AC682">
        <f t="shared" ref="AC682:AC745" si="528">AB682*AA682</f>
        <v>2175.9259259259261</v>
      </c>
      <c r="AD682">
        <f t="shared" si="502"/>
        <v>80.505050505050505</v>
      </c>
      <c r="AE682">
        <f t="shared" si="503"/>
        <v>173.4212962962963</v>
      </c>
      <c r="AF682" s="94">
        <f t="shared" si="504"/>
        <v>2650.6527777777774</v>
      </c>
      <c r="AG682">
        <f t="shared" si="517"/>
        <v>1.9399440829817927E-2</v>
      </c>
      <c r="AH682">
        <f t="shared" si="505"/>
        <v>5.9246742160878689</v>
      </c>
      <c r="AI682">
        <f>HLOOKUP(AW682,'Real assumptions'!$A$21:$AK$24,2,TRUE)</f>
        <v>0</v>
      </c>
      <c r="AJ682" s="123">
        <f t="shared" ref="AJ682:AJ745" si="529">((1+AI682/100)^(1/12))-1</f>
        <v>0</v>
      </c>
      <c r="AK682" s="122">
        <f>(1+HLOOKUP(YEAR(A682),'Real assumptions'!$A$21:$AK$24,2,TRUE)/100)^(1/12)-1</f>
        <v>0</v>
      </c>
      <c r="AL682">
        <f t="shared" si="518"/>
        <v>4.7872762818657856E-2</v>
      </c>
      <c r="AM682">
        <f>('Real assumptions'!$B$33/12)*O681*AV681</f>
        <v>4.6194804916558731E-2</v>
      </c>
      <c r="AN682">
        <f t="shared" si="506"/>
        <v>6.1230346868527263</v>
      </c>
      <c r="AO682">
        <f t="shared" ref="AO682:AO745" si="530">AN682*AJ682</f>
        <v>0</v>
      </c>
      <c r="AP682" s="121">
        <f t="shared" si="507"/>
        <v>0</v>
      </c>
      <c r="AQ682">
        <f t="shared" si="508"/>
        <v>0</v>
      </c>
      <c r="AR682">
        <v>0</v>
      </c>
      <c r="AS682">
        <f t="shared" si="491"/>
        <v>0</v>
      </c>
      <c r="AT682">
        <f t="shared" si="509"/>
        <v>0</v>
      </c>
      <c r="AU682">
        <f>IFERROR(HLOOKUP(B682,'Real assumptions'!$B$43:$AL$44,2,TRUE)*($W$3/$U$2),0)</f>
        <v>0</v>
      </c>
      <c r="AV682">
        <f>AV681*(1+'Real assumptions'!$B$35)^(1/12)</f>
        <v>2.0008872354574891</v>
      </c>
      <c r="AW682">
        <f t="shared" si="492"/>
        <v>2074</v>
      </c>
      <c r="AX682">
        <f t="shared" si="519"/>
        <v>6.1251677570093328</v>
      </c>
      <c r="AY682">
        <f t="shared" si="520"/>
        <v>9.7268825837979068E-3</v>
      </c>
      <c r="AZ682">
        <f t="shared" si="493"/>
        <v>10.574981250558158</v>
      </c>
      <c r="BA682">
        <f t="shared" si="510"/>
        <v>0.36246461737483326</v>
      </c>
      <c r="BB682">
        <f t="shared" si="511"/>
        <v>43.083333333333336</v>
      </c>
      <c r="BC682">
        <f t="shared" si="494"/>
        <v>25.85</v>
      </c>
      <c r="BD682">
        <f t="shared" si="512"/>
        <v>0</v>
      </c>
      <c r="BE682">
        <f t="shared" si="495"/>
        <v>24</v>
      </c>
      <c r="BF682">
        <f t="shared" si="521"/>
        <v>5000</v>
      </c>
      <c r="BU682"/>
      <c r="DW682" s="89"/>
      <c r="DX682" s="89"/>
      <c r="FD682"/>
      <c r="FE682"/>
    </row>
    <row r="683" spans="1:161" x14ac:dyDescent="0.25">
      <c r="A683" s="7">
        <f t="shared" si="513"/>
        <v>63888</v>
      </c>
      <c r="B683">
        <f t="shared" si="496"/>
        <v>672</v>
      </c>
      <c r="C683">
        <f t="shared" si="522"/>
        <v>55.916666666666664</v>
      </c>
      <c r="D683">
        <f t="shared" si="523"/>
        <v>0</v>
      </c>
      <c r="E683">
        <f t="shared" si="497"/>
        <v>107</v>
      </c>
      <c r="F683">
        <f>IF(C683&gt;=$T$2,0,VLOOKUP($E683,EKM_F05!$A$3:$C$128,2,TRUE))</f>
        <v>0.72822833333333326</v>
      </c>
      <c r="G683">
        <f>F683*'Real assumptions'!$B$3</f>
        <v>0.30388968349999995</v>
      </c>
      <c r="H683">
        <f t="shared" si="524"/>
        <v>2.9736175916306062E-2</v>
      </c>
      <c r="I683">
        <f t="shared" si="525"/>
        <v>6.6358743768288783E-5</v>
      </c>
      <c r="J683">
        <f>IF(B683&gt;$AJ$2,0,HLOOKUP(C683,'Real assumptions'!$B$5:$L$8,4,TRUE))</f>
        <v>3.7900000000000003E-2</v>
      </c>
      <c r="K683">
        <f t="shared" si="486"/>
        <v>1</v>
      </c>
      <c r="L683">
        <f t="shared" si="514"/>
        <v>8.3333333333333329E-2</v>
      </c>
      <c r="M683">
        <f t="shared" si="526"/>
        <v>3.2145624959929453E-3</v>
      </c>
      <c r="N683">
        <f t="shared" si="527"/>
        <v>7.0782825484252269E-6</v>
      </c>
      <c r="O683" s="8">
        <f t="shared" si="498"/>
        <v>2.1617384994097929E-3</v>
      </c>
      <c r="P683">
        <f t="shared" si="499"/>
        <v>5.3644212617436168E-2</v>
      </c>
      <c r="Q683">
        <f t="shared" si="515"/>
        <v>0.33179371884144393</v>
      </c>
      <c r="R683" s="89">
        <f t="shared" si="487"/>
        <v>5000</v>
      </c>
      <c r="S683">
        <f t="shared" si="488"/>
        <v>1</v>
      </c>
      <c r="U683">
        <f>O682*AV682*'Real assumptions'!$B$33/12+AX683*'Real assumptions'!$B$34</f>
        <v>4.6348952604151179E-2</v>
      </c>
      <c r="V683">
        <f>IF(P683=0,0,IF(E683&lt;=$C$7,$AN$5*O682,0))*'Real assumptions'!$D$28</f>
        <v>0</v>
      </c>
      <c r="X683" s="94">
        <f t="shared" si="500"/>
        <v>0</v>
      </c>
      <c r="Y683">
        <f t="shared" si="489"/>
        <v>24</v>
      </c>
      <c r="Z683">
        <f t="shared" si="516"/>
        <v>43</v>
      </c>
      <c r="AA683">
        <f t="shared" si="490"/>
        <v>43</v>
      </c>
      <c r="AB683">
        <f t="shared" si="501"/>
        <v>50.505050505050505</v>
      </c>
      <c r="AC683">
        <f t="shared" si="528"/>
        <v>2171.7171717171718</v>
      </c>
      <c r="AD683">
        <f t="shared" si="502"/>
        <v>80.505050505050505</v>
      </c>
      <c r="AE683">
        <f t="shared" si="503"/>
        <v>173.08585858585857</v>
      </c>
      <c r="AF683" s="94">
        <f t="shared" si="504"/>
        <v>2655.1969696969695</v>
      </c>
      <c r="AG683">
        <f t="shared" si="517"/>
        <v>1.8794234373237604E-2</v>
      </c>
      <c r="AH683">
        <f t="shared" si="505"/>
        <v>5.7398415129101563</v>
      </c>
      <c r="AI683">
        <f>HLOOKUP(AW683,'Real assumptions'!$A$21:$AK$24,2,TRUE)</f>
        <v>0</v>
      </c>
      <c r="AJ683" s="123">
        <f t="shared" si="529"/>
        <v>0</v>
      </c>
      <c r="AK683" s="122">
        <f>(1+HLOOKUP(YEAR(A683),'Real assumptions'!$A$21:$AK$24,2,TRUE)/100)^(1/12)-1</f>
        <v>0</v>
      </c>
      <c r="AL683">
        <f t="shared" si="518"/>
        <v>4.6348952604151179E-2</v>
      </c>
      <c r="AM683">
        <f>('Real assumptions'!$B$33/12)*O682*AV682</f>
        <v>4.4723341784331502E-2</v>
      </c>
      <c r="AN683">
        <f t="shared" si="506"/>
        <v>5.9319694761011537</v>
      </c>
      <c r="AO683">
        <f t="shared" si="530"/>
        <v>0</v>
      </c>
      <c r="AP683" s="121">
        <f t="shared" si="507"/>
        <v>0</v>
      </c>
      <c r="AQ683">
        <f t="shared" si="508"/>
        <v>0</v>
      </c>
      <c r="AR683">
        <v>0</v>
      </c>
      <c r="AS683">
        <f t="shared" si="491"/>
        <v>0</v>
      </c>
      <c r="AT683">
        <f t="shared" si="509"/>
        <v>0</v>
      </c>
      <c r="AU683">
        <f>IFERROR(HLOOKUP(B683,'Real assumptions'!$B$43:$AL$44,2,TRUE)*($W$3/$U$2),0)</f>
        <v>0</v>
      </c>
      <c r="AV683">
        <f>AV682*(1+'Real assumptions'!$B$35)^(1/12)</f>
        <v>2.0029596464374753</v>
      </c>
      <c r="AW683">
        <f t="shared" si="492"/>
        <v>2074</v>
      </c>
      <c r="AX683">
        <f t="shared" si="519"/>
        <v>5.9340815204890749</v>
      </c>
      <c r="AY683">
        <f t="shared" si="520"/>
        <v>9.4073044012058359E-3</v>
      </c>
      <c r="AZ683">
        <f t="shared" si="493"/>
        <v>10.231688557356762</v>
      </c>
      <c r="BA683">
        <f t="shared" si="510"/>
        <v>0.35058795321468156</v>
      </c>
      <c r="BB683">
        <f t="shared" si="511"/>
        <v>43</v>
      </c>
      <c r="BC683">
        <f t="shared" si="494"/>
        <v>25.799999999999997</v>
      </c>
      <c r="BD683">
        <f t="shared" si="512"/>
        <v>0</v>
      </c>
      <c r="BE683">
        <f t="shared" si="495"/>
        <v>24</v>
      </c>
      <c r="BF683">
        <f t="shared" si="521"/>
        <v>5000</v>
      </c>
      <c r="BU683"/>
      <c r="DW683" s="89"/>
      <c r="DX683" s="89"/>
      <c r="FD683"/>
      <c r="FE683"/>
    </row>
    <row r="684" spans="1:161" x14ac:dyDescent="0.25">
      <c r="A684" s="7">
        <f t="shared" si="513"/>
        <v>63919</v>
      </c>
      <c r="B684">
        <f t="shared" si="496"/>
        <v>673</v>
      </c>
      <c r="C684">
        <f t="shared" si="522"/>
        <v>56</v>
      </c>
      <c r="D684">
        <f t="shared" si="523"/>
        <v>1</v>
      </c>
      <c r="E684">
        <f t="shared" si="497"/>
        <v>108</v>
      </c>
      <c r="F684">
        <f>IF(C684&gt;=$T$2,0,VLOOKUP($E684,EKM_F05!$A$3:$C$128,2,TRUE))</f>
        <v>0.78940089743589748</v>
      </c>
      <c r="G684">
        <f>F684*'Real assumptions'!$B$3</f>
        <v>0.3294169945</v>
      </c>
      <c r="H684">
        <f t="shared" si="524"/>
        <v>3.2752286147789578E-2</v>
      </c>
      <c r="I684">
        <f t="shared" si="525"/>
        <v>7.0688079378676129E-5</v>
      </c>
      <c r="J684">
        <f>IF(B684&gt;$AJ$2,0,HLOOKUP(C684,'Real assumptions'!$B$5:$L$8,4,TRUE))</f>
        <v>3.7900000000000003E-2</v>
      </c>
      <c r="K684">
        <f t="shared" si="486"/>
        <v>1</v>
      </c>
      <c r="L684">
        <f t="shared" si="514"/>
        <v>8.3333333333333329E-2</v>
      </c>
      <c r="M684">
        <f t="shared" si="526"/>
        <v>3.2145624959929453E-3</v>
      </c>
      <c r="N684">
        <f t="shared" si="527"/>
        <v>6.835244975660133E-6</v>
      </c>
      <c r="O684" s="8">
        <f t="shared" si="498"/>
        <v>2.0842151750554566E-3</v>
      </c>
      <c r="P684">
        <f t="shared" si="499"/>
        <v>5.1881723985835029E-2</v>
      </c>
      <c r="Q684">
        <f t="shared" si="515"/>
        <v>0.35344039689338064</v>
      </c>
      <c r="R684" s="89">
        <f t="shared" si="487"/>
        <v>5000</v>
      </c>
      <c r="S684">
        <f t="shared" si="488"/>
        <v>0.9166666666666643</v>
      </c>
      <c r="U684">
        <f>O683*AV683*'Real assumptions'!$B$33/12+AX684*'Real assumptions'!$B$34</f>
        <v>4.4873641994788105E-2</v>
      </c>
      <c r="V684">
        <f>IF(P684=0,0,IF(E684&lt;=$C$7,$AN$5*O683,0))*'Real assumptions'!$D$28</f>
        <v>0</v>
      </c>
      <c r="X684" s="94">
        <f t="shared" si="500"/>
        <v>0</v>
      </c>
      <c r="Y684">
        <f t="shared" si="489"/>
        <v>24</v>
      </c>
      <c r="Z684">
        <f t="shared" si="516"/>
        <v>43</v>
      </c>
      <c r="AA684">
        <f t="shared" si="490"/>
        <v>42.916666666666664</v>
      </c>
      <c r="AB684">
        <f t="shared" si="501"/>
        <v>50.505050505050505</v>
      </c>
      <c r="AC684">
        <f t="shared" si="528"/>
        <v>2167.5084175084176</v>
      </c>
      <c r="AD684">
        <f t="shared" si="502"/>
        <v>80.505050505050505</v>
      </c>
      <c r="AE684">
        <f t="shared" si="503"/>
        <v>172.75042087542087</v>
      </c>
      <c r="AF684" s="94">
        <f t="shared" si="504"/>
        <v>2659.7411616161617</v>
      </c>
      <c r="AG684">
        <f t="shared" si="517"/>
        <v>1.8179982411493316E-2</v>
      </c>
      <c r="AH684">
        <f t="shared" si="505"/>
        <v>5.5434728907600315</v>
      </c>
      <c r="AI684">
        <f>HLOOKUP(AW684,'Real assumptions'!$A$21:$AK$24,2,TRUE)</f>
        <v>0</v>
      </c>
      <c r="AJ684" s="123">
        <f t="shared" si="529"/>
        <v>0</v>
      </c>
      <c r="AK684" s="122">
        <f>(1+HLOOKUP(YEAR(A684),'Real assumptions'!$A$21:$AK$24,2,TRUE)/100)^(1/12)-1</f>
        <v>0</v>
      </c>
      <c r="AL684">
        <f t="shared" si="518"/>
        <v>4.4873641994788105E-2</v>
      </c>
      <c r="AM684">
        <f>('Real assumptions'!$B$33/12)*O683*AV683</f>
        <v>4.3298749804681173E-2</v>
      </c>
      <c r="AN684">
        <f t="shared" si="506"/>
        <v>5.7468495949012031</v>
      </c>
      <c r="AO684">
        <f t="shared" si="530"/>
        <v>0</v>
      </c>
      <c r="AP684" s="121">
        <f t="shared" si="507"/>
        <v>0</v>
      </c>
      <c r="AQ684">
        <f t="shared" si="508"/>
        <v>0</v>
      </c>
      <c r="AR684">
        <v>0</v>
      </c>
      <c r="AS684">
        <f t="shared" si="491"/>
        <v>0</v>
      </c>
      <c r="AT684">
        <f t="shared" si="509"/>
        <v>0</v>
      </c>
      <c r="AU684">
        <f>IFERROR(HLOOKUP(B684,'Real assumptions'!$B$43:$AL$44,2,TRUE)*($W$3/$U$2),0)</f>
        <v>0</v>
      </c>
      <c r="AV684">
        <f>AV683*(1+'Real assumptions'!$B$35)^(1/12)</f>
        <v>2.0050342039088744</v>
      </c>
      <c r="AW684">
        <f t="shared" si="492"/>
        <v>2074</v>
      </c>
      <c r="AX684">
        <f t="shared" si="519"/>
        <v>5.7489397389177732</v>
      </c>
      <c r="AY684">
        <f t="shared" si="520"/>
        <v>9.0982260076169722E-3</v>
      </c>
      <c r="AZ684">
        <f t="shared" si="493"/>
        <v>9.8670762600429338</v>
      </c>
      <c r="BA684">
        <f t="shared" si="510"/>
        <v>0.37162037930487396</v>
      </c>
      <c r="BB684">
        <f t="shared" si="511"/>
        <v>42.916666666666664</v>
      </c>
      <c r="BC684">
        <f t="shared" si="494"/>
        <v>25.75</v>
      </c>
      <c r="BD684">
        <f t="shared" si="512"/>
        <v>0</v>
      </c>
      <c r="BE684">
        <f t="shared" si="495"/>
        <v>24</v>
      </c>
      <c r="BF684">
        <f t="shared" si="521"/>
        <v>5000</v>
      </c>
      <c r="BU684"/>
      <c r="DW684" s="89"/>
      <c r="DX684" s="89"/>
      <c r="FD684"/>
      <c r="FE684"/>
    </row>
    <row r="685" spans="1:161" x14ac:dyDescent="0.25">
      <c r="A685" s="7">
        <f t="shared" si="513"/>
        <v>63950</v>
      </c>
      <c r="B685">
        <f t="shared" si="496"/>
        <v>674</v>
      </c>
      <c r="C685">
        <f t="shared" si="522"/>
        <v>56.083333333333336</v>
      </c>
      <c r="D685">
        <f t="shared" si="523"/>
        <v>0</v>
      </c>
      <c r="E685">
        <f t="shared" si="497"/>
        <v>108</v>
      </c>
      <c r="F685">
        <f>IF(C685&gt;=$T$2,0,VLOOKUP($E685,EKM_F05!$A$3:$C$128,2,TRUE))</f>
        <v>0.78940089743589748</v>
      </c>
      <c r="G685">
        <f>F685*'Real assumptions'!$B$3</f>
        <v>0.3294169945</v>
      </c>
      <c r="H685">
        <f t="shared" si="524"/>
        <v>3.2752286147789578E-2</v>
      </c>
      <c r="I685">
        <f t="shared" si="525"/>
        <v>6.8153094269628775E-5</v>
      </c>
      <c r="J685">
        <f>IF(B685&gt;$AJ$2,0,HLOOKUP(C685,'Real assumptions'!$B$5:$L$8,4,TRUE))</f>
        <v>3.7900000000000003E-2</v>
      </c>
      <c r="K685">
        <f t="shared" si="486"/>
        <v>1</v>
      </c>
      <c r="L685">
        <f t="shared" si="514"/>
        <v>8.3333333333333329E-2</v>
      </c>
      <c r="M685">
        <f t="shared" si="526"/>
        <v>3.2145624959929453E-3</v>
      </c>
      <c r="N685">
        <f t="shared" si="527"/>
        <v>6.5901223979597684E-6</v>
      </c>
      <c r="O685" s="8">
        <f t="shared" si="498"/>
        <v>2.0094719583878683E-3</v>
      </c>
      <c r="P685">
        <f t="shared" si="499"/>
        <v>5.0021164201330959E-2</v>
      </c>
      <c r="Q685">
        <f t="shared" si="515"/>
        <v>0.34076547134814389</v>
      </c>
      <c r="R685" s="89">
        <f t="shared" si="487"/>
        <v>5000</v>
      </c>
      <c r="S685">
        <f t="shared" si="488"/>
        <v>0.8333333333333357</v>
      </c>
      <c r="U685">
        <f>O684*AV684*'Real assumptions'!$B$33/12+AX685*'Real assumptions'!$B$34</f>
        <v>4.3310235786848887E-2</v>
      </c>
      <c r="V685">
        <f>IF(P685=0,0,IF(E685&lt;=$C$7,$AN$5*O684,0))*'Real assumptions'!$D$28</f>
        <v>0</v>
      </c>
      <c r="X685" s="94">
        <f t="shared" si="500"/>
        <v>0</v>
      </c>
      <c r="Y685">
        <f t="shared" si="489"/>
        <v>24</v>
      </c>
      <c r="Z685">
        <f t="shared" si="516"/>
        <v>42</v>
      </c>
      <c r="AA685">
        <f t="shared" si="490"/>
        <v>42.833333333333336</v>
      </c>
      <c r="AB685">
        <f t="shared" si="501"/>
        <v>50.505050505050505</v>
      </c>
      <c r="AC685">
        <f t="shared" si="528"/>
        <v>2163.2996632996633</v>
      </c>
      <c r="AD685">
        <f t="shared" si="502"/>
        <v>80.505050505050505</v>
      </c>
      <c r="AE685">
        <f t="shared" si="503"/>
        <v>172.41498316498317</v>
      </c>
      <c r="AF685" s="94">
        <f t="shared" si="504"/>
        <v>2664.2853535353534</v>
      </c>
      <c r="AG685">
        <f t="shared" si="517"/>
        <v>1.7557966582889491E-2</v>
      </c>
      <c r="AH685">
        <f t="shared" si="505"/>
        <v>5.3538067070728008</v>
      </c>
      <c r="AI685">
        <f>HLOOKUP(AW685,'Real assumptions'!$A$21:$AK$24,2,TRUE)</f>
        <v>0</v>
      </c>
      <c r="AJ685" s="123">
        <f t="shared" si="529"/>
        <v>0</v>
      </c>
      <c r="AK685" s="122">
        <f>(1+HLOOKUP(YEAR(A685),'Real assumptions'!$A$21:$AK$24,2,TRUE)/100)^(1/12)-1</f>
        <v>0</v>
      </c>
      <c r="AL685">
        <f t="shared" si="518"/>
        <v>4.3310235786848887E-2</v>
      </c>
      <c r="AM685">
        <f>('Real assumptions'!$B$33/12)*O684*AV684</f>
        <v>4.1789227142921131E-2</v>
      </c>
      <c r="AN685">
        <f t="shared" si="506"/>
        <v>5.5501838191745136</v>
      </c>
      <c r="AO685">
        <f t="shared" si="530"/>
        <v>0</v>
      </c>
      <c r="AP685" s="121">
        <f t="shared" si="507"/>
        <v>0</v>
      </c>
      <c r="AQ685">
        <f t="shared" si="508"/>
        <v>0</v>
      </c>
      <c r="AR685">
        <v>0</v>
      </c>
      <c r="AS685">
        <f t="shared" si="491"/>
        <v>0</v>
      </c>
      <c r="AT685">
        <f t="shared" si="509"/>
        <v>0</v>
      </c>
      <c r="AU685">
        <f>IFERROR(HLOOKUP(B685,'Real assumptions'!$B$43:$AL$44,2,TRUE)*($W$3/$U$2),0)</f>
        <v>0</v>
      </c>
      <c r="AV685">
        <f>AV684*(1+'Real assumptions'!$B$35)^(1/12)</f>
        <v>2.0071109100949069</v>
      </c>
      <c r="AW685">
        <f t="shared" si="492"/>
        <v>2075</v>
      </c>
      <c r="AX685">
        <f t="shared" si="519"/>
        <v>5.5522448401499958</v>
      </c>
      <c r="AY685">
        <f t="shared" si="520"/>
        <v>8.7719493899640431E-3</v>
      </c>
      <c r="AZ685">
        <f t="shared" si="493"/>
        <v>9.515463750526381</v>
      </c>
      <c r="BA685">
        <f t="shared" si="510"/>
        <v>0.35832343793103338</v>
      </c>
      <c r="BB685">
        <f t="shared" si="511"/>
        <v>42.833333333333336</v>
      </c>
      <c r="BC685">
        <f t="shared" si="494"/>
        <v>25.700000000000003</v>
      </c>
      <c r="BD685">
        <f t="shared" si="512"/>
        <v>0</v>
      </c>
      <c r="BE685">
        <f t="shared" si="495"/>
        <v>24</v>
      </c>
      <c r="BF685">
        <f t="shared" si="521"/>
        <v>5000</v>
      </c>
      <c r="BU685"/>
      <c r="DW685" s="89"/>
      <c r="DX685" s="89"/>
      <c r="FD685"/>
      <c r="FE685"/>
    </row>
    <row r="686" spans="1:161" x14ac:dyDescent="0.25">
      <c r="A686" s="7">
        <f t="shared" si="513"/>
        <v>63978</v>
      </c>
      <c r="B686">
        <f t="shared" si="496"/>
        <v>675</v>
      </c>
      <c r="C686">
        <f t="shared" si="522"/>
        <v>56.166666666666664</v>
      </c>
      <c r="D686">
        <f t="shared" si="523"/>
        <v>0</v>
      </c>
      <c r="E686">
        <f t="shared" si="497"/>
        <v>108</v>
      </c>
      <c r="F686">
        <f>IF(C686&gt;=$T$2,0,VLOOKUP($E686,EKM_F05!$A$3:$C$128,2,TRUE))</f>
        <v>0.78940089743589748</v>
      </c>
      <c r="G686">
        <f>F686*'Real assumptions'!$B$3</f>
        <v>0.3294169945</v>
      </c>
      <c r="H686">
        <f t="shared" si="524"/>
        <v>3.2752286147789578E-2</v>
      </c>
      <c r="I686">
        <f t="shared" si="525"/>
        <v>6.5709017692254336E-5</v>
      </c>
      <c r="J686">
        <f>IF(B686&gt;$AJ$2,0,HLOOKUP(C686,'Real assumptions'!$B$5:$L$8,4,TRUE))</f>
        <v>3.7900000000000003E-2</v>
      </c>
      <c r="K686">
        <f t="shared" si="486"/>
        <v>1</v>
      </c>
      <c r="L686">
        <f t="shared" si="514"/>
        <v>8.3333333333333329E-2</v>
      </c>
      <c r="M686">
        <f t="shared" si="526"/>
        <v>3.2145624959929453E-3</v>
      </c>
      <c r="N686">
        <f t="shared" si="527"/>
        <v>6.3537902993588994E-6</v>
      </c>
      <c r="O686" s="8">
        <f t="shared" si="498"/>
        <v>1.9374091503962551E-3</v>
      </c>
      <c r="P686">
        <f t="shared" si="499"/>
        <v>4.8227327001308842E-2</v>
      </c>
      <c r="Q686">
        <f t="shared" si="515"/>
        <v>0.32854508846127167</v>
      </c>
      <c r="R686" s="89">
        <f t="shared" si="487"/>
        <v>5000</v>
      </c>
      <c r="S686">
        <f t="shared" si="488"/>
        <v>0.75</v>
      </c>
      <c r="U686">
        <f>O685*AV685*'Real assumptions'!$B$33/12+AX686*'Real assumptions'!$B$34</f>
        <v>4.1801295313434426E-2</v>
      </c>
      <c r="V686">
        <f>IF(P686=0,0,IF(E686&lt;=$C$7,$AN$5*O685,0))*'Real assumptions'!$D$28</f>
        <v>0</v>
      </c>
      <c r="X686" s="94">
        <f t="shared" si="500"/>
        <v>0</v>
      </c>
      <c r="Y686">
        <f t="shared" si="489"/>
        <v>24</v>
      </c>
      <c r="Z686">
        <f t="shared" si="516"/>
        <v>42</v>
      </c>
      <c r="AA686">
        <f t="shared" si="490"/>
        <v>42.75</v>
      </c>
      <c r="AB686">
        <f t="shared" si="501"/>
        <v>50.505050505050505</v>
      </c>
      <c r="AC686">
        <f t="shared" si="528"/>
        <v>2159.090909090909</v>
      </c>
      <c r="AD686">
        <f t="shared" si="502"/>
        <v>80.505050505050505</v>
      </c>
      <c r="AE686">
        <f t="shared" si="503"/>
        <v>172.07954545454544</v>
      </c>
      <c r="AF686" s="94">
        <f t="shared" si="504"/>
        <v>2668.8295454545455</v>
      </c>
      <c r="AG686">
        <f t="shared" si="517"/>
        <v>1.6957183276551512E-2</v>
      </c>
      <c r="AH686">
        <f t="shared" si="505"/>
        <v>5.1706147822115147</v>
      </c>
      <c r="AI686">
        <f>HLOOKUP(AW686,'Real assumptions'!$A$21:$AK$24,2,TRUE)</f>
        <v>0</v>
      </c>
      <c r="AJ686" s="123">
        <f t="shared" si="529"/>
        <v>0</v>
      </c>
      <c r="AK686" s="122">
        <f>(1+HLOOKUP(YEAR(A686),'Real assumptions'!$A$21:$AK$24,2,TRUE)/100)^(1/12)-1</f>
        <v>0</v>
      </c>
      <c r="AL686">
        <f t="shared" si="518"/>
        <v>4.1801295313434426E-2</v>
      </c>
      <c r="AM686">
        <f>('Real assumptions'!$B$33/12)*O685*AV685</f>
        <v>4.0332330912100693E-2</v>
      </c>
      <c r="AN686">
        <f t="shared" si="506"/>
        <v>5.3602327387606747</v>
      </c>
      <c r="AO686">
        <f t="shared" si="530"/>
        <v>0</v>
      </c>
      <c r="AP686" s="121">
        <f t="shared" si="507"/>
        <v>0</v>
      </c>
      <c r="AQ686">
        <f t="shared" si="508"/>
        <v>0</v>
      </c>
      <c r="AR686">
        <v>0</v>
      </c>
      <c r="AS686">
        <f t="shared" si="491"/>
        <v>0</v>
      </c>
      <c r="AT686">
        <f t="shared" si="509"/>
        <v>0</v>
      </c>
      <c r="AU686">
        <f>IFERROR(HLOOKUP(B686,'Real assumptions'!$B$43:$AL$44,2,TRUE)*($W$3/$U$2),0)</f>
        <v>0</v>
      </c>
      <c r="AV686">
        <f>AV685*(1+'Real assumptions'!$B$35)^(1/12)</f>
        <v>2.0091897672210952</v>
      </c>
      <c r="AW686">
        <f t="shared" si="492"/>
        <v>2075</v>
      </c>
      <c r="AX686">
        <f t="shared" si="519"/>
        <v>5.3622640806350397</v>
      </c>
      <c r="AY686">
        <f t="shared" si="520"/>
        <v>8.457373562238503E-3</v>
      </c>
      <c r="AZ686">
        <f t="shared" si="493"/>
        <v>9.1763875104764328</v>
      </c>
      <c r="BA686">
        <f t="shared" si="510"/>
        <v>0.34550227173782316</v>
      </c>
      <c r="BB686">
        <f t="shared" si="511"/>
        <v>42.75</v>
      </c>
      <c r="BC686">
        <f t="shared" si="494"/>
        <v>25.65</v>
      </c>
      <c r="BD686">
        <f t="shared" si="512"/>
        <v>0</v>
      </c>
      <c r="BE686">
        <f t="shared" si="495"/>
        <v>24</v>
      </c>
      <c r="BF686">
        <f t="shared" si="521"/>
        <v>5000</v>
      </c>
      <c r="BU686"/>
      <c r="DW686" s="89"/>
      <c r="DX686" s="89"/>
      <c r="FD686"/>
      <c r="FE686"/>
    </row>
    <row r="687" spans="1:161" x14ac:dyDescent="0.25">
      <c r="A687" s="7">
        <f t="shared" si="513"/>
        <v>64009</v>
      </c>
      <c r="B687">
        <f t="shared" si="496"/>
        <v>676</v>
      </c>
      <c r="C687">
        <f t="shared" si="522"/>
        <v>56.25</v>
      </c>
      <c r="D687">
        <f t="shared" si="523"/>
        <v>0</v>
      </c>
      <c r="E687">
        <f t="shared" si="497"/>
        <v>108</v>
      </c>
      <c r="F687">
        <f>IF(C687&gt;=$T$2,0,VLOOKUP($E687,EKM_F05!$A$3:$C$128,2,TRUE))</f>
        <v>0.78940089743589748</v>
      </c>
      <c r="G687">
        <f>F687*'Real assumptions'!$B$3</f>
        <v>0.3294169945</v>
      </c>
      <c r="H687">
        <f t="shared" si="524"/>
        <v>3.2752286147789578E-2</v>
      </c>
      <c r="I687">
        <f t="shared" si="525"/>
        <v>6.3352589524392111E-5</v>
      </c>
      <c r="J687">
        <f>IF(B687&gt;$AJ$2,0,HLOOKUP(C687,'Real assumptions'!$B$5:$L$8,4,TRUE))</f>
        <v>3.7900000000000003E-2</v>
      </c>
      <c r="K687">
        <f t="shared" si="486"/>
        <v>1</v>
      </c>
      <c r="L687">
        <f t="shared" si="514"/>
        <v>8.3333333333333329E-2</v>
      </c>
      <c r="M687">
        <f t="shared" si="526"/>
        <v>3.2145624959929453E-3</v>
      </c>
      <c r="N687">
        <f t="shared" si="527"/>
        <v>6.125933439525428E-6</v>
      </c>
      <c r="O687" s="8">
        <f t="shared" si="498"/>
        <v>1.8679306274323377E-3</v>
      </c>
      <c r="P687">
        <f t="shared" si="499"/>
        <v>4.6497819609510119E-2</v>
      </c>
      <c r="Q687">
        <f t="shared" si="515"/>
        <v>0.31676294762196056</v>
      </c>
      <c r="R687" s="89">
        <f t="shared" si="487"/>
        <v>5000</v>
      </c>
      <c r="S687">
        <f t="shared" si="488"/>
        <v>0.6666666666666643</v>
      </c>
      <c r="U687">
        <f>O686*AV686*'Real assumptions'!$B$33/12+AX687*'Real assumptions'!$B$34</f>
        <v>4.0344923237715241E-2</v>
      </c>
      <c r="V687">
        <f>IF(P687=0,0,IF(E687&lt;=$C$7,$AN$5*O686,0))*'Real assumptions'!$D$28</f>
        <v>0</v>
      </c>
      <c r="X687" s="94">
        <f t="shared" si="500"/>
        <v>0</v>
      </c>
      <c r="Y687">
        <f t="shared" si="489"/>
        <v>24</v>
      </c>
      <c r="Z687">
        <f t="shared" si="516"/>
        <v>42</v>
      </c>
      <c r="AA687">
        <f t="shared" si="490"/>
        <v>42.666666666666664</v>
      </c>
      <c r="AB687">
        <f t="shared" si="501"/>
        <v>50.505050505050505</v>
      </c>
      <c r="AC687">
        <f t="shared" si="528"/>
        <v>2154.8821548821547</v>
      </c>
      <c r="AD687">
        <f t="shared" si="502"/>
        <v>80.505050505050505</v>
      </c>
      <c r="AE687">
        <f t="shared" si="503"/>
        <v>171.74410774410774</v>
      </c>
      <c r="AF687" s="94">
        <f t="shared" si="504"/>
        <v>2673.3737373737376</v>
      </c>
      <c r="AG687">
        <f t="shared" si="517"/>
        <v>1.6376909574126849E-2</v>
      </c>
      <c r="AH687">
        <f t="shared" si="505"/>
        <v>4.9936766826136596</v>
      </c>
      <c r="AI687">
        <f>HLOOKUP(AW687,'Real assumptions'!$A$21:$AK$24,2,TRUE)</f>
        <v>0</v>
      </c>
      <c r="AJ687" s="123">
        <f t="shared" si="529"/>
        <v>0</v>
      </c>
      <c r="AK687" s="122">
        <f>(1+HLOOKUP(YEAR(A687),'Real assumptions'!$A$21:$AK$24,2,TRUE)/100)^(1/12)-1</f>
        <v>0</v>
      </c>
      <c r="AL687">
        <f t="shared" si="518"/>
        <v>4.0344923237715241E-2</v>
      </c>
      <c r="AM687">
        <f>('Real assumptions'!$B$33/12)*O686*AV686</f>
        <v>3.8926226398966715E-2</v>
      </c>
      <c r="AN687">
        <f t="shared" si="506"/>
        <v>5.1767676785833103</v>
      </c>
      <c r="AO687">
        <f t="shared" si="530"/>
        <v>0</v>
      </c>
      <c r="AP687" s="121">
        <f t="shared" si="507"/>
        <v>0</v>
      </c>
      <c r="AQ687">
        <f t="shared" si="508"/>
        <v>0</v>
      </c>
      <c r="AR687">
        <v>0</v>
      </c>
      <c r="AS687">
        <f t="shared" si="491"/>
        <v>0</v>
      </c>
      <c r="AT687">
        <f t="shared" si="509"/>
        <v>0</v>
      </c>
      <c r="AU687">
        <f>IFERROR(HLOOKUP(B687,'Real assumptions'!$B$43:$AL$44,2,TRUE)*($W$3/$U$2),0)</f>
        <v>0</v>
      </c>
      <c r="AV687">
        <f>AV686*(1+'Real assumptions'!$B$35)^(1/12)</f>
        <v>2.0112707775152674</v>
      </c>
      <c r="AW687">
        <f t="shared" si="492"/>
        <v>2075</v>
      </c>
      <c r="AX687">
        <f t="shared" si="519"/>
        <v>5.1787688611273239</v>
      </c>
      <c r="AY687">
        <f t="shared" si="520"/>
        <v>8.1540789158091546E-3</v>
      </c>
      <c r="AZ687">
        <f t="shared" si="493"/>
        <v>8.84940054965214</v>
      </c>
      <c r="BA687">
        <f t="shared" si="510"/>
        <v>0.33313985719608741</v>
      </c>
      <c r="BB687">
        <f t="shared" si="511"/>
        <v>42.666666666666664</v>
      </c>
      <c r="BC687">
        <f t="shared" si="494"/>
        <v>25.599999999999998</v>
      </c>
      <c r="BD687">
        <f t="shared" si="512"/>
        <v>0</v>
      </c>
      <c r="BE687">
        <f t="shared" si="495"/>
        <v>24</v>
      </c>
      <c r="BF687">
        <f t="shared" si="521"/>
        <v>5000</v>
      </c>
      <c r="BU687"/>
      <c r="DW687" s="89"/>
      <c r="DX687" s="89"/>
      <c r="FD687"/>
      <c r="FE687"/>
    </row>
    <row r="688" spans="1:161" x14ac:dyDescent="0.25">
      <c r="A688" s="7">
        <f t="shared" si="513"/>
        <v>64039</v>
      </c>
      <c r="B688">
        <f t="shared" si="496"/>
        <v>677</v>
      </c>
      <c r="C688">
        <f t="shared" si="522"/>
        <v>56.333333333333336</v>
      </c>
      <c r="D688">
        <f t="shared" si="523"/>
        <v>0</v>
      </c>
      <c r="E688">
        <f t="shared" si="497"/>
        <v>108</v>
      </c>
      <c r="F688">
        <f>IF(C688&gt;=$T$2,0,VLOOKUP($E688,EKM_F05!$A$3:$C$128,2,TRUE))</f>
        <v>0.78940089743589748</v>
      </c>
      <c r="G688">
        <f>F688*'Real assumptions'!$B$3</f>
        <v>0.3294169945</v>
      </c>
      <c r="H688">
        <f t="shared" si="524"/>
        <v>3.2752286147789578E-2</v>
      </c>
      <c r="I688">
        <f t="shared" si="525"/>
        <v>6.1080666556962218E-5</v>
      </c>
      <c r="J688">
        <f>IF(B688&gt;$AJ$2,0,HLOOKUP(C688,'Real assumptions'!$B$5:$L$8,4,TRUE))</f>
        <v>3.7900000000000003E-2</v>
      </c>
      <c r="K688">
        <f t="shared" si="486"/>
        <v>1</v>
      </c>
      <c r="L688">
        <f t="shared" si="514"/>
        <v>8.3333333333333329E-2</v>
      </c>
      <c r="M688">
        <f t="shared" si="526"/>
        <v>3.2145624959929453E-3</v>
      </c>
      <c r="N688">
        <f t="shared" si="527"/>
        <v>5.9062478831387216E-6</v>
      </c>
      <c r="O688" s="8">
        <f t="shared" si="498"/>
        <v>1.8009437129922368E-3</v>
      </c>
      <c r="P688">
        <f t="shared" si="499"/>
        <v>4.4830335058376108E-2</v>
      </c>
      <c r="Q688">
        <f t="shared" si="515"/>
        <v>0.30540333278481108</v>
      </c>
      <c r="R688" s="89">
        <f t="shared" si="487"/>
        <v>5000</v>
      </c>
      <c r="S688">
        <f t="shared" si="488"/>
        <v>0.5833333333333357</v>
      </c>
      <c r="U688">
        <f>O687*AV687*'Real assumptions'!$B$33/12+AX688*'Real assumptions'!$B$34</f>
        <v>3.8939288312519131E-2</v>
      </c>
      <c r="V688">
        <f>IF(P688=0,0,IF(E688&lt;=$C$7,$AN$5*O687,0))*'Real assumptions'!$D$28</f>
        <v>0</v>
      </c>
      <c r="X688" s="94">
        <f t="shared" si="500"/>
        <v>0</v>
      </c>
      <c r="Y688">
        <f t="shared" si="489"/>
        <v>24</v>
      </c>
      <c r="Z688">
        <f t="shared" si="516"/>
        <v>42</v>
      </c>
      <c r="AA688">
        <f t="shared" si="490"/>
        <v>42.583333333333336</v>
      </c>
      <c r="AB688">
        <f t="shared" si="501"/>
        <v>50.505050505050505</v>
      </c>
      <c r="AC688">
        <f t="shared" si="528"/>
        <v>2150.6734006734009</v>
      </c>
      <c r="AD688">
        <f t="shared" si="502"/>
        <v>80.505050505050505</v>
      </c>
      <c r="AE688">
        <f t="shared" si="503"/>
        <v>171.40867003367003</v>
      </c>
      <c r="AF688" s="94">
        <f t="shared" si="504"/>
        <v>2677.9179292929289</v>
      </c>
      <c r="AG688">
        <f t="shared" si="517"/>
        <v>1.581644710110559E-2</v>
      </c>
      <c r="AH688">
        <f t="shared" si="505"/>
        <v>4.8227794586692898</v>
      </c>
      <c r="AI688">
        <f>HLOOKUP(AW688,'Real assumptions'!$A$21:$AK$24,2,TRUE)</f>
        <v>0</v>
      </c>
      <c r="AJ688" s="123">
        <f t="shared" si="529"/>
        <v>0</v>
      </c>
      <c r="AK688" s="122">
        <f>(1+HLOOKUP(YEAR(A688),'Real assumptions'!$A$21:$AK$24,2,TRUE)/100)^(1/12)-1</f>
        <v>0</v>
      </c>
      <c r="AL688">
        <f t="shared" si="518"/>
        <v>3.8939288312519131E-2</v>
      </c>
      <c r="AM688">
        <f>('Real assumptions'!$B$33/12)*O687*AV687</f>
        <v>3.7569142853804187E-2</v>
      </c>
      <c r="AN688">
        <f t="shared" si="506"/>
        <v>4.9995677293595167</v>
      </c>
      <c r="AO688">
        <f t="shared" si="530"/>
        <v>0</v>
      </c>
      <c r="AP688" s="121">
        <f t="shared" si="507"/>
        <v>0</v>
      </c>
      <c r="AQ688">
        <f t="shared" si="508"/>
        <v>0</v>
      </c>
      <c r="AR688">
        <v>0</v>
      </c>
      <c r="AS688">
        <f t="shared" si="491"/>
        <v>0</v>
      </c>
      <c r="AT688">
        <f t="shared" si="509"/>
        <v>0</v>
      </c>
      <c r="AU688">
        <f>IFERROR(HLOOKUP(B688,'Real assumptions'!$B$43:$AL$44,2,TRUE)*($W$3/$U$2),0)</f>
        <v>0</v>
      </c>
      <c r="AV688">
        <f>AV687*(1+'Real assumptions'!$B$35)^(1/12)</f>
        <v>2.0133539432075582</v>
      </c>
      <c r="AW688">
        <f t="shared" si="492"/>
        <v>2075</v>
      </c>
      <c r="AX688">
        <f t="shared" si="519"/>
        <v>5.0015383435035261</v>
      </c>
      <c r="AY688">
        <f t="shared" si="520"/>
        <v>7.8616608898667405E-3</v>
      </c>
      <c r="AZ688">
        <f t="shared" si="493"/>
        <v>8.5340718165120801</v>
      </c>
      <c r="BA688">
        <f t="shared" si="510"/>
        <v>0.32121977988591666</v>
      </c>
      <c r="BB688">
        <f t="shared" si="511"/>
        <v>42.583333333333336</v>
      </c>
      <c r="BC688">
        <f t="shared" si="494"/>
        <v>25.55</v>
      </c>
      <c r="BD688">
        <f t="shared" si="512"/>
        <v>0</v>
      </c>
      <c r="BE688">
        <f t="shared" si="495"/>
        <v>24</v>
      </c>
      <c r="BF688">
        <f t="shared" si="521"/>
        <v>5000</v>
      </c>
      <c r="BU688"/>
      <c r="DW688" s="89"/>
      <c r="DX688" s="89"/>
      <c r="FD688"/>
      <c r="FE688"/>
    </row>
    <row r="689" spans="1:161" x14ac:dyDescent="0.25">
      <c r="A689" s="7">
        <f t="shared" si="513"/>
        <v>64070</v>
      </c>
      <c r="B689">
        <f t="shared" si="496"/>
        <v>678</v>
      </c>
      <c r="C689">
        <f t="shared" si="522"/>
        <v>56.416666666666664</v>
      </c>
      <c r="D689">
        <f t="shared" si="523"/>
        <v>0</v>
      </c>
      <c r="E689">
        <f t="shared" si="497"/>
        <v>108</v>
      </c>
      <c r="F689">
        <f>IF(C689&gt;=$T$2,0,VLOOKUP($E689,EKM_F05!$A$3:$C$128,2,TRUE))</f>
        <v>0.78940089743589748</v>
      </c>
      <c r="G689">
        <f>F689*'Real assumptions'!$B$3</f>
        <v>0.3294169945</v>
      </c>
      <c r="H689">
        <f t="shared" si="524"/>
        <v>3.2752286147789578E-2</v>
      </c>
      <c r="I689">
        <f t="shared" si="525"/>
        <v>5.8890218301279452E-5</v>
      </c>
      <c r="J689">
        <f>IF(B689&gt;$AJ$2,0,HLOOKUP(C689,'Real assumptions'!$B$5:$L$8,4,TRUE))</f>
        <v>3.7900000000000003E-2</v>
      </c>
      <c r="K689">
        <f t="shared" si="486"/>
        <v>1</v>
      </c>
      <c r="L689">
        <f t="shared" si="514"/>
        <v>8.3333333333333329E-2</v>
      </c>
      <c r="M689">
        <f t="shared" si="526"/>
        <v>3.2145624959929453E-3</v>
      </c>
      <c r="N689">
        <f t="shared" si="527"/>
        <v>5.694440594474212E-6</v>
      </c>
      <c r="O689" s="8">
        <f t="shared" si="498"/>
        <v>1.7363590540964832E-3</v>
      </c>
      <c r="P689">
        <f t="shared" si="499"/>
        <v>4.3222649111813685E-2</v>
      </c>
      <c r="Q689">
        <f t="shared" si="515"/>
        <v>0.29445109150639726</v>
      </c>
      <c r="R689" s="89">
        <f t="shared" si="487"/>
        <v>5000</v>
      </c>
      <c r="S689">
        <f t="shared" si="488"/>
        <v>0.5</v>
      </c>
      <c r="U689">
        <f>O688*AV688*'Real assumptions'!$B$33/12+AX689*'Real assumptions'!$B$34</f>
        <v>3.7582623078418018E-2</v>
      </c>
      <c r="V689">
        <f>IF(P689=0,0,IF(E689&lt;=$C$7,$AN$5*O688,0))*'Real assumptions'!$D$28</f>
        <v>0</v>
      </c>
      <c r="X689" s="94">
        <f t="shared" si="500"/>
        <v>0</v>
      </c>
      <c r="Y689">
        <f t="shared" si="489"/>
        <v>24</v>
      </c>
      <c r="Z689">
        <f t="shared" si="516"/>
        <v>42</v>
      </c>
      <c r="AA689">
        <f t="shared" si="490"/>
        <v>42.5</v>
      </c>
      <c r="AB689">
        <f t="shared" si="501"/>
        <v>50.505050505050505</v>
      </c>
      <c r="AC689">
        <f t="shared" si="528"/>
        <v>2146.4646464646466</v>
      </c>
      <c r="AD689">
        <f t="shared" si="502"/>
        <v>80.505050505050505</v>
      </c>
      <c r="AE689">
        <f t="shared" si="503"/>
        <v>171.0732323232323</v>
      </c>
      <c r="AF689" s="94">
        <f t="shared" si="504"/>
        <v>2682.462121212121</v>
      </c>
      <c r="AG689">
        <f t="shared" si="517"/>
        <v>1.5275121196169706E-2</v>
      </c>
      <c r="AH689">
        <f t="shared" si="505"/>
        <v>4.6577173914375241</v>
      </c>
      <c r="AI689">
        <f>HLOOKUP(AW689,'Real assumptions'!$A$21:$AK$24,2,TRUE)</f>
        <v>0</v>
      </c>
      <c r="AJ689" s="123">
        <f t="shared" si="529"/>
        <v>0</v>
      </c>
      <c r="AK689" s="122">
        <f>(1+HLOOKUP(YEAR(A689),'Real assumptions'!$A$21:$AK$24,2,TRUE)/100)^(1/12)-1</f>
        <v>0</v>
      </c>
      <c r="AL689">
        <f t="shared" si="518"/>
        <v>3.7582623078418018E-2</v>
      </c>
      <c r="AM689">
        <f>('Real assumptions'!$B$33/12)*O688*AV688</f>
        <v>3.6259371260477812E-2</v>
      </c>
      <c r="AN689">
        <f t="shared" si="506"/>
        <v>4.8284194847026853</v>
      </c>
      <c r="AO689">
        <f t="shared" si="530"/>
        <v>0</v>
      </c>
      <c r="AP689" s="121">
        <f t="shared" si="507"/>
        <v>0</v>
      </c>
      <c r="AQ689">
        <f t="shared" si="508"/>
        <v>0</v>
      </c>
      <c r="AR689">
        <v>0</v>
      </c>
      <c r="AS689">
        <f t="shared" si="491"/>
        <v>0</v>
      </c>
      <c r="AT689">
        <f t="shared" si="509"/>
        <v>0</v>
      </c>
      <c r="AU689">
        <f>IFERROR(HLOOKUP(B689,'Real assumptions'!$B$43:$AL$44,2,TRUE)*($W$3/$U$2),0)</f>
        <v>0</v>
      </c>
      <c r="AV689">
        <f>AV688*(1+'Real assumptions'!$B$35)^(1/12)</f>
        <v>2.0154392665304126</v>
      </c>
      <c r="AW689">
        <f t="shared" si="492"/>
        <v>2075</v>
      </c>
      <c r="AX689">
        <f t="shared" si="519"/>
        <v>4.8303591881010757</v>
      </c>
      <c r="AY689">
        <f t="shared" si="520"/>
        <v>7.5797294317855078E-3</v>
      </c>
      <c r="AZ689">
        <f t="shared" si="493"/>
        <v>8.2299856298429095</v>
      </c>
      <c r="BA689">
        <f t="shared" si="510"/>
        <v>0.30972621270256695</v>
      </c>
      <c r="BB689">
        <f t="shared" si="511"/>
        <v>42.5</v>
      </c>
      <c r="BC689">
        <f t="shared" si="494"/>
        <v>25.5</v>
      </c>
      <c r="BD689">
        <f t="shared" si="512"/>
        <v>0</v>
      </c>
      <c r="BE689">
        <f t="shared" si="495"/>
        <v>24</v>
      </c>
      <c r="BF689">
        <f t="shared" si="521"/>
        <v>5000</v>
      </c>
      <c r="BU689"/>
      <c r="DW689" s="89"/>
      <c r="DX689" s="89"/>
      <c r="FD689"/>
      <c r="FE689"/>
    </row>
    <row r="690" spans="1:161" x14ac:dyDescent="0.25">
      <c r="A690" s="7">
        <f t="shared" si="513"/>
        <v>64100</v>
      </c>
      <c r="B690">
        <f t="shared" si="496"/>
        <v>679</v>
      </c>
      <c r="C690">
        <f t="shared" si="522"/>
        <v>56.5</v>
      </c>
      <c r="D690">
        <f t="shared" si="523"/>
        <v>0</v>
      </c>
      <c r="E690">
        <f t="shared" si="497"/>
        <v>108</v>
      </c>
      <c r="F690">
        <f>IF(C690&gt;=$T$2,0,VLOOKUP($E690,EKM_F05!$A$3:$C$128,2,TRUE))</f>
        <v>0.78940089743589748</v>
      </c>
      <c r="G690">
        <f>F690*'Real assumptions'!$B$3</f>
        <v>0.3294169945</v>
      </c>
      <c r="H690">
        <f t="shared" si="524"/>
        <v>3.2752286147789578E-2</v>
      </c>
      <c r="I690">
        <f t="shared" si="525"/>
        <v>5.677832294672375E-5</v>
      </c>
      <c r="J690">
        <f>IF(B690&gt;$AJ$2,0,HLOOKUP(C690,'Real assumptions'!$B$5:$L$8,4,TRUE))</f>
        <v>3.7900000000000003E-2</v>
      </c>
      <c r="K690">
        <f t="shared" si="486"/>
        <v>1</v>
      </c>
      <c r="L690">
        <f t="shared" si="514"/>
        <v>8.3333333333333329E-2</v>
      </c>
      <c r="M690">
        <f t="shared" si="526"/>
        <v>3.2145624959929453E-3</v>
      </c>
      <c r="N690">
        <f t="shared" si="527"/>
        <v>5.49022904652683E-6</v>
      </c>
      <c r="O690" s="8">
        <f t="shared" si="498"/>
        <v>1.6740905021032325E-3</v>
      </c>
      <c r="P690">
        <f t="shared" si="499"/>
        <v>4.1672617298315597E-2</v>
      </c>
      <c r="Q690">
        <f t="shared" si="515"/>
        <v>0.28389161473361874</v>
      </c>
      <c r="R690" s="89">
        <f t="shared" si="487"/>
        <v>5000</v>
      </c>
      <c r="S690">
        <f t="shared" si="488"/>
        <v>0.4166666666666643</v>
      </c>
      <c r="U690">
        <f>O689*AV689*'Real assumptions'!$B$33/12+AX690*'Real assumptions'!$B$34</f>
        <v>3.6273221641984238E-2</v>
      </c>
      <c r="V690">
        <f>IF(P690=0,0,IF(E690&lt;=$C$7,$AN$5*O689,0))*'Real assumptions'!$D$28</f>
        <v>0</v>
      </c>
      <c r="X690" s="94">
        <f t="shared" si="500"/>
        <v>0</v>
      </c>
      <c r="Y690">
        <f t="shared" si="489"/>
        <v>24</v>
      </c>
      <c r="Z690">
        <f t="shared" si="516"/>
        <v>42</v>
      </c>
      <c r="AA690">
        <f t="shared" si="490"/>
        <v>42.416666666666664</v>
      </c>
      <c r="AB690">
        <f t="shared" si="501"/>
        <v>50.505050505050505</v>
      </c>
      <c r="AC690">
        <f t="shared" si="528"/>
        <v>2142.2558922558919</v>
      </c>
      <c r="AD690">
        <f t="shared" si="502"/>
        <v>80.505050505050505</v>
      </c>
      <c r="AE690">
        <f t="shared" si="503"/>
        <v>170.7377946127946</v>
      </c>
      <c r="AF690" s="94">
        <f t="shared" si="504"/>
        <v>2687.0063131313136</v>
      </c>
      <c r="AG690">
        <f t="shared" si="517"/>
        <v>1.4752280108554505E-2</v>
      </c>
      <c r="AH690">
        <f t="shared" si="505"/>
        <v>4.4982917479045561</v>
      </c>
      <c r="AI690">
        <f>HLOOKUP(AW690,'Real assumptions'!$A$21:$AK$24,2,TRUE)</f>
        <v>0</v>
      </c>
      <c r="AJ690" s="123">
        <f t="shared" si="529"/>
        <v>0</v>
      </c>
      <c r="AK690" s="122">
        <f>(1+HLOOKUP(YEAR(A690),'Real assumptions'!$A$21:$AK$24,2,TRUE)/100)^(1/12)-1</f>
        <v>0</v>
      </c>
      <c r="AL690">
        <f t="shared" si="518"/>
        <v>3.6273221641984238E-2</v>
      </c>
      <c r="AM690">
        <f>('Real assumptions'!$B$33/12)*O689*AV689</f>
        <v>3.4995262184216572E-2</v>
      </c>
      <c r="AN690">
        <f t="shared" si="506"/>
        <v>4.6631167870938555</v>
      </c>
      <c r="AO690">
        <f t="shared" si="530"/>
        <v>0</v>
      </c>
      <c r="AP690" s="121">
        <f t="shared" si="507"/>
        <v>0</v>
      </c>
      <c r="AQ690">
        <f t="shared" si="508"/>
        <v>0</v>
      </c>
      <c r="AR690">
        <v>0</v>
      </c>
      <c r="AS690">
        <f t="shared" si="491"/>
        <v>0</v>
      </c>
      <c r="AT690">
        <f t="shared" si="509"/>
        <v>0</v>
      </c>
      <c r="AU690">
        <f>IFERROR(HLOOKUP(B690,'Real assumptions'!$B$43:$AL$44,2,TRUE)*($W$3/$U$2),0)</f>
        <v>0</v>
      </c>
      <c r="AV690">
        <f>AV689*(1+'Real assumptions'!$B$35)^(1/12)</f>
        <v>2.0175267497185883</v>
      </c>
      <c r="AW690">
        <f t="shared" si="492"/>
        <v>2075</v>
      </c>
      <c r="AX690">
        <f t="shared" si="519"/>
        <v>4.6650252999143609</v>
      </c>
      <c r="AY690">
        <f t="shared" si="520"/>
        <v>7.30790847683705E-3</v>
      </c>
      <c r="AZ690">
        <f t="shared" si="493"/>
        <v>7.9367411306570679</v>
      </c>
      <c r="BA690">
        <f t="shared" si="510"/>
        <v>0.29864389484217324</v>
      </c>
      <c r="BB690">
        <f t="shared" si="511"/>
        <v>42.416666666666664</v>
      </c>
      <c r="BC690">
        <f t="shared" si="494"/>
        <v>25.449999999999996</v>
      </c>
      <c r="BD690">
        <f t="shared" si="512"/>
        <v>0</v>
      </c>
      <c r="BE690">
        <f t="shared" si="495"/>
        <v>24</v>
      </c>
      <c r="BF690">
        <f t="shared" si="521"/>
        <v>5000</v>
      </c>
      <c r="BU690"/>
      <c r="DW690" s="89"/>
      <c r="DX690" s="89"/>
      <c r="FD690"/>
      <c r="FE690"/>
    </row>
    <row r="691" spans="1:161" x14ac:dyDescent="0.25">
      <c r="A691" s="7">
        <f t="shared" si="513"/>
        <v>64131</v>
      </c>
      <c r="B691">
        <f t="shared" si="496"/>
        <v>680</v>
      </c>
      <c r="C691">
        <f t="shared" si="522"/>
        <v>56.583333333333336</v>
      </c>
      <c r="D691">
        <f t="shared" si="523"/>
        <v>0</v>
      </c>
      <c r="E691">
        <f t="shared" si="497"/>
        <v>108</v>
      </c>
      <c r="F691">
        <f>IF(C691&gt;=$T$2,0,VLOOKUP($E691,EKM_F05!$A$3:$C$128,2,TRUE))</f>
        <v>0.78940089743589748</v>
      </c>
      <c r="G691">
        <f>F691*'Real assumptions'!$B$3</f>
        <v>0.3294169945</v>
      </c>
      <c r="H691">
        <f t="shared" si="524"/>
        <v>3.2752286147789578E-2</v>
      </c>
      <c r="I691">
        <f t="shared" si="525"/>
        <v>5.4742163463374644E-5</v>
      </c>
      <c r="J691">
        <f>IF(B691&gt;$AJ$2,0,HLOOKUP(C691,'Real assumptions'!$B$5:$L$8,4,TRUE))</f>
        <v>3.7900000000000003E-2</v>
      </c>
      <c r="K691">
        <f t="shared" si="486"/>
        <v>1</v>
      </c>
      <c r="L691">
        <f t="shared" si="514"/>
        <v>8.3333333333333329E-2</v>
      </c>
      <c r="M691">
        <f t="shared" si="526"/>
        <v>3.2145624959929453E-3</v>
      </c>
      <c r="N691">
        <f t="shared" si="527"/>
        <v>5.2933408441518884E-6</v>
      </c>
      <c r="O691" s="8">
        <f t="shared" si="498"/>
        <v>1.6140549977957061E-3</v>
      </c>
      <c r="P691">
        <f t="shared" si="499"/>
        <v>4.0178172050477579E-2</v>
      </c>
      <c r="Q691">
        <f t="shared" si="515"/>
        <v>0.27371081731687325</v>
      </c>
      <c r="R691" s="89">
        <f t="shared" si="487"/>
        <v>5000</v>
      </c>
      <c r="S691">
        <f t="shared" si="488"/>
        <v>0.3333333333333357</v>
      </c>
      <c r="U691">
        <f>O690*AV690*'Real assumptions'!$B$33/12+AX691*'Real assumptions'!$B$34</f>
        <v>3.5009437531424582E-2</v>
      </c>
      <c r="V691">
        <f>IF(P691=0,0,IF(E691&lt;=$C$7,$AN$5*O690,0))*'Real assumptions'!$D$28</f>
        <v>0</v>
      </c>
      <c r="X691" s="94">
        <f t="shared" si="500"/>
        <v>0</v>
      </c>
      <c r="Y691">
        <f t="shared" si="489"/>
        <v>24</v>
      </c>
      <c r="Z691">
        <f t="shared" si="516"/>
        <v>42</v>
      </c>
      <c r="AA691">
        <f t="shared" si="490"/>
        <v>42.333333333333336</v>
      </c>
      <c r="AB691">
        <f t="shared" si="501"/>
        <v>50.505050505050505</v>
      </c>
      <c r="AC691">
        <f t="shared" si="528"/>
        <v>2138.0471380471381</v>
      </c>
      <c r="AD691">
        <f t="shared" si="502"/>
        <v>80.505050505050505</v>
      </c>
      <c r="AE691">
        <f t="shared" si="503"/>
        <v>170.4023569023569</v>
      </c>
      <c r="AF691" s="94">
        <f t="shared" si="504"/>
        <v>2691.5505050505049</v>
      </c>
      <c r="AG691">
        <f t="shared" si="517"/>
        <v>1.424729422248148E-2</v>
      </c>
      <c r="AH691">
        <f t="shared" si="505"/>
        <v>4.3443105444963237</v>
      </c>
      <c r="AI691">
        <f>HLOOKUP(AW691,'Real assumptions'!$A$21:$AK$24,2,TRUE)</f>
        <v>0</v>
      </c>
      <c r="AJ691" s="123">
        <f t="shared" si="529"/>
        <v>0</v>
      </c>
      <c r="AK691" s="122">
        <f>(1+HLOOKUP(YEAR(A691),'Real assumptions'!$A$21:$AK$24,2,TRUE)/100)^(1/12)-1</f>
        <v>0</v>
      </c>
      <c r="AL691">
        <f t="shared" si="518"/>
        <v>3.5009437531424582E-2</v>
      </c>
      <c r="AM691">
        <f>('Real assumptions'!$B$33/12)*O690*AV690</f>
        <v>3.3775223694430943E-2</v>
      </c>
      <c r="AN691">
        <f t="shared" si="506"/>
        <v>4.5034604824236091</v>
      </c>
      <c r="AO691">
        <f t="shared" si="530"/>
        <v>0</v>
      </c>
      <c r="AP691" s="121">
        <f t="shared" si="507"/>
        <v>0</v>
      </c>
      <c r="AQ691">
        <f t="shared" si="508"/>
        <v>0</v>
      </c>
      <c r="AR691">
        <v>0</v>
      </c>
      <c r="AS691">
        <f t="shared" si="491"/>
        <v>0</v>
      </c>
      <c r="AT691">
        <f t="shared" si="509"/>
        <v>0</v>
      </c>
      <c r="AU691">
        <f>IFERROR(HLOOKUP(B691,'Real assumptions'!$B$43:$AL$44,2,TRUE)*($W$3/$U$2),0)</f>
        <v>0</v>
      </c>
      <c r="AV691">
        <f>AV690*(1+'Real assumptions'!$B$35)^(1/12)</f>
        <v>2.0196163950091566</v>
      </c>
      <c r="AW691">
        <f t="shared" si="492"/>
        <v>2075</v>
      </c>
      <c r="AX691">
        <f t="shared" si="519"/>
        <v>4.5053375833511184</v>
      </c>
      <c r="AY691">
        <f t="shared" si="520"/>
        <v>7.0458354465624262E-3</v>
      </c>
      <c r="AZ691">
        <f t="shared" si="493"/>
        <v>7.6539517536367665</v>
      </c>
      <c r="BA691">
        <f t="shared" si="510"/>
        <v>0.28795811153935474</v>
      </c>
      <c r="BB691">
        <f t="shared" si="511"/>
        <v>42.333333333333336</v>
      </c>
      <c r="BC691">
        <f t="shared" si="494"/>
        <v>25.4</v>
      </c>
      <c r="BD691">
        <f t="shared" si="512"/>
        <v>0</v>
      </c>
      <c r="BE691">
        <f t="shared" si="495"/>
        <v>24</v>
      </c>
      <c r="BF691">
        <f t="shared" si="521"/>
        <v>5000</v>
      </c>
      <c r="BU691"/>
      <c r="DW691" s="89"/>
      <c r="DX691" s="89"/>
      <c r="FD691"/>
      <c r="FE691"/>
    </row>
    <row r="692" spans="1:161" x14ac:dyDescent="0.25">
      <c r="A692" s="7">
        <f t="shared" si="513"/>
        <v>64162</v>
      </c>
      <c r="B692">
        <f t="shared" si="496"/>
        <v>681</v>
      </c>
      <c r="C692">
        <f t="shared" si="522"/>
        <v>56.666666666666664</v>
      </c>
      <c r="D692">
        <f t="shared" si="523"/>
        <v>0</v>
      </c>
      <c r="E692">
        <f t="shared" si="497"/>
        <v>108</v>
      </c>
      <c r="F692">
        <f>IF(C692&gt;=$T$2,0,VLOOKUP($E692,EKM_F05!$A$3:$C$128,2,TRUE))</f>
        <v>0.78940089743589748</v>
      </c>
      <c r="G692">
        <f>F692*'Real assumptions'!$B$3</f>
        <v>0.3294169945</v>
      </c>
      <c r="H692">
        <f t="shared" si="524"/>
        <v>3.2752286147789578E-2</v>
      </c>
      <c r="I692">
        <f t="shared" si="525"/>
        <v>5.2779023844411503E-5</v>
      </c>
      <c r="J692">
        <f>IF(B692&gt;$AJ$2,0,HLOOKUP(C692,'Real assumptions'!$B$5:$L$8,4,TRUE))</f>
        <v>3.7900000000000003E-2</v>
      </c>
      <c r="K692">
        <f t="shared" si="486"/>
        <v>1</v>
      </c>
      <c r="L692">
        <f t="shared" si="514"/>
        <v>8.3333333333333329E-2</v>
      </c>
      <c r="M692">
        <f t="shared" si="526"/>
        <v>3.2145624959929453E-3</v>
      </c>
      <c r="N692">
        <f t="shared" si="527"/>
        <v>5.1035133607207146E-6</v>
      </c>
      <c r="O692" s="8">
        <f t="shared" si="498"/>
        <v>1.5561724605905739E-3</v>
      </c>
      <c r="P692">
        <f t="shared" si="499"/>
        <v>3.8737319947096949E-2</v>
      </c>
      <c r="Q692">
        <f t="shared" si="515"/>
        <v>0.26389511922205749</v>
      </c>
      <c r="R692" s="89">
        <f t="shared" si="487"/>
        <v>5000</v>
      </c>
      <c r="S692">
        <f t="shared" si="488"/>
        <v>0.25</v>
      </c>
      <c r="U692">
        <f>O691*AV691*'Real assumptions'!$B$33/12+AX692*'Real assumptions'!$B$34</f>
        <v>3.3789681626897147E-2</v>
      </c>
      <c r="V692">
        <f>IF(P692=0,0,IF(E692&lt;=$C$7,$AN$5*O691,0))*'Real assumptions'!$D$28</f>
        <v>0</v>
      </c>
      <c r="X692" s="94">
        <f t="shared" si="500"/>
        <v>0</v>
      </c>
      <c r="Y692">
        <f t="shared" si="489"/>
        <v>24</v>
      </c>
      <c r="Z692">
        <f t="shared" si="516"/>
        <v>42</v>
      </c>
      <c r="AA692">
        <f t="shared" si="490"/>
        <v>42.25</v>
      </c>
      <c r="AB692">
        <f t="shared" si="501"/>
        <v>50.505050505050505</v>
      </c>
      <c r="AC692">
        <f t="shared" si="528"/>
        <v>2133.8383838383838</v>
      </c>
      <c r="AD692">
        <f t="shared" si="502"/>
        <v>80.505050505050505</v>
      </c>
      <c r="AE692">
        <f t="shared" si="503"/>
        <v>170.0669191919192</v>
      </c>
      <c r="AF692" s="94">
        <f t="shared" si="504"/>
        <v>2696.094696969697</v>
      </c>
      <c r="AG692">
        <f t="shared" si="517"/>
        <v>1.3759555307753114E-2</v>
      </c>
      <c r="AH692">
        <f t="shared" si="505"/>
        <v>4.1955883185685314</v>
      </c>
      <c r="AI692">
        <f>HLOOKUP(AW692,'Real assumptions'!$A$21:$AK$24,2,TRUE)</f>
        <v>0</v>
      </c>
      <c r="AJ692" s="123">
        <f t="shared" si="529"/>
        <v>0</v>
      </c>
      <c r="AK692" s="122">
        <f>(1+HLOOKUP(YEAR(A692),'Real assumptions'!$A$21:$AK$24,2,TRUE)/100)^(1/12)-1</f>
        <v>0</v>
      </c>
      <c r="AL692">
        <f t="shared" si="518"/>
        <v>3.3789681626897147E-2</v>
      </c>
      <c r="AM692">
        <f>('Real assumptions'!$B$33/12)*O691*AV691</f>
        <v>3.2597719359946757E-2</v>
      </c>
      <c r="AN692">
        <f t="shared" si="506"/>
        <v>4.3492581828165235</v>
      </c>
      <c r="AO692">
        <f t="shared" si="530"/>
        <v>0</v>
      </c>
      <c r="AP692" s="121">
        <f t="shared" si="507"/>
        <v>0</v>
      </c>
      <c r="AQ692">
        <f t="shared" si="508"/>
        <v>0</v>
      </c>
      <c r="AR692">
        <v>0</v>
      </c>
      <c r="AS692">
        <f t="shared" si="491"/>
        <v>0</v>
      </c>
      <c r="AT692">
        <f t="shared" si="509"/>
        <v>0</v>
      </c>
      <c r="AU692">
        <f>IFERROR(HLOOKUP(B692,'Real assumptions'!$B$43:$AL$44,2,TRUE)*($W$3/$U$2),0)</f>
        <v>0</v>
      </c>
      <c r="AV692">
        <f>AV691*(1+'Real assumptions'!$B$35)^(1/12)</f>
        <v>2.0217082046415067</v>
      </c>
      <c r="AW692">
        <f t="shared" si="492"/>
        <v>2075</v>
      </c>
      <c r="AX692">
        <f t="shared" si="519"/>
        <v>4.3511037052614574</v>
      </c>
      <c r="AY692">
        <f t="shared" si="520"/>
        <v>6.7931607651334422E-3</v>
      </c>
      <c r="AZ692">
        <f t="shared" si="493"/>
        <v>7.3812447174271556</v>
      </c>
      <c r="BA692">
        <f t="shared" si="510"/>
        <v>0.27765467452981063</v>
      </c>
      <c r="BB692">
        <f t="shared" si="511"/>
        <v>42.25</v>
      </c>
      <c r="BC692">
        <f t="shared" si="494"/>
        <v>25.35</v>
      </c>
      <c r="BD692">
        <f t="shared" si="512"/>
        <v>0</v>
      </c>
      <c r="BE692">
        <f t="shared" si="495"/>
        <v>24</v>
      </c>
      <c r="BF692">
        <f t="shared" si="521"/>
        <v>5000</v>
      </c>
      <c r="BU692"/>
      <c r="DW692" s="89"/>
      <c r="DX692" s="89"/>
      <c r="FD692"/>
      <c r="FE692"/>
    </row>
    <row r="693" spans="1:161" x14ac:dyDescent="0.25">
      <c r="A693" s="7">
        <f t="shared" si="513"/>
        <v>64192</v>
      </c>
      <c r="B693">
        <f t="shared" si="496"/>
        <v>682</v>
      </c>
      <c r="C693">
        <f t="shared" si="522"/>
        <v>56.75</v>
      </c>
      <c r="D693">
        <f t="shared" si="523"/>
        <v>0</v>
      </c>
      <c r="E693">
        <f t="shared" si="497"/>
        <v>108</v>
      </c>
      <c r="F693">
        <f>IF(C693&gt;=$T$2,0,VLOOKUP($E693,EKM_F05!$A$3:$C$128,2,TRUE))</f>
        <v>0.78940089743589748</v>
      </c>
      <c r="G693">
        <f>F693*'Real assumptions'!$B$3</f>
        <v>0.3294169945</v>
      </c>
      <c r="H693">
        <f t="shared" si="524"/>
        <v>3.2752286147789578E-2</v>
      </c>
      <c r="I693">
        <f t="shared" si="525"/>
        <v>5.0886285483267147E-5</v>
      </c>
      <c r="J693">
        <f>IF(B693&gt;$AJ$2,0,HLOOKUP(C693,'Real assumptions'!$B$5:$L$8,4,TRUE))</f>
        <v>3.7900000000000003E-2</v>
      </c>
      <c r="K693">
        <f t="shared" si="486"/>
        <v>1</v>
      </c>
      <c r="L693">
        <f t="shared" si="514"/>
        <v>8.3333333333333329E-2</v>
      </c>
      <c r="M693">
        <f t="shared" si="526"/>
        <v>3.2145624959929453E-3</v>
      </c>
      <c r="N693">
        <f t="shared" si="527"/>
        <v>4.9204933878063868E-6</v>
      </c>
      <c r="O693" s="8">
        <f t="shared" si="498"/>
        <v>1.5003656817195003E-3</v>
      </c>
      <c r="P693">
        <f t="shared" si="499"/>
        <v>3.7348139054173772E-2</v>
      </c>
      <c r="Q693">
        <f t="shared" si="515"/>
        <v>0.25443142741633573</v>
      </c>
      <c r="R693" s="89">
        <f t="shared" si="487"/>
        <v>5000</v>
      </c>
      <c r="S693">
        <f t="shared" si="488"/>
        <v>0.1666666666666643</v>
      </c>
      <c r="U693">
        <f>O692*AV692*'Real assumptions'!$B$33/12+AX693*'Real assumptions'!$B$34</f>
        <v>3.2612420162910556E-2</v>
      </c>
      <c r="V693">
        <f>IF(P693=0,0,IF(E693&lt;=$C$7,$AN$5*O692,0))*'Real assumptions'!$D$28</f>
        <v>0</v>
      </c>
      <c r="X693" s="94">
        <f t="shared" si="500"/>
        <v>0</v>
      </c>
      <c r="Y693">
        <f t="shared" si="489"/>
        <v>24</v>
      </c>
      <c r="Z693">
        <f t="shared" si="516"/>
        <v>42</v>
      </c>
      <c r="AA693">
        <f t="shared" si="490"/>
        <v>42.166666666666664</v>
      </c>
      <c r="AB693">
        <f t="shared" si="501"/>
        <v>50.505050505050505</v>
      </c>
      <c r="AC693">
        <f t="shared" si="528"/>
        <v>2129.6296296296296</v>
      </c>
      <c r="AD693">
        <f t="shared" si="502"/>
        <v>80.505050505050505</v>
      </c>
      <c r="AE693">
        <f t="shared" si="503"/>
        <v>169.73148148148147</v>
      </c>
      <c r="AF693" s="94">
        <f t="shared" si="504"/>
        <v>2700.6388888888891</v>
      </c>
      <c r="AG693">
        <f t="shared" si="517"/>
        <v>1.3288475795630566E-2</v>
      </c>
      <c r="AH693">
        <f t="shared" si="505"/>
        <v>4.0519459076059716</v>
      </c>
      <c r="AI693">
        <f>HLOOKUP(AW693,'Real assumptions'!$A$21:$AK$24,2,TRUE)</f>
        <v>0</v>
      </c>
      <c r="AJ693" s="123">
        <f t="shared" si="529"/>
        <v>0</v>
      </c>
      <c r="AK693" s="122">
        <f>(1+HLOOKUP(YEAR(A693),'Real assumptions'!$A$21:$AK$24,2,TRUE)/100)^(1/12)-1</f>
        <v>0</v>
      </c>
      <c r="AL693">
        <f t="shared" si="518"/>
        <v>3.2612420162910556E-2</v>
      </c>
      <c r="AM693">
        <f>('Real assumptions'!$B$33/12)*O692*AV692</f>
        <v>3.146126631413125E-2</v>
      </c>
      <c r="AN693">
        <f t="shared" si="506"/>
        <v>4.2003240374597945</v>
      </c>
      <c r="AO693">
        <f t="shared" si="530"/>
        <v>0</v>
      </c>
      <c r="AP693" s="121">
        <f t="shared" si="507"/>
        <v>0</v>
      </c>
      <c r="AQ693">
        <f t="shared" si="508"/>
        <v>0</v>
      </c>
      <c r="AR693">
        <v>0</v>
      </c>
      <c r="AS693">
        <f t="shared" si="491"/>
        <v>0</v>
      </c>
      <c r="AT693">
        <f t="shared" si="509"/>
        <v>0</v>
      </c>
      <c r="AU693">
        <f>IFERROR(HLOOKUP(B693,'Real assumptions'!$B$43:$AL$44,2,TRUE)*($W$3/$U$2),0)</f>
        <v>0</v>
      </c>
      <c r="AV693">
        <f>AV692*(1+'Real assumptions'!$B$35)^(1/12)</f>
        <v>2.0238021808573472</v>
      </c>
      <c r="AW693">
        <f t="shared" si="492"/>
        <v>2075</v>
      </c>
      <c r="AX693">
        <f t="shared" si="519"/>
        <v>4.2021378659615891</v>
      </c>
      <c r="AY693">
        <f t="shared" si="520"/>
        <v>6.5495473930579709E-3</v>
      </c>
      <c r="AZ693">
        <f t="shared" si="493"/>
        <v>7.1182605331064526</v>
      </c>
      <c r="BA693">
        <f t="shared" si="510"/>
        <v>0.26771990321196631</v>
      </c>
      <c r="BB693">
        <f t="shared" si="511"/>
        <v>42.166666666666664</v>
      </c>
      <c r="BC693">
        <f t="shared" si="494"/>
        <v>25.299999999999997</v>
      </c>
      <c r="BD693">
        <f t="shared" si="512"/>
        <v>0</v>
      </c>
      <c r="BE693">
        <f t="shared" si="495"/>
        <v>24</v>
      </c>
      <c r="BF693">
        <f t="shared" si="521"/>
        <v>5000</v>
      </c>
      <c r="BU693"/>
      <c r="DW693" s="89"/>
      <c r="DX693" s="89"/>
      <c r="FD693"/>
      <c r="FE693"/>
    </row>
    <row r="694" spans="1:161" x14ac:dyDescent="0.25">
      <c r="A694" s="7">
        <f t="shared" si="513"/>
        <v>64223</v>
      </c>
      <c r="B694">
        <f t="shared" si="496"/>
        <v>683</v>
      </c>
      <c r="C694">
        <f t="shared" si="522"/>
        <v>56.833333333333336</v>
      </c>
      <c r="D694">
        <f t="shared" si="523"/>
        <v>0</v>
      </c>
      <c r="E694">
        <f t="shared" si="497"/>
        <v>108</v>
      </c>
      <c r="F694">
        <f>IF(C694&gt;=$T$2,0,VLOOKUP($E694,EKM_F05!$A$3:$C$128,2,TRUE))</f>
        <v>0.78940089743589748</v>
      </c>
      <c r="G694">
        <f>F694*'Real assumptions'!$B$3</f>
        <v>0.3294169945</v>
      </c>
      <c r="H694">
        <f t="shared" si="524"/>
        <v>3.2752286147789578E-2</v>
      </c>
      <c r="I694">
        <f t="shared" si="525"/>
        <v>4.9061423680702342E-5</v>
      </c>
      <c r="J694">
        <f>IF(B694&gt;$AJ$2,0,HLOOKUP(C694,'Real assumptions'!$B$5:$L$8,4,TRUE))</f>
        <v>3.7900000000000003E-2</v>
      </c>
      <c r="K694">
        <f t="shared" si="486"/>
        <v>1</v>
      </c>
      <c r="L694">
        <f t="shared" si="514"/>
        <v>8.3333333333333329E-2</v>
      </c>
      <c r="M694">
        <f t="shared" si="526"/>
        <v>3.2145624959929453E-3</v>
      </c>
      <c r="N694">
        <f t="shared" si="527"/>
        <v>4.7440367974322835E-6</v>
      </c>
      <c r="O694" s="8">
        <f t="shared" si="498"/>
        <v>1.4465602212413657E-3</v>
      </c>
      <c r="P694">
        <f t="shared" si="499"/>
        <v>3.6008776361268008E-2</v>
      </c>
      <c r="Q694">
        <f t="shared" si="515"/>
        <v>0.24530711840351171</v>
      </c>
      <c r="R694" s="89">
        <f t="shared" si="487"/>
        <v>5000</v>
      </c>
      <c r="S694">
        <f t="shared" si="488"/>
        <v>8.3333333333335702E-2</v>
      </c>
      <c r="U694">
        <f>O693*AV693*'Real assumptions'!$B$33/12+AX694*'Real assumptions'!$B$34</f>
        <v>3.1476172800295001E-2</v>
      </c>
      <c r="V694">
        <f>IF(P694=0,0,IF(E694&lt;=$C$7,$AN$5*O693,0))*'Real assumptions'!$D$28</f>
        <v>0</v>
      </c>
      <c r="X694" s="94">
        <f t="shared" si="500"/>
        <v>0</v>
      </c>
      <c r="Y694">
        <f t="shared" si="489"/>
        <v>24</v>
      </c>
      <c r="Z694">
        <f t="shared" si="516"/>
        <v>42</v>
      </c>
      <c r="AA694">
        <f t="shared" si="490"/>
        <v>42.083333333333336</v>
      </c>
      <c r="AB694">
        <f t="shared" si="501"/>
        <v>50.505050505050505</v>
      </c>
      <c r="AC694">
        <f t="shared" si="528"/>
        <v>2125.4208754208757</v>
      </c>
      <c r="AD694">
        <f t="shared" si="502"/>
        <v>80.505050505050505</v>
      </c>
      <c r="AE694">
        <f t="shared" si="503"/>
        <v>169.39604377104376</v>
      </c>
      <c r="AF694" s="94">
        <f t="shared" si="504"/>
        <v>2705.1830808080804</v>
      </c>
      <c r="AG694">
        <f t="shared" si="517"/>
        <v>1.2833488079144764E-2</v>
      </c>
      <c r="AH694">
        <f t="shared" si="505"/>
        <v>3.9132102358721359</v>
      </c>
      <c r="AI694">
        <f>HLOOKUP(AW694,'Real assumptions'!$A$21:$AK$24,2,TRUE)</f>
        <v>0</v>
      </c>
      <c r="AJ694" s="123">
        <f t="shared" si="529"/>
        <v>0</v>
      </c>
      <c r="AK694" s="122">
        <f>(1+HLOOKUP(YEAR(A694),'Real assumptions'!$A$21:$AK$24,2,TRUE)/100)^(1/12)-1</f>
        <v>0</v>
      </c>
      <c r="AL694">
        <f t="shared" si="518"/>
        <v>3.1476172800295001E-2</v>
      </c>
      <c r="AM694">
        <f>('Real assumptions'!$B$33/12)*O693*AV693</f>
        <v>3.0364433387474452E-2</v>
      </c>
      <c r="AN694">
        <f t="shared" si="506"/>
        <v>4.0564785111669455</v>
      </c>
      <c r="AO694">
        <f t="shared" si="530"/>
        <v>0</v>
      </c>
      <c r="AP694" s="121">
        <f t="shared" si="507"/>
        <v>0</v>
      </c>
      <c r="AQ694">
        <f t="shared" si="508"/>
        <v>0</v>
      </c>
      <c r="AR694">
        <v>0</v>
      </c>
      <c r="AS694">
        <f t="shared" si="491"/>
        <v>0</v>
      </c>
      <c r="AT694">
        <f t="shared" si="509"/>
        <v>0</v>
      </c>
      <c r="AU694">
        <f>IFERROR(HLOOKUP(B694,'Real assumptions'!$B$43:$AL$44,2,TRUE)*($W$3/$U$2),0)</f>
        <v>0</v>
      </c>
      <c r="AV694">
        <f>AV693*(1+'Real assumptions'!$B$35)^(1/12)</f>
        <v>2.025898325900708</v>
      </c>
      <c r="AW694">
        <f t="shared" si="492"/>
        <v>2075</v>
      </c>
      <c r="AX694">
        <f t="shared" si="519"/>
        <v>4.058260577983579</v>
      </c>
      <c r="AY694">
        <f t="shared" si="520"/>
        <v>6.3146703776073244E-3</v>
      </c>
      <c r="AZ694">
        <f t="shared" si="493"/>
        <v>6.8646525301847703</v>
      </c>
      <c r="BA694">
        <f t="shared" si="510"/>
        <v>0.25814060648265647</v>
      </c>
      <c r="BB694">
        <f t="shared" si="511"/>
        <v>42.083333333333336</v>
      </c>
      <c r="BC694">
        <f t="shared" si="494"/>
        <v>25.25</v>
      </c>
      <c r="BD694">
        <f t="shared" si="512"/>
        <v>0</v>
      </c>
      <c r="BE694">
        <f t="shared" si="495"/>
        <v>24</v>
      </c>
      <c r="BF694">
        <f t="shared" si="521"/>
        <v>5000</v>
      </c>
      <c r="BU694"/>
      <c r="DW694" s="89"/>
      <c r="DX694" s="89"/>
      <c r="FD694"/>
      <c r="FE694"/>
    </row>
    <row r="695" spans="1:161" x14ac:dyDescent="0.25">
      <c r="A695" s="7">
        <f t="shared" si="513"/>
        <v>64253</v>
      </c>
      <c r="B695">
        <f t="shared" si="496"/>
        <v>684</v>
      </c>
      <c r="C695">
        <f t="shared" si="522"/>
        <v>56.916666666666664</v>
      </c>
      <c r="D695">
        <f t="shared" si="523"/>
        <v>0</v>
      </c>
      <c r="E695">
        <f t="shared" si="497"/>
        <v>108</v>
      </c>
      <c r="F695">
        <f>IF(C695&gt;=$T$2,0,VLOOKUP($E695,EKM_F05!$A$3:$C$128,2,TRUE))</f>
        <v>0.78940089743589748</v>
      </c>
      <c r="G695">
        <f>F695*'Real assumptions'!$B$3</f>
        <v>0.3294169945</v>
      </c>
      <c r="H695">
        <f t="shared" si="524"/>
        <v>3.2752286147789578E-2</v>
      </c>
      <c r="I695">
        <f t="shared" si="525"/>
        <v>4.7302004277142187E-5</v>
      </c>
      <c r="J695">
        <f>IF(B695&gt;$AJ$2,0,HLOOKUP(C695,'Real assumptions'!$B$5:$L$8,4,TRUE))</f>
        <v>3.7900000000000003E-2</v>
      </c>
      <c r="K695">
        <f t="shared" si="486"/>
        <v>1</v>
      </c>
      <c r="L695">
        <f t="shared" si="514"/>
        <v>8.3333333333333329E-2</v>
      </c>
      <c r="M695">
        <f t="shared" si="526"/>
        <v>3.2145624959929453E-3</v>
      </c>
      <c r="N695">
        <f t="shared" si="527"/>
        <v>4.5739082164329352E-6</v>
      </c>
      <c r="O695" s="8">
        <f t="shared" si="498"/>
        <v>1.3946843087477906E-3</v>
      </c>
      <c r="P695">
        <f t="shared" si="499"/>
        <v>3.4717445309792774E-2</v>
      </c>
      <c r="Q695">
        <f t="shared" si="515"/>
        <v>0.23651002138571092</v>
      </c>
      <c r="R695" s="89">
        <f t="shared" si="487"/>
        <v>5000</v>
      </c>
      <c r="S695">
        <f t="shared" si="488"/>
        <v>1</v>
      </c>
      <c r="U695">
        <f>O694*AV694*'Real assumptions'!$B$33/12+AX695*'Real assumptions'!$B$34</f>
        <v>3.0379510765322446E-2</v>
      </c>
      <c r="V695">
        <f>IF(P695=0,0,IF(E695&lt;=$C$7,$AN$5*O694,0))*'Real assumptions'!$D$28</f>
        <v>0</v>
      </c>
      <c r="X695" s="94">
        <f t="shared" si="500"/>
        <v>0</v>
      </c>
      <c r="Y695">
        <f t="shared" si="489"/>
        <v>24</v>
      </c>
      <c r="Z695">
        <f t="shared" si="516"/>
        <v>42</v>
      </c>
      <c r="AA695">
        <f t="shared" si="490"/>
        <v>42</v>
      </c>
      <c r="AB695">
        <f t="shared" si="501"/>
        <v>50.505050505050505</v>
      </c>
      <c r="AC695">
        <f t="shared" si="528"/>
        <v>2121.212121212121</v>
      </c>
      <c r="AD695">
        <f t="shared" si="502"/>
        <v>80.505050505050505</v>
      </c>
      <c r="AE695">
        <f t="shared" si="503"/>
        <v>169.06060606060606</v>
      </c>
      <c r="AF695" s="94">
        <f t="shared" si="504"/>
        <v>2709.727272727273</v>
      </c>
      <c r="AG695">
        <f t="shared" si="517"/>
        <v>1.2394043837019683E-2</v>
      </c>
      <c r="AH695">
        <f t="shared" si="505"/>
        <v>3.7792141082586723</v>
      </c>
      <c r="AI695">
        <f>HLOOKUP(AW695,'Real assumptions'!$A$21:$AK$24,2,TRUE)</f>
        <v>0</v>
      </c>
      <c r="AJ695" s="123">
        <f t="shared" si="529"/>
        <v>0</v>
      </c>
      <c r="AK695" s="122">
        <f>(1+HLOOKUP(YEAR(A695),'Real assumptions'!$A$21:$AK$24,2,TRUE)/100)^(1/12)-1</f>
        <v>0</v>
      </c>
      <c r="AL695">
        <f t="shared" si="518"/>
        <v>3.0379510765322446E-2</v>
      </c>
      <c r="AM695">
        <f>('Real assumptions'!$B$33/12)*O694*AV694</f>
        <v>2.9305839305274407E-2</v>
      </c>
      <c r="AN695">
        <f t="shared" si="506"/>
        <v>3.9175481704166062</v>
      </c>
      <c r="AO695">
        <f t="shared" si="530"/>
        <v>0</v>
      </c>
      <c r="AP695" s="121">
        <f t="shared" si="507"/>
        <v>0</v>
      </c>
      <c r="AQ695">
        <f t="shared" si="508"/>
        <v>0</v>
      </c>
      <c r="AR695">
        <v>0</v>
      </c>
      <c r="AS695">
        <f t="shared" si="491"/>
        <v>0</v>
      </c>
      <c r="AT695">
        <f t="shared" si="509"/>
        <v>0</v>
      </c>
      <c r="AU695">
        <f>IFERROR(HLOOKUP(B695,'Real assumptions'!$B$43:$AL$44,2,TRUE)*($W$3/$U$2),0)</f>
        <v>0</v>
      </c>
      <c r="AV695">
        <f>AV694*(1+'Real assumptions'!$B$35)^(1/12)</f>
        <v>2.0279966420179436</v>
      </c>
      <c r="AW695">
        <f t="shared" si="492"/>
        <v>2075</v>
      </c>
      <c r="AX695">
        <f t="shared" si="519"/>
        <v>3.919298452291502</v>
      </c>
      <c r="AY695">
        <f t="shared" si="520"/>
        <v>6.0882164193660163E-3</v>
      </c>
      <c r="AZ695">
        <f t="shared" si="493"/>
        <v>6.6200863995065102</v>
      </c>
      <c r="BA695">
        <f t="shared" si="510"/>
        <v>0.24890406522273062</v>
      </c>
      <c r="BB695">
        <f t="shared" si="511"/>
        <v>42</v>
      </c>
      <c r="BC695">
        <f t="shared" si="494"/>
        <v>25.2</v>
      </c>
      <c r="BD695">
        <f t="shared" si="512"/>
        <v>0</v>
      </c>
      <c r="BE695">
        <f t="shared" si="495"/>
        <v>24</v>
      </c>
      <c r="BF695">
        <f t="shared" si="521"/>
        <v>5000</v>
      </c>
      <c r="BU695"/>
      <c r="DW695" s="89"/>
      <c r="DX695" s="89"/>
      <c r="FD695"/>
      <c r="FE695"/>
    </row>
    <row r="696" spans="1:161" x14ac:dyDescent="0.25">
      <c r="A696" s="7">
        <f t="shared" si="513"/>
        <v>64284</v>
      </c>
      <c r="B696">
        <f t="shared" si="496"/>
        <v>685</v>
      </c>
      <c r="C696">
        <f t="shared" si="522"/>
        <v>57</v>
      </c>
      <c r="D696">
        <f t="shared" si="523"/>
        <v>1</v>
      </c>
      <c r="E696">
        <f t="shared" si="497"/>
        <v>109</v>
      </c>
      <c r="F696">
        <f>IF(C696&gt;=$T$2,0,VLOOKUP($E696,EKM_F05!$A$3:$C$128,2,TRUE))</f>
        <v>0.85401410256410248</v>
      </c>
      <c r="G696">
        <f>F696*'Real assumptions'!$B$3</f>
        <v>0.35638008499999996</v>
      </c>
      <c r="H696">
        <f t="shared" si="524"/>
        <v>3.6054553526004618E-2</v>
      </c>
      <c r="I696">
        <f t="shared" si="525"/>
        <v>5.0203898374010166E-5</v>
      </c>
      <c r="J696">
        <f>IF(B696&gt;$AJ$2,0,HLOOKUP(C696,'Real assumptions'!$B$5:$L$8,4,TRUE))</f>
        <v>3.7900000000000003E-2</v>
      </c>
      <c r="K696">
        <f t="shared" si="486"/>
        <v>1</v>
      </c>
      <c r="L696">
        <f t="shared" si="514"/>
        <v>8.3333333333333329E-2</v>
      </c>
      <c r="M696">
        <f t="shared" si="526"/>
        <v>3.2145624959929453E-3</v>
      </c>
      <c r="N696">
        <f t="shared" si="527"/>
        <v>4.4024781850346891E-6</v>
      </c>
      <c r="O696" s="8">
        <f t="shared" si="498"/>
        <v>1.3400779321887457E-3</v>
      </c>
      <c r="P696">
        <f t="shared" si="499"/>
        <v>3.3472423409946973E-2</v>
      </c>
      <c r="Q696">
        <f t="shared" si="515"/>
        <v>0.25101949187005085</v>
      </c>
      <c r="R696" s="89">
        <f t="shared" si="487"/>
        <v>5000</v>
      </c>
      <c r="S696">
        <f t="shared" si="488"/>
        <v>0.9166666666666643</v>
      </c>
      <c r="U696">
        <f>O695*AV695*'Real assumptions'!$B$33/12+AX696*'Real assumptions'!$B$34</f>
        <v>2.9321055053637513E-2</v>
      </c>
      <c r="V696">
        <f>IF(P696=0,0,IF(E696&lt;=$C$7,$AN$5*O695,0))*'Real assumptions'!$D$28</f>
        <v>0</v>
      </c>
      <c r="X696" s="94">
        <f t="shared" si="500"/>
        <v>0</v>
      </c>
      <c r="Y696">
        <f t="shared" si="489"/>
        <v>24</v>
      </c>
      <c r="Z696">
        <f t="shared" si="516"/>
        <v>42</v>
      </c>
      <c r="AA696">
        <f t="shared" si="490"/>
        <v>41.916666666666664</v>
      </c>
      <c r="AB696">
        <f t="shared" si="501"/>
        <v>50.505050505050505</v>
      </c>
      <c r="AC696">
        <f t="shared" si="528"/>
        <v>2117.0033670033667</v>
      </c>
      <c r="AD696">
        <f t="shared" si="502"/>
        <v>80.505050505050505</v>
      </c>
      <c r="AE696">
        <f t="shared" si="503"/>
        <v>168.72516835016833</v>
      </c>
      <c r="AF696" s="94">
        <f t="shared" si="504"/>
        <v>2714.2714646464651</v>
      </c>
      <c r="AG696">
        <f t="shared" si="517"/>
        <v>1.1949520911368217E-2</v>
      </c>
      <c r="AH696">
        <f t="shared" si="505"/>
        <v>3.6373352917423531</v>
      </c>
      <c r="AI696">
        <f>HLOOKUP(AW696,'Real assumptions'!$A$21:$AK$24,2,TRUE)</f>
        <v>0</v>
      </c>
      <c r="AJ696" s="123">
        <f t="shared" si="529"/>
        <v>0</v>
      </c>
      <c r="AK696" s="122">
        <f>(1+HLOOKUP(YEAR(A696),'Real assumptions'!$A$21:$AK$24,2,TRUE)/100)^(1/12)-1</f>
        <v>0</v>
      </c>
      <c r="AL696">
        <f t="shared" si="518"/>
        <v>2.9321055053637513E-2</v>
      </c>
      <c r="AM696">
        <f>('Real assumptions'!$B$33/12)*O695*AV695</f>
        <v>2.828415094815636E-2</v>
      </c>
      <c r="AN696">
        <f t="shared" si="506"/>
        <v>3.7833654766149816</v>
      </c>
      <c r="AO696">
        <f t="shared" si="530"/>
        <v>0</v>
      </c>
      <c r="AP696" s="121">
        <f t="shared" si="507"/>
        <v>0</v>
      </c>
      <c r="AQ696">
        <f t="shared" si="508"/>
        <v>0</v>
      </c>
      <c r="AR696">
        <v>0</v>
      </c>
      <c r="AS696">
        <f t="shared" si="491"/>
        <v>0</v>
      </c>
      <c r="AT696">
        <f t="shared" si="509"/>
        <v>0</v>
      </c>
      <c r="AU696">
        <f>IFERROR(HLOOKUP(B696,'Real assumptions'!$B$43:$AL$44,2,TRUE)*($W$3/$U$2),0)</f>
        <v>0</v>
      </c>
      <c r="AV696">
        <f>AV695*(1+'Real assumptions'!$B$35)^(1/12)</f>
        <v>2.0300971314577354</v>
      </c>
      <c r="AW696">
        <f t="shared" si="492"/>
        <v>2075</v>
      </c>
      <c r="AX696">
        <f t="shared" si="519"/>
        <v>3.7850839917129981</v>
      </c>
      <c r="AY696">
        <f t="shared" si="520"/>
        <v>5.869883454325717E-3</v>
      </c>
      <c r="AZ696">
        <f t="shared" si="493"/>
        <v>6.3612687550814009</v>
      </c>
      <c r="BA696">
        <f t="shared" si="510"/>
        <v>0.26296901278141904</v>
      </c>
      <c r="BB696">
        <f t="shared" si="511"/>
        <v>41.916666666666664</v>
      </c>
      <c r="BC696">
        <f t="shared" si="494"/>
        <v>25.15</v>
      </c>
      <c r="BD696">
        <f t="shared" si="512"/>
        <v>0</v>
      </c>
      <c r="BE696">
        <f t="shared" si="495"/>
        <v>24</v>
      </c>
      <c r="BF696">
        <f t="shared" si="521"/>
        <v>5000</v>
      </c>
      <c r="BU696"/>
      <c r="DW696" s="89"/>
      <c r="DX696" s="89"/>
      <c r="FD696"/>
      <c r="FE696"/>
    </row>
    <row r="697" spans="1:161" x14ac:dyDescent="0.25">
      <c r="A697" s="7">
        <f t="shared" si="513"/>
        <v>64315</v>
      </c>
      <c r="B697">
        <f t="shared" si="496"/>
        <v>686</v>
      </c>
      <c r="C697">
        <f t="shared" si="522"/>
        <v>57.083333333333336</v>
      </c>
      <c r="D697">
        <f t="shared" si="523"/>
        <v>0</v>
      </c>
      <c r="E697">
        <f t="shared" si="497"/>
        <v>109</v>
      </c>
      <c r="F697">
        <f>IF(C697&gt;=$T$2,0,VLOOKUP($E697,EKM_F05!$A$3:$C$128,2,TRUE))</f>
        <v>0.85401410256410248</v>
      </c>
      <c r="G697">
        <f>F697*'Real assumptions'!$B$3</f>
        <v>0.35638008499999996</v>
      </c>
      <c r="H697">
        <f t="shared" si="524"/>
        <v>3.6054553526004618E-2</v>
      </c>
      <c r="I697">
        <f t="shared" si="525"/>
        <v>4.8238254276526472E-5</v>
      </c>
      <c r="J697">
        <f>IF(B697&gt;$AJ$2,0,HLOOKUP(C697,'Real assumptions'!$B$5:$L$8,4,TRUE))</f>
        <v>3.7900000000000003E-2</v>
      </c>
      <c r="K697">
        <f t="shared" si="486"/>
        <v>1</v>
      </c>
      <c r="L697">
        <f t="shared" si="514"/>
        <v>8.3333333333333329E-2</v>
      </c>
      <c r="M697">
        <f t="shared" si="526"/>
        <v>3.2145624959929453E-3</v>
      </c>
      <c r="N697">
        <f t="shared" si="527"/>
        <v>4.2301070039314699E-6</v>
      </c>
      <c r="O697" s="8">
        <f t="shared" si="498"/>
        <v>1.2876095709082878E-3</v>
      </c>
      <c r="P697">
        <f t="shared" si="499"/>
        <v>3.2161870372529898E-2</v>
      </c>
      <c r="Q697">
        <f t="shared" si="515"/>
        <v>0.24119127138263236</v>
      </c>
      <c r="R697" s="89">
        <f t="shared" si="487"/>
        <v>5000</v>
      </c>
      <c r="S697">
        <f t="shared" si="488"/>
        <v>0.8333333333333357</v>
      </c>
      <c r="U697">
        <f>O696*AV696*'Real assumptions'!$B$33/12+AX697*'Real assumptions'!$B$34</f>
        <v>2.8202857841748828E-2</v>
      </c>
      <c r="V697">
        <f>IF(P697=0,0,IF(E697&lt;=$C$7,$AN$5*O696,0))*'Real assumptions'!$D$28</f>
        <v>0</v>
      </c>
      <c r="X697" s="94">
        <f t="shared" si="500"/>
        <v>0</v>
      </c>
      <c r="Y697">
        <f t="shared" si="489"/>
        <v>24</v>
      </c>
      <c r="Z697">
        <f t="shared" si="516"/>
        <v>41</v>
      </c>
      <c r="AA697">
        <f t="shared" si="490"/>
        <v>41.833333333333336</v>
      </c>
      <c r="AB697">
        <f t="shared" si="501"/>
        <v>50.505050505050505</v>
      </c>
      <c r="AC697">
        <f t="shared" si="528"/>
        <v>2112.7946127946129</v>
      </c>
      <c r="AD697">
        <f t="shared" si="502"/>
        <v>80.505050505050505</v>
      </c>
      <c r="AE697">
        <f t="shared" si="503"/>
        <v>168.38973063973063</v>
      </c>
      <c r="AF697" s="94">
        <f t="shared" si="504"/>
        <v>2718.8156565656564</v>
      </c>
      <c r="AG697">
        <f t="shared" si="517"/>
        <v>1.1500881151236922E-2</v>
      </c>
      <c r="AH697">
        <f t="shared" si="505"/>
        <v>3.5007730609292396</v>
      </c>
      <c r="AI697">
        <f>HLOOKUP(AW697,'Real assumptions'!$A$21:$AK$24,2,TRUE)</f>
        <v>0</v>
      </c>
      <c r="AJ697" s="123">
        <f t="shared" si="529"/>
        <v>0</v>
      </c>
      <c r="AK697" s="122">
        <f>(1+HLOOKUP(YEAR(A697),'Real assumptions'!$A$21:$AK$24,2,TRUE)/100)^(1/12)-1</f>
        <v>0</v>
      </c>
      <c r="AL697">
        <f t="shared" si="518"/>
        <v>2.8202857841748828E-2</v>
      </c>
      <c r="AM697">
        <f>('Real assumptions'!$B$33/12)*O696*AV696</f>
        <v>2.7204883660661865E-2</v>
      </c>
      <c r="AN697">
        <f t="shared" si="506"/>
        <v>3.6412943042731341</v>
      </c>
      <c r="AO697">
        <f t="shared" si="530"/>
        <v>0</v>
      </c>
      <c r="AP697" s="121">
        <f t="shared" si="507"/>
        <v>0</v>
      </c>
      <c r="AQ697">
        <f t="shared" si="508"/>
        <v>0</v>
      </c>
      <c r="AR697">
        <v>0</v>
      </c>
      <c r="AS697">
        <f t="shared" si="491"/>
        <v>0</v>
      </c>
      <c r="AT697">
        <f t="shared" si="509"/>
        <v>0</v>
      </c>
      <c r="AU697">
        <f>IFERROR(HLOOKUP(B697,'Real assumptions'!$B$43:$AL$44,2,TRUE)*($W$3/$U$2),0)</f>
        <v>0</v>
      </c>
      <c r="AV697">
        <f>AV696*(1+'Real assumptions'!$B$35)^(1/12)</f>
        <v>2.0321997964710934</v>
      </c>
      <c r="AW697">
        <f t="shared" si="492"/>
        <v>2076</v>
      </c>
      <c r="AX697">
        <f t="shared" si="519"/>
        <v>3.642975350379511</v>
      </c>
      <c r="AY697">
        <f t="shared" si="520"/>
        <v>5.6400586371580207E-3</v>
      </c>
      <c r="AZ697">
        <f t="shared" si="493"/>
        <v>6.1125356150783121</v>
      </c>
      <c r="BA697">
        <f t="shared" si="510"/>
        <v>0.25269215253386929</v>
      </c>
      <c r="BB697">
        <f t="shared" si="511"/>
        <v>41.833333333333336</v>
      </c>
      <c r="BC697">
        <f t="shared" si="494"/>
        <v>25.1</v>
      </c>
      <c r="BD697">
        <f t="shared" si="512"/>
        <v>0</v>
      </c>
      <c r="BE697">
        <f t="shared" si="495"/>
        <v>24</v>
      </c>
      <c r="BF697">
        <f t="shared" si="521"/>
        <v>5000</v>
      </c>
      <c r="BU697"/>
      <c r="DW697" s="89"/>
      <c r="DX697" s="89"/>
      <c r="FD697"/>
      <c r="FE697"/>
    </row>
    <row r="698" spans="1:161" x14ac:dyDescent="0.25">
      <c r="A698" s="7">
        <f t="shared" si="513"/>
        <v>64344</v>
      </c>
      <c r="B698">
        <f t="shared" si="496"/>
        <v>687</v>
      </c>
      <c r="C698">
        <f t="shared" si="522"/>
        <v>57.166666666666664</v>
      </c>
      <c r="D698">
        <f t="shared" si="523"/>
        <v>0</v>
      </c>
      <c r="E698">
        <f t="shared" si="497"/>
        <v>109</v>
      </c>
      <c r="F698">
        <f>IF(C698&gt;=$T$2,0,VLOOKUP($E698,EKM_F05!$A$3:$C$128,2,TRUE))</f>
        <v>0.85401410256410248</v>
      </c>
      <c r="G698">
        <f>F698*'Real assumptions'!$B$3</f>
        <v>0.35638008499999996</v>
      </c>
      <c r="H698">
        <f t="shared" si="524"/>
        <v>3.6054553526004618E-2</v>
      </c>
      <c r="I698">
        <f t="shared" si="525"/>
        <v>4.6349571467769562E-5</v>
      </c>
      <c r="J698">
        <f>IF(B698&gt;$AJ$2,0,HLOOKUP(C698,'Real assumptions'!$B$5:$L$8,4,TRUE))</f>
        <v>3.7900000000000003E-2</v>
      </c>
      <c r="K698">
        <f t="shared" si="486"/>
        <v>1</v>
      </c>
      <c r="L698">
        <f t="shared" si="514"/>
        <v>8.3333333333333329E-2</v>
      </c>
      <c r="M698">
        <f t="shared" si="526"/>
        <v>3.2145624959929453E-3</v>
      </c>
      <c r="N698">
        <f t="shared" si="527"/>
        <v>4.0644847089842148E-6</v>
      </c>
      <c r="O698" s="8">
        <f t="shared" si="498"/>
        <v>1.2371955147315341E-3</v>
      </c>
      <c r="P698">
        <f t="shared" si="499"/>
        <v>3.0902629701798905E-2</v>
      </c>
      <c r="Q698">
        <f t="shared" si="515"/>
        <v>0.23174785733884781</v>
      </c>
      <c r="R698" s="89">
        <f t="shared" si="487"/>
        <v>5000</v>
      </c>
      <c r="S698">
        <f t="shared" si="488"/>
        <v>0.75</v>
      </c>
      <c r="U698">
        <f>O697*AV697*'Real assumptions'!$B$33/12+AX698*'Real assumptions'!$B$34</f>
        <v>2.7127302252140034E-2</v>
      </c>
      <c r="V698">
        <f>IF(P698=0,0,IF(E698&lt;=$C$7,$AN$5*O697,0))*'Real assumptions'!$D$28</f>
        <v>0</v>
      </c>
      <c r="X698" s="94">
        <f t="shared" si="500"/>
        <v>0</v>
      </c>
      <c r="Y698">
        <f t="shared" si="489"/>
        <v>24</v>
      </c>
      <c r="Z698">
        <f t="shared" si="516"/>
        <v>41</v>
      </c>
      <c r="AA698">
        <f t="shared" si="490"/>
        <v>41.75</v>
      </c>
      <c r="AB698">
        <f t="shared" si="501"/>
        <v>50.505050505050505</v>
      </c>
      <c r="AC698">
        <f t="shared" si="528"/>
        <v>2108.5858585858587</v>
      </c>
      <c r="AD698">
        <f t="shared" si="502"/>
        <v>80.505050505050505</v>
      </c>
      <c r="AE698">
        <f t="shared" si="503"/>
        <v>168.05429292929293</v>
      </c>
      <c r="AF698" s="94">
        <f t="shared" si="504"/>
        <v>2723.3598484848485</v>
      </c>
      <c r="AG698">
        <f t="shared" si="517"/>
        <v>1.1069054461228234E-2</v>
      </c>
      <c r="AH698">
        <f t="shared" si="505"/>
        <v>3.3693285895454048</v>
      </c>
      <c r="AI698">
        <f>HLOOKUP(AW698,'Real assumptions'!$A$21:$AK$24,2,TRUE)</f>
        <v>0</v>
      </c>
      <c r="AJ698" s="123">
        <f t="shared" si="529"/>
        <v>0</v>
      </c>
      <c r="AK698" s="122">
        <f>(1+HLOOKUP(YEAR(A698),'Real assumptions'!$A$21:$AK$24,2,TRUE)/100)^(1/12)-1</f>
        <v>0</v>
      </c>
      <c r="AL698">
        <f t="shared" si="518"/>
        <v>2.7127302252140034E-2</v>
      </c>
      <c r="AM698">
        <f>('Real assumptions'!$B$33/12)*O697*AV697</f>
        <v>2.6166799079340542E-2</v>
      </c>
      <c r="AN698">
        <f t="shared" si="506"/>
        <v>3.5045483883788986</v>
      </c>
      <c r="AO698">
        <f t="shared" si="530"/>
        <v>0</v>
      </c>
      <c r="AP698" s="121">
        <f t="shared" si="507"/>
        <v>0</v>
      </c>
      <c r="AQ698">
        <f t="shared" si="508"/>
        <v>0</v>
      </c>
      <c r="AR698">
        <v>0</v>
      </c>
      <c r="AS698">
        <f t="shared" si="491"/>
        <v>0</v>
      </c>
      <c r="AT698">
        <f t="shared" si="509"/>
        <v>0</v>
      </c>
      <c r="AU698">
        <f>IFERROR(HLOOKUP(B698,'Real assumptions'!$B$43:$AL$44,2,TRUE)*($W$3/$U$2),0)</f>
        <v>0</v>
      </c>
      <c r="AV698">
        <f>AV697*(1+'Real assumptions'!$B$35)^(1/12)</f>
        <v>2.0343046393113591</v>
      </c>
      <c r="AW698">
        <f t="shared" si="492"/>
        <v>2076</v>
      </c>
      <c r="AX698">
        <f t="shared" si="519"/>
        <v>3.5061922931300322</v>
      </c>
      <c r="AY698">
        <f t="shared" si="520"/>
        <v>5.4192322007924568E-3</v>
      </c>
      <c r="AZ698">
        <f t="shared" si="493"/>
        <v>5.8734940307278949</v>
      </c>
      <c r="BA698">
        <f t="shared" si="510"/>
        <v>0.24281691180007606</v>
      </c>
      <c r="BB698">
        <f t="shared" si="511"/>
        <v>41.75</v>
      </c>
      <c r="BC698">
        <f t="shared" si="494"/>
        <v>25.049999999999997</v>
      </c>
      <c r="BD698">
        <f t="shared" si="512"/>
        <v>0</v>
      </c>
      <c r="BE698">
        <f t="shared" si="495"/>
        <v>24</v>
      </c>
      <c r="BF698">
        <f t="shared" si="521"/>
        <v>5000</v>
      </c>
      <c r="BU698"/>
      <c r="DW698" s="89"/>
      <c r="DX698" s="89"/>
      <c r="FD698"/>
      <c r="FE698"/>
    </row>
    <row r="699" spans="1:161" x14ac:dyDescent="0.25">
      <c r="A699" s="7">
        <f t="shared" si="513"/>
        <v>64375</v>
      </c>
      <c r="B699">
        <f t="shared" si="496"/>
        <v>688</v>
      </c>
      <c r="C699">
        <f t="shared" si="522"/>
        <v>57.25</v>
      </c>
      <c r="D699">
        <f t="shared" si="523"/>
        <v>0</v>
      </c>
      <c r="E699">
        <f t="shared" si="497"/>
        <v>109</v>
      </c>
      <c r="F699">
        <f>IF(C699&gt;=$T$2,0,VLOOKUP($E699,EKM_F05!$A$3:$C$128,2,TRUE))</f>
        <v>0.85401410256410248</v>
      </c>
      <c r="G699">
        <f>F699*'Real assumptions'!$B$3</f>
        <v>0.35638008499999996</v>
      </c>
      <c r="H699">
        <f t="shared" si="524"/>
        <v>3.6054553526004618E-2</v>
      </c>
      <c r="I699">
        <f t="shared" si="525"/>
        <v>4.453483666574701E-5</v>
      </c>
      <c r="J699">
        <f>IF(B699&gt;$AJ$2,0,HLOOKUP(C699,'Real assumptions'!$B$5:$L$8,4,TRUE))</f>
        <v>3.7900000000000003E-2</v>
      </c>
      <c r="K699">
        <f t="shared" si="486"/>
        <v>1</v>
      </c>
      <c r="L699">
        <f t="shared" si="514"/>
        <v>8.3333333333333329E-2</v>
      </c>
      <c r="M699">
        <f t="shared" si="526"/>
        <v>3.2145624959929453E-3</v>
      </c>
      <c r="N699">
        <f t="shared" si="527"/>
        <v>3.9053470595927581E-6</v>
      </c>
      <c r="O699" s="8">
        <f t="shared" si="498"/>
        <v>1.1887553310061943E-3</v>
      </c>
      <c r="P699">
        <f t="shared" si="499"/>
        <v>2.9692692353556815E-2</v>
      </c>
      <c r="Q699">
        <f t="shared" si="515"/>
        <v>0.22267418332873504</v>
      </c>
      <c r="R699" s="89">
        <f t="shared" si="487"/>
        <v>5000</v>
      </c>
      <c r="S699">
        <f t="shared" si="488"/>
        <v>0.6666666666666643</v>
      </c>
      <c r="U699">
        <f>O698*AV698*'Real assumptions'!$B$33/12+AX699*'Real assumptions'!$B$34</f>
        <v>2.609276227021403E-2</v>
      </c>
      <c r="V699">
        <f>IF(P699=0,0,IF(E699&lt;=$C$7,$AN$5*O698,0))*'Real assumptions'!$D$28</f>
        <v>0</v>
      </c>
      <c r="X699" s="94">
        <f t="shared" si="500"/>
        <v>0</v>
      </c>
      <c r="Y699">
        <f t="shared" si="489"/>
        <v>24</v>
      </c>
      <c r="Z699">
        <f t="shared" si="516"/>
        <v>41</v>
      </c>
      <c r="AA699">
        <f t="shared" si="490"/>
        <v>41.666666666666664</v>
      </c>
      <c r="AB699">
        <f t="shared" si="501"/>
        <v>50.505050505050505</v>
      </c>
      <c r="AC699">
        <f t="shared" si="528"/>
        <v>2104.3771043771044</v>
      </c>
      <c r="AD699">
        <f t="shared" si="502"/>
        <v>80.505050505050505</v>
      </c>
      <c r="AE699">
        <f t="shared" si="503"/>
        <v>167.7188552188552</v>
      </c>
      <c r="AF699" s="94">
        <f t="shared" si="504"/>
        <v>2727.9040404040406</v>
      </c>
      <c r="AG699">
        <f t="shared" si="517"/>
        <v>1.0653412023043124E-2</v>
      </c>
      <c r="AH699">
        <f t="shared" si="505"/>
        <v>3.2428104705036405</v>
      </c>
      <c r="AI699">
        <f>HLOOKUP(AW699,'Real assumptions'!$A$21:$AK$24,2,TRUE)</f>
        <v>0</v>
      </c>
      <c r="AJ699" s="123">
        <f t="shared" si="529"/>
        <v>0</v>
      </c>
      <c r="AK699" s="122">
        <f>(1+HLOOKUP(YEAR(A699),'Real assumptions'!$A$21:$AK$24,2,TRUE)/100)^(1/12)-1</f>
        <v>0</v>
      </c>
      <c r="AL699">
        <f t="shared" si="518"/>
        <v>2.609276227021403E-2</v>
      </c>
      <c r="AM699">
        <f>('Real assumptions'!$B$33/12)*O698*AV698</f>
        <v>2.5168325753535645E-2</v>
      </c>
      <c r="AN699">
        <f t="shared" si="506"/>
        <v>3.372928519628748</v>
      </c>
      <c r="AO699">
        <f t="shared" si="530"/>
        <v>0</v>
      </c>
      <c r="AP699" s="121">
        <f t="shared" si="507"/>
        <v>0</v>
      </c>
      <c r="AQ699">
        <f t="shared" si="508"/>
        <v>0</v>
      </c>
      <c r="AR699">
        <v>0</v>
      </c>
      <c r="AS699">
        <f t="shared" si="491"/>
        <v>0</v>
      </c>
      <c r="AT699">
        <f t="shared" si="509"/>
        <v>0</v>
      </c>
      <c r="AU699">
        <f>IFERROR(HLOOKUP(B699,'Real assumptions'!$B$43:$AL$44,2,TRUE)*($W$3/$U$2),0)</f>
        <v>0</v>
      </c>
      <c r="AV699">
        <f>AV698*(1+'Real assumptions'!$B$35)^(1/12)</f>
        <v>2.0364116622342081</v>
      </c>
      <c r="AW699">
        <f t="shared" si="492"/>
        <v>2076</v>
      </c>
      <c r="AX699">
        <f t="shared" si="519"/>
        <v>3.3745356413750831</v>
      </c>
      <c r="AY699">
        <f t="shared" si="520"/>
        <v>5.2070518296781733E-3</v>
      </c>
      <c r="AZ699">
        <f t="shared" si="493"/>
        <v>5.6437663654594594</v>
      </c>
      <c r="BA699">
        <f t="shared" si="510"/>
        <v>0.23332759535177816</v>
      </c>
      <c r="BB699">
        <f t="shared" si="511"/>
        <v>41.666666666666664</v>
      </c>
      <c r="BC699">
        <f t="shared" si="494"/>
        <v>25</v>
      </c>
      <c r="BD699">
        <f t="shared" si="512"/>
        <v>0</v>
      </c>
      <c r="BE699">
        <f t="shared" si="495"/>
        <v>24</v>
      </c>
      <c r="BF699">
        <f t="shared" si="521"/>
        <v>5000</v>
      </c>
      <c r="BU699"/>
      <c r="DW699" s="89"/>
      <c r="DX699" s="89"/>
      <c r="FD699"/>
      <c r="FE699"/>
    </row>
    <row r="700" spans="1:161" x14ac:dyDescent="0.25">
      <c r="A700" s="7">
        <f t="shared" si="513"/>
        <v>64405</v>
      </c>
      <c r="B700">
        <f t="shared" si="496"/>
        <v>689</v>
      </c>
      <c r="C700">
        <f t="shared" si="522"/>
        <v>57.333333333333336</v>
      </c>
      <c r="D700">
        <f t="shared" si="523"/>
        <v>0</v>
      </c>
      <c r="E700">
        <f t="shared" si="497"/>
        <v>109</v>
      </c>
      <c r="F700">
        <f>IF(C700&gt;=$T$2,0,VLOOKUP($E700,EKM_F05!$A$3:$C$128,2,TRUE))</f>
        <v>0.85401410256410248</v>
      </c>
      <c r="G700">
        <f>F700*'Real assumptions'!$B$3</f>
        <v>0.35638008499999996</v>
      </c>
      <c r="H700">
        <f t="shared" si="524"/>
        <v>3.6054553526004618E-2</v>
      </c>
      <c r="I700">
        <f t="shared" si="525"/>
        <v>4.2791154568148317E-5</v>
      </c>
      <c r="J700">
        <f>IF(B700&gt;$AJ$2,0,HLOOKUP(C700,'Real assumptions'!$B$5:$L$8,4,TRUE))</f>
        <v>3.7900000000000003E-2</v>
      </c>
      <c r="K700">
        <f t="shared" si="486"/>
        <v>1</v>
      </c>
      <c r="L700">
        <f t="shared" si="514"/>
        <v>8.3333333333333329E-2</v>
      </c>
      <c r="M700">
        <f t="shared" si="526"/>
        <v>3.2145624959929453E-3</v>
      </c>
      <c r="N700">
        <f t="shared" si="527"/>
        <v>3.7524401610263353E-6</v>
      </c>
      <c r="O700" s="8">
        <f t="shared" si="498"/>
        <v>1.1422117362770196E-3</v>
      </c>
      <c r="P700">
        <f t="shared" si="499"/>
        <v>2.8530127944148664E-2</v>
      </c>
      <c r="Q700">
        <f t="shared" si="515"/>
        <v>0.21395577284074158</v>
      </c>
      <c r="R700" s="89">
        <f t="shared" si="487"/>
        <v>5000</v>
      </c>
      <c r="S700">
        <f t="shared" si="488"/>
        <v>0.5833333333333357</v>
      </c>
      <c r="U700">
        <f>O699*AV699*'Real assumptions'!$B$33/12+AX700*'Real assumptions'!$B$34</f>
        <v>2.5097673881050851E-2</v>
      </c>
      <c r="V700">
        <f>IF(P700=0,0,IF(E700&lt;=$C$7,$AN$5*O699,0))*'Real assumptions'!$D$28</f>
        <v>0</v>
      </c>
      <c r="X700" s="94">
        <f t="shared" si="500"/>
        <v>0</v>
      </c>
      <c r="Y700">
        <f t="shared" si="489"/>
        <v>24</v>
      </c>
      <c r="Z700">
        <f t="shared" si="516"/>
        <v>41</v>
      </c>
      <c r="AA700">
        <f t="shared" si="490"/>
        <v>41.583333333333336</v>
      </c>
      <c r="AB700">
        <f t="shared" si="501"/>
        <v>50.505050505050505</v>
      </c>
      <c r="AC700">
        <f t="shared" si="528"/>
        <v>2100.1683501683501</v>
      </c>
      <c r="AD700">
        <f t="shared" si="502"/>
        <v>80.505050505050505</v>
      </c>
      <c r="AE700">
        <f t="shared" si="503"/>
        <v>167.38341750841752</v>
      </c>
      <c r="AF700" s="94">
        <f t="shared" si="504"/>
        <v>2732.4482323232323</v>
      </c>
      <c r="AG700">
        <f t="shared" si="517"/>
        <v>1.0253348484895114E-2</v>
      </c>
      <c r="AH700">
        <f t="shared" si="505"/>
        <v>3.1210344397289922</v>
      </c>
      <c r="AI700">
        <f>HLOOKUP(AW700,'Real assumptions'!$A$21:$AK$24,2,TRUE)</f>
        <v>0</v>
      </c>
      <c r="AJ700" s="123">
        <f t="shared" si="529"/>
        <v>0</v>
      </c>
      <c r="AK700" s="122">
        <f>(1+HLOOKUP(YEAR(A700),'Real assumptions'!$A$21:$AK$24,2,TRUE)/100)^(1/12)-1</f>
        <v>0</v>
      </c>
      <c r="AL700">
        <f t="shared" si="518"/>
        <v>2.5097673881050851E-2</v>
      </c>
      <c r="AM700">
        <f>('Real assumptions'!$B$33/12)*O699*AV699</f>
        <v>2.4207952196041004E-2</v>
      </c>
      <c r="AN700">
        <f t="shared" si="506"/>
        <v>3.2462429245667384</v>
      </c>
      <c r="AO700">
        <f t="shared" si="530"/>
        <v>0</v>
      </c>
      <c r="AP700" s="121">
        <f t="shared" si="507"/>
        <v>0</v>
      </c>
      <c r="AQ700">
        <f t="shared" si="508"/>
        <v>0</v>
      </c>
      <c r="AR700">
        <v>0</v>
      </c>
      <c r="AS700">
        <f t="shared" si="491"/>
        <v>0</v>
      </c>
      <c r="AT700">
        <f t="shared" si="509"/>
        <v>0</v>
      </c>
      <c r="AU700">
        <f>IFERROR(HLOOKUP(B700,'Real assumptions'!$B$43:$AL$44,2,TRUE)*($W$3/$U$2),0)</f>
        <v>0</v>
      </c>
      <c r="AV700">
        <f>AV699*(1+'Real assumptions'!$B$35)^(1/12)</f>
        <v>2.0385208674976525</v>
      </c>
      <c r="AW700">
        <f t="shared" si="492"/>
        <v>2076</v>
      </c>
      <c r="AX700">
        <f t="shared" si="519"/>
        <v>3.2478136495061918</v>
      </c>
      <c r="AY700">
        <f t="shared" si="520"/>
        <v>5.0031790025513228E-3</v>
      </c>
      <c r="AZ700">
        <f t="shared" si="493"/>
        <v>5.4229896981969201</v>
      </c>
      <c r="BA700">
        <f t="shared" si="510"/>
        <v>0.2242091213256367</v>
      </c>
      <c r="BB700">
        <f t="shared" si="511"/>
        <v>41.583333333333336</v>
      </c>
      <c r="BC700">
        <f t="shared" si="494"/>
        <v>24.950000000000003</v>
      </c>
      <c r="BD700">
        <f t="shared" si="512"/>
        <v>0</v>
      </c>
      <c r="BE700">
        <f t="shared" si="495"/>
        <v>24</v>
      </c>
      <c r="BF700">
        <f t="shared" si="521"/>
        <v>5000</v>
      </c>
      <c r="BU700"/>
      <c r="DW700" s="89"/>
      <c r="DX700" s="89"/>
      <c r="FD700"/>
      <c r="FE700"/>
    </row>
    <row r="701" spans="1:161" x14ac:dyDescent="0.25">
      <c r="A701" s="7">
        <f t="shared" si="513"/>
        <v>64436</v>
      </c>
      <c r="B701">
        <f t="shared" si="496"/>
        <v>690</v>
      </c>
      <c r="C701">
        <f t="shared" si="522"/>
        <v>57.416666666666664</v>
      </c>
      <c r="D701">
        <f t="shared" si="523"/>
        <v>0</v>
      </c>
      <c r="E701">
        <f t="shared" si="497"/>
        <v>109</v>
      </c>
      <c r="F701">
        <f>IF(C701&gt;=$T$2,0,VLOOKUP($E701,EKM_F05!$A$3:$C$128,2,TRUE))</f>
        <v>0.85401410256410248</v>
      </c>
      <c r="G701">
        <f>F701*'Real assumptions'!$B$3</f>
        <v>0.35638008499999996</v>
      </c>
      <c r="H701">
        <f t="shared" si="524"/>
        <v>3.6054553526004618E-2</v>
      </c>
      <c r="I701">
        <f t="shared" si="525"/>
        <v>4.11157432330609E-5</v>
      </c>
      <c r="J701">
        <f>IF(B701&gt;$AJ$2,0,HLOOKUP(C701,'Real assumptions'!$B$5:$L$8,4,TRUE))</f>
        <v>3.7900000000000003E-2</v>
      </c>
      <c r="K701">
        <f t="shared" si="486"/>
        <v>1</v>
      </c>
      <c r="L701">
        <f t="shared" si="514"/>
        <v>8.3333333333333329E-2</v>
      </c>
      <c r="M701">
        <f t="shared" si="526"/>
        <v>3.2145624959929453E-3</v>
      </c>
      <c r="N701">
        <f t="shared" si="527"/>
        <v>3.6055200593495176E-6</v>
      </c>
      <c r="O701" s="8">
        <f t="shared" si="498"/>
        <v>1.0974904729846092E-3</v>
      </c>
      <c r="P701">
        <f t="shared" si="499"/>
        <v>2.741308167064847E-2</v>
      </c>
      <c r="Q701">
        <f t="shared" si="515"/>
        <v>0.20557871616530449</v>
      </c>
      <c r="R701" s="89">
        <f t="shared" si="487"/>
        <v>5000</v>
      </c>
      <c r="S701">
        <f t="shared" si="488"/>
        <v>0.5</v>
      </c>
      <c r="U701">
        <f>O700*AV700*'Real assumptions'!$B$33/12+AX701*'Real assumptions'!$B$34</f>
        <v>2.4140532705516402E-2</v>
      </c>
      <c r="V701">
        <f>IF(P701=0,0,IF(E701&lt;=$C$7,$AN$5*O700,0))*'Real assumptions'!$D$28</f>
        <v>0</v>
      </c>
      <c r="X701" s="94">
        <f t="shared" si="500"/>
        <v>0</v>
      </c>
      <c r="Y701">
        <f t="shared" si="489"/>
        <v>24</v>
      </c>
      <c r="Z701">
        <f t="shared" si="516"/>
        <v>41</v>
      </c>
      <c r="AA701">
        <f t="shared" si="490"/>
        <v>41.5</v>
      </c>
      <c r="AB701">
        <f t="shared" si="501"/>
        <v>50.505050505050505</v>
      </c>
      <c r="AC701">
        <f t="shared" si="528"/>
        <v>2095.9595959595958</v>
      </c>
      <c r="AD701">
        <f t="shared" si="502"/>
        <v>80.505050505050505</v>
      </c>
      <c r="AE701">
        <f t="shared" si="503"/>
        <v>167.04797979797979</v>
      </c>
      <c r="AF701" s="94">
        <f t="shared" si="504"/>
        <v>2736.9924242424245</v>
      </c>
      <c r="AG701">
        <f t="shared" si="517"/>
        <v>9.8682810878937266E-3</v>
      </c>
      <c r="AH701">
        <f t="shared" si="505"/>
        <v>3.0038231102371107</v>
      </c>
      <c r="AI701">
        <f>HLOOKUP(AW701,'Real assumptions'!$A$21:$AK$24,2,TRUE)</f>
        <v>0</v>
      </c>
      <c r="AJ701" s="123">
        <f t="shared" si="529"/>
        <v>0</v>
      </c>
      <c r="AK701" s="122">
        <f>(1+HLOOKUP(YEAR(A701),'Real assumptions'!$A$21:$AK$24,2,TRUE)/100)^(1/12)-1</f>
        <v>0</v>
      </c>
      <c r="AL701">
        <f t="shared" si="518"/>
        <v>2.4140532705516402E-2</v>
      </c>
      <c r="AM701">
        <f>('Real assumptions'!$B$33/12)*O700*AV700</f>
        <v>2.3284224595014297E-2</v>
      </c>
      <c r="AN701">
        <f t="shared" si="506"/>
        <v>3.1243069886941246</v>
      </c>
      <c r="AO701">
        <f t="shared" si="530"/>
        <v>0</v>
      </c>
      <c r="AP701" s="121">
        <f t="shared" si="507"/>
        <v>0</v>
      </c>
      <c r="AQ701">
        <f t="shared" si="508"/>
        <v>0</v>
      </c>
      <c r="AR701">
        <v>0</v>
      </c>
      <c r="AS701">
        <f t="shared" si="491"/>
        <v>0</v>
      </c>
      <c r="AT701">
        <f t="shared" si="509"/>
        <v>0</v>
      </c>
      <c r="AU701">
        <f>IFERROR(HLOOKUP(B701,'Real assumptions'!$B$43:$AL$44,2,TRUE)*($W$3/$U$2),0)</f>
        <v>0</v>
      </c>
      <c r="AV701">
        <f>AV700*(1+'Real assumptions'!$B$35)^(1/12)</f>
        <v>2.0406322573620428</v>
      </c>
      <c r="AW701">
        <f t="shared" si="492"/>
        <v>2076</v>
      </c>
      <c r="AX701">
        <f t="shared" si="519"/>
        <v>3.1258417281813364</v>
      </c>
      <c r="AY701">
        <f t="shared" si="520"/>
        <v>4.807288452344358E-3</v>
      </c>
      <c r="AZ701">
        <f t="shared" si="493"/>
        <v>5.2108152499088538</v>
      </c>
      <c r="BA701">
        <f t="shared" si="510"/>
        <v>0.21544699725319821</v>
      </c>
      <c r="BB701">
        <f t="shared" si="511"/>
        <v>41.5</v>
      </c>
      <c r="BC701">
        <f t="shared" si="494"/>
        <v>24.9</v>
      </c>
      <c r="BD701">
        <f t="shared" si="512"/>
        <v>0</v>
      </c>
      <c r="BE701">
        <f t="shared" si="495"/>
        <v>24</v>
      </c>
      <c r="BF701">
        <f t="shared" si="521"/>
        <v>5000</v>
      </c>
      <c r="BU701"/>
      <c r="DW701" s="89"/>
      <c r="DX701" s="89"/>
      <c r="FD701"/>
      <c r="FE701"/>
    </row>
    <row r="702" spans="1:161" x14ac:dyDescent="0.25">
      <c r="A702" s="7">
        <f t="shared" si="513"/>
        <v>64466</v>
      </c>
      <c r="B702">
        <f t="shared" si="496"/>
        <v>691</v>
      </c>
      <c r="C702">
        <f t="shared" si="522"/>
        <v>57.5</v>
      </c>
      <c r="D702">
        <f t="shared" si="523"/>
        <v>0</v>
      </c>
      <c r="E702">
        <f t="shared" si="497"/>
        <v>109</v>
      </c>
      <c r="F702">
        <f>IF(C702&gt;=$T$2,0,VLOOKUP($E702,EKM_F05!$A$3:$C$128,2,TRUE))</f>
        <v>0.85401410256410248</v>
      </c>
      <c r="G702">
        <f>F702*'Real assumptions'!$B$3</f>
        <v>0.35638008499999996</v>
      </c>
      <c r="H702">
        <f t="shared" si="524"/>
        <v>3.6054553526004618E-2</v>
      </c>
      <c r="I702">
        <f t="shared" si="525"/>
        <v>3.9505929640545935E-5</v>
      </c>
      <c r="J702">
        <f>IF(B702&gt;$AJ$2,0,HLOOKUP(C702,'Real assumptions'!$B$5:$L$8,4,TRUE))</f>
        <v>3.7900000000000003E-2</v>
      </c>
      <c r="K702">
        <f t="shared" si="486"/>
        <v>1</v>
      </c>
      <c r="L702">
        <f t="shared" si="514"/>
        <v>8.3333333333333329E-2</v>
      </c>
      <c r="M702">
        <f t="shared" si="526"/>
        <v>3.2145624959929453E-3</v>
      </c>
      <c r="N702">
        <f t="shared" si="527"/>
        <v>3.4643523522081064E-6</v>
      </c>
      <c r="O702" s="8">
        <f t="shared" si="498"/>
        <v>1.0545201909918551E-3</v>
      </c>
      <c r="P702">
        <f t="shared" si="499"/>
        <v>2.6339771351630618E-2</v>
      </c>
      <c r="Q702">
        <f t="shared" si="515"/>
        <v>0.19752964820272967</v>
      </c>
      <c r="R702" s="89">
        <f t="shared" si="487"/>
        <v>5000</v>
      </c>
      <c r="S702">
        <f t="shared" si="488"/>
        <v>0.4166666666666643</v>
      </c>
      <c r="U702">
        <f>O701*AV701*'Real assumptions'!$B$33/12+AX702*'Real assumptions'!$B$34</f>
        <v>2.32198917264946E-2</v>
      </c>
      <c r="V702">
        <f>IF(P702=0,0,IF(E702&lt;=$C$7,$AN$5*O701,0))*'Real assumptions'!$D$28</f>
        <v>0</v>
      </c>
      <c r="X702" s="94">
        <f t="shared" si="500"/>
        <v>0</v>
      </c>
      <c r="Y702">
        <f t="shared" si="489"/>
        <v>24</v>
      </c>
      <c r="Z702">
        <f t="shared" si="516"/>
        <v>41</v>
      </c>
      <c r="AA702">
        <f t="shared" si="490"/>
        <v>41.416666666666664</v>
      </c>
      <c r="AB702">
        <f t="shared" si="501"/>
        <v>50.505050505050505</v>
      </c>
      <c r="AC702">
        <f t="shared" si="528"/>
        <v>2091.7508417508416</v>
      </c>
      <c r="AD702">
        <f t="shared" si="502"/>
        <v>80.505050505050505</v>
      </c>
      <c r="AE702">
        <f t="shared" si="503"/>
        <v>166.71254208754206</v>
      </c>
      <c r="AF702" s="94">
        <f t="shared" si="504"/>
        <v>2741.5366161616162</v>
      </c>
      <c r="AG702">
        <f t="shared" si="517"/>
        <v>9.4976488248641484E-3</v>
      </c>
      <c r="AH702">
        <f t="shared" si="505"/>
        <v>2.8910057160859117</v>
      </c>
      <c r="AI702">
        <f>HLOOKUP(AW702,'Real assumptions'!$A$21:$AK$24,2,TRUE)</f>
        <v>0</v>
      </c>
      <c r="AJ702" s="123">
        <f t="shared" si="529"/>
        <v>0</v>
      </c>
      <c r="AK702" s="122">
        <f>(1+HLOOKUP(YEAR(A702),'Real assumptions'!$A$21:$AK$24,2,TRUE)/100)^(1/12)-1</f>
        <v>0</v>
      </c>
      <c r="AL702">
        <f t="shared" si="518"/>
        <v>2.32198917264946E-2</v>
      </c>
      <c r="AM702">
        <f>('Real assumptions'!$B$33/12)*O701*AV701</f>
        <v>2.2395744613199191E-2</v>
      </c>
      <c r="AN702">
        <f t="shared" si="506"/>
        <v>3.0069429898622468</v>
      </c>
      <c r="AO702">
        <f t="shared" si="530"/>
        <v>0</v>
      </c>
      <c r="AP702" s="121">
        <f t="shared" si="507"/>
        <v>0</v>
      </c>
      <c r="AQ702">
        <f t="shared" si="508"/>
        <v>0</v>
      </c>
      <c r="AR702">
        <v>0</v>
      </c>
      <c r="AS702">
        <f t="shared" si="491"/>
        <v>0</v>
      </c>
      <c r="AT702">
        <f t="shared" si="509"/>
        <v>0</v>
      </c>
      <c r="AU702">
        <f>IFERROR(HLOOKUP(B702,'Real assumptions'!$B$43:$AL$44,2,TRUE)*($W$3/$U$2),0)</f>
        <v>0</v>
      </c>
      <c r="AV702">
        <f>AV701*(1+'Real assumptions'!$B$35)^(1/12)</f>
        <v>2.0427458340900704</v>
      </c>
      <c r="AW702">
        <f t="shared" si="492"/>
        <v>2076</v>
      </c>
      <c r="AX702">
        <f t="shared" si="519"/>
        <v>3.0084421778843522</v>
      </c>
      <c r="AY702">
        <f t="shared" si="520"/>
        <v>4.6190676472416207E-3</v>
      </c>
      <c r="AZ702">
        <f t="shared" si="493"/>
        <v>5.0069078325063963</v>
      </c>
      <c r="BA702">
        <f t="shared" si="510"/>
        <v>0.20702729702759382</v>
      </c>
      <c r="BB702">
        <f t="shared" si="511"/>
        <v>41.416666666666664</v>
      </c>
      <c r="BC702">
        <f t="shared" si="494"/>
        <v>24.849999999999998</v>
      </c>
      <c r="BD702">
        <f t="shared" si="512"/>
        <v>0</v>
      </c>
      <c r="BE702">
        <f t="shared" si="495"/>
        <v>24</v>
      </c>
      <c r="BF702">
        <f t="shared" si="521"/>
        <v>5000</v>
      </c>
      <c r="BU702"/>
      <c r="DW702" s="89"/>
      <c r="DX702" s="89"/>
      <c r="FD702"/>
      <c r="FE702"/>
    </row>
    <row r="703" spans="1:161" x14ac:dyDescent="0.25">
      <c r="A703" s="7">
        <f t="shared" si="513"/>
        <v>64497</v>
      </c>
      <c r="B703">
        <f t="shared" si="496"/>
        <v>692</v>
      </c>
      <c r="C703">
        <f t="shared" si="522"/>
        <v>57.583333333333336</v>
      </c>
      <c r="D703">
        <f t="shared" si="523"/>
        <v>0</v>
      </c>
      <c r="E703">
        <f t="shared" si="497"/>
        <v>109</v>
      </c>
      <c r="F703">
        <f>IF(C703&gt;=$T$2,0,VLOOKUP($E703,EKM_F05!$A$3:$C$128,2,TRUE))</f>
        <v>0.85401410256410248</v>
      </c>
      <c r="G703">
        <f>F703*'Real assumptions'!$B$3</f>
        <v>0.35638008499999996</v>
      </c>
      <c r="H703">
        <f t="shared" si="524"/>
        <v>3.6054553526004618E-2</v>
      </c>
      <c r="I703">
        <f t="shared" si="525"/>
        <v>3.7959145427992714E-5</v>
      </c>
      <c r="J703">
        <f>IF(B703&gt;$AJ$2,0,HLOOKUP(C703,'Real assumptions'!$B$5:$L$8,4,TRUE))</f>
        <v>3.7900000000000003E-2</v>
      </c>
      <c r="K703">
        <f t="shared" si="486"/>
        <v>1</v>
      </c>
      <c r="L703">
        <f t="shared" si="514"/>
        <v>8.3333333333333329E-2</v>
      </c>
      <c r="M703">
        <f t="shared" si="526"/>
        <v>3.2145624959929453E-3</v>
      </c>
      <c r="N703">
        <f t="shared" si="527"/>
        <v>3.3287118148540014E-6</v>
      </c>
      <c r="O703" s="8">
        <f t="shared" si="498"/>
        <v>1.0132323337490084E-3</v>
      </c>
      <c r="P703">
        <f t="shared" si="499"/>
        <v>2.5308484583804525E-2</v>
      </c>
      <c r="Q703">
        <f t="shared" si="515"/>
        <v>0.18979572713996357</v>
      </c>
      <c r="R703" s="89">
        <f t="shared" si="487"/>
        <v>5000</v>
      </c>
      <c r="S703">
        <f t="shared" si="488"/>
        <v>0.3333333333333357</v>
      </c>
      <c r="U703">
        <f>O702*AV702*'Real assumptions'!$B$33/12+AX703*'Real assumptions'!$B$34</f>
        <v>2.2334359101807099E-2</v>
      </c>
      <c r="V703">
        <f>IF(P703=0,0,IF(E703&lt;=$C$7,$AN$5*O702,0))*'Real assumptions'!$D$28</f>
        <v>0</v>
      </c>
      <c r="X703" s="94">
        <f t="shared" si="500"/>
        <v>0</v>
      </c>
      <c r="Y703">
        <f t="shared" si="489"/>
        <v>24</v>
      </c>
      <c r="Z703">
        <f t="shared" si="516"/>
        <v>41</v>
      </c>
      <c r="AA703">
        <f t="shared" si="490"/>
        <v>41.333333333333336</v>
      </c>
      <c r="AB703">
        <f t="shared" si="501"/>
        <v>50.505050505050505</v>
      </c>
      <c r="AC703">
        <f t="shared" si="528"/>
        <v>2087.5420875420878</v>
      </c>
      <c r="AD703">
        <f t="shared" si="502"/>
        <v>80.505050505050505</v>
      </c>
      <c r="AE703">
        <f t="shared" si="503"/>
        <v>166.37710437710439</v>
      </c>
      <c r="AF703" s="94">
        <f t="shared" si="504"/>
        <v>2746.0808080808079</v>
      </c>
      <c r="AG703">
        <f t="shared" si="517"/>
        <v>9.1409116304024089E-3</v>
      </c>
      <c r="AH703">
        <f t="shared" si="505"/>
        <v>2.7824178658350798</v>
      </c>
      <c r="AI703">
        <f>HLOOKUP(AW703,'Real assumptions'!$A$21:$AK$24,2,TRUE)</f>
        <v>0</v>
      </c>
      <c r="AJ703" s="123">
        <f t="shared" si="529"/>
        <v>0</v>
      </c>
      <c r="AK703" s="122">
        <f>(1+HLOOKUP(YEAR(A703),'Real assumptions'!$A$21:$AK$24,2,TRUE)/100)^(1/12)-1</f>
        <v>0</v>
      </c>
      <c r="AL703">
        <f t="shared" si="518"/>
        <v>2.2334359101807099E-2</v>
      </c>
      <c r="AM703">
        <f>('Real assumptions'!$B$33/12)*O702*AV702</f>
        <v>2.1541167271124772E-2</v>
      </c>
      <c r="AN703">
        <f t="shared" si="506"/>
        <v>2.893979841567909</v>
      </c>
      <c r="AO703">
        <f t="shared" si="530"/>
        <v>0</v>
      </c>
      <c r="AP703" s="121">
        <f t="shared" si="507"/>
        <v>0</v>
      </c>
      <c r="AQ703">
        <f t="shared" si="508"/>
        <v>0</v>
      </c>
      <c r="AR703">
        <v>0</v>
      </c>
      <c r="AS703">
        <f t="shared" si="491"/>
        <v>0</v>
      </c>
      <c r="AT703">
        <f t="shared" si="509"/>
        <v>0</v>
      </c>
      <c r="AU703">
        <f>IFERROR(HLOOKUP(B703,'Real assumptions'!$B$43:$AL$44,2,TRUE)*($W$3/$U$2),0)</f>
        <v>0</v>
      </c>
      <c r="AV703">
        <f>AV702*(1+'Real assumptions'!$B$35)^(1/12)</f>
        <v>2.044861599946771</v>
      </c>
      <c r="AW703">
        <f t="shared" si="492"/>
        <v>2076</v>
      </c>
      <c r="AX703">
        <f t="shared" si="519"/>
        <v>2.8954439323779648</v>
      </c>
      <c r="AY703">
        <f t="shared" si="520"/>
        <v>4.4382162920532618E-3</v>
      </c>
      <c r="AZ703">
        <f t="shared" si="493"/>
        <v>4.8109453192180274</v>
      </c>
      <c r="BA703">
        <f t="shared" si="510"/>
        <v>0.19893663877036596</v>
      </c>
      <c r="BB703">
        <f t="shared" si="511"/>
        <v>41.333333333333336</v>
      </c>
      <c r="BC703">
        <f t="shared" si="494"/>
        <v>24.8</v>
      </c>
      <c r="BD703">
        <f t="shared" si="512"/>
        <v>0</v>
      </c>
      <c r="BE703">
        <f t="shared" si="495"/>
        <v>24</v>
      </c>
      <c r="BF703">
        <f t="shared" si="521"/>
        <v>5000</v>
      </c>
      <c r="BU703"/>
      <c r="DW703" s="89"/>
      <c r="DX703" s="89"/>
      <c r="FD703"/>
      <c r="FE703"/>
    </row>
    <row r="704" spans="1:161" x14ac:dyDescent="0.25">
      <c r="A704" s="7">
        <f t="shared" si="513"/>
        <v>64528</v>
      </c>
      <c r="B704">
        <f t="shared" si="496"/>
        <v>693</v>
      </c>
      <c r="C704">
        <f t="shared" si="522"/>
        <v>57.666666666666664</v>
      </c>
      <c r="D704">
        <f t="shared" si="523"/>
        <v>0</v>
      </c>
      <c r="E704">
        <f t="shared" si="497"/>
        <v>109</v>
      </c>
      <c r="F704">
        <f>IF(C704&gt;=$T$2,0,VLOOKUP($E704,EKM_F05!$A$3:$C$128,2,TRUE))</f>
        <v>0.85401410256410248</v>
      </c>
      <c r="G704">
        <f>F704*'Real assumptions'!$B$3</f>
        <v>0.35638008499999996</v>
      </c>
      <c r="H704">
        <f t="shared" si="524"/>
        <v>3.6054553526004618E-2</v>
      </c>
      <c r="I704">
        <f t="shared" si="525"/>
        <v>3.6472922792447638E-5</v>
      </c>
      <c r="J704">
        <f>IF(B704&gt;$AJ$2,0,HLOOKUP(C704,'Real assumptions'!$B$5:$L$8,4,TRUE))</f>
        <v>3.7900000000000003E-2</v>
      </c>
      <c r="K704">
        <f t="shared" si="486"/>
        <v>1</v>
      </c>
      <c r="L704">
        <f t="shared" si="514"/>
        <v>8.3333333333333329E-2</v>
      </c>
      <c r="M704">
        <f t="shared" si="526"/>
        <v>3.2145624959929453E-3</v>
      </c>
      <c r="N704">
        <f t="shared" si="527"/>
        <v>3.1983820408124056E-6</v>
      </c>
      <c r="O704" s="8">
        <f t="shared" si="498"/>
        <v>9.7356102891574844E-4</v>
      </c>
      <c r="P704">
        <f t="shared" si="499"/>
        <v>2.4317576009976201E-2</v>
      </c>
      <c r="Q704">
        <f t="shared" si="515"/>
        <v>0.18236461396223819</v>
      </c>
      <c r="R704" s="89">
        <f t="shared" si="487"/>
        <v>5000</v>
      </c>
      <c r="S704">
        <f t="shared" si="488"/>
        <v>0.25</v>
      </c>
      <c r="U704">
        <f>O703*AV703*'Real assumptions'!$B$33/12+AX704*'Real assumptions'!$B$34</f>
        <v>2.1482596060515963E-2</v>
      </c>
      <c r="V704">
        <f>IF(P704=0,0,IF(E704&lt;=$C$7,$AN$5*O703,0))*'Real assumptions'!$D$28</f>
        <v>0</v>
      </c>
      <c r="X704" s="94">
        <f t="shared" si="500"/>
        <v>0</v>
      </c>
      <c r="Y704">
        <f t="shared" si="489"/>
        <v>24</v>
      </c>
      <c r="Z704">
        <f t="shared" si="516"/>
        <v>41</v>
      </c>
      <c r="AA704">
        <f t="shared" si="490"/>
        <v>41.25</v>
      </c>
      <c r="AB704">
        <f t="shared" si="501"/>
        <v>50.505050505050505</v>
      </c>
      <c r="AC704">
        <f t="shared" si="528"/>
        <v>2083.3333333333335</v>
      </c>
      <c r="AD704">
        <f t="shared" si="502"/>
        <v>80.505050505050505</v>
      </c>
      <c r="AE704">
        <f t="shared" si="503"/>
        <v>166.04166666666666</v>
      </c>
      <c r="AF704" s="94">
        <f t="shared" si="504"/>
        <v>2750.625</v>
      </c>
      <c r="AG704">
        <f t="shared" si="517"/>
        <v>8.797549601009624E-3</v>
      </c>
      <c r="AH704">
        <f t="shared" si="505"/>
        <v>2.6779013051613805</v>
      </c>
      <c r="AI704">
        <f>HLOOKUP(AW704,'Real assumptions'!$A$21:$AK$24,2,TRUE)</f>
        <v>0</v>
      </c>
      <c r="AJ704" s="123">
        <f t="shared" si="529"/>
        <v>0</v>
      </c>
      <c r="AK704" s="122">
        <f>(1+HLOOKUP(YEAR(A704),'Real assumptions'!$A$21:$AK$24,2,TRUE)/100)^(1/12)-1</f>
        <v>0</v>
      </c>
      <c r="AL704">
        <f t="shared" si="518"/>
        <v>2.1482596060515963E-2</v>
      </c>
      <c r="AM704">
        <f>('Real assumptions'!$B$33/12)*O703*AV703</f>
        <v>2.0719198911077982E-2</v>
      </c>
      <c r="AN704">
        <f t="shared" si="506"/>
        <v>2.78525284578454</v>
      </c>
      <c r="AO704">
        <f t="shared" si="530"/>
        <v>0</v>
      </c>
      <c r="AP704" s="121">
        <f t="shared" si="507"/>
        <v>0</v>
      </c>
      <c r="AQ704">
        <f t="shared" si="508"/>
        <v>0</v>
      </c>
      <c r="AR704">
        <v>0</v>
      </c>
      <c r="AS704">
        <f t="shared" si="491"/>
        <v>0</v>
      </c>
      <c r="AT704">
        <f t="shared" si="509"/>
        <v>0</v>
      </c>
      <c r="AU704">
        <f>IFERROR(HLOOKUP(B704,'Real assumptions'!$B$43:$AL$44,2,TRUE)*($W$3/$U$2),0)</f>
        <v>0</v>
      </c>
      <c r="AV704">
        <f>AV703*(1+'Real assumptions'!$B$35)^(1/12)</f>
        <v>2.0469795571995255</v>
      </c>
      <c r="AW704">
        <f t="shared" si="492"/>
        <v>2076</v>
      </c>
      <c r="AX704">
        <f t="shared" si="519"/>
        <v>2.7866823116841917</v>
      </c>
      <c r="AY704">
        <f t="shared" si="520"/>
        <v>4.2644458491119877E-3</v>
      </c>
      <c r="AZ704">
        <f t="shared" si="493"/>
        <v>4.62261813560424</v>
      </c>
      <c r="BA704">
        <f t="shared" si="510"/>
        <v>0.19116216356324781</v>
      </c>
      <c r="BB704">
        <f t="shared" si="511"/>
        <v>41.25</v>
      </c>
      <c r="BC704">
        <f t="shared" si="494"/>
        <v>24.75</v>
      </c>
      <c r="BD704">
        <f t="shared" si="512"/>
        <v>0</v>
      </c>
      <c r="BE704">
        <f t="shared" si="495"/>
        <v>24</v>
      </c>
      <c r="BF704">
        <f t="shared" si="521"/>
        <v>5000</v>
      </c>
      <c r="BU704"/>
      <c r="DW704" s="89"/>
      <c r="DX704" s="89"/>
      <c r="FD704"/>
      <c r="FE704"/>
    </row>
    <row r="705" spans="1:161" x14ac:dyDescent="0.25">
      <c r="A705" s="7">
        <f t="shared" si="513"/>
        <v>64558</v>
      </c>
      <c r="B705">
        <f t="shared" si="496"/>
        <v>694</v>
      </c>
      <c r="C705">
        <f t="shared" si="522"/>
        <v>57.75</v>
      </c>
      <c r="D705">
        <f t="shared" si="523"/>
        <v>0</v>
      </c>
      <c r="E705">
        <f t="shared" si="497"/>
        <v>109</v>
      </c>
      <c r="F705">
        <f>IF(C705&gt;=$T$2,0,VLOOKUP($E705,EKM_F05!$A$3:$C$128,2,TRUE))</f>
        <v>0.85401410256410248</v>
      </c>
      <c r="G705">
        <f>F705*'Real assumptions'!$B$3</f>
        <v>0.35638008499999996</v>
      </c>
      <c r="H705">
        <f t="shared" si="524"/>
        <v>3.6054553526004618E-2</v>
      </c>
      <c r="I705">
        <f t="shared" si="525"/>
        <v>3.504489055338017E-5</v>
      </c>
      <c r="J705">
        <f>IF(B705&gt;$AJ$2,0,HLOOKUP(C705,'Real assumptions'!$B$5:$L$8,4,TRUE))</f>
        <v>3.7900000000000003E-2</v>
      </c>
      <c r="K705">
        <f t="shared" si="486"/>
        <v>1</v>
      </c>
      <c r="L705">
        <f t="shared" si="514"/>
        <v>8.3333333333333329E-2</v>
      </c>
      <c r="M705">
        <f t="shared" si="526"/>
        <v>3.2145624959929453E-3</v>
      </c>
      <c r="N705">
        <f t="shared" si="527"/>
        <v>3.0731550966180607E-6</v>
      </c>
      <c r="O705" s="8">
        <f t="shared" si="498"/>
        <v>9.3544298326575016E-4</v>
      </c>
      <c r="P705">
        <f t="shared" si="499"/>
        <v>2.3365464693977961E-2</v>
      </c>
      <c r="Q705">
        <f t="shared" si="515"/>
        <v>0.17522445276690085</v>
      </c>
      <c r="R705" s="89">
        <f t="shared" si="487"/>
        <v>5000</v>
      </c>
      <c r="S705">
        <f t="shared" si="488"/>
        <v>0.1666666666666643</v>
      </c>
      <c r="U705">
        <f>O704*AV704*'Real assumptions'!$B$33/12+AX705*'Real assumptions'!$B$34</f>
        <v>2.0663314879430406E-2</v>
      </c>
      <c r="V705">
        <f>IF(P705=0,0,IF(E705&lt;=$C$7,$AN$5*O704,0))*'Real assumptions'!$D$28</f>
        <v>0</v>
      </c>
      <c r="X705" s="94">
        <f t="shared" si="500"/>
        <v>0</v>
      </c>
      <c r="Y705">
        <f t="shared" si="489"/>
        <v>24</v>
      </c>
      <c r="Z705">
        <f t="shared" si="516"/>
        <v>41</v>
      </c>
      <c r="AA705">
        <f t="shared" si="490"/>
        <v>41.166666666666664</v>
      </c>
      <c r="AB705">
        <f t="shared" si="501"/>
        <v>50.505050505050505</v>
      </c>
      <c r="AC705">
        <f t="shared" si="528"/>
        <v>2079.1245791245792</v>
      </c>
      <c r="AD705">
        <f t="shared" si="502"/>
        <v>80.505050505050505</v>
      </c>
      <c r="AE705">
        <f t="shared" si="503"/>
        <v>165.70622895622893</v>
      </c>
      <c r="AF705" s="94">
        <f t="shared" si="504"/>
        <v>2755.1691919191917</v>
      </c>
      <c r="AG705">
        <f t="shared" si="517"/>
        <v>8.4670622441915273E-3</v>
      </c>
      <c r="AH705">
        <f t="shared" si="505"/>
        <v>2.5773036882907747</v>
      </c>
      <c r="AI705">
        <f>HLOOKUP(AW705,'Real assumptions'!$A$21:$AK$24,2,TRUE)</f>
        <v>0</v>
      </c>
      <c r="AJ705" s="123">
        <f t="shared" si="529"/>
        <v>0</v>
      </c>
      <c r="AK705" s="122">
        <f>(1+HLOOKUP(YEAR(A705),'Real assumptions'!$A$21:$AK$24,2,TRUE)/100)^(1/12)-1</f>
        <v>0</v>
      </c>
      <c r="AL705">
        <f t="shared" si="518"/>
        <v>2.0663314879430406E-2</v>
      </c>
      <c r="AM705">
        <f>('Real assumptions'!$B$33/12)*O704*AV704</f>
        <v>1.9928595238766732E-2</v>
      </c>
      <c r="AN705">
        <f t="shared" si="506"/>
        <v>2.6806034549759281</v>
      </c>
      <c r="AO705">
        <f t="shared" si="530"/>
        <v>0</v>
      </c>
      <c r="AP705" s="121">
        <f t="shared" si="507"/>
        <v>0</v>
      </c>
      <c r="AQ705">
        <f t="shared" si="508"/>
        <v>0</v>
      </c>
      <c r="AR705">
        <v>0</v>
      </c>
      <c r="AS705">
        <f t="shared" si="491"/>
        <v>0</v>
      </c>
      <c r="AT705">
        <f t="shared" si="509"/>
        <v>0</v>
      </c>
      <c r="AU705">
        <f>IFERROR(HLOOKUP(B705,'Real assumptions'!$B$43:$AL$44,2,TRUE)*($W$3/$U$2),0)</f>
        <v>0</v>
      </c>
      <c r="AV705">
        <f>AV704*(1+'Real assumptions'!$B$35)^(1/12)</f>
        <v>2.0490997081180637</v>
      </c>
      <c r="AW705">
        <f t="shared" si="492"/>
        <v>2076</v>
      </c>
      <c r="AX705">
        <f t="shared" si="519"/>
        <v>2.6819987842393087</v>
      </c>
      <c r="AY705">
        <f t="shared" si="520"/>
        <v>4.0974790779282335E-3</v>
      </c>
      <c r="AZ705">
        <f t="shared" si="493"/>
        <v>4.4416287704076955</v>
      </c>
      <c r="BA705">
        <f t="shared" si="510"/>
        <v>0.18369151501109238</v>
      </c>
      <c r="BB705">
        <f t="shared" si="511"/>
        <v>41.166666666666664</v>
      </c>
      <c r="BC705">
        <f t="shared" si="494"/>
        <v>24.699999999999996</v>
      </c>
      <c r="BD705">
        <f t="shared" si="512"/>
        <v>0</v>
      </c>
      <c r="BE705">
        <f t="shared" si="495"/>
        <v>24</v>
      </c>
      <c r="BF705">
        <f t="shared" si="521"/>
        <v>5000</v>
      </c>
      <c r="BU705"/>
      <c r="DW705" s="89"/>
      <c r="DX705" s="89"/>
      <c r="FD705"/>
      <c r="FE705"/>
    </row>
    <row r="706" spans="1:161" x14ac:dyDescent="0.25">
      <c r="A706" s="7">
        <f t="shared" si="513"/>
        <v>64589</v>
      </c>
      <c r="B706">
        <f t="shared" si="496"/>
        <v>695</v>
      </c>
      <c r="C706">
        <f t="shared" si="522"/>
        <v>57.833333333333336</v>
      </c>
      <c r="D706">
        <f t="shared" si="523"/>
        <v>0</v>
      </c>
      <c r="E706">
        <f t="shared" si="497"/>
        <v>109</v>
      </c>
      <c r="F706">
        <f>IF(C706&gt;=$T$2,0,VLOOKUP($E706,EKM_F05!$A$3:$C$128,2,TRUE))</f>
        <v>0.85401410256410248</v>
      </c>
      <c r="G706">
        <f>F706*'Real assumptions'!$B$3</f>
        <v>0.35638008499999996</v>
      </c>
      <c r="H706">
        <f t="shared" si="524"/>
        <v>3.6054553526004618E-2</v>
      </c>
      <c r="I706">
        <f t="shared" si="525"/>
        <v>3.3672770369604268E-5</v>
      </c>
      <c r="J706">
        <f>IF(B706&gt;$AJ$2,0,HLOOKUP(C706,'Real assumptions'!$B$5:$L$8,4,TRUE))</f>
        <v>3.7900000000000003E-2</v>
      </c>
      <c r="K706">
        <f t="shared" si="486"/>
        <v>1</v>
      </c>
      <c r="L706">
        <f t="shared" si="514"/>
        <v>8.3333333333333329E-2</v>
      </c>
      <c r="M706">
        <f t="shared" si="526"/>
        <v>3.2145624959929453E-3</v>
      </c>
      <c r="N706">
        <f t="shared" si="527"/>
        <v>2.9528311900696716E-6</v>
      </c>
      <c r="O706" s="8">
        <f t="shared" si="498"/>
        <v>8.9881738170607625E-4</v>
      </c>
      <c r="P706">
        <f t="shared" si="499"/>
        <v>2.2450631598378006E-2</v>
      </c>
      <c r="Q706">
        <f t="shared" si="515"/>
        <v>0.16836385184802133</v>
      </c>
      <c r="R706" s="89">
        <f t="shared" si="487"/>
        <v>5000</v>
      </c>
      <c r="S706">
        <f t="shared" si="488"/>
        <v>8.3333333333335702E-2</v>
      </c>
      <c r="U706">
        <f>O705*AV705*'Real assumptions'!$B$33/12+AX706*'Real assumptions'!$B$34</f>
        <v>1.9875276936760087E-2</v>
      </c>
      <c r="V706">
        <f>IF(P706=0,0,IF(E706&lt;=$C$7,$AN$5*O705,0))*'Real assumptions'!$D$28</f>
        <v>0</v>
      </c>
      <c r="X706" s="94">
        <f t="shared" si="500"/>
        <v>0</v>
      </c>
      <c r="Y706">
        <f t="shared" si="489"/>
        <v>24</v>
      </c>
      <c r="Z706">
        <f t="shared" si="516"/>
        <v>41</v>
      </c>
      <c r="AA706">
        <f t="shared" si="490"/>
        <v>41.083333333333336</v>
      </c>
      <c r="AB706">
        <f t="shared" si="501"/>
        <v>50.505050505050505</v>
      </c>
      <c r="AC706">
        <f t="shared" si="528"/>
        <v>2074.9158249158249</v>
      </c>
      <c r="AD706">
        <f t="shared" si="502"/>
        <v>80.505050505050505</v>
      </c>
      <c r="AE706">
        <f t="shared" si="503"/>
        <v>165.37079124579125</v>
      </c>
      <c r="AF706" s="94">
        <f t="shared" si="504"/>
        <v>2759.7133838383838</v>
      </c>
      <c r="AG706">
        <f t="shared" si="517"/>
        <v>8.1489677554506951E-3</v>
      </c>
      <c r="AH706">
        <f t="shared" si="505"/>
        <v>2.4804783579208318</v>
      </c>
      <c r="AI706">
        <f>HLOOKUP(AW706,'Real assumptions'!$A$21:$AK$24,2,TRUE)</f>
        <v>0</v>
      </c>
      <c r="AJ706" s="123">
        <f t="shared" si="529"/>
        <v>0</v>
      </c>
      <c r="AK706" s="122">
        <f>(1+HLOOKUP(YEAR(A706),'Real assumptions'!$A$21:$AK$24,2,TRUE)/100)^(1/12)-1</f>
        <v>0</v>
      </c>
      <c r="AL706">
        <f t="shared" si="518"/>
        <v>1.9875276936760087E-2</v>
      </c>
      <c r="AM706">
        <f>('Real assumptions'!$B$33/12)*O705*AV705</f>
        <v>1.9168159439709394E-2</v>
      </c>
      <c r="AN706">
        <f t="shared" si="506"/>
        <v>2.5798790429523928</v>
      </c>
      <c r="AO706">
        <f t="shared" si="530"/>
        <v>0</v>
      </c>
      <c r="AP706" s="121">
        <f t="shared" si="507"/>
        <v>0</v>
      </c>
      <c r="AQ706">
        <f t="shared" si="508"/>
        <v>0</v>
      </c>
      <c r="AR706">
        <v>0</v>
      </c>
      <c r="AS706">
        <f t="shared" si="491"/>
        <v>0</v>
      </c>
      <c r="AT706">
        <f t="shared" si="509"/>
        <v>0</v>
      </c>
      <c r="AU706">
        <f>IFERROR(HLOOKUP(B706,'Real assumptions'!$B$43:$AL$44,2,TRUE)*($W$3/$U$2),0)</f>
        <v>0</v>
      </c>
      <c r="AV706">
        <f>AV705*(1+'Real assumptions'!$B$35)^(1/12)</f>
        <v>2.0512220549744664</v>
      </c>
      <c r="AW706">
        <f t="shared" si="492"/>
        <v>2076</v>
      </c>
      <c r="AX706">
        <f t="shared" si="519"/>
        <v>2.5812407378836442</v>
      </c>
      <c r="AY706">
        <f t="shared" si="520"/>
        <v>3.9370495928693185E-3</v>
      </c>
      <c r="AZ706">
        <f t="shared" si="493"/>
        <v>4.2676913054658412</v>
      </c>
      <c r="BA706">
        <f t="shared" si="510"/>
        <v>0.17651281960347204</v>
      </c>
      <c r="BB706">
        <f t="shared" si="511"/>
        <v>41.083333333333336</v>
      </c>
      <c r="BC706">
        <f t="shared" si="494"/>
        <v>24.65</v>
      </c>
      <c r="BD706">
        <f t="shared" si="512"/>
        <v>0</v>
      </c>
      <c r="BE706">
        <f t="shared" si="495"/>
        <v>24</v>
      </c>
      <c r="BF706">
        <f t="shared" si="521"/>
        <v>5000</v>
      </c>
      <c r="BU706"/>
      <c r="DW706" s="89"/>
      <c r="DX706" s="89"/>
      <c r="FD706"/>
      <c r="FE706"/>
    </row>
    <row r="707" spans="1:161" x14ac:dyDescent="0.25">
      <c r="A707" s="7">
        <f t="shared" si="513"/>
        <v>64619</v>
      </c>
      <c r="B707">
        <f t="shared" si="496"/>
        <v>696</v>
      </c>
      <c r="C707">
        <f t="shared" si="522"/>
        <v>57.916666666666664</v>
      </c>
      <c r="D707">
        <f t="shared" si="523"/>
        <v>0</v>
      </c>
      <c r="E707">
        <f t="shared" si="497"/>
        <v>109</v>
      </c>
      <c r="F707">
        <f>IF(C707&gt;=$T$2,0,VLOOKUP($E707,EKM_F05!$A$3:$C$128,2,TRUE))</f>
        <v>0.85401410256410248</v>
      </c>
      <c r="G707">
        <f>F707*'Real assumptions'!$B$3</f>
        <v>0.35638008499999996</v>
      </c>
      <c r="H707">
        <f t="shared" si="524"/>
        <v>3.6054553526004618E-2</v>
      </c>
      <c r="I707">
        <f t="shared" si="525"/>
        <v>3.2354373104319361E-5</v>
      </c>
      <c r="J707">
        <f>IF(B707&gt;$AJ$2,0,HLOOKUP(C707,'Real assumptions'!$B$5:$L$8,4,TRUE))</f>
        <v>3.7900000000000003E-2</v>
      </c>
      <c r="K707">
        <f t="shared" si="486"/>
        <v>1</v>
      </c>
      <c r="L707">
        <f t="shared" si="514"/>
        <v>8.3333333333333329E-2</v>
      </c>
      <c r="M707">
        <f t="shared" si="526"/>
        <v>3.2145624959929453E-3</v>
      </c>
      <c r="N707">
        <f t="shared" si="527"/>
        <v>2.837218351473238E-6</v>
      </c>
      <c r="O707" s="8">
        <f t="shared" si="498"/>
        <v>8.6362579025028375E-4</v>
      </c>
      <c r="P707">
        <f t="shared" si="499"/>
        <v>2.1571617160945831E-2</v>
      </c>
      <c r="Q707">
        <f t="shared" si="515"/>
        <v>0.16177186552159681</v>
      </c>
      <c r="R707" s="89">
        <f t="shared" si="487"/>
        <v>5000</v>
      </c>
      <c r="S707">
        <f t="shared" si="488"/>
        <v>1</v>
      </c>
      <c r="U707">
        <f>O706*AV706*'Real assumptions'!$B$33/12+AX707*'Real assumptions'!$B$34</f>
        <v>1.9117290839973874E-2</v>
      </c>
      <c r="V707">
        <f>IF(P707=0,0,IF(E707&lt;=$C$7,$AN$5*O706,0))*'Real assumptions'!$D$28</f>
        <v>0</v>
      </c>
      <c r="X707" s="94">
        <f t="shared" si="500"/>
        <v>0</v>
      </c>
      <c r="Y707">
        <f t="shared" si="489"/>
        <v>24</v>
      </c>
      <c r="Z707">
        <f t="shared" si="516"/>
        <v>41</v>
      </c>
      <c r="AA707">
        <f t="shared" si="490"/>
        <v>41</v>
      </c>
      <c r="AB707">
        <f t="shared" si="501"/>
        <v>50.505050505050505</v>
      </c>
      <c r="AC707">
        <f t="shared" si="528"/>
        <v>2070.7070707070707</v>
      </c>
      <c r="AD707">
        <f t="shared" si="502"/>
        <v>80.505050505050505</v>
      </c>
      <c r="AE707">
        <f t="shared" si="503"/>
        <v>165.03535353535352</v>
      </c>
      <c r="AF707" s="94">
        <f t="shared" si="504"/>
        <v>2764.257575757576</v>
      </c>
      <c r="AG707">
        <f t="shared" si="517"/>
        <v>7.8428023221383189E-3</v>
      </c>
      <c r="AH707">
        <f t="shared" si="505"/>
        <v>2.3872841333189703</v>
      </c>
      <c r="AI707">
        <f>HLOOKUP(AW707,'Real assumptions'!$A$21:$AK$24,2,TRUE)</f>
        <v>0</v>
      </c>
      <c r="AJ707" s="123">
        <f t="shared" si="529"/>
        <v>0</v>
      </c>
      <c r="AK707" s="122">
        <f>(1+HLOOKUP(YEAR(A707),'Real assumptions'!$A$21:$AK$24,2,TRUE)/100)^(1/12)-1</f>
        <v>0</v>
      </c>
      <c r="AL707">
        <f t="shared" si="518"/>
        <v>1.9117290839973874E-2</v>
      </c>
      <c r="AM707">
        <f>('Real assumptions'!$B$33/12)*O706*AV706</f>
        <v>1.8436740367499073E-2</v>
      </c>
      <c r="AN707">
        <f t="shared" si="506"/>
        <v>2.4829326842418036</v>
      </c>
      <c r="AO707">
        <f t="shared" si="530"/>
        <v>0</v>
      </c>
      <c r="AP707" s="121">
        <f t="shared" si="507"/>
        <v>0</v>
      </c>
      <c r="AQ707">
        <f t="shared" si="508"/>
        <v>0</v>
      </c>
      <c r="AR707">
        <v>0</v>
      </c>
      <c r="AS707">
        <f t="shared" si="491"/>
        <v>0</v>
      </c>
      <c r="AT707">
        <f t="shared" si="509"/>
        <v>0</v>
      </c>
      <c r="AU707">
        <f>IFERROR(HLOOKUP(B707,'Real assumptions'!$B$43:$AL$44,2,TRUE)*($W$3/$U$2),0)</f>
        <v>0</v>
      </c>
      <c r="AV707">
        <f>AV706*(1+'Real assumptions'!$B$35)^(1/12)</f>
        <v>2.0533466000431675</v>
      </c>
      <c r="AW707">
        <f t="shared" si="492"/>
        <v>2076</v>
      </c>
      <c r="AX707">
        <f t="shared" si="519"/>
        <v>2.4842612593589886</v>
      </c>
      <c r="AY707">
        <f t="shared" si="520"/>
        <v>3.7829014381568862E-3</v>
      </c>
      <c r="AZ707">
        <f t="shared" si="493"/>
        <v>4.1005309639430783</v>
      </c>
      <c r="BA707">
        <f t="shared" si="510"/>
        <v>0.16961466784373513</v>
      </c>
      <c r="BB707">
        <f t="shared" si="511"/>
        <v>41</v>
      </c>
      <c r="BC707">
        <f t="shared" si="494"/>
        <v>24.6</v>
      </c>
      <c r="BD707">
        <f t="shared" si="512"/>
        <v>0</v>
      </c>
      <c r="BE707">
        <f t="shared" si="495"/>
        <v>24</v>
      </c>
      <c r="BF707">
        <f t="shared" si="521"/>
        <v>5000</v>
      </c>
      <c r="BU707"/>
      <c r="DW707" s="89"/>
      <c r="DX707" s="89"/>
      <c r="FD707"/>
      <c r="FE707"/>
    </row>
    <row r="708" spans="1:161" x14ac:dyDescent="0.25">
      <c r="A708" s="7">
        <f t="shared" si="513"/>
        <v>64650</v>
      </c>
      <c r="B708">
        <f t="shared" si="496"/>
        <v>697</v>
      </c>
      <c r="C708">
        <f t="shared" si="522"/>
        <v>58</v>
      </c>
      <c r="D708">
        <f t="shared" si="523"/>
        <v>1</v>
      </c>
      <c r="E708">
        <f t="shared" si="497"/>
        <v>110</v>
      </c>
      <c r="F708">
        <f>IF(C708&gt;=$T$2,0,VLOOKUP($E708,EKM_F05!$A$3:$C$128,2,TRUE))</f>
        <v>0.9220874358974358</v>
      </c>
      <c r="G708">
        <f>F708*'Real assumptions'!$B$3</f>
        <v>0.38478708699999997</v>
      </c>
      <c r="H708">
        <f t="shared" si="524"/>
        <v>3.9673779533253906E-2</v>
      </c>
      <c r="I708">
        <f t="shared" si="525"/>
        <v>3.4208228443320679E-5</v>
      </c>
      <c r="J708">
        <f>IF(B708&gt;$AJ$2,0,HLOOKUP(C708,'Real assumptions'!$B$5:$L$8,4,TRUE))</f>
        <v>3.7900000000000003E-2</v>
      </c>
      <c r="K708">
        <f t="shared" si="486"/>
        <v>1</v>
      </c>
      <c r="L708">
        <f t="shared" si="514"/>
        <v>8.3333333333333329E-2</v>
      </c>
      <c r="M708">
        <f t="shared" si="526"/>
        <v>3.2145624959929453E-3</v>
      </c>
      <c r="N708">
        <f t="shared" si="527"/>
        <v>2.7211083176095724E-6</v>
      </c>
      <c r="O708" s="8">
        <f t="shared" si="498"/>
        <v>8.2669645348935352E-4</v>
      </c>
      <c r="P708">
        <f t="shared" si="499"/>
        <v>2.0727018966006809E-2</v>
      </c>
      <c r="Q708">
        <f t="shared" si="515"/>
        <v>0.17104114221660338</v>
      </c>
      <c r="R708" s="89">
        <f t="shared" si="487"/>
        <v>5000</v>
      </c>
      <c r="S708">
        <f t="shared" si="488"/>
        <v>0.9166666666666643</v>
      </c>
      <c r="U708">
        <f>O707*AV707*'Real assumptions'!$B$33/12+AX708*'Real assumptions'!$B$34</f>
        <v>1.8388210625035116E-2</v>
      </c>
      <c r="V708">
        <f>IF(P708=0,0,IF(E708&lt;=$C$7,$AN$5*O707,0))*'Real assumptions'!$D$28</f>
        <v>0</v>
      </c>
      <c r="X708" s="94">
        <f t="shared" si="500"/>
        <v>0</v>
      </c>
      <c r="Y708">
        <f t="shared" si="489"/>
        <v>24</v>
      </c>
      <c r="Z708">
        <f t="shared" si="516"/>
        <v>41</v>
      </c>
      <c r="AA708">
        <f t="shared" si="490"/>
        <v>40.916666666666664</v>
      </c>
      <c r="AB708">
        <f t="shared" si="501"/>
        <v>50.505050505050505</v>
      </c>
      <c r="AC708">
        <f t="shared" si="528"/>
        <v>2066.4983164983164</v>
      </c>
      <c r="AD708">
        <f t="shared" si="502"/>
        <v>80.505050505050505</v>
      </c>
      <c r="AE708">
        <f t="shared" si="503"/>
        <v>164.69991582491582</v>
      </c>
      <c r="AF708" s="94">
        <f t="shared" si="504"/>
        <v>2768.8017676767677</v>
      </c>
      <c r="AG708">
        <f t="shared" si="517"/>
        <v>7.5342095198373399E-3</v>
      </c>
      <c r="AH708">
        <f t="shared" si="505"/>
        <v>2.2889586017534369</v>
      </c>
      <c r="AI708">
        <f>HLOOKUP(AW708,'Real assumptions'!$A$21:$AK$24,2,TRUE)</f>
        <v>0</v>
      </c>
      <c r="AJ708" s="123">
        <f t="shared" si="529"/>
        <v>0</v>
      </c>
      <c r="AK708" s="122">
        <f>(1+HLOOKUP(YEAR(A708),'Real assumptions'!$A$21:$AK$24,2,TRUE)/100)^(1/12)-1</f>
        <v>0</v>
      </c>
      <c r="AL708">
        <f t="shared" si="518"/>
        <v>1.8388210625035116E-2</v>
      </c>
      <c r="AM708">
        <f>('Real assumptions'!$B$33/12)*O707*AV707</f>
        <v>1.773323080120014E-2</v>
      </c>
      <c r="AN708">
        <f t="shared" si="506"/>
        <v>2.3896229416599422</v>
      </c>
      <c r="AO708">
        <f t="shared" si="530"/>
        <v>0</v>
      </c>
      <c r="AP708" s="121">
        <f t="shared" si="507"/>
        <v>0</v>
      </c>
      <c r="AQ708">
        <f t="shared" si="508"/>
        <v>0</v>
      </c>
      <c r="AR708">
        <v>0</v>
      </c>
      <c r="AS708">
        <f t="shared" si="491"/>
        <v>0</v>
      </c>
      <c r="AT708">
        <f t="shared" si="509"/>
        <v>0</v>
      </c>
      <c r="AU708">
        <f>IFERROR(HLOOKUP(B708,'Real assumptions'!$B$43:$AL$44,2,TRUE)*($W$3/$U$2),0)</f>
        <v>0</v>
      </c>
      <c r="AV708">
        <f>AV707*(1+'Real assumptions'!$B$35)^(1/12)</f>
        <v>2.0554733456009564</v>
      </c>
      <c r="AW708">
        <f t="shared" si="492"/>
        <v>2076</v>
      </c>
      <c r="AX708">
        <f t="shared" si="519"/>
        <v>2.390918921998475</v>
      </c>
      <c r="AY708">
        <f t="shared" si="520"/>
        <v>3.634788679504561E-3</v>
      </c>
      <c r="AZ708">
        <f t="shared" si="493"/>
        <v>3.9242944205476089</v>
      </c>
      <c r="BA708">
        <f t="shared" si="510"/>
        <v>0.17857535173644074</v>
      </c>
      <c r="BB708">
        <f t="shared" si="511"/>
        <v>40.916666666666664</v>
      </c>
      <c r="BC708">
        <f t="shared" si="494"/>
        <v>24.549999999999997</v>
      </c>
      <c r="BD708">
        <f t="shared" si="512"/>
        <v>0</v>
      </c>
      <c r="BE708">
        <f t="shared" si="495"/>
        <v>24</v>
      </c>
      <c r="BF708">
        <f t="shared" si="521"/>
        <v>5000</v>
      </c>
      <c r="BU708"/>
      <c r="DW708" s="89"/>
      <c r="DX708" s="89"/>
      <c r="FD708"/>
      <c r="FE708"/>
    </row>
    <row r="709" spans="1:161" x14ac:dyDescent="0.25">
      <c r="A709" s="7">
        <f t="shared" si="513"/>
        <v>64681</v>
      </c>
      <c r="B709">
        <f t="shared" si="496"/>
        <v>698</v>
      </c>
      <c r="C709">
        <f t="shared" si="522"/>
        <v>58.083333333333336</v>
      </c>
      <c r="D709">
        <f t="shared" si="523"/>
        <v>0</v>
      </c>
      <c r="E709">
        <f t="shared" si="497"/>
        <v>110</v>
      </c>
      <c r="F709">
        <f>IF(C709&gt;=$T$2,0,VLOOKUP($E709,EKM_F05!$A$3:$C$128,2,TRUE))</f>
        <v>0.9220874358974358</v>
      </c>
      <c r="G709">
        <f>F709*'Real assumptions'!$B$3</f>
        <v>0.38478708699999997</v>
      </c>
      <c r="H709">
        <f t="shared" si="524"/>
        <v>3.9673779533253906E-2</v>
      </c>
      <c r="I709">
        <f t="shared" si="525"/>
        <v>3.2745456948490594E-5</v>
      </c>
      <c r="J709">
        <f>IF(B709&gt;$AJ$2,0,HLOOKUP(C709,'Real assumptions'!$B$5:$L$8,4,TRUE))</f>
        <v>3.7900000000000003E-2</v>
      </c>
      <c r="K709">
        <f t="shared" si="486"/>
        <v>1</v>
      </c>
      <c r="L709">
        <f t="shared" si="514"/>
        <v>8.3333333333333329E-2</v>
      </c>
      <c r="M709">
        <f t="shared" si="526"/>
        <v>3.2145624959929453E-3</v>
      </c>
      <c r="N709">
        <f t="shared" si="527"/>
        <v>2.6047515267883418E-6</v>
      </c>
      <c r="O709" s="8">
        <f t="shared" si="498"/>
        <v>7.9134624501407463E-4</v>
      </c>
      <c r="P709">
        <f t="shared" si="499"/>
        <v>1.9840714883744483E-2</v>
      </c>
      <c r="Q709">
        <f t="shared" si="515"/>
        <v>0.16372728474245296</v>
      </c>
      <c r="R709" s="89">
        <f t="shared" si="487"/>
        <v>5000</v>
      </c>
      <c r="S709">
        <f t="shared" si="488"/>
        <v>0.8333333333333357</v>
      </c>
      <c r="U709">
        <f>O708*AV708*'Real assumptions'!$B$33/12+AX709*'Real assumptions'!$B$34</f>
        <v>1.7620526727236952E-2</v>
      </c>
      <c r="V709">
        <f>IF(P709=0,0,IF(E709&lt;=$C$7,$AN$5*O708,0))*'Real assumptions'!$D$28</f>
        <v>0</v>
      </c>
      <c r="X709" s="94">
        <f t="shared" si="500"/>
        <v>0</v>
      </c>
      <c r="Y709">
        <f t="shared" si="489"/>
        <v>24</v>
      </c>
      <c r="Z709">
        <f t="shared" si="516"/>
        <v>40</v>
      </c>
      <c r="AA709">
        <f t="shared" si="490"/>
        <v>40.833333333333336</v>
      </c>
      <c r="AB709">
        <f t="shared" si="501"/>
        <v>50.505050505050505</v>
      </c>
      <c r="AC709">
        <f t="shared" si="528"/>
        <v>2062.2895622895626</v>
      </c>
      <c r="AD709">
        <f t="shared" si="502"/>
        <v>80.505050505050505</v>
      </c>
      <c r="AE709">
        <f t="shared" si="503"/>
        <v>164.36447811447812</v>
      </c>
      <c r="AF709" s="94">
        <f t="shared" si="504"/>
        <v>2773.3459595959594</v>
      </c>
      <c r="AG709">
        <f t="shared" si="517"/>
        <v>7.2238771225698536E-3</v>
      </c>
      <c r="AH709">
        <f t="shared" si="505"/>
        <v>2.1946769112512179</v>
      </c>
      <c r="AI709">
        <f>HLOOKUP(AW709,'Real assumptions'!$A$21:$AK$24,2,TRUE)</f>
        <v>0</v>
      </c>
      <c r="AJ709" s="123">
        <f t="shared" si="529"/>
        <v>0</v>
      </c>
      <c r="AK709" s="122">
        <f>(1+HLOOKUP(YEAR(A709),'Real assumptions'!$A$21:$AK$24,2,TRUE)/100)^(1/12)-1</f>
        <v>0</v>
      </c>
      <c r="AL709">
        <f t="shared" si="518"/>
        <v>1.7620526727236952E-2</v>
      </c>
      <c r="AM709">
        <f>('Real assumptions'!$B$33/12)*O708*AV708</f>
        <v>1.6992525250502072E-2</v>
      </c>
      <c r="AN709">
        <f t="shared" si="506"/>
        <v>2.2911787899099445</v>
      </c>
      <c r="AO709">
        <f t="shared" si="530"/>
        <v>0</v>
      </c>
      <c r="AP709" s="121">
        <f t="shared" si="507"/>
        <v>0</v>
      </c>
      <c r="AQ709">
        <f t="shared" si="508"/>
        <v>0</v>
      </c>
      <c r="AR709">
        <v>0</v>
      </c>
      <c r="AS709">
        <f t="shared" si="491"/>
        <v>0</v>
      </c>
      <c r="AT709">
        <f t="shared" si="509"/>
        <v>0</v>
      </c>
      <c r="AU709">
        <f>IFERROR(HLOOKUP(B709,'Real assumptions'!$B$43:$AL$44,2,TRUE)*($W$3/$U$2),0)</f>
        <v>0</v>
      </c>
      <c r="AV709">
        <f>AV708*(1+'Real assumptions'!$B$35)^(1/12)</f>
        <v>2.0576022939269811</v>
      </c>
      <c r="AW709">
        <f t="shared" si="492"/>
        <v>2077</v>
      </c>
      <c r="AX709">
        <f t="shared" si="519"/>
        <v>2.2924379639314223</v>
      </c>
      <c r="AY709">
        <f t="shared" si="520"/>
        <v>3.4793621779854946E-3</v>
      </c>
      <c r="AZ709">
        <f t="shared" si="493"/>
        <v>3.7555634468390937</v>
      </c>
      <c r="BA709">
        <f t="shared" si="510"/>
        <v>0.17095116186502282</v>
      </c>
      <c r="BB709">
        <f t="shared" si="511"/>
        <v>40.833333333333336</v>
      </c>
      <c r="BC709">
        <f t="shared" si="494"/>
        <v>24.5</v>
      </c>
      <c r="BD709">
        <f t="shared" si="512"/>
        <v>0</v>
      </c>
      <c r="BE709">
        <f t="shared" si="495"/>
        <v>24</v>
      </c>
      <c r="BF709">
        <f t="shared" si="521"/>
        <v>5000</v>
      </c>
      <c r="BU709"/>
      <c r="DW709" s="89"/>
      <c r="DX709" s="89"/>
      <c r="FD709"/>
      <c r="FE709"/>
    </row>
    <row r="710" spans="1:161" x14ac:dyDescent="0.25">
      <c r="A710" s="7">
        <f t="shared" si="513"/>
        <v>64709</v>
      </c>
      <c r="B710">
        <f t="shared" si="496"/>
        <v>699</v>
      </c>
      <c r="C710">
        <f t="shared" si="522"/>
        <v>58.166666666666664</v>
      </c>
      <c r="D710">
        <f t="shared" si="523"/>
        <v>0</v>
      </c>
      <c r="E710">
        <f t="shared" si="497"/>
        <v>110</v>
      </c>
      <c r="F710">
        <f>IF(C710&gt;=$T$2,0,VLOOKUP($E710,EKM_F05!$A$3:$C$128,2,TRUE))</f>
        <v>0.9220874358974358</v>
      </c>
      <c r="G710">
        <f>F710*'Real assumptions'!$B$3</f>
        <v>0.38478708699999997</v>
      </c>
      <c r="H710">
        <f t="shared" si="524"/>
        <v>3.9673779533253906E-2</v>
      </c>
      <c r="I710">
        <f t="shared" si="525"/>
        <v>3.1345234744970131E-5</v>
      </c>
      <c r="J710">
        <f>IF(B710&gt;$AJ$2,0,HLOOKUP(C710,'Real assumptions'!$B$5:$L$8,4,TRUE))</f>
        <v>3.7900000000000003E-2</v>
      </c>
      <c r="K710">
        <f t="shared" si="486"/>
        <v>1</v>
      </c>
      <c r="L710">
        <f t="shared" si="514"/>
        <v>8.3333333333333329E-2</v>
      </c>
      <c r="M710">
        <f t="shared" si="526"/>
        <v>3.2145624959929453E-3</v>
      </c>
      <c r="N710">
        <f t="shared" si="527"/>
        <v>2.4933702463804965E-6</v>
      </c>
      <c r="O710" s="8">
        <f t="shared" si="498"/>
        <v>7.5750764002272398E-4</v>
      </c>
      <c r="P710">
        <f t="shared" si="499"/>
        <v>1.8992309880337791E-2</v>
      </c>
      <c r="Q710">
        <f t="shared" si="515"/>
        <v>0.15672617372485065</v>
      </c>
      <c r="R710" s="89">
        <f t="shared" si="487"/>
        <v>5000</v>
      </c>
      <c r="S710">
        <f t="shared" si="488"/>
        <v>0.75</v>
      </c>
      <c r="U710">
        <f>O709*AV709*'Real assumptions'!$B$33/12+AX710*'Real assumptions'!$B$34</f>
        <v>1.6884891229892861E-2</v>
      </c>
      <c r="V710">
        <f>IF(P710=0,0,IF(E710&lt;=$C$7,$AN$5*O709,0))*'Real assumptions'!$D$28</f>
        <v>0</v>
      </c>
      <c r="X710" s="94">
        <f t="shared" si="500"/>
        <v>0</v>
      </c>
      <c r="Y710">
        <f t="shared" si="489"/>
        <v>24</v>
      </c>
      <c r="Z710">
        <f t="shared" si="516"/>
        <v>40</v>
      </c>
      <c r="AA710">
        <f t="shared" si="490"/>
        <v>40.75</v>
      </c>
      <c r="AB710">
        <f t="shared" si="501"/>
        <v>50.505050505050505</v>
      </c>
      <c r="AC710">
        <f t="shared" si="528"/>
        <v>2058.0808080808083</v>
      </c>
      <c r="AD710">
        <f t="shared" si="502"/>
        <v>80.505050505050505</v>
      </c>
      <c r="AE710">
        <f t="shared" si="503"/>
        <v>164.02904040404039</v>
      </c>
      <c r="AF710" s="94">
        <f t="shared" si="504"/>
        <v>2777.8901515151515</v>
      </c>
      <c r="AG710">
        <f t="shared" si="517"/>
        <v>6.9263086515012878E-3</v>
      </c>
      <c r="AH710">
        <f t="shared" si="505"/>
        <v>2.1042730129166096</v>
      </c>
      <c r="AI710">
        <f>HLOOKUP(AW710,'Real assumptions'!$A$21:$AK$24,2,TRUE)</f>
        <v>0</v>
      </c>
      <c r="AJ710" s="123">
        <f t="shared" si="529"/>
        <v>0</v>
      </c>
      <c r="AK710" s="122">
        <f>(1+HLOOKUP(YEAR(A710),'Real assumptions'!$A$21:$AK$24,2,TRUE)/100)^(1/12)-1</f>
        <v>0</v>
      </c>
      <c r="AL710">
        <f t="shared" si="518"/>
        <v>1.6884891229892861E-2</v>
      </c>
      <c r="AM710">
        <f>('Real assumptions'!$B$33/12)*O709*AV709</f>
        <v>1.6282758490314631E-2</v>
      </c>
      <c r="AN710">
        <f t="shared" si="506"/>
        <v>2.1967843299016629</v>
      </c>
      <c r="AO710">
        <f t="shared" si="530"/>
        <v>0</v>
      </c>
      <c r="AP710" s="121">
        <f t="shared" si="507"/>
        <v>0</v>
      </c>
      <c r="AQ710">
        <f t="shared" si="508"/>
        <v>0</v>
      </c>
      <c r="AR710">
        <v>0</v>
      </c>
      <c r="AS710">
        <f t="shared" si="491"/>
        <v>0</v>
      </c>
      <c r="AT710">
        <f t="shared" si="509"/>
        <v>0</v>
      </c>
      <c r="AU710">
        <f>IFERROR(HLOOKUP(B710,'Real assumptions'!$B$43:$AL$44,2,TRUE)*($W$3/$U$2),0)</f>
        <v>0</v>
      </c>
      <c r="AV710">
        <f>AV709*(1+'Real assumptions'!$B$35)^(1/12)</f>
        <v>2.05973344730275</v>
      </c>
      <c r="AW710">
        <f t="shared" si="492"/>
        <v>2077</v>
      </c>
      <c r="AX710">
        <f t="shared" si="519"/>
        <v>2.1980074930905027</v>
      </c>
      <c r="AY710">
        <f t="shared" si="520"/>
        <v>3.3305818392848257E-3</v>
      </c>
      <c r="AZ710">
        <f t="shared" si="493"/>
        <v>3.5940183831131867</v>
      </c>
      <c r="BA710">
        <f t="shared" si="510"/>
        <v>0.16365248237635194</v>
      </c>
      <c r="BB710">
        <f t="shared" si="511"/>
        <v>40.75</v>
      </c>
      <c r="BC710">
        <f t="shared" si="494"/>
        <v>24.45</v>
      </c>
      <c r="BD710">
        <f t="shared" si="512"/>
        <v>0</v>
      </c>
      <c r="BE710">
        <f t="shared" si="495"/>
        <v>24</v>
      </c>
      <c r="BF710">
        <f t="shared" si="521"/>
        <v>5000</v>
      </c>
      <c r="BU710"/>
      <c r="DW710" s="89"/>
      <c r="DX710" s="89"/>
      <c r="FD710"/>
      <c r="FE710"/>
    </row>
    <row r="711" spans="1:161" x14ac:dyDescent="0.25">
      <c r="A711" s="7">
        <f t="shared" si="513"/>
        <v>64740</v>
      </c>
      <c r="B711">
        <f t="shared" si="496"/>
        <v>700</v>
      </c>
      <c r="C711">
        <f t="shared" si="522"/>
        <v>58.25</v>
      </c>
      <c r="D711">
        <f t="shared" si="523"/>
        <v>0</v>
      </c>
      <c r="E711">
        <f t="shared" si="497"/>
        <v>110</v>
      </c>
      <c r="F711">
        <f>IF(C711&gt;=$T$2,0,VLOOKUP($E711,EKM_F05!$A$3:$C$128,2,TRUE))</f>
        <v>0.9220874358974358</v>
      </c>
      <c r="G711">
        <f>F711*'Real assumptions'!$B$3</f>
        <v>0.38478708699999997</v>
      </c>
      <c r="H711">
        <f t="shared" si="524"/>
        <v>3.9673779533253906E-2</v>
      </c>
      <c r="I711">
        <f t="shared" si="525"/>
        <v>3.0004887174511463E-5</v>
      </c>
      <c r="J711">
        <f>IF(B711&gt;$AJ$2,0,HLOOKUP(C711,'Real assumptions'!$B$5:$L$8,4,TRUE))</f>
        <v>3.7900000000000003E-2</v>
      </c>
      <c r="K711">
        <f t="shared" si="486"/>
        <v>1</v>
      </c>
      <c r="L711">
        <f t="shared" si="514"/>
        <v>8.3333333333333329E-2</v>
      </c>
      <c r="M711">
        <f t="shared" si="526"/>
        <v>3.2145624959929453E-3</v>
      </c>
      <c r="N711">
        <f t="shared" si="527"/>
        <v>2.3867517195396248E-6</v>
      </c>
      <c r="O711" s="8">
        <f t="shared" si="498"/>
        <v>7.2511600112867283E-4</v>
      </c>
      <c r="P711">
        <f t="shared" si="499"/>
        <v>1.8180183360545374E-2</v>
      </c>
      <c r="Q711">
        <f t="shared" si="515"/>
        <v>0.15002443587255732</v>
      </c>
      <c r="R711" s="89">
        <f t="shared" si="487"/>
        <v>5000</v>
      </c>
      <c r="S711">
        <f t="shared" si="488"/>
        <v>0.6666666666666643</v>
      </c>
      <c r="U711">
        <f>O710*AV710*'Real assumptions'!$B$33/12+AX711*'Real assumptions'!$B$34</f>
        <v>1.6179966273700195E-2</v>
      </c>
      <c r="V711">
        <f>IF(P711=0,0,IF(E711&lt;=$C$7,$AN$5*O710,0))*'Real assumptions'!$D$28</f>
        <v>0</v>
      </c>
      <c r="X711" s="94">
        <f t="shared" si="500"/>
        <v>0</v>
      </c>
      <c r="Y711">
        <f t="shared" si="489"/>
        <v>24</v>
      </c>
      <c r="Z711">
        <f t="shared" si="516"/>
        <v>40</v>
      </c>
      <c r="AA711">
        <f t="shared" si="490"/>
        <v>40.666666666666664</v>
      </c>
      <c r="AB711">
        <f t="shared" si="501"/>
        <v>50.505050505050505</v>
      </c>
      <c r="AC711">
        <f t="shared" si="528"/>
        <v>2053.8720538720536</v>
      </c>
      <c r="AD711">
        <f t="shared" si="502"/>
        <v>80.505050505050505</v>
      </c>
      <c r="AE711">
        <f t="shared" si="503"/>
        <v>163.69360269360268</v>
      </c>
      <c r="AF711" s="94">
        <f t="shared" si="504"/>
        <v>2782.4343434343436</v>
      </c>
      <c r="AG711">
        <f t="shared" si="517"/>
        <v>6.6409799536980268E-3</v>
      </c>
      <c r="AH711">
        <f t="shared" si="505"/>
        <v>2.0175876645141955</v>
      </c>
      <c r="AI711">
        <f>HLOOKUP(AW711,'Real assumptions'!$A$21:$AK$24,2,TRUE)</f>
        <v>0</v>
      </c>
      <c r="AJ711" s="123">
        <f t="shared" si="529"/>
        <v>0</v>
      </c>
      <c r="AK711" s="122">
        <f>(1+HLOOKUP(YEAR(A711),'Real assumptions'!$A$21:$AK$24,2,TRUE)/100)^(1/12)-1</f>
        <v>0</v>
      </c>
      <c r="AL711">
        <f t="shared" si="518"/>
        <v>1.6179966273700195E-2</v>
      </c>
      <c r="AM711">
        <f>('Real assumptions'!$B$33/12)*O710*AV710</f>
        <v>1.5602638227421759E-2</v>
      </c>
      <c r="AN711">
        <f t="shared" si="506"/>
        <v>2.1062732300034548</v>
      </c>
      <c r="AO711">
        <f t="shared" si="530"/>
        <v>0</v>
      </c>
      <c r="AP711" s="121">
        <f t="shared" si="507"/>
        <v>0</v>
      </c>
      <c r="AQ711">
        <f t="shared" si="508"/>
        <v>0</v>
      </c>
      <c r="AR711">
        <v>0</v>
      </c>
      <c r="AS711">
        <f t="shared" si="491"/>
        <v>0</v>
      </c>
      <c r="AT711">
        <f t="shared" si="509"/>
        <v>0</v>
      </c>
      <c r="AU711">
        <f>IFERROR(HLOOKUP(B711,'Real assumptions'!$B$43:$AL$44,2,TRUE)*($W$3/$U$2),0)</f>
        <v>0</v>
      </c>
      <c r="AV711">
        <f>AV710*(1+'Real assumptions'!$B$35)^(1/12)</f>
        <v>2.0618668080121347</v>
      </c>
      <c r="AW711">
        <f t="shared" si="492"/>
        <v>2077</v>
      </c>
      <c r="AX711">
        <f t="shared" si="519"/>
        <v>2.1074611763847186</v>
      </c>
      <c r="AY711">
        <f t="shared" si="520"/>
        <v>3.1881634681091074E-3</v>
      </c>
      <c r="AZ711">
        <f t="shared" si="493"/>
        <v>3.4393531843737764</v>
      </c>
      <c r="BA711">
        <f t="shared" si="510"/>
        <v>0.15666541582625534</v>
      </c>
      <c r="BB711">
        <f t="shared" si="511"/>
        <v>40.666666666666664</v>
      </c>
      <c r="BC711">
        <f t="shared" si="494"/>
        <v>24.4</v>
      </c>
      <c r="BD711">
        <f t="shared" si="512"/>
        <v>0</v>
      </c>
      <c r="BE711">
        <f t="shared" si="495"/>
        <v>24</v>
      </c>
      <c r="BF711">
        <f t="shared" si="521"/>
        <v>5000</v>
      </c>
      <c r="BU711"/>
      <c r="DW711" s="89"/>
      <c r="DX711" s="89"/>
      <c r="FD711"/>
      <c r="FE711"/>
    </row>
    <row r="712" spans="1:161" x14ac:dyDescent="0.25">
      <c r="A712" s="7">
        <f t="shared" si="513"/>
        <v>64770</v>
      </c>
      <c r="B712">
        <f t="shared" si="496"/>
        <v>701</v>
      </c>
      <c r="C712">
        <f t="shared" si="522"/>
        <v>58.333333333333336</v>
      </c>
      <c r="D712">
        <f t="shared" si="523"/>
        <v>0</v>
      </c>
      <c r="E712">
        <f t="shared" si="497"/>
        <v>110</v>
      </c>
      <c r="F712">
        <f>IF(C712&gt;=$T$2,0,VLOOKUP($E712,EKM_F05!$A$3:$C$128,2,TRUE))</f>
        <v>0.9220874358974358</v>
      </c>
      <c r="G712">
        <f>F712*'Real assumptions'!$B$3</f>
        <v>0.38478708699999997</v>
      </c>
      <c r="H712">
        <f t="shared" si="524"/>
        <v>3.9673779533253906E-2</v>
      </c>
      <c r="I712">
        <f t="shared" si="525"/>
        <v>2.8721853949415061E-5</v>
      </c>
      <c r="J712">
        <f>IF(B712&gt;$AJ$2,0,HLOOKUP(C712,'Real assumptions'!$B$5:$L$8,4,TRUE))</f>
        <v>3.7900000000000003E-2</v>
      </c>
      <c r="K712">
        <f t="shared" si="486"/>
        <v>1</v>
      </c>
      <c r="L712">
        <f t="shared" si="514"/>
        <v>8.3333333333333329E-2</v>
      </c>
      <c r="M712">
        <f t="shared" si="526"/>
        <v>3.2145624959929453E-3</v>
      </c>
      <c r="N712">
        <f t="shared" si="527"/>
        <v>2.2846922870740142E-6</v>
      </c>
      <c r="O712" s="8">
        <f t="shared" si="498"/>
        <v>6.9410945489218375E-4</v>
      </c>
      <c r="P712">
        <f t="shared" si="499"/>
        <v>1.7402784027088149E-2</v>
      </c>
      <c r="Q712">
        <f t="shared" si="515"/>
        <v>0.1436092697470753</v>
      </c>
      <c r="R712" s="89">
        <f t="shared" si="487"/>
        <v>5000</v>
      </c>
      <c r="S712">
        <f t="shared" si="488"/>
        <v>0.5833333333333357</v>
      </c>
      <c r="U712">
        <f>O711*AV711*'Real assumptions'!$B$33/12+AX712*'Real assumptions'!$B$34</f>
        <v>1.5504469845584226E-2</v>
      </c>
      <c r="V712">
        <f>IF(P712=0,0,IF(E712&lt;=$C$7,$AN$5*O711,0))*'Real assumptions'!$D$28</f>
        <v>0</v>
      </c>
      <c r="X712" s="94">
        <f t="shared" si="500"/>
        <v>0</v>
      </c>
      <c r="Y712">
        <f t="shared" si="489"/>
        <v>24</v>
      </c>
      <c r="Z712">
        <f t="shared" si="516"/>
        <v>40</v>
      </c>
      <c r="AA712">
        <f t="shared" si="490"/>
        <v>40.583333333333336</v>
      </c>
      <c r="AB712">
        <f t="shared" si="501"/>
        <v>50.505050505050505</v>
      </c>
      <c r="AC712">
        <f t="shared" si="528"/>
        <v>2049.6632996632998</v>
      </c>
      <c r="AD712">
        <f t="shared" si="502"/>
        <v>80.505050505050505</v>
      </c>
      <c r="AE712">
        <f t="shared" si="503"/>
        <v>163.35816498316498</v>
      </c>
      <c r="AF712" s="94">
        <f t="shared" si="504"/>
        <v>2786.9785353535353</v>
      </c>
      <c r="AG712">
        <f t="shared" si="517"/>
        <v>6.3673883639630549E-3</v>
      </c>
      <c r="AH712">
        <f t="shared" si="505"/>
        <v>1.9344681519704592</v>
      </c>
      <c r="AI712">
        <f>HLOOKUP(AW712,'Real assumptions'!$A$21:$AK$24,2,TRUE)</f>
        <v>0</v>
      </c>
      <c r="AJ712" s="123">
        <f t="shared" si="529"/>
        <v>0</v>
      </c>
      <c r="AK712" s="122">
        <f>(1+HLOOKUP(YEAR(A712),'Real assumptions'!$A$21:$AK$24,2,TRUE)/100)^(1/12)-1</f>
        <v>0</v>
      </c>
      <c r="AL712">
        <f t="shared" si="518"/>
        <v>1.5504469845584226E-2</v>
      </c>
      <c r="AM712">
        <f>('Real assumptions'!$B$33/12)*O711*AV711</f>
        <v>1.4950926146857E-2</v>
      </c>
      <c r="AN712">
        <f t="shared" si="506"/>
        <v>2.0194859786956996</v>
      </c>
      <c r="AO712">
        <f t="shared" si="530"/>
        <v>0</v>
      </c>
      <c r="AP712" s="121">
        <f t="shared" si="507"/>
        <v>0</v>
      </c>
      <c r="AQ712">
        <f t="shared" si="508"/>
        <v>0</v>
      </c>
      <c r="AR712">
        <v>0</v>
      </c>
      <c r="AS712">
        <f t="shared" si="491"/>
        <v>0</v>
      </c>
      <c r="AT712">
        <f t="shared" si="509"/>
        <v>0</v>
      </c>
      <c r="AU712">
        <f>IFERROR(HLOOKUP(B712,'Real assumptions'!$B$43:$AL$44,2,TRUE)*($W$3/$U$2),0)</f>
        <v>0</v>
      </c>
      <c r="AV712">
        <f>AV711*(1+'Real assumptions'!$B$35)^(1/12)</f>
        <v>2.0640023783413723</v>
      </c>
      <c r="AW712">
        <f t="shared" si="492"/>
        <v>2077</v>
      </c>
      <c r="AX712">
        <f t="shared" si="519"/>
        <v>2.0206394995357808</v>
      </c>
      <c r="AY712">
        <f t="shared" si="520"/>
        <v>3.0518350215853231E-3</v>
      </c>
      <c r="AZ712">
        <f t="shared" si="493"/>
        <v>3.2912748404442422</v>
      </c>
      <c r="BA712">
        <f t="shared" si="510"/>
        <v>0.14997665811103836</v>
      </c>
      <c r="BB712">
        <f t="shared" si="511"/>
        <v>40.583333333333336</v>
      </c>
      <c r="BC712">
        <f t="shared" si="494"/>
        <v>24.35</v>
      </c>
      <c r="BD712">
        <f t="shared" si="512"/>
        <v>0</v>
      </c>
      <c r="BE712">
        <f t="shared" si="495"/>
        <v>24</v>
      </c>
      <c r="BF712">
        <f t="shared" si="521"/>
        <v>5000</v>
      </c>
      <c r="BU712"/>
      <c r="DW712" s="89"/>
      <c r="DX712" s="89"/>
      <c r="FD712"/>
      <c r="FE712"/>
    </row>
    <row r="713" spans="1:161" x14ac:dyDescent="0.25">
      <c r="A713" s="7">
        <f t="shared" si="513"/>
        <v>64801</v>
      </c>
      <c r="B713">
        <f t="shared" si="496"/>
        <v>702</v>
      </c>
      <c r="C713">
        <f t="shared" si="522"/>
        <v>58.416666666666664</v>
      </c>
      <c r="D713">
        <f t="shared" si="523"/>
        <v>0</v>
      </c>
      <c r="E713">
        <f t="shared" si="497"/>
        <v>110</v>
      </c>
      <c r="F713">
        <f>IF(C713&gt;=$T$2,0,VLOOKUP($E713,EKM_F05!$A$3:$C$128,2,TRUE))</f>
        <v>0.9220874358974358</v>
      </c>
      <c r="G713">
        <f>F713*'Real assumptions'!$B$3</f>
        <v>0.38478708699999997</v>
      </c>
      <c r="H713">
        <f t="shared" si="524"/>
        <v>3.9673779533253906E-2</v>
      </c>
      <c r="I713">
        <f t="shared" si="525"/>
        <v>2.749368426195261E-5</v>
      </c>
      <c r="J713">
        <f>IF(B713&gt;$AJ$2,0,HLOOKUP(C713,'Real assumptions'!$B$5:$L$8,4,TRUE))</f>
        <v>3.7900000000000003E-2</v>
      </c>
      <c r="K713">
        <f t="shared" si="486"/>
        <v>1</v>
      </c>
      <c r="L713">
        <f t="shared" si="514"/>
        <v>8.3333333333333329E-2</v>
      </c>
      <c r="M713">
        <f t="shared" si="526"/>
        <v>3.2145624959929453E-3</v>
      </c>
      <c r="N713">
        <f t="shared" si="527"/>
        <v>2.1869969984235854E-6</v>
      </c>
      <c r="O713" s="8">
        <f t="shared" si="498"/>
        <v>6.644287736318076E-4</v>
      </c>
      <c r="P713">
        <f t="shared" si="499"/>
        <v>1.6658626917412409E-2</v>
      </c>
      <c r="Q713">
        <f t="shared" si="515"/>
        <v>0.13746842130976306</v>
      </c>
      <c r="R713" s="89">
        <f t="shared" si="487"/>
        <v>5000</v>
      </c>
      <c r="S713">
        <f t="shared" si="488"/>
        <v>0.5</v>
      </c>
      <c r="U713">
        <f>O712*AV712*'Real assumptions'!$B$33/12+AX713*'Real assumptions'!$B$34</f>
        <v>1.4857173447626149E-2</v>
      </c>
      <c r="V713">
        <f>IF(P713=0,0,IF(E713&lt;=$C$7,$AN$5*O712,0))*'Real assumptions'!$D$28</f>
        <v>0</v>
      </c>
      <c r="X713" s="94">
        <f t="shared" si="500"/>
        <v>0</v>
      </c>
      <c r="Y713">
        <f t="shared" si="489"/>
        <v>24</v>
      </c>
      <c r="Z713">
        <f t="shared" si="516"/>
        <v>40</v>
      </c>
      <c r="AA713">
        <f t="shared" si="490"/>
        <v>40.5</v>
      </c>
      <c r="AB713">
        <f t="shared" si="501"/>
        <v>50.505050505050505</v>
      </c>
      <c r="AC713">
        <f t="shared" si="528"/>
        <v>2045.4545454545455</v>
      </c>
      <c r="AD713">
        <f t="shared" si="502"/>
        <v>80.505050505050505</v>
      </c>
      <c r="AE713">
        <f t="shared" si="503"/>
        <v>163.02272727272725</v>
      </c>
      <c r="AF713" s="94">
        <f t="shared" si="504"/>
        <v>2791.522727272727</v>
      </c>
      <c r="AG713">
        <f t="shared" si="517"/>
        <v>6.105051825576675E-3</v>
      </c>
      <c r="AH713">
        <f t="shared" si="505"/>
        <v>1.854768022247137</v>
      </c>
      <c r="AI713">
        <f>HLOOKUP(AW713,'Real assumptions'!$A$21:$AK$24,2,TRUE)</f>
        <v>0</v>
      </c>
      <c r="AJ713" s="123">
        <f t="shared" si="529"/>
        <v>0</v>
      </c>
      <c r="AK713" s="122">
        <f>(1+HLOOKUP(YEAR(A713),'Real assumptions'!$A$21:$AK$24,2,TRUE)/100)^(1/12)-1</f>
        <v>0</v>
      </c>
      <c r="AL713">
        <f t="shared" si="518"/>
        <v>1.4857173447626149E-2</v>
      </c>
      <c r="AM713">
        <f>('Real assumptions'!$B$33/12)*O712*AV712</f>
        <v>1.4326435657267008E-2</v>
      </c>
      <c r="AN713">
        <f t="shared" si="506"/>
        <v>1.9362696054402455</v>
      </c>
      <c r="AO713">
        <f t="shared" si="530"/>
        <v>0</v>
      </c>
      <c r="AP713" s="121">
        <f t="shared" si="507"/>
        <v>0</v>
      </c>
      <c r="AQ713">
        <f t="shared" si="508"/>
        <v>0</v>
      </c>
      <c r="AR713">
        <v>0</v>
      </c>
      <c r="AS713">
        <f t="shared" si="491"/>
        <v>0</v>
      </c>
      <c r="AT713">
        <f t="shared" si="509"/>
        <v>0</v>
      </c>
      <c r="AU713">
        <f>IFERROR(HLOOKUP(B713,'Real assumptions'!$B$43:$AL$44,2,TRUE)*($W$3/$U$2),0)</f>
        <v>0</v>
      </c>
      <c r="AV713">
        <f>AV712*(1+'Real assumptions'!$B$35)^(1/12)</f>
        <v>2.0661401605790672</v>
      </c>
      <c r="AW713">
        <f t="shared" si="492"/>
        <v>2077</v>
      </c>
      <c r="AX713">
        <f t="shared" si="519"/>
        <v>1.9373894880600728</v>
      </c>
      <c r="AY713">
        <f t="shared" si="520"/>
        <v>2.9213360896135679E-3</v>
      </c>
      <c r="AZ713">
        <f t="shared" si="493"/>
        <v>3.1495028207786886</v>
      </c>
      <c r="BA713">
        <f t="shared" si="510"/>
        <v>0.14357347313533972</v>
      </c>
      <c r="BB713">
        <f t="shared" si="511"/>
        <v>40.5</v>
      </c>
      <c r="BC713">
        <f t="shared" si="494"/>
        <v>24.299999999999997</v>
      </c>
      <c r="BD713">
        <f t="shared" si="512"/>
        <v>0</v>
      </c>
      <c r="BE713">
        <f t="shared" si="495"/>
        <v>24</v>
      </c>
      <c r="BF713">
        <f t="shared" si="521"/>
        <v>5000</v>
      </c>
      <c r="BU713"/>
      <c r="DW713" s="89"/>
      <c r="DX713" s="89"/>
      <c r="FD713"/>
      <c r="FE713"/>
    </row>
    <row r="714" spans="1:161" x14ac:dyDescent="0.25">
      <c r="A714" s="7">
        <f t="shared" si="513"/>
        <v>64831</v>
      </c>
      <c r="B714">
        <f t="shared" si="496"/>
        <v>703</v>
      </c>
      <c r="C714">
        <f t="shared" si="522"/>
        <v>58.5</v>
      </c>
      <c r="D714">
        <f t="shared" si="523"/>
        <v>0</v>
      </c>
      <c r="E714">
        <f t="shared" si="497"/>
        <v>110</v>
      </c>
      <c r="F714">
        <f>IF(C714&gt;=$T$2,0,VLOOKUP($E714,EKM_F05!$A$3:$C$128,2,TRUE))</f>
        <v>0.9220874358974358</v>
      </c>
      <c r="G714">
        <f>F714*'Real assumptions'!$B$3</f>
        <v>0.38478708699999997</v>
      </c>
      <c r="H714">
        <f t="shared" si="524"/>
        <v>3.9673779533253906E-2</v>
      </c>
      <c r="I714">
        <f t="shared" si="525"/>
        <v>2.6318032102914966E-5</v>
      </c>
      <c r="J714">
        <f>IF(B714&gt;$AJ$2,0,HLOOKUP(C714,'Real assumptions'!$B$5:$L$8,4,TRUE))</f>
        <v>3.7900000000000003E-2</v>
      </c>
      <c r="K714">
        <f t="shared" si="486"/>
        <v>1</v>
      </c>
      <c r="L714">
        <f t="shared" si="514"/>
        <v>8.3333333333333329E-2</v>
      </c>
      <c r="M714">
        <f t="shared" si="526"/>
        <v>3.2145624959929453E-3</v>
      </c>
      <c r="N714">
        <f t="shared" si="527"/>
        <v>2.093479239271763E-6</v>
      </c>
      <c r="O714" s="8">
        <f t="shared" si="498"/>
        <v>6.3601726228962091E-4</v>
      </c>
      <c r="P714">
        <f t="shared" si="499"/>
        <v>1.5946290567163381E-2</v>
      </c>
      <c r="Q714">
        <f t="shared" si="515"/>
        <v>0.13159016051457484</v>
      </c>
      <c r="R714" s="89">
        <f t="shared" si="487"/>
        <v>5000</v>
      </c>
      <c r="S714">
        <f t="shared" si="488"/>
        <v>0.4166666666666643</v>
      </c>
      <c r="U714">
        <f>O713*AV713*'Real assumptions'!$B$33/12+AX714*'Real assumptions'!$B$34</f>
        <v>1.4236899863287036E-2</v>
      </c>
      <c r="V714">
        <f>IF(P714=0,0,IF(E714&lt;=$C$7,$AN$5*O713,0))*'Real assumptions'!$D$28</f>
        <v>0</v>
      </c>
      <c r="X714" s="94">
        <f t="shared" si="500"/>
        <v>0</v>
      </c>
      <c r="Y714">
        <f t="shared" si="489"/>
        <v>24</v>
      </c>
      <c r="Z714">
        <f t="shared" si="516"/>
        <v>40</v>
      </c>
      <c r="AA714">
        <f t="shared" si="490"/>
        <v>40.416666666666664</v>
      </c>
      <c r="AB714">
        <f t="shared" si="501"/>
        <v>50.505050505050505</v>
      </c>
      <c r="AC714">
        <f t="shared" si="528"/>
        <v>2041.2457912457912</v>
      </c>
      <c r="AD714">
        <f t="shared" si="502"/>
        <v>80.505050505050505</v>
      </c>
      <c r="AE714">
        <f t="shared" si="503"/>
        <v>162.68728956228955</v>
      </c>
      <c r="AF714" s="94">
        <f t="shared" si="504"/>
        <v>2796.0669191919192</v>
      </c>
      <c r="AG714">
        <f t="shared" si="517"/>
        <v>5.8535080469428414E-3</v>
      </c>
      <c r="AH714">
        <f t="shared" si="505"/>
        <v>1.7783468271230192</v>
      </c>
      <c r="AI714">
        <f>HLOOKUP(AW714,'Real assumptions'!$A$21:$AK$24,2,TRUE)</f>
        <v>0</v>
      </c>
      <c r="AJ714" s="123">
        <f t="shared" si="529"/>
        <v>0</v>
      </c>
      <c r="AK714" s="122">
        <f>(1+HLOOKUP(YEAR(A714),'Real assumptions'!$A$21:$AK$24,2,TRUE)/100)^(1/12)-1</f>
        <v>0</v>
      </c>
      <c r="AL714">
        <f t="shared" si="518"/>
        <v>1.4236899863287036E-2</v>
      </c>
      <c r="AM714">
        <f>('Real assumptions'!$B$33/12)*O713*AV713</f>
        <v>1.3728029730449757E-2</v>
      </c>
      <c r="AN714">
        <f t="shared" si="506"/>
        <v>1.8564774129510133</v>
      </c>
      <c r="AO714">
        <f t="shared" si="530"/>
        <v>0</v>
      </c>
      <c r="AP714" s="121">
        <f t="shared" si="507"/>
        <v>0</v>
      </c>
      <c r="AQ714">
        <f t="shared" si="508"/>
        <v>0</v>
      </c>
      <c r="AR714">
        <v>0</v>
      </c>
      <c r="AS714">
        <f t="shared" si="491"/>
        <v>0</v>
      </c>
      <c r="AT714">
        <f t="shared" si="509"/>
        <v>0</v>
      </c>
      <c r="AU714">
        <f>IFERROR(HLOOKUP(B714,'Real assumptions'!$B$43:$AL$44,2,TRUE)*($W$3/$U$2),0)</f>
        <v>0</v>
      </c>
      <c r="AV714">
        <f>AV713*(1+'Real assumptions'!$B$35)^(1/12)</f>
        <v>2.0682801570161953</v>
      </c>
      <c r="AW714">
        <f t="shared" si="492"/>
        <v>2077</v>
      </c>
      <c r="AX714">
        <f t="shared" si="519"/>
        <v>1.8575644396445772</v>
      </c>
      <c r="AY714">
        <f t="shared" si="520"/>
        <v>2.7964173974402676E-3</v>
      </c>
      <c r="AZ714">
        <f t="shared" si="493"/>
        <v>3.013768542921047</v>
      </c>
      <c r="BA714">
        <f t="shared" si="510"/>
        <v>0.13744366856151768</v>
      </c>
      <c r="BB714">
        <f t="shared" si="511"/>
        <v>40.416666666666664</v>
      </c>
      <c r="BC714">
        <f t="shared" si="494"/>
        <v>24.25</v>
      </c>
      <c r="BD714">
        <f t="shared" si="512"/>
        <v>0</v>
      </c>
      <c r="BE714">
        <f t="shared" si="495"/>
        <v>24</v>
      </c>
      <c r="BF714">
        <f t="shared" si="521"/>
        <v>5000</v>
      </c>
      <c r="BU714"/>
      <c r="DW714" s="89"/>
      <c r="DX714" s="89"/>
      <c r="FD714"/>
      <c r="FE714"/>
    </row>
    <row r="715" spans="1:161" x14ac:dyDescent="0.25">
      <c r="A715" s="7">
        <f t="shared" si="513"/>
        <v>64862</v>
      </c>
      <c r="B715">
        <f t="shared" si="496"/>
        <v>704</v>
      </c>
      <c r="C715">
        <f t="shared" si="522"/>
        <v>58.583333333333336</v>
      </c>
      <c r="D715">
        <f t="shared" si="523"/>
        <v>0</v>
      </c>
      <c r="E715">
        <f t="shared" si="497"/>
        <v>110</v>
      </c>
      <c r="F715">
        <f>IF(C715&gt;=$T$2,0,VLOOKUP($E715,EKM_F05!$A$3:$C$128,2,TRUE))</f>
        <v>0.9220874358974358</v>
      </c>
      <c r="G715">
        <f>F715*'Real assumptions'!$B$3</f>
        <v>0.38478708699999997</v>
      </c>
      <c r="H715">
        <f t="shared" si="524"/>
        <v>3.9673779533253906E-2</v>
      </c>
      <c r="I715">
        <f t="shared" si="525"/>
        <v>2.519265178034279E-5</v>
      </c>
      <c r="J715">
        <f>IF(B715&gt;$AJ$2,0,HLOOKUP(C715,'Real assumptions'!$B$5:$L$8,4,TRUE))</f>
        <v>3.7900000000000003E-2</v>
      </c>
      <c r="K715">
        <f t="shared" si="486"/>
        <v>1</v>
      </c>
      <c r="L715">
        <f t="shared" si="514"/>
        <v>8.3333333333333329E-2</v>
      </c>
      <c r="M715">
        <f t="shared" si="526"/>
        <v>3.2145624959929453E-3</v>
      </c>
      <c r="N715">
        <f t="shared" si="527"/>
        <v>2.0039603750809685E-6</v>
      </c>
      <c r="O715" s="8">
        <f t="shared" si="498"/>
        <v>6.0882065013419717E-4</v>
      </c>
      <c r="P715">
        <f t="shared" si="499"/>
        <v>1.5264414294950901E-2</v>
      </c>
      <c r="Q715">
        <f t="shared" si="515"/>
        <v>0.12596325890171395</v>
      </c>
      <c r="R715" s="89">
        <f t="shared" si="487"/>
        <v>5000</v>
      </c>
      <c r="S715">
        <f t="shared" si="488"/>
        <v>0.3333333333333357</v>
      </c>
      <c r="U715">
        <f>O714*AV714*'Real assumptions'!$B$33/12+AX715*'Real assumptions'!$B$34</f>
        <v>1.3642521016867101E-2</v>
      </c>
      <c r="V715">
        <f>IF(P715=0,0,IF(E715&lt;=$C$7,$AN$5*O714,0))*'Real assumptions'!$D$28</f>
        <v>0</v>
      </c>
      <c r="X715" s="94">
        <f t="shared" si="500"/>
        <v>0</v>
      </c>
      <c r="Y715">
        <f t="shared" si="489"/>
        <v>24</v>
      </c>
      <c r="Z715">
        <f t="shared" si="516"/>
        <v>40</v>
      </c>
      <c r="AA715">
        <f t="shared" si="490"/>
        <v>40.333333333333336</v>
      </c>
      <c r="AB715">
        <f t="shared" si="501"/>
        <v>50.505050505050505</v>
      </c>
      <c r="AC715">
        <f t="shared" si="528"/>
        <v>2037.0370370370372</v>
      </c>
      <c r="AD715">
        <f t="shared" si="502"/>
        <v>80.505050505050505</v>
      </c>
      <c r="AE715">
        <f t="shared" si="503"/>
        <v>162.35185185185185</v>
      </c>
      <c r="AF715" s="94">
        <f t="shared" si="504"/>
        <v>2800.6111111111109</v>
      </c>
      <c r="AG715">
        <f t="shared" si="517"/>
        <v>5.6123136926781499E-3</v>
      </c>
      <c r="AH715">
        <f t="shared" si="505"/>
        <v>1.7050698774397228</v>
      </c>
      <c r="AI715">
        <f>HLOOKUP(AW715,'Real assumptions'!$A$21:$AK$24,2,TRUE)</f>
        <v>0</v>
      </c>
      <c r="AJ715" s="123">
        <f t="shared" si="529"/>
        <v>0</v>
      </c>
      <c r="AK715" s="122">
        <f>(1+HLOOKUP(YEAR(A715),'Real assumptions'!$A$21:$AK$24,2,TRUE)/100)^(1/12)-1</f>
        <v>0</v>
      </c>
      <c r="AL715">
        <f t="shared" si="518"/>
        <v>1.3642521016867101E-2</v>
      </c>
      <c r="AM715">
        <f>('Real assumptions'!$B$33/12)*O714*AV714</f>
        <v>1.3154618831133879E-2</v>
      </c>
      <c r="AN715">
        <f t="shared" si="506"/>
        <v>1.779968720401103</v>
      </c>
      <c r="AO715">
        <f t="shared" si="530"/>
        <v>0</v>
      </c>
      <c r="AP715" s="121">
        <f t="shared" si="507"/>
        <v>0</v>
      </c>
      <c r="AQ715">
        <f t="shared" si="508"/>
        <v>0</v>
      </c>
      <c r="AR715">
        <v>0</v>
      </c>
      <c r="AS715">
        <f t="shared" si="491"/>
        <v>0</v>
      </c>
      <c r="AT715">
        <f t="shared" si="509"/>
        <v>0</v>
      </c>
      <c r="AU715">
        <f>IFERROR(HLOOKUP(B715,'Real assumptions'!$B$43:$AL$44,2,TRUE)*($W$3/$U$2),0)</f>
        <v>0</v>
      </c>
      <c r="AV715">
        <f>AV714*(1+'Real assumptions'!$B$35)^(1/12)</f>
        <v>2.0704223699461046</v>
      </c>
      <c r="AW715">
        <f t="shared" si="492"/>
        <v>2077</v>
      </c>
      <c r="AX715">
        <f t="shared" si="519"/>
        <v>1.7810236674525208</v>
      </c>
      <c r="AY715">
        <f t="shared" si="520"/>
        <v>2.6768403295017711E-3</v>
      </c>
      <c r="AZ715">
        <f t="shared" si="493"/>
        <v>2.8838148636047389</v>
      </c>
      <c r="BA715">
        <f t="shared" si="510"/>
        <v>0.13157557259439209</v>
      </c>
      <c r="BB715">
        <f t="shared" si="511"/>
        <v>40.333333333333336</v>
      </c>
      <c r="BC715">
        <f t="shared" si="494"/>
        <v>24.200000000000003</v>
      </c>
      <c r="BD715">
        <f t="shared" si="512"/>
        <v>0</v>
      </c>
      <c r="BE715">
        <f t="shared" si="495"/>
        <v>24</v>
      </c>
      <c r="BF715">
        <f t="shared" si="521"/>
        <v>5000</v>
      </c>
      <c r="BU715"/>
      <c r="DW715" s="89"/>
      <c r="DX715" s="89"/>
      <c r="FD715"/>
      <c r="FE715"/>
    </row>
    <row r="716" spans="1:161" x14ac:dyDescent="0.25">
      <c r="A716" s="7">
        <f t="shared" si="513"/>
        <v>64893</v>
      </c>
      <c r="B716">
        <f t="shared" si="496"/>
        <v>705</v>
      </c>
      <c r="C716">
        <f t="shared" si="522"/>
        <v>58.666666666666664</v>
      </c>
      <c r="D716">
        <f t="shared" si="523"/>
        <v>0</v>
      </c>
      <c r="E716">
        <f t="shared" si="497"/>
        <v>110</v>
      </c>
      <c r="F716">
        <f>IF(C716&gt;=$T$2,0,VLOOKUP($E716,EKM_F05!$A$3:$C$128,2,TRUE))</f>
        <v>0.9220874358974358</v>
      </c>
      <c r="G716">
        <f>F716*'Real assumptions'!$B$3</f>
        <v>0.38478708699999997</v>
      </c>
      <c r="H716">
        <f t="shared" si="524"/>
        <v>3.9673779533253906E-2</v>
      </c>
      <c r="I716">
        <f t="shared" si="525"/>
        <v>2.4115393629879836E-5</v>
      </c>
      <c r="J716">
        <f>IF(B716&gt;$AJ$2,0,HLOOKUP(C716,'Real assumptions'!$B$5:$L$8,4,TRUE))</f>
        <v>3.7900000000000003E-2</v>
      </c>
      <c r="K716">
        <f t="shared" ref="K716:K779" si="531">IF(B716&gt;$AJ$2,0,IF(($U$2*(B716+11))/12-INT(($U$2*(B716+11))/12)=0,1,0))</f>
        <v>1</v>
      </c>
      <c r="L716">
        <f t="shared" si="514"/>
        <v>8.3333333333333329E-2</v>
      </c>
      <c r="M716">
        <f t="shared" si="526"/>
        <v>3.2145624959929453E-3</v>
      </c>
      <c r="N716">
        <f t="shared" si="527"/>
        <v>1.9182694098708187E-6</v>
      </c>
      <c r="O716" s="8">
        <f t="shared" si="498"/>
        <v>5.8278698709444661E-4</v>
      </c>
      <c r="P716">
        <f t="shared" si="499"/>
        <v>1.4611695603220731E-2</v>
      </c>
      <c r="Q716">
        <f t="shared" si="515"/>
        <v>0.12057696814939918</v>
      </c>
      <c r="R716" s="89">
        <f t="shared" ref="R716:R779" si="532">$AI$2</f>
        <v>5000</v>
      </c>
      <c r="S716">
        <f t="shared" ref="S716:S779" si="533">INT(B716/12)+1-B716/12</f>
        <v>0.25</v>
      </c>
      <c r="U716">
        <f>O715*AV715*'Real assumptions'!$B$33/12+AX716*'Real assumptions'!$B$34</f>
        <v>1.3072955922308812E-2</v>
      </c>
      <c r="V716">
        <f>IF(P716=0,0,IF(E716&lt;=$C$7,$AN$5*O715,0))*'Real assumptions'!$D$28</f>
        <v>0</v>
      </c>
      <c r="X716" s="94">
        <f t="shared" si="500"/>
        <v>0</v>
      </c>
      <c r="Y716">
        <f t="shared" ref="Y716:Y779" si="534">IF(P716=0,0,$AN$5)</f>
        <v>24</v>
      </c>
      <c r="Z716">
        <f t="shared" si="516"/>
        <v>40</v>
      </c>
      <c r="AA716">
        <f t="shared" ref="AA716:AA779" si="535">99-(B716/12)</f>
        <v>40.25</v>
      </c>
      <c r="AB716">
        <f t="shared" si="501"/>
        <v>50.505050505050505</v>
      </c>
      <c r="AC716">
        <f t="shared" si="528"/>
        <v>2032.8282828282829</v>
      </c>
      <c r="AD716">
        <f t="shared" si="502"/>
        <v>80.505050505050505</v>
      </c>
      <c r="AE716">
        <f t="shared" si="503"/>
        <v>162.01641414141415</v>
      </c>
      <c r="AF716" s="94">
        <f t="shared" si="504"/>
        <v>2805.155303030303</v>
      </c>
      <c r="AG716">
        <f t="shared" si="517"/>
        <v>5.3810436077399368E-3</v>
      </c>
      <c r="AH716">
        <f t="shared" si="505"/>
        <v>1.6348080073850397</v>
      </c>
      <c r="AI716">
        <f>HLOOKUP(AW716,'Real assumptions'!$A$21:$AK$24,2,TRUE)</f>
        <v>0</v>
      </c>
      <c r="AJ716" s="123">
        <f t="shared" si="529"/>
        <v>0</v>
      </c>
      <c r="AK716" s="122">
        <f>(1+HLOOKUP(YEAR(A716),'Real assumptions'!$A$21:$AK$24,2,TRUE)/100)^(1/12)-1</f>
        <v>0</v>
      </c>
      <c r="AL716">
        <f t="shared" si="518"/>
        <v>1.3072955922308812E-2</v>
      </c>
      <c r="AM716">
        <f>('Real assumptions'!$B$33/12)*O715*AV715</f>
        <v>1.2605158933229728E-2</v>
      </c>
      <c r="AN716">
        <f t="shared" si="506"/>
        <v>1.7066086171206347</v>
      </c>
      <c r="AO716">
        <f t="shared" si="530"/>
        <v>0</v>
      </c>
      <c r="AP716" s="121">
        <f t="shared" si="507"/>
        <v>0</v>
      </c>
      <c r="AQ716">
        <f t="shared" si="508"/>
        <v>0</v>
      </c>
      <c r="AR716">
        <v>0</v>
      </c>
      <c r="AS716">
        <f t="shared" ref="AS716:AS779" si="536">IF(B716&gt;$B$12,IF(B716&lt;=$AJ$2,AT716,0),0)</f>
        <v>0</v>
      </c>
      <c r="AT716">
        <f t="shared" si="509"/>
        <v>0</v>
      </c>
      <c r="AU716">
        <f>IFERROR(HLOOKUP(B716,'Real assumptions'!$B$43:$AL$44,2,TRUE)*($W$3/$U$2),0)</f>
        <v>0</v>
      </c>
      <c r="AV716">
        <f>AV715*(1+'Real assumptions'!$B$35)^(1/12)</f>
        <v>2.0725668016645185</v>
      </c>
      <c r="AW716">
        <f t="shared" ref="AW716:AW779" si="537">YEAR(A716)</f>
        <v>2077</v>
      </c>
      <c r="AX716">
        <f t="shared" si="519"/>
        <v>1.7076322539133515</v>
      </c>
      <c r="AY716">
        <f t="shared" si="520"/>
        <v>2.5623764736287758E-3</v>
      </c>
      <c r="AZ716">
        <f t="shared" ref="AZ716:AZ779" si="538">(AZ717+BA717-P717+U717+AQ717)/((1+AJ717))</f>
        <v>2.759395591528512</v>
      </c>
      <c r="BA716">
        <f t="shared" si="510"/>
        <v>0.12595801175713911</v>
      </c>
      <c r="BB716">
        <f t="shared" si="511"/>
        <v>40.25</v>
      </c>
      <c r="BC716">
        <f t="shared" ref="BC716:BC779" si="539">$AQ$5*BB716+IF($W$3=0,0,$AP$5*AA716)</f>
        <v>24.15</v>
      </c>
      <c r="BD716">
        <f t="shared" si="512"/>
        <v>0</v>
      </c>
      <c r="BE716">
        <f t="shared" ref="BE716:BE779" si="540">IF(B716=1,$AR$5,IF(P716=0,0,$W$3/$U$2))</f>
        <v>24</v>
      </c>
      <c r="BF716">
        <f t="shared" si="521"/>
        <v>5000</v>
      </c>
      <c r="BU716"/>
      <c r="DW716" s="89"/>
      <c r="DX716" s="89"/>
      <c r="FD716"/>
      <c r="FE716"/>
    </row>
    <row r="717" spans="1:161" x14ac:dyDescent="0.25">
      <c r="A717" s="7">
        <f t="shared" si="513"/>
        <v>64923</v>
      </c>
      <c r="B717">
        <f t="shared" ref="B717:B780" si="541">B716+1</f>
        <v>706</v>
      </c>
      <c r="C717">
        <f t="shared" si="522"/>
        <v>58.75</v>
      </c>
      <c r="D717">
        <f t="shared" si="523"/>
        <v>0</v>
      </c>
      <c r="E717">
        <f t="shared" ref="E717:E780" si="542">$C$2+INT($C717)</f>
        <v>110</v>
      </c>
      <c r="F717">
        <f>IF(C717&gt;=$T$2,0,VLOOKUP($E717,EKM_F05!$A$3:$C$128,2,TRUE))</f>
        <v>0.9220874358974358</v>
      </c>
      <c r="G717">
        <f>F717*'Real assumptions'!$B$3</f>
        <v>0.38478708699999997</v>
      </c>
      <c r="H717">
        <f t="shared" si="524"/>
        <v>3.9673779533253906E-2</v>
      </c>
      <c r="I717">
        <f t="shared" si="525"/>
        <v>2.3084199908555084E-5</v>
      </c>
      <c r="J717">
        <f>IF(B717&gt;$AJ$2,0,HLOOKUP(C717,'Real assumptions'!$B$5:$L$8,4,TRUE))</f>
        <v>3.7900000000000003E-2</v>
      </c>
      <c r="K717">
        <f t="shared" si="531"/>
        <v>1</v>
      </c>
      <c r="L717">
        <f t="shared" si="514"/>
        <v>8.3333333333333329E-2</v>
      </c>
      <c r="M717">
        <f t="shared" si="526"/>
        <v>3.2145624959929453E-3</v>
      </c>
      <c r="N717">
        <f t="shared" si="527"/>
        <v>1.8362426595872496E-6</v>
      </c>
      <c r="O717" s="8">
        <f t="shared" ref="O717:O780" si="543">IF(E718&gt;$C$5,0,IF(B717&gt;$AJ$2,0,O716-I717-N717))</f>
        <v>5.5786654452630422E-4</v>
      </c>
      <c r="P717">
        <f t="shared" ref="P717:P780" si="544">IF($U$2=0,0,$W$3/$U$2*K717*O716)</f>
        <v>1.3986887690266719E-2</v>
      </c>
      <c r="Q717">
        <f t="shared" si="515"/>
        <v>0.11542099954277542</v>
      </c>
      <c r="R717" s="89">
        <f t="shared" si="532"/>
        <v>5000</v>
      </c>
      <c r="S717">
        <f t="shared" si="533"/>
        <v>0.1666666666666643</v>
      </c>
      <c r="U717">
        <f>O716*AV716*'Real assumptions'!$B$33/12+AX717*'Real assumptions'!$B$34</f>
        <v>1.2527168717614993E-2</v>
      </c>
      <c r="V717">
        <f>IF(P717=0,0,IF(E717&lt;=$C$7,$AN$5*O716,0))*'Real assumptions'!$D$28</f>
        <v>0</v>
      </c>
      <c r="X717" s="94">
        <f t="shared" ref="X717:X780" si="545">IF($U$2=12,0,IF($AM$2&lt;&gt;0,0,X716+Y717-($AN$5*($U$2/12))))</f>
        <v>0</v>
      </c>
      <c r="Y717">
        <f t="shared" si="534"/>
        <v>24</v>
      </c>
      <c r="Z717">
        <f t="shared" si="516"/>
        <v>40</v>
      </c>
      <c r="AA717">
        <f t="shared" si="535"/>
        <v>40.166666666666664</v>
      </c>
      <c r="AB717">
        <f t="shared" ref="AB717:AB780" si="546">IF($AM$2&lt;&gt;0,0,R717/99)</f>
        <v>50.505050505050505</v>
      </c>
      <c r="AC717">
        <f t="shared" si="528"/>
        <v>2028.6195286195284</v>
      </c>
      <c r="AD717">
        <f t="shared" ref="AD717:AD780" si="547">IF($AM$2&lt;&gt;0,0,AB717+$Q$4*$AI$2+$Q$5*$AI$2)</f>
        <v>80.505050505050505</v>
      </c>
      <c r="AE717">
        <f t="shared" ref="AE717:AE780" si="548">MIN($C$6*AD717*AA717,$AI$2-AC717+BD717)</f>
        <v>161.68097643097641</v>
      </c>
      <c r="AF717" s="94">
        <f t="shared" ref="AF717:AF780" si="549">MAX(($AI$2+$Y$2-AC717-AE717+X717+BD717),0)</f>
        <v>2809.6994949494951</v>
      </c>
      <c r="AG717">
        <f t="shared" si="517"/>
        <v>5.159290073247013E-3</v>
      </c>
      <c r="AH717">
        <f t="shared" ref="AH717:AH780" si="550">AF717*O717</f>
        <v>1.567437348404777</v>
      </c>
      <c r="AI717">
        <f>HLOOKUP(AW717,'Real assumptions'!$A$21:$AK$24,2,TRUE)</f>
        <v>0</v>
      </c>
      <c r="AJ717" s="123">
        <f t="shared" si="529"/>
        <v>0</v>
      </c>
      <c r="AK717" s="122">
        <f>(1+HLOOKUP(YEAR(A717),'Real assumptions'!$A$21:$AK$24,2,TRUE)/100)^(1/12)-1</f>
        <v>0</v>
      </c>
      <c r="AL717">
        <f t="shared" si="518"/>
        <v>1.2527168717614993E-2</v>
      </c>
      <c r="AM717">
        <f>('Real assumptions'!$B$33/12)*O716*AV716</f>
        <v>1.2078649618940382E-2</v>
      </c>
      <c r="AN717">
        <f t="shared" ref="AN717:AN780" si="551">AP716+P717+AH716-V717-AL717</f>
        <v>1.6362677263576915</v>
      </c>
      <c r="AO717">
        <f t="shared" si="530"/>
        <v>0</v>
      </c>
      <c r="AP717" s="121">
        <f t="shared" ref="AP717:AP780" si="552">IF(MONTH(A717)=12,0,AP716+AO717)</f>
        <v>0</v>
      </c>
      <c r="AQ717">
        <f t="shared" ref="AQ717:AQ780" si="553">IF(P717=0,0,AR717+AS717)</f>
        <v>0</v>
      </c>
      <c r="AR717">
        <v>0</v>
      </c>
      <c r="AS717">
        <f t="shared" si="536"/>
        <v>0</v>
      </c>
      <c r="AT717">
        <f t="shared" ref="AT717:AT780" si="554">IF(OR(B717&lt;=$B$12,B717&gt;$AJ$2),0,AU717*O716)</f>
        <v>0</v>
      </c>
      <c r="AU717">
        <f>IFERROR(HLOOKUP(B717,'Real assumptions'!$B$43:$AL$44,2,TRUE)*($W$3/$U$2),0)</f>
        <v>0</v>
      </c>
      <c r="AV717">
        <f>AV716*(1+'Real assumptions'!$B$35)^(1/12)</f>
        <v>2.0747134544695385</v>
      </c>
      <c r="AW717">
        <f t="shared" si="537"/>
        <v>2077</v>
      </c>
      <c r="AX717">
        <f t="shared" si="519"/>
        <v>1.6372608145697807</v>
      </c>
      <c r="AY717">
        <f t="shared" si="520"/>
        <v>2.4528071847409369E-3</v>
      </c>
      <c r="AZ717">
        <f t="shared" si="538"/>
        <v>2.6402750208851411</v>
      </c>
      <c r="BA717">
        <f t="shared" ref="BA717:BA780" si="555">AG717+V717+Q717</f>
        <v>0.12058028961602243</v>
      </c>
      <c r="BB717">
        <f t="shared" ref="BB717:BB780" si="556">Z718+IF(S717=1,0,S717)</f>
        <v>40.166666666666664</v>
      </c>
      <c r="BC717">
        <f t="shared" si="539"/>
        <v>24.099999999999998</v>
      </c>
      <c r="BD717">
        <f t="shared" ref="BD717:BD780" si="557">(BC717/100)*($AI$2+$Y$2)-AA717*(AD717-AB717)</f>
        <v>0</v>
      </c>
      <c r="BE717">
        <f t="shared" si="540"/>
        <v>24</v>
      </c>
      <c r="BF717">
        <f t="shared" si="521"/>
        <v>5000</v>
      </c>
      <c r="BU717"/>
      <c r="DW717" s="89"/>
      <c r="DX717" s="89"/>
      <c r="FD717"/>
      <c r="FE717"/>
    </row>
    <row r="718" spans="1:161" x14ac:dyDescent="0.25">
      <c r="A718" s="7">
        <f t="shared" ref="A718:A781" si="558">DATE(YEAR(A717),MONTH(A717)+2,1)-1</f>
        <v>64954</v>
      </c>
      <c r="B718">
        <f t="shared" si="541"/>
        <v>707</v>
      </c>
      <c r="C718">
        <f t="shared" si="522"/>
        <v>58.833333333333336</v>
      </c>
      <c r="D718">
        <f t="shared" si="523"/>
        <v>0</v>
      </c>
      <c r="E718">
        <f t="shared" si="542"/>
        <v>110</v>
      </c>
      <c r="F718">
        <f>IF(C718&gt;=$T$2,0,VLOOKUP($E718,EKM_F05!$A$3:$C$128,2,TRUE))</f>
        <v>0.9220874358974358</v>
      </c>
      <c r="G718">
        <f>F718*'Real assumptions'!$B$3</f>
        <v>0.38478708699999997</v>
      </c>
      <c r="H718">
        <f t="shared" si="524"/>
        <v>3.9673779533253906E-2</v>
      </c>
      <c r="I718">
        <f t="shared" si="525"/>
        <v>2.2097100864149964E-5</v>
      </c>
      <c r="J718">
        <f>IF(B718&gt;$AJ$2,0,HLOOKUP(C718,'Real assumptions'!$B$5:$L$8,4,TRUE))</f>
        <v>3.7900000000000003E-2</v>
      </c>
      <c r="K718">
        <f t="shared" si="531"/>
        <v>1</v>
      </c>
      <c r="L718">
        <f t="shared" ref="L718:L781" si="559">IF(B718&gt;$AJ$2,0,1/12)</f>
        <v>8.3333333333333329E-2</v>
      </c>
      <c r="M718">
        <f t="shared" si="526"/>
        <v>3.2145624959929453E-3</v>
      </c>
      <c r="N718">
        <f t="shared" si="527"/>
        <v>1.7577234394386342E-6</v>
      </c>
      <c r="O718" s="8">
        <f t="shared" si="543"/>
        <v>5.340117202227157E-4</v>
      </c>
      <c r="P718">
        <f t="shared" si="544"/>
        <v>1.3388797068631301E-2</v>
      </c>
      <c r="Q718">
        <f t="shared" ref="Q718:Q781" si="560">BF718*I718</f>
        <v>0.11048550432074981</v>
      </c>
      <c r="R718" s="89">
        <f t="shared" si="532"/>
        <v>5000</v>
      </c>
      <c r="S718">
        <f t="shared" si="533"/>
        <v>8.3333333333335702E-2</v>
      </c>
      <c r="U718">
        <f>O717*AV717*'Real assumptions'!$B$33/12+AX718*'Real assumptions'!$B$34</f>
        <v>1.2004166781308653E-2</v>
      </c>
      <c r="V718">
        <f>IF(P718=0,0,IF(E718&lt;=$C$7,$AN$5*O717,0))*'Real assumptions'!$D$28</f>
        <v>0</v>
      </c>
      <c r="X718" s="94">
        <f t="shared" si="545"/>
        <v>0</v>
      </c>
      <c r="Y718">
        <f t="shared" si="534"/>
        <v>24</v>
      </c>
      <c r="Z718">
        <f t="shared" ref="Z718:Z781" si="561">IF(S716=1,Z717-1,Z717)</f>
        <v>40</v>
      </c>
      <c r="AA718">
        <f t="shared" si="535"/>
        <v>40.083333333333336</v>
      </c>
      <c r="AB718">
        <f t="shared" si="546"/>
        <v>50.505050505050505</v>
      </c>
      <c r="AC718">
        <f t="shared" si="528"/>
        <v>2024.4107744107746</v>
      </c>
      <c r="AD718">
        <f t="shared" si="547"/>
        <v>80.505050505050505</v>
      </c>
      <c r="AE718">
        <f t="shared" si="548"/>
        <v>161.34553872053871</v>
      </c>
      <c r="AF718" s="94">
        <f t="shared" si="549"/>
        <v>2814.2436868686868</v>
      </c>
      <c r="AG718">
        <f t="shared" ref="AG718:AG781" si="562">IF(B718&lt;=$C$8,0,AF718*N718)</f>
        <v>4.9466620927012912E-3</v>
      </c>
      <c r="AH718">
        <f t="shared" si="550"/>
        <v>1.502839112350665</v>
      </c>
      <c r="AI718">
        <f>HLOOKUP(AW718,'Real assumptions'!$A$21:$AK$24,2,TRUE)</f>
        <v>0</v>
      </c>
      <c r="AJ718" s="123">
        <f t="shared" si="529"/>
        <v>0</v>
      </c>
      <c r="AK718" s="122">
        <f>(1+HLOOKUP(YEAR(A718),'Real assumptions'!$A$21:$AK$24,2,TRUE)/100)^(1/12)-1</f>
        <v>0</v>
      </c>
      <c r="AL718">
        <f t="shared" ref="AL718:AL781" si="563">AQ718+U718</f>
        <v>1.2004166781308653E-2</v>
      </c>
      <c r="AM718">
        <f>('Real assumptions'!$B$33/12)*O717*AV717</f>
        <v>1.1574132257271531E-2</v>
      </c>
      <c r="AN718">
        <f t="shared" si="551"/>
        <v>1.5688219786920996</v>
      </c>
      <c r="AO718">
        <f t="shared" si="530"/>
        <v>0</v>
      </c>
      <c r="AP718" s="121">
        <f t="shared" si="552"/>
        <v>0</v>
      </c>
      <c r="AQ718">
        <f t="shared" si="553"/>
        <v>0</v>
      </c>
      <c r="AR718">
        <v>0</v>
      </c>
      <c r="AS718">
        <f t="shared" si="536"/>
        <v>0</v>
      </c>
      <c r="AT718">
        <f t="shared" si="554"/>
        <v>0</v>
      </c>
      <c r="AU718">
        <f>IFERROR(HLOOKUP(B718,'Real assumptions'!$B$43:$AL$44,2,TRUE)*($W$3/$U$2),0)</f>
        <v>0</v>
      </c>
      <c r="AV718">
        <f>AV717*(1+'Real assumptions'!$B$35)^(1/12)</f>
        <v>2.0768623306616463</v>
      </c>
      <c r="AW718">
        <f t="shared" si="537"/>
        <v>2077</v>
      </c>
      <c r="AX718">
        <f t="shared" ref="AX718:AX781" si="564">MAX(0,AH717+AP717-V718+AY718)</f>
        <v>1.5697852715719753</v>
      </c>
      <c r="AY718">
        <f t="shared" ref="AY718:AY781" si="565">IF(P718=0,0,(AB718/$U$2)*O717)</f>
        <v>2.3479231671982501E-3</v>
      </c>
      <c r="AZ718">
        <f t="shared" si="538"/>
        <v>2.5262274847590129</v>
      </c>
      <c r="BA718">
        <f t="shared" si="555"/>
        <v>0.11543216641345111</v>
      </c>
      <c r="BB718">
        <f t="shared" si="556"/>
        <v>40.083333333333336</v>
      </c>
      <c r="BC718">
        <f t="shared" si="539"/>
        <v>24.05</v>
      </c>
      <c r="BD718">
        <f t="shared" si="557"/>
        <v>0</v>
      </c>
      <c r="BE718">
        <f t="shared" si="540"/>
        <v>24</v>
      </c>
      <c r="BF718">
        <f t="shared" ref="BF718:BF781" si="566">((IF(B718&lt;13,BF717+BE718,$AI$2+$Y$2)))</f>
        <v>5000</v>
      </c>
      <c r="BU718"/>
      <c r="DW718" s="89"/>
      <c r="DX718" s="89"/>
      <c r="FD718"/>
      <c r="FE718"/>
    </row>
    <row r="719" spans="1:161" x14ac:dyDescent="0.25">
      <c r="A719" s="7">
        <f t="shared" si="558"/>
        <v>64984</v>
      </c>
      <c r="B719">
        <f t="shared" si="541"/>
        <v>708</v>
      </c>
      <c r="C719">
        <f t="shared" si="522"/>
        <v>58.916666666666664</v>
      </c>
      <c r="D719">
        <f t="shared" si="523"/>
        <v>0</v>
      </c>
      <c r="E719">
        <f t="shared" si="542"/>
        <v>110</v>
      </c>
      <c r="F719">
        <f>IF(C719&gt;=$T$2,0,VLOOKUP($E719,EKM_F05!$A$3:$C$128,2,TRUE))</f>
        <v>0.9220874358974358</v>
      </c>
      <c r="G719">
        <f>F719*'Real assumptions'!$B$3</f>
        <v>0.38478708699999997</v>
      </c>
      <c r="H719">
        <f t="shared" si="524"/>
        <v>3.9673779533253906E-2</v>
      </c>
      <c r="I719">
        <f t="shared" si="525"/>
        <v>2.1152210972642737E-5</v>
      </c>
      <c r="J719">
        <f>IF(B719&gt;$AJ$2,0,HLOOKUP(C719,'Real assumptions'!$B$5:$L$8,4,TRUE))</f>
        <v>3.7900000000000003E-2</v>
      </c>
      <c r="K719">
        <f t="shared" si="531"/>
        <v>1</v>
      </c>
      <c r="L719">
        <f t="shared" si="559"/>
        <v>8.3333333333333329E-2</v>
      </c>
      <c r="M719">
        <f t="shared" si="526"/>
        <v>3.2145624959929453E-3</v>
      </c>
      <c r="N719">
        <f t="shared" si="527"/>
        <v>1.6825617646016682E-6</v>
      </c>
      <c r="O719" s="8">
        <f t="shared" si="543"/>
        <v>5.1117694748547128E-4</v>
      </c>
      <c r="P719">
        <f t="shared" si="544"/>
        <v>1.2816281285345177E-2</v>
      </c>
      <c r="Q719">
        <f t="shared" si="560"/>
        <v>0.10576105486321369</v>
      </c>
      <c r="R719" s="89">
        <f t="shared" si="532"/>
        <v>5000</v>
      </c>
      <c r="S719">
        <f t="shared" si="533"/>
        <v>1</v>
      </c>
      <c r="U719">
        <f>O718*AV718*'Real assumptions'!$B$33/12+AX719*'Real assumptions'!$B$34</f>
        <v>1.1502998927510298E-2</v>
      </c>
      <c r="V719">
        <f>IF(P719=0,0,IF(E719&lt;=$C$7,$AN$5*O718,0))*'Real assumptions'!$D$28</f>
        <v>0</v>
      </c>
      <c r="X719" s="94">
        <f t="shared" si="545"/>
        <v>0</v>
      </c>
      <c r="Y719">
        <f t="shared" si="534"/>
        <v>24</v>
      </c>
      <c r="Z719">
        <f t="shared" si="561"/>
        <v>40</v>
      </c>
      <c r="AA719">
        <f t="shared" si="535"/>
        <v>40</v>
      </c>
      <c r="AB719">
        <f t="shared" si="546"/>
        <v>50.505050505050505</v>
      </c>
      <c r="AC719">
        <f t="shared" si="528"/>
        <v>2020.2020202020203</v>
      </c>
      <c r="AD719">
        <f t="shared" si="547"/>
        <v>80.505050505050505</v>
      </c>
      <c r="AE719">
        <f t="shared" si="548"/>
        <v>161.01010101010101</v>
      </c>
      <c r="AF719" s="94">
        <f t="shared" si="549"/>
        <v>2818.7878787878785</v>
      </c>
      <c r="AG719">
        <f t="shared" si="562"/>
        <v>4.742784707371126E-3</v>
      </c>
      <c r="AH719">
        <f t="shared" si="550"/>
        <v>1.4408993834878343</v>
      </c>
      <c r="AI719">
        <f>HLOOKUP(AW719,'Real assumptions'!$A$21:$AK$24,2,TRUE)</f>
        <v>0</v>
      </c>
      <c r="AJ719" s="123">
        <f t="shared" si="529"/>
        <v>0</v>
      </c>
      <c r="AK719" s="122">
        <f>(1+HLOOKUP(YEAR(A719),'Real assumptions'!$A$21:$AK$24,2,TRUE)/100)^(1/12)-1</f>
        <v>0</v>
      </c>
      <c r="AL719">
        <f t="shared" si="563"/>
        <v>1.1502998927510298E-2</v>
      </c>
      <c r="AM719">
        <f>('Real assumptions'!$B$33/12)*O718*AV718</f>
        <v>1.1090688258623842E-2</v>
      </c>
      <c r="AN719">
        <f t="shared" si="551"/>
        <v>1.5041523947084998</v>
      </c>
      <c r="AO719">
        <f t="shared" si="530"/>
        <v>0</v>
      </c>
      <c r="AP719" s="121">
        <f t="shared" si="552"/>
        <v>0</v>
      </c>
      <c r="AQ719">
        <f t="shared" si="553"/>
        <v>0</v>
      </c>
      <c r="AR719">
        <v>0</v>
      </c>
      <c r="AS719">
        <f t="shared" si="536"/>
        <v>0</v>
      </c>
      <c r="AT719">
        <f t="shared" si="554"/>
        <v>0</v>
      </c>
      <c r="AU719">
        <f>IFERROR(HLOOKUP(B719,'Real assumptions'!$B$43:$AL$44,2,TRUE)*($W$3/$U$2),0)</f>
        <v>0</v>
      </c>
      <c r="AV719">
        <f>AV718*(1+'Real assumptions'!$B$35)^(1/12)</f>
        <v>2.0790134325437064</v>
      </c>
      <c r="AW719">
        <f t="shared" si="537"/>
        <v>2077</v>
      </c>
      <c r="AX719">
        <f t="shared" si="564"/>
        <v>1.5050866364256765</v>
      </c>
      <c r="AY719">
        <f t="shared" si="565"/>
        <v>2.2475240750114297E-3</v>
      </c>
      <c r="AZ719">
        <f t="shared" si="538"/>
        <v>2.4170369275462633</v>
      </c>
      <c r="BA719">
        <f t="shared" si="555"/>
        <v>0.11050383957058481</v>
      </c>
      <c r="BB719">
        <f t="shared" si="556"/>
        <v>40</v>
      </c>
      <c r="BC719">
        <f t="shared" si="539"/>
        <v>24</v>
      </c>
      <c r="BD719">
        <f t="shared" si="557"/>
        <v>0</v>
      </c>
      <c r="BE719">
        <f t="shared" si="540"/>
        <v>24</v>
      </c>
      <c r="BF719">
        <f t="shared" si="566"/>
        <v>5000</v>
      </c>
      <c r="BU719"/>
      <c r="DW719" s="89"/>
      <c r="DX719" s="89"/>
      <c r="FD719"/>
      <c r="FE719"/>
    </row>
    <row r="720" spans="1:161" x14ac:dyDescent="0.25">
      <c r="A720" s="7">
        <f t="shared" si="558"/>
        <v>65015</v>
      </c>
      <c r="B720">
        <f t="shared" si="541"/>
        <v>709</v>
      </c>
      <c r="C720">
        <f t="shared" si="522"/>
        <v>59</v>
      </c>
      <c r="D720">
        <f t="shared" si="523"/>
        <v>1</v>
      </c>
      <c r="E720">
        <f t="shared" si="542"/>
        <v>111</v>
      </c>
      <c r="F720">
        <f>IF(C720&gt;=$T$2,0,VLOOKUP($E720,EKM_F05!$A$3:$C$128,2,TRUE))</f>
        <v>0.99363435897435892</v>
      </c>
      <c r="G720">
        <f>F720*'Real assumptions'!$B$3</f>
        <v>0.41464361799999999</v>
      </c>
      <c r="H720">
        <f t="shared" si="524"/>
        <v>4.3646694808055164E-2</v>
      </c>
      <c r="I720">
        <f t="shared" si="525"/>
        <v>2.2275323871794508E-5</v>
      </c>
      <c r="J720">
        <f>IF(B720&gt;$AJ$2,0,HLOOKUP(C720,'Real assumptions'!$B$5:$L$8,4,TRUE))</f>
        <v>3.7900000000000003E-2</v>
      </c>
      <c r="K720">
        <f t="shared" si="531"/>
        <v>1</v>
      </c>
      <c r="L720">
        <f t="shared" si="559"/>
        <v>8.3333333333333329E-2</v>
      </c>
      <c r="M720">
        <f t="shared" si="526"/>
        <v>3.2145624959929453E-3</v>
      </c>
      <c r="N720">
        <f t="shared" si="527"/>
        <v>1.6073498961858532E-6</v>
      </c>
      <c r="O720" s="8">
        <f t="shared" si="543"/>
        <v>4.8729427371749093E-4</v>
      </c>
      <c r="P720">
        <f t="shared" si="544"/>
        <v>1.2268246739651311E-2</v>
      </c>
      <c r="Q720">
        <f t="shared" si="560"/>
        <v>0.11137661935897254</v>
      </c>
      <c r="R720" s="89">
        <f t="shared" si="532"/>
        <v>5000</v>
      </c>
      <c r="S720">
        <f t="shared" si="533"/>
        <v>0.9166666666666643</v>
      </c>
      <c r="U720">
        <f>O719*AV719*'Real assumptions'!$B$33/12+AX720*'Real assumptions'!$B$34</f>
        <v>1.1022753676351521E-2</v>
      </c>
      <c r="V720">
        <f>IF(P720=0,0,IF(E720&lt;=$C$7,$AN$5*O719,0))*'Real assumptions'!$D$28</f>
        <v>0</v>
      </c>
      <c r="X720" s="94">
        <f t="shared" si="545"/>
        <v>0</v>
      </c>
      <c r="Y720">
        <f t="shared" si="534"/>
        <v>24</v>
      </c>
      <c r="Z720">
        <f t="shared" si="561"/>
        <v>40</v>
      </c>
      <c r="AA720">
        <f t="shared" si="535"/>
        <v>39.916666666666664</v>
      </c>
      <c r="AB720">
        <f t="shared" si="546"/>
        <v>50.505050505050505</v>
      </c>
      <c r="AC720">
        <f t="shared" si="528"/>
        <v>2015.9932659932658</v>
      </c>
      <c r="AD720">
        <f t="shared" si="547"/>
        <v>80.505050505050505</v>
      </c>
      <c r="AE720">
        <f t="shared" si="548"/>
        <v>160.67466329966328</v>
      </c>
      <c r="AF720" s="94">
        <f t="shared" si="549"/>
        <v>2823.3320707070711</v>
      </c>
      <c r="AG720">
        <f t="shared" si="562"/>
        <v>4.5380825107492005E-3</v>
      </c>
      <c r="AH720">
        <f t="shared" si="550"/>
        <v>1.375793550858502</v>
      </c>
      <c r="AI720">
        <f>HLOOKUP(AW720,'Real assumptions'!$A$21:$AK$24,2,TRUE)</f>
        <v>0</v>
      </c>
      <c r="AJ720" s="123">
        <f t="shared" si="529"/>
        <v>0</v>
      </c>
      <c r="AK720" s="122">
        <f>(1+HLOOKUP(YEAR(A720),'Real assumptions'!$A$21:$AK$24,2,TRUE)/100)^(1/12)-1</f>
        <v>0</v>
      </c>
      <c r="AL720">
        <f t="shared" si="563"/>
        <v>1.1022753676351521E-2</v>
      </c>
      <c r="AM720">
        <f>('Real assumptions'!$B$33/12)*O719*AV719</f>
        <v>1.0627437402289837E-2</v>
      </c>
      <c r="AN720">
        <f t="shared" si="551"/>
        <v>1.4421448765511342</v>
      </c>
      <c r="AO720">
        <f t="shared" si="530"/>
        <v>0</v>
      </c>
      <c r="AP720" s="121">
        <f t="shared" si="552"/>
        <v>0</v>
      </c>
      <c r="AQ720">
        <f t="shared" si="553"/>
        <v>0</v>
      </c>
      <c r="AR720">
        <v>0</v>
      </c>
      <c r="AS720">
        <f t="shared" si="536"/>
        <v>0</v>
      </c>
      <c r="AT720">
        <f t="shared" si="554"/>
        <v>0</v>
      </c>
      <c r="AU720">
        <f>IFERROR(HLOOKUP(B720,'Real assumptions'!$B$43:$AL$44,2,TRUE)*($W$3/$U$2),0)</f>
        <v>0</v>
      </c>
      <c r="AV720">
        <f>AV719*(1+'Real assumptions'!$B$35)^(1/12)</f>
        <v>2.0811667624209678</v>
      </c>
      <c r="AW720">
        <f t="shared" si="537"/>
        <v>2077</v>
      </c>
      <c r="AX720">
        <f t="shared" si="564"/>
        <v>1.4430508016169818</v>
      </c>
      <c r="AY720">
        <f t="shared" si="565"/>
        <v>2.1514181291476062E-3</v>
      </c>
      <c r="AZ720">
        <f t="shared" si="538"/>
        <v>2.3023677187398408</v>
      </c>
      <c r="BA720">
        <f t="shared" si="555"/>
        <v>0.11591470186972175</v>
      </c>
      <c r="BB720">
        <f t="shared" si="556"/>
        <v>39.916666666666664</v>
      </c>
      <c r="BC720">
        <f t="shared" si="539"/>
        <v>23.949999999999996</v>
      </c>
      <c r="BD720">
        <f t="shared" si="557"/>
        <v>0</v>
      </c>
      <c r="BE720">
        <f t="shared" si="540"/>
        <v>24</v>
      </c>
      <c r="BF720">
        <f t="shared" si="566"/>
        <v>5000</v>
      </c>
      <c r="BU720"/>
      <c r="DW720" s="89"/>
      <c r="DX720" s="89"/>
      <c r="FD720"/>
      <c r="FE720"/>
    </row>
    <row r="721" spans="1:161" x14ac:dyDescent="0.25">
      <c r="A721" s="7">
        <f t="shared" si="558"/>
        <v>65046</v>
      </c>
      <c r="B721">
        <f t="shared" si="541"/>
        <v>710</v>
      </c>
      <c r="C721">
        <f t="shared" si="522"/>
        <v>59.083333333333336</v>
      </c>
      <c r="D721">
        <f t="shared" si="523"/>
        <v>0</v>
      </c>
      <c r="E721">
        <f t="shared" si="542"/>
        <v>111</v>
      </c>
      <c r="F721">
        <f>IF(C721&gt;=$T$2,0,VLOOKUP($E721,EKM_F05!$A$3:$C$128,2,TRUE))</f>
        <v>0.99363435897435892</v>
      </c>
      <c r="G721">
        <f>F721*'Real assumptions'!$B$3</f>
        <v>0.41464361799999999</v>
      </c>
      <c r="H721">
        <f t="shared" si="524"/>
        <v>4.3646694808055164E-2</v>
      </c>
      <c r="I721">
        <f t="shared" si="525"/>
        <v>2.1234599528251429E-5</v>
      </c>
      <c r="J721">
        <f>IF(B721&gt;$AJ$2,0,HLOOKUP(C721,'Real assumptions'!$B$5:$L$8,4,TRUE))</f>
        <v>3.7900000000000003E-2</v>
      </c>
      <c r="K721">
        <f t="shared" si="531"/>
        <v>1</v>
      </c>
      <c r="L721">
        <f t="shared" si="559"/>
        <v>8.3333333333333329E-2</v>
      </c>
      <c r="M721">
        <f t="shared" si="526"/>
        <v>3.2145624959929453E-3</v>
      </c>
      <c r="N721">
        <f t="shared" si="527"/>
        <v>1.5322529783955712E-6</v>
      </c>
      <c r="O721" s="8">
        <f t="shared" si="543"/>
        <v>4.6452742121084393E-4</v>
      </c>
      <c r="P721">
        <f t="shared" si="544"/>
        <v>1.1695062569219782E-2</v>
      </c>
      <c r="Q721">
        <f t="shared" si="560"/>
        <v>0.10617299764125715</v>
      </c>
      <c r="R721" s="89">
        <f t="shared" si="532"/>
        <v>5000</v>
      </c>
      <c r="S721">
        <f t="shared" si="533"/>
        <v>0.8333333333333357</v>
      </c>
      <c r="U721">
        <f>O720*AV720*'Real assumptions'!$B$33/12+AX721*'Real assumptions'!$B$34</f>
        <v>1.0518859793144512E-2</v>
      </c>
      <c r="V721">
        <f>IF(P721=0,0,IF(E721&lt;=$C$7,$AN$5*O720,0))*'Real assumptions'!$D$28</f>
        <v>0</v>
      </c>
      <c r="X721" s="94">
        <f t="shared" si="545"/>
        <v>0</v>
      </c>
      <c r="Y721">
        <f t="shared" si="534"/>
        <v>24</v>
      </c>
      <c r="Z721">
        <f t="shared" si="561"/>
        <v>39</v>
      </c>
      <c r="AA721">
        <f t="shared" si="535"/>
        <v>39.833333333333336</v>
      </c>
      <c r="AB721">
        <f t="shared" si="546"/>
        <v>50.505050505050505</v>
      </c>
      <c r="AC721">
        <f t="shared" si="528"/>
        <v>2011.784511784512</v>
      </c>
      <c r="AD721">
        <f t="shared" si="547"/>
        <v>80.505050505050505</v>
      </c>
      <c r="AE721">
        <f t="shared" si="548"/>
        <v>160.33922558922561</v>
      </c>
      <c r="AF721" s="94">
        <f t="shared" si="549"/>
        <v>2827.8762626262628</v>
      </c>
      <c r="AG721">
        <f t="shared" si="562"/>
        <v>4.3330218259432273E-3</v>
      </c>
      <c r="AH721">
        <f t="shared" si="550"/>
        <v>1.3136260677811371</v>
      </c>
      <c r="AI721">
        <f>HLOOKUP(AW721,'Real assumptions'!$A$21:$AK$24,2,TRUE)</f>
        <v>0</v>
      </c>
      <c r="AJ721" s="123">
        <f t="shared" si="529"/>
        <v>0</v>
      </c>
      <c r="AK721" s="122">
        <f>(1+HLOOKUP(YEAR(A721),'Real assumptions'!$A$21:$AK$24,2,TRUE)/100)^(1/12)-1</f>
        <v>0</v>
      </c>
      <c r="AL721">
        <f t="shared" si="563"/>
        <v>1.0518859793144512E-2</v>
      </c>
      <c r="AM721">
        <f>('Real assumptions'!$B$33/12)*O720*AV720</f>
        <v>1.0141406459789075E-2</v>
      </c>
      <c r="AN721">
        <f t="shared" si="551"/>
        <v>1.3769697536345773</v>
      </c>
      <c r="AO721">
        <f t="shared" si="530"/>
        <v>0</v>
      </c>
      <c r="AP721" s="121">
        <f t="shared" si="552"/>
        <v>0</v>
      </c>
      <c r="AQ721">
        <f t="shared" si="553"/>
        <v>0</v>
      </c>
      <c r="AR721">
        <v>0</v>
      </c>
      <c r="AS721">
        <f t="shared" si="536"/>
        <v>0</v>
      </c>
      <c r="AT721">
        <f t="shared" si="554"/>
        <v>0</v>
      </c>
      <c r="AU721">
        <f>IFERROR(HLOOKUP(B721,'Real assumptions'!$B$43:$AL$44,2,TRUE)*($W$3/$U$2),0)</f>
        <v>0</v>
      </c>
      <c r="AV721">
        <f>AV720*(1+'Real assumptions'!$B$35)^(1/12)</f>
        <v>2.083322322601068</v>
      </c>
      <c r="AW721">
        <f t="shared" si="537"/>
        <v>2078</v>
      </c>
      <c r="AX721">
        <f t="shared" si="564"/>
        <v>1.3778444526839122</v>
      </c>
      <c r="AY721">
        <f t="shared" si="565"/>
        <v>2.0509018254103151E-3</v>
      </c>
      <c r="AZ721">
        <f t="shared" si="538"/>
        <v>2.1930379020487156</v>
      </c>
      <c r="BA721">
        <f t="shared" si="555"/>
        <v>0.11050601946720037</v>
      </c>
      <c r="BB721">
        <f t="shared" si="556"/>
        <v>39.833333333333336</v>
      </c>
      <c r="BC721">
        <f t="shared" si="539"/>
        <v>23.9</v>
      </c>
      <c r="BD721">
        <f t="shared" si="557"/>
        <v>0</v>
      </c>
      <c r="BE721">
        <f t="shared" si="540"/>
        <v>24</v>
      </c>
      <c r="BF721">
        <f t="shared" si="566"/>
        <v>5000</v>
      </c>
      <c r="BU721"/>
      <c r="DW721" s="89"/>
      <c r="DX721" s="89"/>
      <c r="FD721"/>
      <c r="FE721"/>
    </row>
    <row r="722" spans="1:161" x14ac:dyDescent="0.25">
      <c r="A722" s="7">
        <f t="shared" si="558"/>
        <v>65074</v>
      </c>
      <c r="B722">
        <f t="shared" si="541"/>
        <v>711</v>
      </c>
      <c r="C722">
        <f t="shared" si="522"/>
        <v>59.166666666666664</v>
      </c>
      <c r="D722">
        <f t="shared" si="523"/>
        <v>0</v>
      </c>
      <c r="E722">
        <f t="shared" si="542"/>
        <v>111</v>
      </c>
      <c r="F722">
        <f>IF(C722&gt;=$T$2,0,VLOOKUP($E722,EKM_F05!$A$3:$C$128,2,TRUE))</f>
        <v>0.99363435897435892</v>
      </c>
      <c r="G722">
        <f>F722*'Real assumptions'!$B$3</f>
        <v>0.41464361799999999</v>
      </c>
      <c r="H722">
        <f t="shared" si="524"/>
        <v>4.3646694808055164E-2</v>
      </c>
      <c r="I722">
        <f t="shared" si="525"/>
        <v>2.0242498817095333E-5</v>
      </c>
      <c r="J722">
        <f>IF(B722&gt;$AJ$2,0,HLOOKUP(C722,'Real assumptions'!$B$5:$L$8,4,TRUE))</f>
        <v>3.7900000000000003E-2</v>
      </c>
      <c r="K722">
        <f t="shared" si="531"/>
        <v>1</v>
      </c>
      <c r="L722">
        <f t="shared" si="559"/>
        <v>8.3333333333333329E-2</v>
      </c>
      <c r="M722">
        <f t="shared" si="526"/>
        <v>3.2145624959929453E-3</v>
      </c>
      <c r="N722">
        <f t="shared" si="527"/>
        <v>1.4606646601174316E-6</v>
      </c>
      <c r="O722" s="8">
        <f t="shared" si="543"/>
        <v>4.4282425773363118E-4</v>
      </c>
      <c r="P722">
        <f t="shared" si="544"/>
        <v>1.1148658109060254E-2</v>
      </c>
      <c r="Q722">
        <f t="shared" si="560"/>
        <v>0.10121249408547667</v>
      </c>
      <c r="R722" s="89">
        <f t="shared" si="532"/>
        <v>5000</v>
      </c>
      <c r="S722">
        <f t="shared" si="533"/>
        <v>0.75</v>
      </c>
      <c r="U722">
        <f>O721*AV721*'Real assumptions'!$B$33/12+AX722*'Real assumptions'!$B$34</f>
        <v>1.0038000085444551E-2</v>
      </c>
      <c r="V722">
        <f>IF(P722=0,0,IF(E722&lt;=$C$7,$AN$5*O721,0))*'Real assumptions'!$D$28</f>
        <v>0</v>
      </c>
      <c r="X722" s="94">
        <f t="shared" si="545"/>
        <v>0</v>
      </c>
      <c r="Y722">
        <f t="shared" si="534"/>
        <v>24</v>
      </c>
      <c r="Z722">
        <f t="shared" si="561"/>
        <v>39</v>
      </c>
      <c r="AA722">
        <f t="shared" si="535"/>
        <v>39.75</v>
      </c>
      <c r="AB722">
        <f t="shared" si="546"/>
        <v>50.505050505050505</v>
      </c>
      <c r="AC722">
        <f t="shared" si="528"/>
        <v>2007.5757575757575</v>
      </c>
      <c r="AD722">
        <f t="shared" si="547"/>
        <v>80.505050505050505</v>
      </c>
      <c r="AE722">
        <f t="shared" si="548"/>
        <v>160.00378787878788</v>
      </c>
      <c r="AF722" s="94">
        <f t="shared" si="549"/>
        <v>2832.4204545454545</v>
      </c>
      <c r="AG722">
        <f t="shared" si="562"/>
        <v>4.1372164605482974E-3</v>
      </c>
      <c r="AH722">
        <f t="shared" si="550"/>
        <v>1.2542644853736451</v>
      </c>
      <c r="AI722">
        <f>HLOOKUP(AW722,'Real assumptions'!$A$21:$AK$24,2,TRUE)</f>
        <v>0</v>
      </c>
      <c r="AJ722" s="123">
        <f t="shared" si="529"/>
        <v>0</v>
      </c>
      <c r="AK722" s="122">
        <f>(1+HLOOKUP(YEAR(A722),'Real assumptions'!$A$21:$AK$24,2,TRUE)/100)^(1/12)-1</f>
        <v>0</v>
      </c>
      <c r="AL722">
        <f t="shared" si="563"/>
        <v>1.0038000085444551E-2</v>
      </c>
      <c r="AM722">
        <f>('Real assumptions'!$B$33/12)*O721*AV721</f>
        <v>9.6776034606886E-3</v>
      </c>
      <c r="AN722">
        <f t="shared" si="551"/>
        <v>1.3147367258047529</v>
      </c>
      <c r="AO722">
        <f t="shared" si="530"/>
        <v>0</v>
      </c>
      <c r="AP722" s="121">
        <f t="shared" si="552"/>
        <v>0</v>
      </c>
      <c r="AQ722">
        <f t="shared" si="553"/>
        <v>0</v>
      </c>
      <c r="AR722">
        <v>0</v>
      </c>
      <c r="AS722">
        <f t="shared" si="536"/>
        <v>0</v>
      </c>
      <c r="AT722">
        <f t="shared" si="554"/>
        <v>0</v>
      </c>
      <c r="AU722">
        <f>IFERROR(HLOOKUP(B722,'Real assumptions'!$B$43:$AL$44,2,TRUE)*($W$3/$U$2),0)</f>
        <v>0</v>
      </c>
      <c r="AV722">
        <f>AV721*(1+'Real assumptions'!$B$35)^(1/12)</f>
        <v>2.0854801153940343</v>
      </c>
      <c r="AW722">
        <f t="shared" si="537"/>
        <v>2078</v>
      </c>
      <c r="AX722">
        <f t="shared" si="564"/>
        <v>1.3155811495202401</v>
      </c>
      <c r="AY722">
        <f t="shared" si="565"/>
        <v>1.9550817391028783E-3</v>
      </c>
      <c r="AZ722">
        <f t="shared" si="538"/>
        <v>2.0887988495263059</v>
      </c>
      <c r="BA722">
        <f t="shared" si="555"/>
        <v>0.10534971054602496</v>
      </c>
      <c r="BB722">
        <f t="shared" si="556"/>
        <v>39.75</v>
      </c>
      <c r="BC722">
        <f t="shared" si="539"/>
        <v>23.85</v>
      </c>
      <c r="BD722">
        <f t="shared" si="557"/>
        <v>0</v>
      </c>
      <c r="BE722">
        <f t="shared" si="540"/>
        <v>24</v>
      </c>
      <c r="BF722">
        <f t="shared" si="566"/>
        <v>5000</v>
      </c>
      <c r="BU722"/>
      <c r="DW722" s="89"/>
      <c r="DX722" s="89"/>
      <c r="FD722"/>
      <c r="FE722"/>
    </row>
    <row r="723" spans="1:161" x14ac:dyDescent="0.25">
      <c r="A723" s="7">
        <f t="shared" si="558"/>
        <v>65105</v>
      </c>
      <c r="B723">
        <f t="shared" si="541"/>
        <v>712</v>
      </c>
      <c r="C723">
        <f t="shared" si="522"/>
        <v>59.25</v>
      </c>
      <c r="D723">
        <f t="shared" si="523"/>
        <v>0</v>
      </c>
      <c r="E723">
        <f t="shared" si="542"/>
        <v>111</v>
      </c>
      <c r="F723">
        <f>IF(C723&gt;=$T$2,0,VLOOKUP($E723,EKM_F05!$A$3:$C$128,2,TRUE))</f>
        <v>0.99363435897435892</v>
      </c>
      <c r="G723">
        <f>F723*'Real assumptions'!$B$3</f>
        <v>0.41464361799999999</v>
      </c>
      <c r="H723">
        <f t="shared" si="524"/>
        <v>4.3646694808055164E-2</v>
      </c>
      <c r="I723">
        <f t="shared" si="525"/>
        <v>1.929674999591799E-5</v>
      </c>
      <c r="J723">
        <f>IF(B723&gt;$AJ$2,0,HLOOKUP(C723,'Real assumptions'!$B$5:$L$8,4,TRUE))</f>
        <v>3.7900000000000003E-2</v>
      </c>
      <c r="K723">
        <f t="shared" si="531"/>
        <v>1</v>
      </c>
      <c r="L723">
        <f t="shared" si="559"/>
        <v>8.3333333333333329E-2</v>
      </c>
      <c r="M723">
        <f t="shared" si="526"/>
        <v>3.2145624959929453E-3</v>
      </c>
      <c r="N723">
        <f t="shared" si="527"/>
        <v>1.3924210162410732E-6</v>
      </c>
      <c r="O723" s="8">
        <f t="shared" si="543"/>
        <v>4.2213508672147209E-4</v>
      </c>
      <c r="P723">
        <f t="shared" si="544"/>
        <v>1.0627782185607148E-2</v>
      </c>
      <c r="Q723">
        <f t="shared" si="560"/>
        <v>9.6483749979589944E-2</v>
      </c>
      <c r="R723" s="89">
        <f t="shared" si="532"/>
        <v>5000</v>
      </c>
      <c r="S723">
        <f t="shared" si="533"/>
        <v>0.6666666666666643</v>
      </c>
      <c r="U723">
        <f>O722*AV722*'Real assumptions'!$B$33/12+AX723*'Real assumptions'!$B$34</f>
        <v>9.5791216456491152E-3</v>
      </c>
      <c r="V723">
        <f>IF(P723=0,0,IF(E723&lt;=$C$7,$AN$5*O722,0))*'Real assumptions'!$D$28</f>
        <v>0</v>
      </c>
      <c r="X723" s="94">
        <f t="shared" si="545"/>
        <v>0</v>
      </c>
      <c r="Y723">
        <f t="shared" si="534"/>
        <v>24</v>
      </c>
      <c r="Z723">
        <f t="shared" si="561"/>
        <v>39</v>
      </c>
      <c r="AA723">
        <f t="shared" si="535"/>
        <v>39.666666666666664</v>
      </c>
      <c r="AB723">
        <f t="shared" si="546"/>
        <v>50.505050505050505</v>
      </c>
      <c r="AC723">
        <f t="shared" si="528"/>
        <v>2003.3670033670032</v>
      </c>
      <c r="AD723">
        <f t="shared" si="547"/>
        <v>80.505050505050505</v>
      </c>
      <c r="AE723">
        <f t="shared" si="548"/>
        <v>159.66835016835014</v>
      </c>
      <c r="AF723" s="94">
        <f t="shared" si="549"/>
        <v>2836.9646464646466</v>
      </c>
      <c r="AG723">
        <f t="shared" si="562"/>
        <v>3.9502491960703E-3</v>
      </c>
      <c r="AH723">
        <f t="shared" si="550"/>
        <v>1.197582317061104</v>
      </c>
      <c r="AI723">
        <f>HLOOKUP(AW723,'Real assumptions'!$A$21:$AK$24,2,TRUE)</f>
        <v>0</v>
      </c>
      <c r="AJ723" s="123">
        <f t="shared" si="529"/>
        <v>0</v>
      </c>
      <c r="AK723" s="122">
        <f>(1+HLOOKUP(YEAR(A723),'Real assumptions'!$A$21:$AK$24,2,TRUE)/100)^(1/12)-1</f>
        <v>0</v>
      </c>
      <c r="AL723">
        <f t="shared" si="563"/>
        <v>9.5791216456491152E-3</v>
      </c>
      <c r="AM723">
        <f>('Real assumptions'!$B$33/12)*O722*AV722</f>
        <v>9.2350118411761058E-3</v>
      </c>
      <c r="AN723">
        <f t="shared" si="551"/>
        <v>1.2553131459136031</v>
      </c>
      <c r="AO723">
        <f t="shared" si="530"/>
        <v>0</v>
      </c>
      <c r="AP723" s="121">
        <f t="shared" si="552"/>
        <v>0</v>
      </c>
      <c r="AQ723">
        <f t="shared" si="553"/>
        <v>0</v>
      </c>
      <c r="AR723">
        <v>0</v>
      </c>
      <c r="AS723">
        <f t="shared" si="536"/>
        <v>0</v>
      </c>
      <c r="AT723">
        <f t="shared" si="554"/>
        <v>0</v>
      </c>
      <c r="AU723">
        <f>IFERROR(HLOOKUP(B723,'Real assumptions'!$B$43:$AL$44,2,TRUE)*($W$3/$U$2),0)</f>
        <v>0</v>
      </c>
      <c r="AV723">
        <f>AV722*(1+'Real assumptions'!$B$35)^(1/12)</f>
        <v>2.0876401431122864</v>
      </c>
      <c r="AW723">
        <f t="shared" si="537"/>
        <v>2078</v>
      </c>
      <c r="AX723">
        <f t="shared" si="564"/>
        <v>1.2561282238321201</v>
      </c>
      <c r="AY723">
        <f t="shared" si="565"/>
        <v>1.8637384584748785E-3</v>
      </c>
      <c r="AZ723">
        <f t="shared" si="538"/>
        <v>1.9894135108906039</v>
      </c>
      <c r="BA723">
        <f t="shared" si="555"/>
        <v>0.10043399917566025</v>
      </c>
      <c r="BB723">
        <f t="shared" si="556"/>
        <v>39.666666666666664</v>
      </c>
      <c r="BC723">
        <f t="shared" si="539"/>
        <v>23.799999999999997</v>
      </c>
      <c r="BD723">
        <f t="shared" si="557"/>
        <v>0</v>
      </c>
      <c r="BE723">
        <f t="shared" si="540"/>
        <v>24</v>
      </c>
      <c r="BF723">
        <f t="shared" si="566"/>
        <v>5000</v>
      </c>
      <c r="BU723"/>
      <c r="DW723" s="89"/>
      <c r="DX723" s="89"/>
      <c r="FD723"/>
      <c r="FE723"/>
    </row>
    <row r="724" spans="1:161" x14ac:dyDescent="0.25">
      <c r="A724" s="7">
        <f t="shared" si="558"/>
        <v>65135</v>
      </c>
      <c r="B724">
        <f t="shared" si="541"/>
        <v>713</v>
      </c>
      <c r="C724">
        <f t="shared" si="522"/>
        <v>59.333333333333336</v>
      </c>
      <c r="D724">
        <f t="shared" si="523"/>
        <v>0</v>
      </c>
      <c r="E724">
        <f t="shared" si="542"/>
        <v>111</v>
      </c>
      <c r="F724">
        <f>IF(C724&gt;=$T$2,0,VLOOKUP($E724,EKM_F05!$A$3:$C$128,2,TRUE))</f>
        <v>0.99363435897435892</v>
      </c>
      <c r="G724">
        <f>F724*'Real assumptions'!$B$3</f>
        <v>0.41464361799999999</v>
      </c>
      <c r="H724">
        <f t="shared" si="524"/>
        <v>4.3646694808055164E-2</v>
      </c>
      <c r="I724">
        <f t="shared" si="525"/>
        <v>1.8395187460279808E-5</v>
      </c>
      <c r="J724">
        <f>IF(B724&gt;$AJ$2,0,HLOOKUP(C724,'Real assumptions'!$B$5:$L$8,4,TRUE))</f>
        <v>3.7900000000000003E-2</v>
      </c>
      <c r="K724">
        <f t="shared" si="531"/>
        <v>1</v>
      </c>
      <c r="L724">
        <f t="shared" si="559"/>
        <v>8.3333333333333329E-2</v>
      </c>
      <c r="M724">
        <f t="shared" si="526"/>
        <v>3.2145624959929453E-3</v>
      </c>
      <c r="N724">
        <f t="shared" si="527"/>
        <v>1.3273657803933915E-6</v>
      </c>
      <c r="O724" s="8">
        <f t="shared" si="543"/>
        <v>4.0241253348079887E-4</v>
      </c>
      <c r="P724">
        <f t="shared" si="544"/>
        <v>1.013124208131533E-2</v>
      </c>
      <c r="Q724">
        <f t="shared" si="560"/>
        <v>9.1975937301399038E-2</v>
      </c>
      <c r="R724" s="89">
        <f t="shared" si="532"/>
        <v>5000</v>
      </c>
      <c r="S724">
        <f t="shared" si="533"/>
        <v>0.5833333333333357</v>
      </c>
      <c r="U724">
        <f>O723*AV723*'Real assumptions'!$B$33/12+AX724*'Real assumptions'!$B$34</f>
        <v>9.1412196934270353E-3</v>
      </c>
      <c r="V724">
        <f>IF(P724=0,0,IF(E724&lt;=$C$7,$AN$5*O723,0))*'Real assumptions'!$D$28</f>
        <v>0</v>
      </c>
      <c r="X724" s="94">
        <f t="shared" si="545"/>
        <v>0</v>
      </c>
      <c r="Y724">
        <f t="shared" si="534"/>
        <v>24</v>
      </c>
      <c r="Z724">
        <f t="shared" si="561"/>
        <v>39</v>
      </c>
      <c r="AA724">
        <f t="shared" si="535"/>
        <v>39.583333333333336</v>
      </c>
      <c r="AB724">
        <f t="shared" si="546"/>
        <v>50.505050505050505</v>
      </c>
      <c r="AC724">
        <f t="shared" si="528"/>
        <v>1999.1582491582492</v>
      </c>
      <c r="AD724">
        <f t="shared" si="547"/>
        <v>80.505050505050505</v>
      </c>
      <c r="AE724">
        <f t="shared" si="548"/>
        <v>159.33291245791247</v>
      </c>
      <c r="AF724" s="94">
        <f t="shared" si="549"/>
        <v>2841.5088383838383</v>
      </c>
      <c r="AG724">
        <f t="shared" si="562"/>
        <v>3.7717215967560829E-3</v>
      </c>
      <c r="AH724">
        <f t="shared" si="550"/>
        <v>1.1434587705621222</v>
      </c>
      <c r="AI724">
        <f>HLOOKUP(AW724,'Real assumptions'!$A$21:$AK$24,2,TRUE)</f>
        <v>0</v>
      </c>
      <c r="AJ724" s="123">
        <f t="shared" si="529"/>
        <v>0</v>
      </c>
      <c r="AK724" s="122">
        <f>(1+HLOOKUP(YEAR(A724),'Real assumptions'!$A$21:$AK$24,2,TRUE)/100)^(1/12)-1</f>
        <v>0</v>
      </c>
      <c r="AL724">
        <f t="shared" si="563"/>
        <v>9.1412196934270353E-3</v>
      </c>
      <c r="AM724">
        <f>('Real assumptions'!$B$33/12)*O723*AV723</f>
        <v>8.8126615285593138E-3</v>
      </c>
      <c r="AN724">
        <f t="shared" si="551"/>
        <v>1.1985723394489922</v>
      </c>
      <c r="AO724">
        <f t="shared" si="530"/>
        <v>0</v>
      </c>
      <c r="AP724" s="121">
        <f t="shared" si="552"/>
        <v>0</v>
      </c>
      <c r="AQ724">
        <f t="shared" si="553"/>
        <v>0</v>
      </c>
      <c r="AR724">
        <v>0</v>
      </c>
      <c r="AS724">
        <f t="shared" si="536"/>
        <v>0</v>
      </c>
      <c r="AT724">
        <f t="shared" si="554"/>
        <v>0</v>
      </c>
      <c r="AU724">
        <f>IFERROR(HLOOKUP(B724,'Real assumptions'!$B$43:$AL$44,2,TRUE)*($W$3/$U$2),0)</f>
        <v>0</v>
      </c>
      <c r="AV724">
        <f>AV723*(1+'Real assumptions'!$B$35)^(1/12)</f>
        <v>2.0898024080706392</v>
      </c>
      <c r="AW724">
        <f t="shared" si="537"/>
        <v>2078</v>
      </c>
      <c r="AX724">
        <f t="shared" si="564"/>
        <v>1.1993589798840059</v>
      </c>
      <c r="AY724">
        <f t="shared" si="565"/>
        <v>1.7766628229018186E-3</v>
      </c>
      <c r="AZ724">
        <f t="shared" si="538"/>
        <v>1.894655874380337</v>
      </c>
      <c r="BA724">
        <f t="shared" si="555"/>
        <v>9.5747658898155119E-2</v>
      </c>
      <c r="BB724">
        <f t="shared" si="556"/>
        <v>39.583333333333336</v>
      </c>
      <c r="BC724">
        <f t="shared" si="539"/>
        <v>23.75</v>
      </c>
      <c r="BD724">
        <f t="shared" si="557"/>
        <v>0</v>
      </c>
      <c r="BE724">
        <f t="shared" si="540"/>
        <v>24</v>
      </c>
      <c r="BF724">
        <f t="shared" si="566"/>
        <v>5000</v>
      </c>
      <c r="BU724"/>
      <c r="DW724" s="89"/>
      <c r="DX724" s="89"/>
      <c r="FD724"/>
      <c r="FE724"/>
    </row>
    <row r="725" spans="1:161" x14ac:dyDescent="0.25">
      <c r="A725" s="7">
        <f t="shared" si="558"/>
        <v>65166</v>
      </c>
      <c r="B725">
        <f t="shared" si="541"/>
        <v>714</v>
      </c>
      <c r="C725">
        <f t="shared" si="522"/>
        <v>59.416666666666664</v>
      </c>
      <c r="D725">
        <f t="shared" si="523"/>
        <v>0</v>
      </c>
      <c r="E725">
        <f t="shared" si="542"/>
        <v>111</v>
      </c>
      <c r="F725">
        <f>IF(C725&gt;=$T$2,0,VLOOKUP($E725,EKM_F05!$A$3:$C$128,2,TRUE))</f>
        <v>0.99363435897435892</v>
      </c>
      <c r="G725">
        <f>F725*'Real assumptions'!$B$3</f>
        <v>0.41464361799999999</v>
      </c>
      <c r="H725">
        <f t="shared" si="524"/>
        <v>4.3646694808055164E-2</v>
      </c>
      <c r="I725">
        <f t="shared" si="525"/>
        <v>1.7535746784842871E-5</v>
      </c>
      <c r="J725">
        <f>IF(B725&gt;$AJ$2,0,HLOOKUP(C725,'Real assumptions'!$B$5:$L$8,4,TRUE))</f>
        <v>3.7900000000000003E-2</v>
      </c>
      <c r="K725">
        <f t="shared" si="531"/>
        <v>1</v>
      </c>
      <c r="L725">
        <f t="shared" si="559"/>
        <v>8.3333333333333329E-2</v>
      </c>
      <c r="M725">
        <f t="shared" si="526"/>
        <v>3.2145624959929453E-3</v>
      </c>
      <c r="N725">
        <f t="shared" si="527"/>
        <v>1.2653499871150433E-6</v>
      </c>
      <c r="O725" s="8">
        <f t="shared" si="543"/>
        <v>3.8361143670884092E-4</v>
      </c>
      <c r="P725">
        <f t="shared" si="544"/>
        <v>9.6579008035391732E-3</v>
      </c>
      <c r="Q725">
        <f t="shared" si="560"/>
        <v>8.7678733924214353E-2</v>
      </c>
      <c r="R725" s="89">
        <f t="shared" si="532"/>
        <v>5000</v>
      </c>
      <c r="S725">
        <f t="shared" si="533"/>
        <v>0.5</v>
      </c>
      <c r="U725">
        <f>O724*AV724*'Real assumptions'!$B$33/12+AX725*'Real assumptions'!$B$34</f>
        <v>8.7233353759601923E-3</v>
      </c>
      <c r="V725">
        <f>IF(P725=0,0,IF(E725&lt;=$C$7,$AN$5*O724,0))*'Real assumptions'!$D$28</f>
        <v>0</v>
      </c>
      <c r="X725" s="94">
        <f t="shared" si="545"/>
        <v>0</v>
      </c>
      <c r="Y725">
        <f t="shared" si="534"/>
        <v>24</v>
      </c>
      <c r="Z725">
        <f t="shared" si="561"/>
        <v>39</v>
      </c>
      <c r="AA725">
        <f t="shared" si="535"/>
        <v>39.5</v>
      </c>
      <c r="AB725">
        <f t="shared" si="546"/>
        <v>50.505050505050505</v>
      </c>
      <c r="AC725">
        <f t="shared" si="528"/>
        <v>1994.9494949494949</v>
      </c>
      <c r="AD725">
        <f t="shared" si="547"/>
        <v>80.505050505050505</v>
      </c>
      <c r="AE725">
        <f t="shared" si="548"/>
        <v>158.99747474747474</v>
      </c>
      <c r="AF725" s="94">
        <f t="shared" si="549"/>
        <v>2846.0530303030305</v>
      </c>
      <c r="AG725">
        <f t="shared" si="562"/>
        <v>3.6012531652226698E-3</v>
      </c>
      <c r="AH725">
        <f t="shared" si="550"/>
        <v>1.0917784919040958</v>
      </c>
      <c r="AI725">
        <f>HLOOKUP(AW725,'Real assumptions'!$A$21:$AK$24,2,TRUE)</f>
        <v>0</v>
      </c>
      <c r="AJ725" s="123">
        <f t="shared" si="529"/>
        <v>0</v>
      </c>
      <c r="AK725" s="122">
        <f>(1+HLOOKUP(YEAR(A725),'Real assumptions'!$A$21:$AK$24,2,TRUE)/100)^(1/12)-1</f>
        <v>0</v>
      </c>
      <c r="AL725">
        <f t="shared" si="563"/>
        <v>8.7233353759601923E-3</v>
      </c>
      <c r="AM725">
        <f>('Real assumptions'!$B$33/12)*O724*AV724</f>
        <v>8.4096268150598025E-3</v>
      </c>
      <c r="AN725">
        <f t="shared" si="551"/>
        <v>1.1443933359897012</v>
      </c>
      <c r="AO725">
        <f t="shared" si="530"/>
        <v>0</v>
      </c>
      <c r="AP725" s="121">
        <f t="shared" si="552"/>
        <v>0</v>
      </c>
      <c r="AQ725">
        <f t="shared" si="553"/>
        <v>0</v>
      </c>
      <c r="AR725">
        <v>0</v>
      </c>
      <c r="AS725">
        <f t="shared" si="536"/>
        <v>0</v>
      </c>
      <c r="AT725">
        <f t="shared" si="554"/>
        <v>0</v>
      </c>
      <c r="AU725">
        <f>IFERROR(HLOOKUP(B725,'Real assumptions'!$B$43:$AL$44,2,TRUE)*($W$3/$U$2),0)</f>
        <v>0</v>
      </c>
      <c r="AV725">
        <f>AV724*(1+'Real assumptions'!$B$35)^(1/12)</f>
        <v>2.0919669125863054</v>
      </c>
      <c r="AW725">
        <f t="shared" si="537"/>
        <v>2078</v>
      </c>
      <c r="AX725">
        <f t="shared" si="564"/>
        <v>1.145152426006065</v>
      </c>
      <c r="AY725">
        <f t="shared" si="565"/>
        <v>1.6936554439427561E-3</v>
      </c>
      <c r="AZ725">
        <f t="shared" si="538"/>
        <v>1.804310452718479</v>
      </c>
      <c r="BA725">
        <f t="shared" si="555"/>
        <v>9.127998708943702E-2</v>
      </c>
      <c r="BB725">
        <f t="shared" si="556"/>
        <v>39.5</v>
      </c>
      <c r="BC725">
        <f t="shared" si="539"/>
        <v>23.7</v>
      </c>
      <c r="BD725">
        <f t="shared" si="557"/>
        <v>0</v>
      </c>
      <c r="BE725">
        <f t="shared" si="540"/>
        <v>24</v>
      </c>
      <c r="BF725">
        <f t="shared" si="566"/>
        <v>5000</v>
      </c>
      <c r="BU725"/>
      <c r="DW725" s="89"/>
      <c r="DX725" s="89"/>
      <c r="FD725"/>
      <c r="FE725"/>
    </row>
    <row r="726" spans="1:161" x14ac:dyDescent="0.25">
      <c r="A726" s="7">
        <f t="shared" si="558"/>
        <v>65196</v>
      </c>
      <c r="B726">
        <f t="shared" si="541"/>
        <v>715</v>
      </c>
      <c r="C726">
        <f t="shared" si="522"/>
        <v>59.5</v>
      </c>
      <c r="D726">
        <f t="shared" si="523"/>
        <v>0</v>
      </c>
      <c r="E726">
        <f t="shared" si="542"/>
        <v>111</v>
      </c>
      <c r="F726">
        <f>IF(C726&gt;=$T$2,0,VLOOKUP($E726,EKM_F05!$A$3:$C$128,2,TRUE))</f>
        <v>0.99363435897435892</v>
      </c>
      <c r="G726">
        <f>F726*'Real assumptions'!$B$3</f>
        <v>0.41464361799999999</v>
      </c>
      <c r="H726">
        <f t="shared" si="524"/>
        <v>4.3646694808055164E-2</v>
      </c>
      <c r="I726">
        <f t="shared" si="525"/>
        <v>1.6716459996186938E-5</v>
      </c>
      <c r="J726">
        <f>IF(B726&gt;$AJ$2,0,HLOOKUP(C726,'Real assumptions'!$B$5:$L$8,4,TRUE))</f>
        <v>3.7900000000000003E-2</v>
      </c>
      <c r="K726">
        <f t="shared" si="531"/>
        <v>1</v>
      </c>
      <c r="L726">
        <f t="shared" si="559"/>
        <v>8.3333333333333329E-2</v>
      </c>
      <c r="M726">
        <f t="shared" si="526"/>
        <v>3.2145624959929453E-3</v>
      </c>
      <c r="N726">
        <f t="shared" si="527"/>
        <v>1.2062316307548014E-6</v>
      </c>
      <c r="O726" s="8">
        <f t="shared" si="543"/>
        <v>3.656887450818992E-4</v>
      </c>
      <c r="P726">
        <f t="shared" si="544"/>
        <v>9.206674481012183E-3</v>
      </c>
      <c r="Q726">
        <f t="shared" si="560"/>
        <v>8.3582299980934693E-2</v>
      </c>
      <c r="R726" s="89">
        <f t="shared" si="532"/>
        <v>5000</v>
      </c>
      <c r="S726">
        <f t="shared" si="533"/>
        <v>0.4166666666666643</v>
      </c>
      <c r="U726">
        <f>O725*AV725*'Real assumptions'!$B$33/12+AX726*'Real assumptions'!$B$34</f>
        <v>8.324553668725641E-3</v>
      </c>
      <c r="V726">
        <f>IF(P726=0,0,IF(E726&lt;=$C$7,$AN$5*O725,0))*'Real assumptions'!$D$28</f>
        <v>0</v>
      </c>
      <c r="X726" s="94">
        <f t="shared" si="545"/>
        <v>0</v>
      </c>
      <c r="Y726">
        <f t="shared" si="534"/>
        <v>24</v>
      </c>
      <c r="Z726">
        <f t="shared" si="561"/>
        <v>39</v>
      </c>
      <c r="AA726">
        <f t="shared" si="535"/>
        <v>39.416666666666664</v>
      </c>
      <c r="AB726">
        <f t="shared" si="546"/>
        <v>50.505050505050505</v>
      </c>
      <c r="AC726">
        <f t="shared" si="528"/>
        <v>1990.7407407407406</v>
      </c>
      <c r="AD726">
        <f t="shared" si="547"/>
        <v>80.505050505050505</v>
      </c>
      <c r="AE726">
        <f t="shared" si="548"/>
        <v>158.66203703703701</v>
      </c>
      <c r="AF726" s="94">
        <f t="shared" si="549"/>
        <v>2850.5972222222222</v>
      </c>
      <c r="AG726">
        <f t="shared" si="562"/>
        <v>3.4384805359862179E-3</v>
      </c>
      <c r="AH726">
        <f t="shared" si="550"/>
        <v>1.0424313209283922</v>
      </c>
      <c r="AI726">
        <f>HLOOKUP(AW726,'Real assumptions'!$A$21:$AK$24,2,TRUE)</f>
        <v>0</v>
      </c>
      <c r="AJ726" s="123">
        <f t="shared" si="529"/>
        <v>0</v>
      </c>
      <c r="AK726" s="122">
        <f>(1+HLOOKUP(YEAR(A726),'Real assumptions'!$A$21:$AK$24,2,TRUE)/100)^(1/12)-1</f>
        <v>0</v>
      </c>
      <c r="AL726">
        <f t="shared" si="563"/>
        <v>8.324553668725641E-3</v>
      </c>
      <c r="AM726">
        <f>('Real assumptions'!$B$33/12)*O725*AV725</f>
        <v>8.0250243288459075E-3</v>
      </c>
      <c r="AN726">
        <f t="shared" si="551"/>
        <v>1.0926606127163825</v>
      </c>
      <c r="AO726">
        <f t="shared" si="530"/>
        <v>0</v>
      </c>
      <c r="AP726" s="121">
        <f t="shared" si="552"/>
        <v>0</v>
      </c>
      <c r="AQ726">
        <f t="shared" si="553"/>
        <v>0</v>
      </c>
      <c r="AR726">
        <v>0</v>
      </c>
      <c r="AS726">
        <f t="shared" si="536"/>
        <v>0</v>
      </c>
      <c r="AT726">
        <f t="shared" si="554"/>
        <v>0</v>
      </c>
      <c r="AU726">
        <f>IFERROR(HLOOKUP(B726,'Real assumptions'!$B$43:$AL$44,2,TRUE)*($W$3/$U$2),0)</f>
        <v>0</v>
      </c>
      <c r="AV726">
        <f>AV725*(1+'Real assumptions'!$B$35)^(1/12)</f>
        <v>2.0941336589788975</v>
      </c>
      <c r="AW726">
        <f t="shared" si="537"/>
        <v>2078</v>
      </c>
      <c r="AX726">
        <f t="shared" si="564"/>
        <v>1.0933930181528704</v>
      </c>
      <c r="AY726">
        <f t="shared" si="565"/>
        <v>1.614526248774583E-3</v>
      </c>
      <c r="AZ726">
        <f t="shared" si="538"/>
        <v>1.7181717930138447</v>
      </c>
      <c r="BA726">
        <f t="shared" si="555"/>
        <v>8.7020780516920915E-2</v>
      </c>
      <c r="BB726">
        <f t="shared" si="556"/>
        <v>39.416666666666664</v>
      </c>
      <c r="BC726">
        <f t="shared" si="539"/>
        <v>23.65</v>
      </c>
      <c r="BD726">
        <f t="shared" si="557"/>
        <v>0</v>
      </c>
      <c r="BE726">
        <f t="shared" si="540"/>
        <v>24</v>
      </c>
      <c r="BF726">
        <f t="shared" si="566"/>
        <v>5000</v>
      </c>
      <c r="BU726"/>
      <c r="DW726" s="89"/>
      <c r="DX726" s="89"/>
      <c r="FD726"/>
      <c r="FE726"/>
    </row>
    <row r="727" spans="1:161" x14ac:dyDescent="0.25">
      <c r="A727" s="7">
        <f t="shared" si="558"/>
        <v>65227</v>
      </c>
      <c r="B727">
        <f t="shared" si="541"/>
        <v>716</v>
      </c>
      <c r="C727">
        <f t="shared" si="522"/>
        <v>59.583333333333336</v>
      </c>
      <c r="D727">
        <f t="shared" si="523"/>
        <v>0</v>
      </c>
      <c r="E727">
        <f t="shared" si="542"/>
        <v>111</v>
      </c>
      <c r="F727">
        <f>IF(C727&gt;=$T$2,0,VLOOKUP($E727,EKM_F05!$A$3:$C$128,2,TRUE))</f>
        <v>0.99363435897435892</v>
      </c>
      <c r="G727">
        <f>F727*'Real assumptions'!$B$3</f>
        <v>0.41464361799999999</v>
      </c>
      <c r="H727">
        <f t="shared" si="524"/>
        <v>4.3646694808055164E-2</v>
      </c>
      <c r="I727">
        <f t="shared" si="525"/>
        <v>1.5935451066484032E-5</v>
      </c>
      <c r="J727">
        <f>IF(B727&gt;$AJ$2,0,HLOOKUP(C727,'Real assumptions'!$B$5:$L$8,4,TRUE))</f>
        <v>3.7900000000000003E-2</v>
      </c>
      <c r="K727">
        <f t="shared" si="531"/>
        <v>1</v>
      </c>
      <c r="L727">
        <f t="shared" si="559"/>
        <v>8.3333333333333329E-2</v>
      </c>
      <c r="M727">
        <f t="shared" si="526"/>
        <v>3.2145624959929453E-3</v>
      </c>
      <c r="N727">
        <f t="shared" si="527"/>
        <v>1.1498753403006928E-6</v>
      </c>
      <c r="O727" s="8">
        <f t="shared" si="543"/>
        <v>3.4860341867511444E-4</v>
      </c>
      <c r="P727">
        <f t="shared" si="544"/>
        <v>8.7765298819655804E-3</v>
      </c>
      <c r="Q727">
        <f t="shared" si="560"/>
        <v>7.9677255332420163E-2</v>
      </c>
      <c r="R727" s="89">
        <f t="shared" si="532"/>
        <v>5000</v>
      </c>
      <c r="S727">
        <f t="shared" si="533"/>
        <v>0.3333333333333357</v>
      </c>
      <c r="U727">
        <f>O726*AV726*'Real assumptions'!$B$33/12+AX727*'Real assumptions'!$B$34</f>
        <v>7.9440013722231594E-3</v>
      </c>
      <c r="V727">
        <f>IF(P727=0,0,IF(E727&lt;=$C$7,$AN$5*O726,0))*'Real assumptions'!$D$28</f>
        <v>0</v>
      </c>
      <c r="X727" s="94">
        <f t="shared" si="545"/>
        <v>0</v>
      </c>
      <c r="Y727">
        <f t="shared" si="534"/>
        <v>24</v>
      </c>
      <c r="Z727">
        <f t="shared" si="561"/>
        <v>39</v>
      </c>
      <c r="AA727">
        <f t="shared" si="535"/>
        <v>39.333333333333336</v>
      </c>
      <c r="AB727">
        <f t="shared" si="546"/>
        <v>50.505050505050505</v>
      </c>
      <c r="AC727">
        <f t="shared" si="528"/>
        <v>1986.5319865319866</v>
      </c>
      <c r="AD727">
        <f t="shared" si="547"/>
        <v>80.505050505050505</v>
      </c>
      <c r="AE727">
        <f t="shared" si="548"/>
        <v>158.32659932659934</v>
      </c>
      <c r="AF727" s="94">
        <f t="shared" si="549"/>
        <v>2855.1414141414139</v>
      </c>
      <c r="AG727">
        <f t="shared" si="562"/>
        <v>3.2830567051924595E-3</v>
      </c>
      <c r="AH727">
        <f t="shared" si="550"/>
        <v>0.99531205777059761</v>
      </c>
      <c r="AI727">
        <f>HLOOKUP(AW727,'Real assumptions'!$A$21:$AK$24,2,TRUE)</f>
        <v>0</v>
      </c>
      <c r="AJ727" s="123">
        <f t="shared" si="529"/>
        <v>0</v>
      </c>
      <c r="AK727" s="122">
        <f>(1+HLOOKUP(YEAR(A727),'Real assumptions'!$A$21:$AK$24,2,TRUE)/100)^(1/12)-1</f>
        <v>0</v>
      </c>
      <c r="AL727">
        <f t="shared" si="563"/>
        <v>7.9440013722231594E-3</v>
      </c>
      <c r="AM727">
        <f>('Real assumptions'!$B$33/12)*O726*AV726</f>
        <v>7.6580110978575885E-3</v>
      </c>
      <c r="AN727">
        <f t="shared" si="551"/>
        <v>1.0432638494381345</v>
      </c>
      <c r="AO727">
        <f t="shared" si="530"/>
        <v>0</v>
      </c>
      <c r="AP727" s="121">
        <f t="shared" si="552"/>
        <v>0</v>
      </c>
      <c r="AQ727">
        <f t="shared" si="553"/>
        <v>0</v>
      </c>
      <c r="AR727">
        <v>0</v>
      </c>
      <c r="AS727">
        <f t="shared" si="536"/>
        <v>0</v>
      </c>
      <c r="AT727">
        <f t="shared" si="554"/>
        <v>0</v>
      </c>
      <c r="AU727">
        <f>IFERROR(HLOOKUP(B727,'Real assumptions'!$B$43:$AL$44,2,TRUE)*($W$3/$U$2),0)</f>
        <v>0</v>
      </c>
      <c r="AV727">
        <f>AV726*(1+'Real assumptions'!$B$35)^(1/12)</f>
        <v>2.0963026495704304</v>
      </c>
      <c r="AW727">
        <f t="shared" si="537"/>
        <v>2078</v>
      </c>
      <c r="AX727">
        <f t="shared" si="564"/>
        <v>1.0439704149733497</v>
      </c>
      <c r="AY727">
        <f t="shared" si="565"/>
        <v>1.539094044957488E-3</v>
      </c>
      <c r="AZ727">
        <f t="shared" si="538"/>
        <v>1.6360440094859745</v>
      </c>
      <c r="BA727">
        <f t="shared" si="555"/>
        <v>8.2960312037612616E-2</v>
      </c>
      <c r="BB727">
        <f t="shared" si="556"/>
        <v>39.333333333333336</v>
      </c>
      <c r="BC727">
        <f t="shared" si="539"/>
        <v>23.6</v>
      </c>
      <c r="BD727">
        <f t="shared" si="557"/>
        <v>0</v>
      </c>
      <c r="BE727">
        <f t="shared" si="540"/>
        <v>24</v>
      </c>
      <c r="BF727">
        <f t="shared" si="566"/>
        <v>5000</v>
      </c>
      <c r="BU727"/>
      <c r="DW727" s="89"/>
      <c r="DX727" s="89"/>
      <c r="FD727"/>
      <c r="FE727"/>
    </row>
    <row r="728" spans="1:161" x14ac:dyDescent="0.25">
      <c r="A728" s="7">
        <f t="shared" si="558"/>
        <v>65258</v>
      </c>
      <c r="B728">
        <f t="shared" si="541"/>
        <v>717</v>
      </c>
      <c r="C728">
        <f t="shared" si="522"/>
        <v>59.666666666666664</v>
      </c>
      <c r="D728">
        <f t="shared" si="523"/>
        <v>0</v>
      </c>
      <c r="E728">
        <f t="shared" si="542"/>
        <v>111</v>
      </c>
      <c r="F728">
        <f>IF(C728&gt;=$T$2,0,VLOOKUP($E728,EKM_F05!$A$3:$C$128,2,TRUE))</f>
        <v>0.99363435897435892</v>
      </c>
      <c r="G728">
        <f>F728*'Real assumptions'!$B$3</f>
        <v>0.41464361799999999</v>
      </c>
      <c r="H728">
        <f t="shared" si="524"/>
        <v>4.3646694808055164E-2</v>
      </c>
      <c r="I728">
        <f t="shared" si="525"/>
        <v>1.5190931617712782E-5</v>
      </c>
      <c r="J728">
        <f>IF(B728&gt;$AJ$2,0,HLOOKUP(C728,'Real assumptions'!$B$5:$L$8,4,TRUE))</f>
        <v>3.7900000000000003E-2</v>
      </c>
      <c r="K728">
        <f t="shared" si="531"/>
        <v>1</v>
      </c>
      <c r="L728">
        <f t="shared" si="559"/>
        <v>8.3333333333333329E-2</v>
      </c>
      <c r="M728">
        <f t="shared" si="526"/>
        <v>3.2145624959929453E-3</v>
      </c>
      <c r="N728">
        <f t="shared" si="527"/>
        <v>1.0961520694033339E-6</v>
      </c>
      <c r="O728" s="8">
        <f t="shared" si="543"/>
        <v>3.3231633498799837E-4</v>
      </c>
      <c r="P728">
        <f t="shared" si="544"/>
        <v>8.3664820482027471E-3</v>
      </c>
      <c r="Q728">
        <f t="shared" si="560"/>
        <v>7.5954658088563914E-2</v>
      </c>
      <c r="R728" s="89">
        <f t="shared" si="532"/>
        <v>5000</v>
      </c>
      <c r="S728">
        <f t="shared" si="533"/>
        <v>0.25</v>
      </c>
      <c r="U728">
        <f>O727*AV727*'Real assumptions'!$B$33/12+AX728*'Real assumptions'!$B$34</f>
        <v>7.5808452002631681E-3</v>
      </c>
      <c r="V728">
        <f>IF(P728=0,0,IF(E728&lt;=$C$7,$AN$5*O727,0))*'Real assumptions'!$D$28</f>
        <v>0</v>
      </c>
      <c r="X728" s="94">
        <f t="shared" si="545"/>
        <v>0</v>
      </c>
      <c r="Y728">
        <f t="shared" si="534"/>
        <v>24</v>
      </c>
      <c r="Z728">
        <f t="shared" si="561"/>
        <v>39</v>
      </c>
      <c r="AA728">
        <f t="shared" si="535"/>
        <v>39.25</v>
      </c>
      <c r="AB728">
        <f t="shared" si="546"/>
        <v>50.505050505050505</v>
      </c>
      <c r="AC728">
        <f t="shared" si="528"/>
        <v>1982.3232323232323</v>
      </c>
      <c r="AD728">
        <f t="shared" si="547"/>
        <v>80.505050505050505</v>
      </c>
      <c r="AE728">
        <f t="shared" si="548"/>
        <v>157.99116161616161</v>
      </c>
      <c r="AF728" s="94">
        <f t="shared" si="549"/>
        <v>2859.685606060606</v>
      </c>
      <c r="AG728">
        <f t="shared" si="562"/>
        <v>3.1346502949262602E-3</v>
      </c>
      <c r="AH728">
        <f t="shared" si="550"/>
        <v>0.9503202398239935</v>
      </c>
      <c r="AI728">
        <f>HLOOKUP(AW728,'Real assumptions'!$A$21:$AK$24,2,TRUE)</f>
        <v>0</v>
      </c>
      <c r="AJ728" s="123">
        <f t="shared" si="529"/>
        <v>0</v>
      </c>
      <c r="AK728" s="122">
        <f>(1+HLOOKUP(YEAR(A728),'Real assumptions'!$A$21:$AK$24,2,TRUE)/100)^(1/12)-1</f>
        <v>0</v>
      </c>
      <c r="AL728">
        <f t="shared" si="563"/>
        <v>7.5808452002631681E-3</v>
      </c>
      <c r="AM728">
        <f>('Real assumptions'!$B$33/12)*O727*AV727</f>
        <v>7.3077827021795242E-3</v>
      </c>
      <c r="AN728">
        <f t="shared" si="551"/>
        <v>0.99609769461853725</v>
      </c>
      <c r="AO728">
        <f t="shared" si="530"/>
        <v>0</v>
      </c>
      <c r="AP728" s="121">
        <f t="shared" si="552"/>
        <v>0</v>
      </c>
      <c r="AQ728">
        <f t="shared" si="553"/>
        <v>0</v>
      </c>
      <c r="AR728">
        <v>0</v>
      </c>
      <c r="AS728">
        <f t="shared" si="536"/>
        <v>0</v>
      </c>
      <c r="AT728">
        <f t="shared" si="554"/>
        <v>0</v>
      </c>
      <c r="AU728">
        <f>IFERROR(HLOOKUP(B728,'Real assumptions'!$B$43:$AL$44,2,TRUE)*($W$3/$U$2),0)</f>
        <v>0</v>
      </c>
      <c r="AV728">
        <f>AV727*(1+'Real assumptions'!$B$35)^(1/12)</f>
        <v>2.0984738866853245</v>
      </c>
      <c r="AW728">
        <f t="shared" si="537"/>
        <v>2078</v>
      </c>
      <c r="AX728">
        <f t="shared" si="564"/>
        <v>0.99677924387613259</v>
      </c>
      <c r="AY728">
        <f t="shared" si="565"/>
        <v>1.4671861055349934E-3</v>
      </c>
      <c r="AZ728">
        <f t="shared" si="538"/>
        <v>1.5577403379504238</v>
      </c>
      <c r="BA728">
        <f t="shared" si="555"/>
        <v>7.9089308383490181E-2</v>
      </c>
      <c r="BB728">
        <f t="shared" si="556"/>
        <v>39.25</v>
      </c>
      <c r="BC728">
        <f t="shared" si="539"/>
        <v>23.549999999999997</v>
      </c>
      <c r="BD728">
        <f t="shared" si="557"/>
        <v>0</v>
      </c>
      <c r="BE728">
        <f t="shared" si="540"/>
        <v>24</v>
      </c>
      <c r="BF728">
        <f t="shared" si="566"/>
        <v>5000</v>
      </c>
      <c r="BU728"/>
      <c r="DW728" s="89"/>
      <c r="DX728" s="89"/>
      <c r="FD728"/>
      <c r="FE728"/>
    </row>
    <row r="729" spans="1:161" x14ac:dyDescent="0.25">
      <c r="A729" s="7">
        <f t="shared" si="558"/>
        <v>65288</v>
      </c>
      <c r="B729">
        <f t="shared" si="541"/>
        <v>718</v>
      </c>
      <c r="C729">
        <f t="shared" si="522"/>
        <v>59.75</v>
      </c>
      <c r="D729">
        <f t="shared" si="523"/>
        <v>0</v>
      </c>
      <c r="E729">
        <f t="shared" si="542"/>
        <v>111</v>
      </c>
      <c r="F729">
        <f>IF(C729&gt;=$T$2,0,VLOOKUP($E729,EKM_F05!$A$3:$C$128,2,TRUE))</f>
        <v>0.99363435897435892</v>
      </c>
      <c r="G729">
        <f>F729*'Real assumptions'!$B$3</f>
        <v>0.41464361799999999</v>
      </c>
      <c r="H729">
        <f t="shared" si="524"/>
        <v>4.3646694808055164E-2</v>
      </c>
      <c r="I729">
        <f t="shared" si="525"/>
        <v>1.4481196826576014E-5</v>
      </c>
      <c r="J729">
        <f>IF(B729&gt;$AJ$2,0,HLOOKUP(C729,'Real assumptions'!$B$5:$L$8,4,TRUE))</f>
        <v>3.7900000000000003E-2</v>
      </c>
      <c r="K729">
        <f t="shared" si="531"/>
        <v>1</v>
      </c>
      <c r="L729">
        <f t="shared" si="559"/>
        <v>8.3333333333333329E-2</v>
      </c>
      <c r="M729">
        <f t="shared" si="526"/>
        <v>3.2145624959929453E-3</v>
      </c>
      <c r="N729">
        <f t="shared" si="527"/>
        <v>1.0449388008816733E-6</v>
      </c>
      <c r="O729" s="8">
        <f t="shared" si="543"/>
        <v>3.1679019936054067E-4</v>
      </c>
      <c r="P729">
        <f t="shared" si="544"/>
        <v>7.9755920397119612E-3</v>
      </c>
      <c r="Q729">
        <f t="shared" si="560"/>
        <v>7.2405984132880075E-2</v>
      </c>
      <c r="R729" s="89">
        <f t="shared" si="532"/>
        <v>5000</v>
      </c>
      <c r="S729">
        <f t="shared" si="533"/>
        <v>0.1666666666666643</v>
      </c>
      <c r="U729">
        <f>O728*AV728*'Real assumptions'!$B$33/12+AX729*'Real assumptions'!$B$34</f>
        <v>7.234289955630439E-3</v>
      </c>
      <c r="V729">
        <f>IF(P729=0,0,IF(E729&lt;=$C$7,$AN$5*O728,0))*'Real assumptions'!$D$28</f>
        <v>0</v>
      </c>
      <c r="X729" s="94">
        <f t="shared" si="545"/>
        <v>0</v>
      </c>
      <c r="Y729">
        <f t="shared" si="534"/>
        <v>24</v>
      </c>
      <c r="Z729">
        <f t="shared" si="561"/>
        <v>39</v>
      </c>
      <c r="AA729">
        <f t="shared" si="535"/>
        <v>39.166666666666664</v>
      </c>
      <c r="AB729">
        <f t="shared" si="546"/>
        <v>50.505050505050505</v>
      </c>
      <c r="AC729">
        <f t="shared" si="528"/>
        <v>1978.1144781144781</v>
      </c>
      <c r="AD729">
        <f t="shared" si="547"/>
        <v>80.505050505050505</v>
      </c>
      <c r="AE729">
        <f t="shared" si="548"/>
        <v>157.6557239057239</v>
      </c>
      <c r="AF729" s="94">
        <f t="shared" si="549"/>
        <v>2864.2297979797981</v>
      </c>
      <c r="AG729">
        <f t="shared" si="562"/>
        <v>2.9929448505505675E-3</v>
      </c>
      <c r="AH729">
        <f t="shared" si="550"/>
        <v>0.90735992871642135</v>
      </c>
      <c r="AI729">
        <f>HLOOKUP(AW729,'Real assumptions'!$A$21:$AK$24,2,TRUE)</f>
        <v>0</v>
      </c>
      <c r="AJ729" s="123">
        <f t="shared" si="529"/>
        <v>0</v>
      </c>
      <c r="AK729" s="122">
        <f>(1+HLOOKUP(YEAR(A729),'Real assumptions'!$A$21:$AK$24,2,TRUE)/100)^(1/12)-1</f>
        <v>0</v>
      </c>
      <c r="AL729">
        <f t="shared" si="563"/>
        <v>7.234289955630439E-3</v>
      </c>
      <c r="AM729">
        <f>('Real assumptions'!$B$33/12)*O728*AV728</f>
        <v>6.9735715109128724E-3</v>
      </c>
      <c r="AN729">
        <f t="shared" si="551"/>
        <v>0.95106154190807501</v>
      </c>
      <c r="AO729">
        <f t="shared" si="530"/>
        <v>0</v>
      </c>
      <c r="AP729" s="121">
        <f t="shared" si="552"/>
        <v>0</v>
      </c>
      <c r="AQ729">
        <f t="shared" si="553"/>
        <v>0</v>
      </c>
      <c r="AR729">
        <v>0</v>
      </c>
      <c r="AS729">
        <f t="shared" si="536"/>
        <v>0</v>
      </c>
      <c r="AT729">
        <f t="shared" si="554"/>
        <v>0</v>
      </c>
      <c r="AU729">
        <f>IFERROR(HLOOKUP(B729,'Real assumptions'!$B$43:$AL$44,2,TRUE)*($W$3/$U$2),0)</f>
        <v>0</v>
      </c>
      <c r="AV729">
        <f>AV728*(1+'Real assumptions'!$B$35)^(1/12)</f>
        <v>2.1006473726504074</v>
      </c>
      <c r="AW729">
        <f t="shared" si="537"/>
        <v>2078</v>
      </c>
      <c r="AX729">
        <f t="shared" si="564"/>
        <v>0.95171887759751206</v>
      </c>
      <c r="AY729">
        <f t="shared" si="565"/>
        <v>1.3986377735185115E-3</v>
      </c>
      <c r="AZ729">
        <f t="shared" si="538"/>
        <v>1.4830827110510747</v>
      </c>
      <c r="BA729">
        <f t="shared" si="555"/>
        <v>7.5398928983430646E-2</v>
      </c>
      <c r="BB729">
        <f t="shared" si="556"/>
        <v>39.166666666666664</v>
      </c>
      <c r="BC729">
        <f t="shared" si="539"/>
        <v>23.5</v>
      </c>
      <c r="BD729">
        <f t="shared" si="557"/>
        <v>0</v>
      </c>
      <c r="BE729">
        <f t="shared" si="540"/>
        <v>24</v>
      </c>
      <c r="BF729">
        <f t="shared" si="566"/>
        <v>5000</v>
      </c>
      <c r="BU729"/>
      <c r="DW729" s="89"/>
      <c r="DX729" s="89"/>
      <c r="FD729"/>
      <c r="FE729"/>
    </row>
    <row r="730" spans="1:161" x14ac:dyDescent="0.25">
      <c r="A730" s="7">
        <f t="shared" si="558"/>
        <v>65319</v>
      </c>
      <c r="B730">
        <f t="shared" si="541"/>
        <v>719</v>
      </c>
      <c r="C730">
        <f t="shared" si="522"/>
        <v>59.833333333333336</v>
      </c>
      <c r="D730">
        <f t="shared" si="523"/>
        <v>0</v>
      </c>
      <c r="E730">
        <f t="shared" si="542"/>
        <v>111</v>
      </c>
      <c r="F730">
        <f>IF(C730&gt;=$T$2,0,VLOOKUP($E730,EKM_F05!$A$3:$C$128,2,TRUE))</f>
        <v>0.99363435897435892</v>
      </c>
      <c r="G730">
        <f>F730*'Real assumptions'!$B$3</f>
        <v>0.41464361799999999</v>
      </c>
      <c r="H730">
        <f t="shared" si="524"/>
        <v>4.3646694808055164E-2</v>
      </c>
      <c r="I730">
        <f t="shared" si="525"/>
        <v>1.3804621520744452E-5</v>
      </c>
      <c r="J730">
        <f>IF(B730&gt;$AJ$2,0,HLOOKUP(C730,'Real assumptions'!$B$5:$L$8,4,TRUE))</f>
        <v>3.7900000000000003E-2</v>
      </c>
      <c r="K730">
        <f t="shared" si="531"/>
        <v>1</v>
      </c>
      <c r="L730">
        <f t="shared" si="559"/>
        <v>8.3333333333333329E-2</v>
      </c>
      <c r="M730">
        <f t="shared" si="526"/>
        <v>3.2145624959929453E-3</v>
      </c>
      <c r="N730">
        <f t="shared" si="527"/>
        <v>9.9611826503450278E-7</v>
      </c>
      <c r="O730" s="8">
        <f t="shared" si="543"/>
        <v>3.0198945957476172E-4</v>
      </c>
      <c r="P730">
        <f t="shared" si="544"/>
        <v>7.6029647846529765E-3</v>
      </c>
      <c r="Q730">
        <f t="shared" si="560"/>
        <v>6.9023107603722267E-2</v>
      </c>
      <c r="R730" s="89">
        <f t="shared" si="532"/>
        <v>5000</v>
      </c>
      <c r="S730">
        <f t="shared" si="533"/>
        <v>8.3333333333335702E-2</v>
      </c>
      <c r="U730">
        <f>O729*AV729*'Real assumptions'!$B$33/12+AX730*'Real assumptions'!$B$34</f>
        <v>6.9035767891301447E-3</v>
      </c>
      <c r="V730">
        <f>IF(P730=0,0,IF(E730&lt;=$C$7,$AN$5*O729,0))*'Real assumptions'!$D$28</f>
        <v>0</v>
      </c>
      <c r="X730" s="94">
        <f t="shared" si="545"/>
        <v>0</v>
      </c>
      <c r="Y730">
        <f t="shared" si="534"/>
        <v>24</v>
      </c>
      <c r="Z730">
        <f t="shared" si="561"/>
        <v>39</v>
      </c>
      <c r="AA730">
        <f t="shared" si="535"/>
        <v>39.083333333333336</v>
      </c>
      <c r="AB730">
        <f t="shared" si="546"/>
        <v>50.505050505050505</v>
      </c>
      <c r="AC730">
        <f t="shared" si="528"/>
        <v>1973.905723905724</v>
      </c>
      <c r="AD730">
        <f t="shared" si="547"/>
        <v>80.505050505050505</v>
      </c>
      <c r="AE730">
        <f t="shared" si="548"/>
        <v>157.3202861952862</v>
      </c>
      <c r="AF730" s="94">
        <f t="shared" si="549"/>
        <v>2868.7739898989898</v>
      </c>
      <c r="AG730">
        <f t="shared" si="562"/>
        <v>2.85763816959429E-3</v>
      </c>
      <c r="AH730">
        <f t="shared" si="550"/>
        <v>0.86633950685172889</v>
      </c>
      <c r="AI730">
        <f>HLOOKUP(AW730,'Real assumptions'!$A$21:$AK$24,2,TRUE)</f>
        <v>0</v>
      </c>
      <c r="AJ730" s="123">
        <f t="shared" si="529"/>
        <v>0</v>
      </c>
      <c r="AK730" s="122">
        <f>(1+HLOOKUP(YEAR(A730),'Real assumptions'!$A$21:$AK$24,2,TRUE)/100)^(1/12)-1</f>
        <v>0</v>
      </c>
      <c r="AL730">
        <f t="shared" si="563"/>
        <v>6.9035767891301447E-3</v>
      </c>
      <c r="AM730">
        <f>('Real assumptions'!$B$33/12)*O729*AV729</f>
        <v>6.6546449996811845E-3</v>
      </c>
      <c r="AN730">
        <f t="shared" si="551"/>
        <v>0.90805931671194418</v>
      </c>
      <c r="AO730">
        <f t="shared" si="530"/>
        <v>0</v>
      </c>
      <c r="AP730" s="121">
        <f t="shared" si="552"/>
        <v>0</v>
      </c>
      <c r="AQ730">
        <f t="shared" si="553"/>
        <v>0</v>
      </c>
      <c r="AR730">
        <v>0</v>
      </c>
      <c r="AS730">
        <f t="shared" si="536"/>
        <v>0</v>
      </c>
      <c r="AT730">
        <f t="shared" si="554"/>
        <v>0</v>
      </c>
      <c r="AU730">
        <f>IFERROR(HLOOKUP(B730,'Real assumptions'!$B$43:$AL$44,2,TRUE)*($W$3/$U$2),0)</f>
        <v>0</v>
      </c>
      <c r="AV730">
        <f>AV729*(1+'Real assumptions'!$B$35)^(1/12)</f>
        <v>2.1028231097949166</v>
      </c>
      <c r="AW730">
        <f t="shared" si="537"/>
        <v>2078</v>
      </c>
      <c r="AX730">
        <f t="shared" si="564"/>
        <v>0.90869322080127213</v>
      </c>
      <c r="AY730">
        <f t="shared" si="565"/>
        <v>1.3332920848507603E-3</v>
      </c>
      <c r="AZ730">
        <f t="shared" si="538"/>
        <v>1.4119013532732809</v>
      </c>
      <c r="BA730">
        <f t="shared" si="555"/>
        <v>7.1880745773316559E-2</v>
      </c>
      <c r="BB730">
        <f t="shared" si="556"/>
        <v>39.083333333333336</v>
      </c>
      <c r="BC730">
        <f t="shared" si="539"/>
        <v>23.450000000000003</v>
      </c>
      <c r="BD730">
        <f t="shared" si="557"/>
        <v>0</v>
      </c>
      <c r="BE730">
        <f t="shared" si="540"/>
        <v>24</v>
      </c>
      <c r="BF730">
        <f t="shared" si="566"/>
        <v>5000</v>
      </c>
      <c r="BU730"/>
      <c r="DW730" s="89"/>
      <c r="DX730" s="89"/>
      <c r="FD730"/>
      <c r="FE730"/>
    </row>
    <row r="731" spans="1:161" x14ac:dyDescent="0.25">
      <c r="A731" s="7">
        <f t="shared" si="558"/>
        <v>65349</v>
      </c>
      <c r="B731">
        <f t="shared" si="541"/>
        <v>720</v>
      </c>
      <c r="C731">
        <f t="shared" si="522"/>
        <v>59.916666666666664</v>
      </c>
      <c r="D731">
        <f t="shared" si="523"/>
        <v>0</v>
      </c>
      <c r="E731">
        <f t="shared" si="542"/>
        <v>111</v>
      </c>
      <c r="F731">
        <f>IF(C731&gt;=$T$2,0,VLOOKUP($E731,EKM_F05!$A$3:$C$128,2,TRUE))</f>
        <v>0.99363435897435892</v>
      </c>
      <c r="G731">
        <f>F731*'Real assumptions'!$B$3</f>
        <v>0.41464361799999999</v>
      </c>
      <c r="H731">
        <f t="shared" si="524"/>
        <v>4.3646694808055164E-2</v>
      </c>
      <c r="I731">
        <f t="shared" si="525"/>
        <v>1.315965645748766E-5</v>
      </c>
      <c r="J731">
        <f>IF(B731&gt;$AJ$2,0,HLOOKUP(C731,'Real assumptions'!$B$5:$L$8,4,TRUE))</f>
        <v>3.7900000000000003E-2</v>
      </c>
      <c r="K731">
        <f t="shared" si="531"/>
        <v>1</v>
      </c>
      <c r="L731">
        <f t="shared" si="559"/>
        <v>8.3333333333333329E-2</v>
      </c>
      <c r="M731">
        <f t="shared" si="526"/>
        <v>3.2145624959929453E-3</v>
      </c>
      <c r="N731">
        <f t="shared" si="527"/>
        <v>9.4957867111272929E-7</v>
      </c>
      <c r="O731" s="8">
        <f t="shared" si="543"/>
        <v>2.8788022444616132E-4</v>
      </c>
      <c r="P731">
        <f t="shared" si="544"/>
        <v>7.2477470297942813E-3</v>
      </c>
      <c r="Q731">
        <f t="shared" si="560"/>
        <v>6.5798282287438295E-2</v>
      </c>
      <c r="R731" s="89">
        <f t="shared" si="532"/>
        <v>5000</v>
      </c>
      <c r="S731">
        <f t="shared" si="533"/>
        <v>1</v>
      </c>
      <c r="U731">
        <f>O730*AV730*'Real assumptions'!$B$33/12+AX731*'Real assumptions'!$B$34</f>
        <v>6.5879815382054356E-3</v>
      </c>
      <c r="V731">
        <f>IF(P731=0,0,IF(E731&lt;=$C$7,$AN$5*O730,0))*'Real assumptions'!$D$28</f>
        <v>0</v>
      </c>
      <c r="X731" s="94">
        <f t="shared" si="545"/>
        <v>0</v>
      </c>
      <c r="Y731">
        <f t="shared" si="534"/>
        <v>24</v>
      </c>
      <c r="Z731">
        <f t="shared" si="561"/>
        <v>39</v>
      </c>
      <c r="AA731">
        <f t="shared" si="535"/>
        <v>39</v>
      </c>
      <c r="AB731">
        <f t="shared" si="546"/>
        <v>50.505050505050505</v>
      </c>
      <c r="AC731">
        <f t="shared" si="528"/>
        <v>1969.6969696969697</v>
      </c>
      <c r="AD731">
        <f t="shared" si="547"/>
        <v>80.505050505050505</v>
      </c>
      <c r="AE731">
        <f t="shared" si="548"/>
        <v>156.98484848484847</v>
      </c>
      <c r="AF731" s="94">
        <f t="shared" si="549"/>
        <v>2873.3181818181815</v>
      </c>
      <c r="AG731">
        <f t="shared" si="562"/>
        <v>2.7284416607749524E-3</v>
      </c>
      <c r="AH731">
        <f t="shared" si="550"/>
        <v>0.82717148308705424</v>
      </c>
      <c r="AI731">
        <f>HLOOKUP(AW731,'Real assumptions'!$A$21:$AK$24,2,TRUE)</f>
        <v>0</v>
      </c>
      <c r="AJ731" s="123">
        <f t="shared" si="529"/>
        <v>0</v>
      </c>
      <c r="AK731" s="122">
        <f>(1+HLOOKUP(YEAR(A731),'Real assumptions'!$A$21:$AK$24,2,TRUE)/100)^(1/12)-1</f>
        <v>0</v>
      </c>
      <c r="AL731">
        <f t="shared" si="563"/>
        <v>6.5879815382054356E-3</v>
      </c>
      <c r="AM731">
        <f>('Real assumptions'!$B$33/12)*O730*AV730</f>
        <v>6.3503041450828678E-3</v>
      </c>
      <c r="AN731">
        <f t="shared" si="551"/>
        <v>0.86699927234331775</v>
      </c>
      <c r="AO731">
        <f t="shared" si="530"/>
        <v>0</v>
      </c>
      <c r="AP731" s="121">
        <f t="shared" si="552"/>
        <v>0</v>
      </c>
      <c r="AQ731">
        <f t="shared" si="553"/>
        <v>0</v>
      </c>
      <c r="AR731">
        <v>0</v>
      </c>
      <c r="AS731">
        <f t="shared" si="536"/>
        <v>0</v>
      </c>
      <c r="AT731">
        <f t="shared" si="554"/>
        <v>0</v>
      </c>
      <c r="AU731">
        <f>IFERROR(HLOOKUP(B731,'Real assumptions'!$B$43:$AL$44,2,TRUE)*($W$3/$U$2),0)</f>
        <v>0</v>
      </c>
      <c r="AV731">
        <f>AV730*(1+'Real assumptions'!$B$35)^(1/12)</f>
        <v>2.1050011004505023</v>
      </c>
      <c r="AW731">
        <f t="shared" si="537"/>
        <v>2078</v>
      </c>
      <c r="AX731">
        <f t="shared" si="564"/>
        <v>0.86761050626071357</v>
      </c>
      <c r="AY731">
        <f t="shared" si="565"/>
        <v>1.2709994089846873E-3</v>
      </c>
      <c r="AZ731">
        <f t="shared" si="538"/>
        <v>1.3440343948166564</v>
      </c>
      <c r="BA731">
        <f t="shared" si="555"/>
        <v>6.8526723948213242E-2</v>
      </c>
      <c r="BB731">
        <f t="shared" si="556"/>
        <v>39</v>
      </c>
      <c r="BC731">
        <f t="shared" si="539"/>
        <v>23.4</v>
      </c>
      <c r="BD731">
        <f t="shared" si="557"/>
        <v>0</v>
      </c>
      <c r="BE731">
        <f t="shared" si="540"/>
        <v>24</v>
      </c>
      <c r="BF731">
        <f t="shared" si="566"/>
        <v>5000</v>
      </c>
      <c r="BU731"/>
      <c r="DW731" s="89"/>
      <c r="DX731" s="89"/>
      <c r="FD731"/>
      <c r="FE731"/>
    </row>
    <row r="732" spans="1:161" x14ac:dyDescent="0.25">
      <c r="A732" s="7">
        <f t="shared" si="558"/>
        <v>65380</v>
      </c>
      <c r="B732">
        <f t="shared" si="541"/>
        <v>721</v>
      </c>
      <c r="C732">
        <f t="shared" si="522"/>
        <v>60</v>
      </c>
      <c r="D732">
        <f t="shared" si="523"/>
        <v>1</v>
      </c>
      <c r="E732">
        <f t="shared" si="542"/>
        <v>112</v>
      </c>
      <c r="F732">
        <f>IF(C732&gt;=$T$2,0,VLOOKUP($E732,EKM_F05!$A$3:$C$128,2,TRUE))</f>
        <v>1</v>
      </c>
      <c r="G732">
        <f>F732*'Real assumptions'!$B$3</f>
        <v>0.4173</v>
      </c>
      <c r="H732">
        <f t="shared" si="524"/>
        <v>4.4009114911801261E-2</v>
      </c>
      <c r="I732">
        <f t="shared" si="525"/>
        <v>1.264899066357313E-5</v>
      </c>
      <c r="J732">
        <f>IF(B732&gt;$AJ$2,0,HLOOKUP(C732,'Real assumptions'!$B$5:$L$8,4,TRUE))</f>
        <v>3.7900000000000003E-2</v>
      </c>
      <c r="K732">
        <f t="shared" si="531"/>
        <v>1</v>
      </c>
      <c r="L732">
        <f t="shared" si="559"/>
        <v>8.3333333333333329E-2</v>
      </c>
      <c r="M732">
        <f t="shared" si="526"/>
        <v>3.2145624959929453E-3</v>
      </c>
      <c r="N732">
        <f t="shared" si="527"/>
        <v>9.0504575792953923E-7</v>
      </c>
      <c r="O732" s="8">
        <f t="shared" si="543"/>
        <v>2.7432618802465864E-4</v>
      </c>
      <c r="P732">
        <f t="shared" si="544"/>
        <v>6.9091253867078718E-3</v>
      </c>
      <c r="Q732">
        <f t="shared" si="560"/>
        <v>6.3244953317865657E-2</v>
      </c>
      <c r="R732" s="89">
        <f t="shared" si="532"/>
        <v>5000</v>
      </c>
      <c r="S732">
        <f t="shared" si="533"/>
        <v>0.9166666666666643</v>
      </c>
      <c r="U732">
        <f>O731*AV731*'Real assumptions'!$B$33/12+AX732*'Real assumptions'!$B$34</f>
        <v>6.2868131414897813E-3</v>
      </c>
      <c r="V732">
        <f>IF(P732=0,0,IF(E732&lt;=$C$7,$AN$5*O731,0))*'Real assumptions'!$D$28</f>
        <v>0</v>
      </c>
      <c r="X732" s="94">
        <f t="shared" si="545"/>
        <v>0</v>
      </c>
      <c r="Y732">
        <f t="shared" si="534"/>
        <v>24</v>
      </c>
      <c r="Z732">
        <f t="shared" si="561"/>
        <v>39</v>
      </c>
      <c r="AA732">
        <f t="shared" si="535"/>
        <v>38.916666666666664</v>
      </c>
      <c r="AB732">
        <f t="shared" si="546"/>
        <v>50.505050505050505</v>
      </c>
      <c r="AC732">
        <f t="shared" si="528"/>
        <v>1965.4882154882155</v>
      </c>
      <c r="AD732">
        <f t="shared" si="547"/>
        <v>80.505050505050505</v>
      </c>
      <c r="AE732">
        <f t="shared" si="548"/>
        <v>156.64941077441077</v>
      </c>
      <c r="AF732" s="94">
        <f t="shared" si="549"/>
        <v>2877.8623737373741</v>
      </c>
      <c r="AG732">
        <f t="shared" si="562"/>
        <v>2.6045971332560448E-3</v>
      </c>
      <c r="AH732">
        <f t="shared" si="550"/>
        <v>0.78947301464696928</v>
      </c>
      <c r="AI732">
        <f>HLOOKUP(AW732,'Real assumptions'!$A$21:$AK$24,2,TRUE)</f>
        <v>0</v>
      </c>
      <c r="AJ732" s="123">
        <f t="shared" si="529"/>
        <v>0</v>
      </c>
      <c r="AK732" s="122">
        <f>(1+HLOOKUP(YEAR(A732),'Real assumptions'!$A$21:$AK$24,2,TRUE)/100)^(1/12)-1</f>
        <v>0</v>
      </c>
      <c r="AL732">
        <f t="shared" si="563"/>
        <v>6.2868131414897813E-3</v>
      </c>
      <c r="AM732">
        <f>('Real assumptions'!$B$33/12)*O731*AV731</f>
        <v>6.0598818925710713E-3</v>
      </c>
      <c r="AN732">
        <f t="shared" si="551"/>
        <v>0.82779379533227226</v>
      </c>
      <c r="AO732">
        <f t="shared" si="530"/>
        <v>0</v>
      </c>
      <c r="AP732" s="121">
        <f t="shared" si="552"/>
        <v>0</v>
      </c>
      <c r="AQ732">
        <f t="shared" si="553"/>
        <v>0</v>
      </c>
      <c r="AR732">
        <v>0</v>
      </c>
      <c r="AS732">
        <f t="shared" si="536"/>
        <v>0</v>
      </c>
      <c r="AT732">
        <f t="shared" si="554"/>
        <v>0</v>
      </c>
      <c r="AU732">
        <f>IFERROR(HLOOKUP(B732,'Real assumptions'!$B$43:$AL$44,2,TRUE)*($W$3/$U$2),0)</f>
        <v>0</v>
      </c>
      <c r="AV732">
        <f>AV731*(1+'Real assumptions'!$B$35)^(1/12)</f>
        <v>2.1071813469512297</v>
      </c>
      <c r="AW732">
        <f t="shared" si="537"/>
        <v>2078</v>
      </c>
      <c r="AX732">
        <f t="shared" si="564"/>
        <v>0.82838310019330907</v>
      </c>
      <c r="AY732">
        <f t="shared" si="565"/>
        <v>1.2116171062548876E-3</v>
      </c>
      <c r="AZ732">
        <f t="shared" si="538"/>
        <v>1.2788071566107531</v>
      </c>
      <c r="BA732">
        <f t="shared" si="555"/>
        <v>6.5849550451121702E-2</v>
      </c>
      <c r="BB732">
        <f t="shared" si="556"/>
        <v>38.916666666666664</v>
      </c>
      <c r="BC732">
        <f t="shared" si="539"/>
        <v>23.349999999999998</v>
      </c>
      <c r="BD732">
        <f t="shared" si="557"/>
        <v>0</v>
      </c>
      <c r="BE732">
        <f t="shared" si="540"/>
        <v>24</v>
      </c>
      <c r="BF732">
        <f t="shared" si="566"/>
        <v>5000</v>
      </c>
      <c r="BU732"/>
      <c r="DW732" s="89"/>
      <c r="DX732" s="89"/>
      <c r="FD732"/>
      <c r="FE732"/>
    </row>
    <row r="733" spans="1:161" x14ac:dyDescent="0.25">
      <c r="A733" s="7">
        <f t="shared" si="558"/>
        <v>65411</v>
      </c>
      <c r="B733">
        <f t="shared" si="541"/>
        <v>722</v>
      </c>
      <c r="C733">
        <f t="shared" si="522"/>
        <v>60.083333333333336</v>
      </c>
      <c r="D733">
        <f t="shared" si="523"/>
        <v>0</v>
      </c>
      <c r="E733">
        <f t="shared" si="542"/>
        <v>112</v>
      </c>
      <c r="F733">
        <f>IF(C733&gt;=$T$2,0,VLOOKUP($E733,EKM_F05!$A$3:$C$128,2,TRUE))</f>
        <v>1</v>
      </c>
      <c r="G733">
        <f>F733*'Real assumptions'!$B$3</f>
        <v>0.4173</v>
      </c>
      <c r="H733">
        <f t="shared" si="524"/>
        <v>4.4009114911801261E-2</v>
      </c>
      <c r="I733">
        <f t="shared" si="525"/>
        <v>1.2053448262287484E-5</v>
      </c>
      <c r="J733">
        <f>IF(B733&gt;$AJ$2,0,HLOOKUP(C733,'Real assumptions'!$B$5:$L$8,4,TRUE))</f>
        <v>3.7900000000000003E-2</v>
      </c>
      <c r="K733">
        <f t="shared" si="531"/>
        <v>1</v>
      </c>
      <c r="L733">
        <f t="shared" si="559"/>
        <v>8.3333333333333329E-2</v>
      </c>
      <c r="M733">
        <f t="shared" si="526"/>
        <v>3.2145624959929453E-3</v>
      </c>
      <c r="N733">
        <f t="shared" si="527"/>
        <v>8.6243420588665957E-7</v>
      </c>
      <c r="O733" s="8">
        <f t="shared" si="543"/>
        <v>2.6141030555648453E-4</v>
      </c>
      <c r="P733">
        <f t="shared" si="544"/>
        <v>6.5838285125918074E-3</v>
      </c>
      <c r="Q733">
        <f t="shared" si="560"/>
        <v>6.0267241311437424E-2</v>
      </c>
      <c r="R733" s="89">
        <f t="shared" si="532"/>
        <v>5000</v>
      </c>
      <c r="S733">
        <f t="shared" si="533"/>
        <v>0.8333333333333357</v>
      </c>
      <c r="U733">
        <f>O732*AV732*'Real assumptions'!$B$33/12+AX733*'Real assumptions'!$B$34</f>
        <v>5.9971385857487533E-3</v>
      </c>
      <c r="V733">
        <f>IF(P733=0,0,IF(E733&lt;=$C$7,$AN$5*O732,0))*'Real assumptions'!$D$28</f>
        <v>0</v>
      </c>
      <c r="X733" s="94">
        <f t="shared" si="545"/>
        <v>0</v>
      </c>
      <c r="Y733">
        <f t="shared" si="534"/>
        <v>24</v>
      </c>
      <c r="Z733">
        <f t="shared" si="561"/>
        <v>38</v>
      </c>
      <c r="AA733">
        <f t="shared" si="535"/>
        <v>38.833333333333336</v>
      </c>
      <c r="AB733">
        <f t="shared" si="546"/>
        <v>50.505050505050505</v>
      </c>
      <c r="AC733">
        <f t="shared" si="528"/>
        <v>1961.2794612794614</v>
      </c>
      <c r="AD733">
        <f t="shared" si="547"/>
        <v>80.505050505050505</v>
      </c>
      <c r="AE733">
        <f t="shared" si="548"/>
        <v>156.31397306397307</v>
      </c>
      <c r="AF733" s="94">
        <f t="shared" si="549"/>
        <v>2882.4065656565654</v>
      </c>
      <c r="AG733">
        <f t="shared" si="562"/>
        <v>2.4858860174945137E-3</v>
      </c>
      <c r="AH733">
        <f t="shared" si="550"/>
        <v>0.75349078106629996</v>
      </c>
      <c r="AI733">
        <f>HLOOKUP(AW733,'Real assumptions'!$A$21:$AK$24,2,TRUE)</f>
        <v>0</v>
      </c>
      <c r="AJ733" s="123">
        <f t="shared" si="529"/>
        <v>0</v>
      </c>
      <c r="AK733" s="122">
        <f>(1+HLOOKUP(YEAR(A733),'Real assumptions'!$A$21:$AK$24,2,TRUE)/100)^(1/12)-1</f>
        <v>0</v>
      </c>
      <c r="AL733">
        <f t="shared" si="563"/>
        <v>5.9971385857487533E-3</v>
      </c>
      <c r="AM733">
        <f>('Real assumptions'!$B$33/12)*O732*AV732</f>
        <v>5.7805502638579647E-3</v>
      </c>
      <c r="AN733">
        <f t="shared" si="551"/>
        <v>0.79005970457381225</v>
      </c>
      <c r="AO733">
        <f t="shared" si="530"/>
        <v>0</v>
      </c>
      <c r="AP733" s="121">
        <f t="shared" si="552"/>
        <v>0</v>
      </c>
      <c r="AQ733">
        <f t="shared" si="553"/>
        <v>0</v>
      </c>
      <c r="AR733">
        <v>0</v>
      </c>
      <c r="AS733">
        <f t="shared" si="536"/>
        <v>0</v>
      </c>
      <c r="AT733">
        <f t="shared" si="554"/>
        <v>0</v>
      </c>
      <c r="AU733">
        <f>IFERROR(HLOOKUP(B733,'Real assumptions'!$B$43:$AL$44,2,TRUE)*($W$3/$U$2),0)</f>
        <v>0</v>
      </c>
      <c r="AV733">
        <f>AV732*(1+'Real assumptions'!$B$35)^(1/12)</f>
        <v>2.1093638516335811</v>
      </c>
      <c r="AW733">
        <f t="shared" si="537"/>
        <v>2079</v>
      </c>
      <c r="AX733">
        <f t="shared" si="564"/>
        <v>0.79062758614538953</v>
      </c>
      <c r="AY733">
        <f t="shared" si="565"/>
        <v>1.1545714984202804E-3</v>
      </c>
      <c r="AZ733">
        <f t="shared" si="538"/>
        <v>1.2166407192086643</v>
      </c>
      <c r="BA733">
        <f t="shared" si="555"/>
        <v>6.2753127328931943E-2</v>
      </c>
      <c r="BB733">
        <f t="shared" si="556"/>
        <v>38.833333333333336</v>
      </c>
      <c r="BC733">
        <f t="shared" si="539"/>
        <v>23.3</v>
      </c>
      <c r="BD733">
        <f t="shared" si="557"/>
        <v>0</v>
      </c>
      <c r="BE733">
        <f t="shared" si="540"/>
        <v>24</v>
      </c>
      <c r="BF733">
        <f t="shared" si="566"/>
        <v>5000</v>
      </c>
      <c r="BU733"/>
      <c r="DW733" s="89"/>
      <c r="DX733" s="89"/>
      <c r="FD733"/>
      <c r="FE733"/>
    </row>
    <row r="734" spans="1:161" x14ac:dyDescent="0.25">
      <c r="A734" s="7">
        <f t="shared" si="558"/>
        <v>65439</v>
      </c>
      <c r="B734">
        <f t="shared" si="541"/>
        <v>723</v>
      </c>
      <c r="C734">
        <f t="shared" si="522"/>
        <v>60.166666666666664</v>
      </c>
      <c r="D734">
        <f t="shared" si="523"/>
        <v>0</v>
      </c>
      <c r="E734">
        <f t="shared" si="542"/>
        <v>112</v>
      </c>
      <c r="F734">
        <f>IF(C734&gt;=$T$2,0,VLOOKUP($E734,EKM_F05!$A$3:$C$128,2,TRUE))</f>
        <v>1</v>
      </c>
      <c r="G734">
        <f>F734*'Real assumptions'!$B$3</f>
        <v>0.4173</v>
      </c>
      <c r="H734">
        <f t="shared" si="524"/>
        <v>4.4009114911801261E-2</v>
      </c>
      <c r="I734">
        <f t="shared" si="525"/>
        <v>1.1485945311829365E-5</v>
      </c>
      <c r="J734">
        <f>IF(B734&gt;$AJ$2,0,HLOOKUP(C734,'Real assumptions'!$B$5:$L$8,4,TRUE))</f>
        <v>3.7900000000000003E-2</v>
      </c>
      <c r="K734">
        <f t="shared" si="531"/>
        <v>1</v>
      </c>
      <c r="L734">
        <f t="shared" si="559"/>
        <v>8.3333333333333329E-2</v>
      </c>
      <c r="M734">
        <f t="shared" si="526"/>
        <v>3.2145624959929453E-3</v>
      </c>
      <c r="N734">
        <f t="shared" si="527"/>
        <v>8.2182889977288858E-7</v>
      </c>
      <c r="O734" s="8">
        <f t="shared" si="543"/>
        <v>2.4910253134488228E-4</v>
      </c>
      <c r="P734">
        <f t="shared" si="544"/>
        <v>6.2738473333556286E-3</v>
      </c>
      <c r="Q734">
        <f t="shared" si="560"/>
        <v>5.7429726559146826E-2</v>
      </c>
      <c r="R734" s="89">
        <f t="shared" si="532"/>
        <v>5000</v>
      </c>
      <c r="S734">
        <f t="shared" si="533"/>
        <v>0.75</v>
      </c>
      <c r="U734">
        <f>O733*AV733*'Real assumptions'!$B$33/12+AX734*'Real assumptions'!$B$34</f>
        <v>5.7208107741144711E-3</v>
      </c>
      <c r="V734">
        <f>IF(P734=0,0,IF(E734&lt;=$C$7,$AN$5*O733,0))*'Real assumptions'!$D$28</f>
        <v>0</v>
      </c>
      <c r="X734" s="94">
        <f t="shared" si="545"/>
        <v>0</v>
      </c>
      <c r="Y734">
        <f t="shared" si="534"/>
        <v>24</v>
      </c>
      <c r="Z734">
        <f t="shared" si="561"/>
        <v>38</v>
      </c>
      <c r="AA734">
        <f t="shared" si="535"/>
        <v>38.75</v>
      </c>
      <c r="AB734">
        <f t="shared" si="546"/>
        <v>50.505050505050505</v>
      </c>
      <c r="AC734">
        <f t="shared" si="528"/>
        <v>1957.0707070707072</v>
      </c>
      <c r="AD734">
        <f t="shared" si="547"/>
        <v>80.505050505050505</v>
      </c>
      <c r="AE734">
        <f t="shared" si="548"/>
        <v>155.97853535353534</v>
      </c>
      <c r="AF734" s="94">
        <f t="shared" si="549"/>
        <v>2886.9507575757575</v>
      </c>
      <c r="AG734">
        <f t="shared" si="562"/>
        <v>2.3725795647969918E-3</v>
      </c>
      <c r="AH734">
        <f t="shared" si="550"/>
        <v>0.7191467415801468</v>
      </c>
      <c r="AI734">
        <f>HLOOKUP(AW734,'Real assumptions'!$A$21:$AK$24,2,TRUE)</f>
        <v>0</v>
      </c>
      <c r="AJ734" s="123">
        <f t="shared" si="529"/>
        <v>0</v>
      </c>
      <c r="AK734" s="122">
        <f>(1+HLOOKUP(YEAR(A734),'Real assumptions'!$A$21:$AK$24,2,TRUE)/100)^(1/12)-1</f>
        <v>0</v>
      </c>
      <c r="AL734">
        <f t="shared" si="563"/>
        <v>5.7208107741144711E-3</v>
      </c>
      <c r="AM734">
        <f>('Real assumptions'!$B$33/12)*O733*AV733</f>
        <v>5.5140944898533755E-3</v>
      </c>
      <c r="AN734">
        <f t="shared" si="551"/>
        <v>0.75404381762554118</v>
      </c>
      <c r="AO734">
        <f t="shared" si="530"/>
        <v>0</v>
      </c>
      <c r="AP734" s="121">
        <f t="shared" si="552"/>
        <v>0</v>
      </c>
      <c r="AQ734">
        <f t="shared" si="553"/>
        <v>0</v>
      </c>
      <c r="AR734">
        <v>0</v>
      </c>
      <c r="AS734">
        <f t="shared" si="536"/>
        <v>0</v>
      </c>
      <c r="AT734">
        <f t="shared" si="554"/>
        <v>0</v>
      </c>
      <c r="AU734">
        <f>IFERROR(HLOOKUP(B734,'Real assumptions'!$B$43:$AL$44,2,TRUE)*($W$3/$U$2),0)</f>
        <v>0</v>
      </c>
      <c r="AV734">
        <f>AV733*(1+'Real assumptions'!$B$35)^(1/12)</f>
        <v>2.1115486168364592</v>
      </c>
      <c r="AW734">
        <f t="shared" si="537"/>
        <v>2079</v>
      </c>
      <c r="AX734">
        <f t="shared" si="564"/>
        <v>0.75459099279002251</v>
      </c>
      <c r="AY734">
        <f t="shared" si="565"/>
        <v>1.100211723722578E-3</v>
      </c>
      <c r="AZ734">
        <f t="shared" si="538"/>
        <v>1.1573914496439617</v>
      </c>
      <c r="BA734">
        <f t="shared" si="555"/>
        <v>5.980230612394382E-2</v>
      </c>
      <c r="BB734">
        <f t="shared" si="556"/>
        <v>38.75</v>
      </c>
      <c r="BC734">
        <f t="shared" si="539"/>
        <v>23.25</v>
      </c>
      <c r="BD734">
        <f t="shared" si="557"/>
        <v>0</v>
      </c>
      <c r="BE734">
        <f t="shared" si="540"/>
        <v>24</v>
      </c>
      <c r="BF734">
        <f t="shared" si="566"/>
        <v>5000</v>
      </c>
      <c r="BU734"/>
      <c r="DW734" s="89"/>
      <c r="DX734" s="89"/>
      <c r="FD734"/>
      <c r="FE734"/>
    </row>
    <row r="735" spans="1:161" x14ac:dyDescent="0.25">
      <c r="A735" s="7">
        <f t="shared" si="558"/>
        <v>65470</v>
      </c>
      <c r="B735">
        <f t="shared" si="541"/>
        <v>724</v>
      </c>
      <c r="C735">
        <f t="shared" si="522"/>
        <v>60.25</v>
      </c>
      <c r="D735">
        <f t="shared" si="523"/>
        <v>0</v>
      </c>
      <c r="E735">
        <f t="shared" si="542"/>
        <v>112</v>
      </c>
      <c r="F735">
        <f>IF(C735&gt;=$T$2,0,VLOOKUP($E735,EKM_F05!$A$3:$C$128,2,TRUE))</f>
        <v>1</v>
      </c>
      <c r="G735">
        <f>F735*'Real assumptions'!$B$3</f>
        <v>0.4173</v>
      </c>
      <c r="H735">
        <f t="shared" si="524"/>
        <v>4.4009114911801261E-2</v>
      </c>
      <c r="I735">
        <f t="shared" si="525"/>
        <v>1.0945161652960716E-5</v>
      </c>
      <c r="J735">
        <f>IF(B735&gt;$AJ$2,0,HLOOKUP(C735,'Real assumptions'!$B$5:$L$8,4,TRUE))</f>
        <v>3.7900000000000003E-2</v>
      </c>
      <c r="K735">
        <f t="shared" si="531"/>
        <v>1</v>
      </c>
      <c r="L735">
        <f t="shared" si="559"/>
        <v>8.3333333333333329E-2</v>
      </c>
      <c r="M735">
        <f t="shared" si="526"/>
        <v>3.2145624959929453E-3</v>
      </c>
      <c r="N735">
        <f t="shared" si="527"/>
        <v>7.8313538110138157E-7</v>
      </c>
      <c r="O735" s="8">
        <f t="shared" si="543"/>
        <v>2.373742343108202E-4</v>
      </c>
      <c r="P735">
        <f t="shared" si="544"/>
        <v>5.9784607522771743E-3</v>
      </c>
      <c r="Q735">
        <f t="shared" si="560"/>
        <v>5.4725808264803583E-2</v>
      </c>
      <c r="R735" s="89">
        <f t="shared" si="532"/>
        <v>5000</v>
      </c>
      <c r="S735">
        <f t="shared" si="533"/>
        <v>0.6666666666666643</v>
      </c>
      <c r="U735">
        <f>O734*AV734*'Real assumptions'!$B$33/12+AX735*'Real assumptions'!$B$34</f>
        <v>5.4572147776431081E-3</v>
      </c>
      <c r="V735">
        <f>IF(P735=0,0,IF(E735&lt;=$C$7,$AN$5*O734,0))*'Real assumptions'!$D$28</f>
        <v>0</v>
      </c>
      <c r="X735" s="94">
        <f t="shared" si="545"/>
        <v>0</v>
      </c>
      <c r="Y735">
        <f t="shared" si="534"/>
        <v>24</v>
      </c>
      <c r="Z735">
        <f t="shared" si="561"/>
        <v>38</v>
      </c>
      <c r="AA735">
        <f t="shared" si="535"/>
        <v>38.666666666666664</v>
      </c>
      <c r="AB735">
        <f t="shared" si="546"/>
        <v>50.505050505050505</v>
      </c>
      <c r="AC735">
        <f t="shared" si="528"/>
        <v>1952.8619528619527</v>
      </c>
      <c r="AD735">
        <f t="shared" si="547"/>
        <v>80.505050505050505</v>
      </c>
      <c r="AE735">
        <f t="shared" si="548"/>
        <v>155.64309764309763</v>
      </c>
      <c r="AF735" s="94">
        <f t="shared" si="549"/>
        <v>2891.4949494949497</v>
      </c>
      <c r="AG735">
        <f t="shared" si="562"/>
        <v>2.2644319992254475E-3</v>
      </c>
      <c r="AH735">
        <f t="shared" si="550"/>
        <v>0.68636639964996737</v>
      </c>
      <c r="AI735">
        <f>HLOOKUP(AW735,'Real assumptions'!$A$21:$AK$24,2,TRUE)</f>
        <v>0</v>
      </c>
      <c r="AJ735" s="123">
        <f t="shared" si="529"/>
        <v>0</v>
      </c>
      <c r="AK735" s="122">
        <f>(1+HLOOKUP(YEAR(A735),'Real assumptions'!$A$21:$AK$24,2,TRUE)/100)^(1/12)-1</f>
        <v>0</v>
      </c>
      <c r="AL735">
        <f t="shared" si="563"/>
        <v>5.4572147776431081E-3</v>
      </c>
      <c r="AM735">
        <f>('Real assumptions'!$B$33/12)*O734*AV734</f>
        <v>5.2599210551174695E-3</v>
      </c>
      <c r="AN735">
        <f t="shared" si="551"/>
        <v>0.71966798755478079</v>
      </c>
      <c r="AO735">
        <f t="shared" si="530"/>
        <v>0</v>
      </c>
      <c r="AP735" s="121">
        <f t="shared" si="552"/>
        <v>0</v>
      </c>
      <c r="AQ735">
        <f t="shared" si="553"/>
        <v>0</v>
      </c>
      <c r="AR735">
        <v>0</v>
      </c>
      <c r="AS735">
        <f t="shared" si="536"/>
        <v>0</v>
      </c>
      <c r="AT735">
        <f t="shared" si="554"/>
        <v>0</v>
      </c>
      <c r="AU735">
        <f>IFERROR(HLOOKUP(B735,'Real assumptions'!$B$43:$AL$44,2,TRUE)*($W$3/$U$2),0)</f>
        <v>0</v>
      </c>
      <c r="AV735">
        <f>AV734*(1+'Real assumptions'!$B$35)^(1/12)</f>
        <v>2.1137356449011895</v>
      </c>
      <c r="AW735">
        <f t="shared" si="537"/>
        <v>2079</v>
      </c>
      <c r="AX735">
        <f t="shared" si="564"/>
        <v>0.72019515290735592</v>
      </c>
      <c r="AY735">
        <f t="shared" si="565"/>
        <v>1.0484113272091005E-3</v>
      </c>
      <c r="AZ735">
        <f t="shared" si="538"/>
        <v>1.1009224553545669</v>
      </c>
      <c r="BA735">
        <f t="shared" si="555"/>
        <v>5.6990240264029032E-2</v>
      </c>
      <c r="BB735">
        <f t="shared" si="556"/>
        <v>38.666666666666664</v>
      </c>
      <c r="BC735">
        <f t="shared" si="539"/>
        <v>23.199999999999996</v>
      </c>
      <c r="BD735">
        <f t="shared" si="557"/>
        <v>0</v>
      </c>
      <c r="BE735">
        <f t="shared" si="540"/>
        <v>24</v>
      </c>
      <c r="BF735">
        <f t="shared" si="566"/>
        <v>5000</v>
      </c>
      <c r="BU735"/>
      <c r="DW735" s="89"/>
      <c r="DX735" s="89"/>
      <c r="FD735"/>
      <c r="FE735"/>
    </row>
    <row r="736" spans="1:161" x14ac:dyDescent="0.25">
      <c r="A736" s="7">
        <f t="shared" si="558"/>
        <v>65500</v>
      </c>
      <c r="B736">
        <f t="shared" si="541"/>
        <v>725</v>
      </c>
      <c r="C736">
        <f t="shared" si="522"/>
        <v>60.333333333333336</v>
      </c>
      <c r="D736">
        <f t="shared" si="523"/>
        <v>0</v>
      </c>
      <c r="E736">
        <f t="shared" si="542"/>
        <v>112</v>
      </c>
      <c r="F736">
        <f>IF(C736&gt;=$T$2,0,VLOOKUP($E736,EKM_F05!$A$3:$C$128,2,TRUE))</f>
        <v>1</v>
      </c>
      <c r="G736">
        <f>F736*'Real assumptions'!$B$3</f>
        <v>0.4173</v>
      </c>
      <c r="H736">
        <f t="shared" si="524"/>
        <v>4.4009114911801261E-2</v>
      </c>
      <c r="I736">
        <f t="shared" si="525"/>
        <v>1.0429839282454478E-5</v>
      </c>
      <c r="J736">
        <f>IF(B736&gt;$AJ$2,0,HLOOKUP(C736,'Real assumptions'!$B$5:$L$8,4,TRUE))</f>
        <v>3.7900000000000003E-2</v>
      </c>
      <c r="K736">
        <f t="shared" si="531"/>
        <v>1</v>
      </c>
      <c r="L736">
        <f t="shared" si="559"/>
        <v>8.3333333333333329E-2</v>
      </c>
      <c r="M736">
        <f t="shared" si="526"/>
        <v>3.2145624959929453E-3</v>
      </c>
      <c r="N736">
        <f t="shared" si="527"/>
        <v>7.4626363869935834E-7</v>
      </c>
      <c r="O736" s="8">
        <f t="shared" si="543"/>
        <v>2.2619813138966636E-4</v>
      </c>
      <c r="P736">
        <f t="shared" si="544"/>
        <v>5.6969816234596852E-3</v>
      </c>
      <c r="Q736">
        <f t="shared" si="560"/>
        <v>5.2149196412272392E-2</v>
      </c>
      <c r="R736" s="89">
        <f t="shared" si="532"/>
        <v>5000</v>
      </c>
      <c r="S736">
        <f t="shared" si="533"/>
        <v>0.5833333333333357</v>
      </c>
      <c r="U736">
        <f>O735*AV735*'Real assumptions'!$B$33/12+AX736*'Real assumptions'!$B$34</f>
        <v>5.2057639981729093E-3</v>
      </c>
      <c r="V736">
        <f>IF(P736=0,0,IF(E736&lt;=$C$7,$AN$5*O735,0))*'Real assumptions'!$D$28</f>
        <v>0</v>
      </c>
      <c r="X736" s="94">
        <f t="shared" si="545"/>
        <v>0</v>
      </c>
      <c r="Y736">
        <f t="shared" si="534"/>
        <v>24</v>
      </c>
      <c r="Z736">
        <f t="shared" si="561"/>
        <v>38</v>
      </c>
      <c r="AA736">
        <f t="shared" si="535"/>
        <v>38.583333333333336</v>
      </c>
      <c r="AB736">
        <f t="shared" si="546"/>
        <v>50.505050505050505</v>
      </c>
      <c r="AC736">
        <f t="shared" si="528"/>
        <v>1948.6531986531988</v>
      </c>
      <c r="AD736">
        <f t="shared" si="547"/>
        <v>80.505050505050505</v>
      </c>
      <c r="AE736">
        <f t="shared" si="548"/>
        <v>155.30765993265993</v>
      </c>
      <c r="AF736" s="94">
        <f t="shared" si="549"/>
        <v>2896.0391414141409</v>
      </c>
      <c r="AG736">
        <f t="shared" si="562"/>
        <v>2.1612087074874822E-3</v>
      </c>
      <c r="AH736">
        <f t="shared" si="550"/>
        <v>0.65507864221921241</v>
      </c>
      <c r="AI736">
        <f>HLOOKUP(AW736,'Real assumptions'!$A$21:$AK$24,2,TRUE)</f>
        <v>0</v>
      </c>
      <c r="AJ736" s="123">
        <f t="shared" si="529"/>
        <v>0</v>
      </c>
      <c r="AK736" s="122">
        <f>(1+HLOOKUP(YEAR(A736),'Real assumptions'!$A$21:$AK$24,2,TRUE)/100)^(1/12)-1</f>
        <v>0</v>
      </c>
      <c r="AL736">
        <f t="shared" si="563"/>
        <v>5.2057639981729093E-3</v>
      </c>
      <c r="AM736">
        <f>('Real assumptions'!$B$33/12)*O735*AV735</f>
        <v>5.0174638024390759E-3</v>
      </c>
      <c r="AN736">
        <f t="shared" si="551"/>
        <v>0.68685761727525407</v>
      </c>
      <c r="AO736">
        <f t="shared" si="530"/>
        <v>0</v>
      </c>
      <c r="AP736" s="121">
        <f t="shared" si="552"/>
        <v>0</v>
      </c>
      <c r="AQ736">
        <f t="shared" si="553"/>
        <v>0</v>
      </c>
      <c r="AR736">
        <v>0</v>
      </c>
      <c r="AS736">
        <f t="shared" si="536"/>
        <v>0</v>
      </c>
      <c r="AT736">
        <f t="shared" si="554"/>
        <v>0</v>
      </c>
      <c r="AU736">
        <f>IFERROR(HLOOKUP(B736,'Real assumptions'!$B$43:$AL$44,2,TRUE)*($W$3/$U$2),0)</f>
        <v>0</v>
      </c>
      <c r="AV736">
        <f>AV735*(1+'Real assumptions'!$B$35)^(1/12)</f>
        <v>2.1159249381715219</v>
      </c>
      <c r="AW736">
        <f t="shared" si="537"/>
        <v>2079</v>
      </c>
      <c r="AX736">
        <f t="shared" si="564"/>
        <v>0.68736544945767286</v>
      </c>
      <c r="AY736">
        <f t="shared" si="565"/>
        <v>9.9904980770547207E-4</v>
      </c>
      <c r="AZ736">
        <f t="shared" si="538"/>
        <v>1.047103267860094</v>
      </c>
      <c r="BA736">
        <f t="shared" si="555"/>
        <v>5.4310405119759875E-2</v>
      </c>
      <c r="BB736">
        <f t="shared" si="556"/>
        <v>38.583333333333336</v>
      </c>
      <c r="BC736">
        <f t="shared" si="539"/>
        <v>23.15</v>
      </c>
      <c r="BD736">
        <f t="shared" si="557"/>
        <v>0</v>
      </c>
      <c r="BE736">
        <f t="shared" si="540"/>
        <v>24</v>
      </c>
      <c r="BF736">
        <f t="shared" si="566"/>
        <v>5000</v>
      </c>
      <c r="BU736"/>
      <c r="DW736" s="89"/>
      <c r="DX736" s="89"/>
      <c r="FD736"/>
      <c r="FE736"/>
    </row>
    <row r="737" spans="1:161" x14ac:dyDescent="0.25">
      <c r="A737" s="7">
        <f t="shared" si="558"/>
        <v>65531</v>
      </c>
      <c r="B737">
        <f t="shared" si="541"/>
        <v>726</v>
      </c>
      <c r="C737">
        <f t="shared" si="522"/>
        <v>60.416666666666664</v>
      </c>
      <c r="D737">
        <f t="shared" si="523"/>
        <v>0</v>
      </c>
      <c r="E737">
        <f t="shared" si="542"/>
        <v>112</v>
      </c>
      <c r="F737">
        <f>IF(C737&gt;=$T$2,0,VLOOKUP($E737,EKM_F05!$A$3:$C$128,2,TRUE))</f>
        <v>1</v>
      </c>
      <c r="G737">
        <f>F737*'Real assumptions'!$B$3</f>
        <v>0.4173</v>
      </c>
      <c r="H737">
        <f t="shared" si="524"/>
        <v>4.4009114911801261E-2</v>
      </c>
      <c r="I737">
        <f t="shared" si="525"/>
        <v>9.9387794266523824E-6</v>
      </c>
      <c r="J737">
        <f>IF(B737&gt;$AJ$2,0,HLOOKUP(C737,'Real assumptions'!$B$5:$L$8,4,TRUE))</f>
        <v>3.7900000000000003E-2</v>
      </c>
      <c r="K737">
        <f t="shared" si="531"/>
        <v>1</v>
      </c>
      <c r="L737">
        <f t="shared" si="559"/>
        <v>8.3333333333333329E-2</v>
      </c>
      <c r="M737">
        <f t="shared" si="526"/>
        <v>3.2145624959929453E-3</v>
      </c>
      <c r="N737">
        <f t="shared" si="527"/>
        <v>7.1112789931874013E-7</v>
      </c>
      <c r="O737" s="8">
        <f t="shared" si="543"/>
        <v>2.1554822406369523E-4</v>
      </c>
      <c r="P737">
        <f t="shared" si="544"/>
        <v>5.4287551533519929E-3</v>
      </c>
      <c r="Q737">
        <f t="shared" si="560"/>
        <v>4.9693897133261909E-2</v>
      </c>
      <c r="R737" s="89">
        <f t="shared" si="532"/>
        <v>5000</v>
      </c>
      <c r="S737">
        <f t="shared" si="533"/>
        <v>0.5</v>
      </c>
      <c r="U737">
        <f>O736*AV736*'Real assumptions'!$B$33/12+AX737*'Real assumptions'!$B$34</f>
        <v>4.9658988631285737E-3</v>
      </c>
      <c r="V737">
        <f>IF(P737=0,0,IF(E737&lt;=$C$7,$AN$5*O736,0))*'Real assumptions'!$D$28</f>
        <v>0</v>
      </c>
      <c r="X737" s="94">
        <f t="shared" si="545"/>
        <v>0</v>
      </c>
      <c r="Y737">
        <f t="shared" si="534"/>
        <v>24</v>
      </c>
      <c r="Z737">
        <f t="shared" si="561"/>
        <v>38</v>
      </c>
      <c r="AA737">
        <f t="shared" si="535"/>
        <v>38.5</v>
      </c>
      <c r="AB737">
        <f t="shared" si="546"/>
        <v>50.505050505050505</v>
      </c>
      <c r="AC737">
        <f t="shared" si="528"/>
        <v>1944.4444444444443</v>
      </c>
      <c r="AD737">
        <f t="shared" si="547"/>
        <v>80.505050505050505</v>
      </c>
      <c r="AE737">
        <f t="shared" si="548"/>
        <v>154.97222222222223</v>
      </c>
      <c r="AF737" s="94">
        <f t="shared" si="549"/>
        <v>2900.5833333333335</v>
      </c>
      <c r="AG737">
        <f t="shared" si="562"/>
        <v>2.0626857326322824E-3</v>
      </c>
      <c r="AH737">
        <f t="shared" si="550"/>
        <v>0.6252155862487534</v>
      </c>
      <c r="AI737">
        <f>HLOOKUP(AW737,'Real assumptions'!$A$21:$AK$24,2,TRUE)</f>
        <v>0</v>
      </c>
      <c r="AJ737" s="123">
        <f t="shared" si="529"/>
        <v>0</v>
      </c>
      <c r="AK737" s="122">
        <f>(1+HLOOKUP(YEAR(A737),'Real assumptions'!$A$21:$AK$24,2,TRUE)/100)^(1/12)-1</f>
        <v>0</v>
      </c>
      <c r="AL737">
        <f t="shared" si="563"/>
        <v>4.9658988631285737E-3</v>
      </c>
      <c r="AM737">
        <f>('Real assumptions'!$B$33/12)*O736*AV736</f>
        <v>4.7861826717519361E-3</v>
      </c>
      <c r="AN737">
        <f t="shared" si="551"/>
        <v>0.65554149850943577</v>
      </c>
      <c r="AO737">
        <f t="shared" si="530"/>
        <v>0</v>
      </c>
      <c r="AP737" s="121">
        <f t="shared" si="552"/>
        <v>0</v>
      </c>
      <c r="AQ737">
        <f t="shared" si="553"/>
        <v>0</v>
      </c>
      <c r="AR737">
        <v>0</v>
      </c>
      <c r="AS737">
        <f t="shared" si="536"/>
        <v>0</v>
      </c>
      <c r="AT737">
        <f t="shared" si="554"/>
        <v>0</v>
      </c>
      <c r="AU737">
        <f>IFERROR(HLOOKUP(B737,'Real assumptions'!$B$43:$AL$44,2,TRUE)*($W$3/$U$2),0)</f>
        <v>0</v>
      </c>
      <c r="AV737">
        <f>AV736*(1+'Real assumptions'!$B$35)^(1/12)</f>
        <v>2.1181164989936341</v>
      </c>
      <c r="AW737">
        <f t="shared" si="537"/>
        <v>2079</v>
      </c>
      <c r="AX737">
        <f t="shared" si="564"/>
        <v>0.65603065455671106</v>
      </c>
      <c r="AY737">
        <f t="shared" si="565"/>
        <v>9.5201233749859571E-4</v>
      </c>
      <c r="AZ737">
        <f t="shared" si="538"/>
        <v>0.99580954128442345</v>
      </c>
      <c r="BA737">
        <f t="shared" si="555"/>
        <v>5.1756582865894192E-2</v>
      </c>
      <c r="BB737">
        <f t="shared" si="556"/>
        <v>38.5</v>
      </c>
      <c r="BC737">
        <f t="shared" si="539"/>
        <v>23.1</v>
      </c>
      <c r="BD737">
        <f t="shared" si="557"/>
        <v>0</v>
      </c>
      <c r="BE737">
        <f t="shared" si="540"/>
        <v>24</v>
      </c>
      <c r="BF737">
        <f t="shared" si="566"/>
        <v>5000</v>
      </c>
      <c r="BU737"/>
      <c r="DW737" s="89"/>
      <c r="DX737" s="89"/>
      <c r="FD737"/>
      <c r="FE737"/>
    </row>
    <row r="738" spans="1:161" x14ac:dyDescent="0.25">
      <c r="A738" s="7">
        <f t="shared" si="558"/>
        <v>65561</v>
      </c>
      <c r="B738">
        <f t="shared" si="541"/>
        <v>727</v>
      </c>
      <c r="C738">
        <f t="shared" si="522"/>
        <v>60.5</v>
      </c>
      <c r="D738">
        <f t="shared" si="523"/>
        <v>0</v>
      </c>
      <c r="E738">
        <f t="shared" si="542"/>
        <v>112</v>
      </c>
      <c r="F738">
        <f>IF(C738&gt;=$T$2,0,VLOOKUP($E738,EKM_F05!$A$3:$C$128,2,TRUE))</f>
        <v>1</v>
      </c>
      <c r="G738">
        <f>F738*'Real assumptions'!$B$3</f>
        <v>0.4173</v>
      </c>
      <c r="H738">
        <f t="shared" si="524"/>
        <v>4.4009114911801261E-2</v>
      </c>
      <c r="I738">
        <f t="shared" si="525"/>
        <v>9.4708397528061096E-6</v>
      </c>
      <c r="J738">
        <f>IF(B738&gt;$AJ$2,0,HLOOKUP(C738,'Real assumptions'!$B$5:$L$8,4,TRUE))</f>
        <v>3.7900000000000003E-2</v>
      </c>
      <c r="K738">
        <f t="shared" si="531"/>
        <v>1</v>
      </c>
      <c r="L738">
        <f t="shared" si="559"/>
        <v>8.3333333333333329E-2</v>
      </c>
      <c r="M738">
        <f t="shared" si="526"/>
        <v>3.2145624959929453E-3</v>
      </c>
      <c r="N738">
        <f t="shared" si="527"/>
        <v>6.7764642810529969E-7</v>
      </c>
      <c r="O738" s="8">
        <f t="shared" si="543"/>
        <v>2.0539973788278381E-4</v>
      </c>
      <c r="P738">
        <f t="shared" si="544"/>
        <v>5.1731573775286857E-3</v>
      </c>
      <c r="Q738">
        <f t="shared" si="560"/>
        <v>4.7354198764030547E-2</v>
      </c>
      <c r="R738" s="89">
        <f t="shared" si="532"/>
        <v>5000</v>
      </c>
      <c r="S738">
        <f t="shared" si="533"/>
        <v>0.4166666666666643</v>
      </c>
      <c r="U738">
        <f>O737*AV737*'Real assumptions'!$B$33/12+AX738*'Real assumptions'!$B$34</f>
        <v>4.7370855804534425E-3</v>
      </c>
      <c r="V738">
        <f>IF(P738=0,0,IF(E738&lt;=$C$7,$AN$5*O737,0))*'Real assumptions'!$D$28</f>
        <v>0</v>
      </c>
      <c r="X738" s="94">
        <f t="shared" si="545"/>
        <v>0</v>
      </c>
      <c r="Y738">
        <f t="shared" si="534"/>
        <v>24</v>
      </c>
      <c r="Z738">
        <f t="shared" si="561"/>
        <v>38</v>
      </c>
      <c r="AA738">
        <f t="shared" si="535"/>
        <v>38.416666666666664</v>
      </c>
      <c r="AB738">
        <f t="shared" si="546"/>
        <v>50.505050505050505</v>
      </c>
      <c r="AC738">
        <f t="shared" si="528"/>
        <v>1940.2356902356901</v>
      </c>
      <c r="AD738">
        <f t="shared" si="547"/>
        <v>80.505050505050505</v>
      </c>
      <c r="AE738">
        <f t="shared" si="548"/>
        <v>154.6367845117845</v>
      </c>
      <c r="AF738" s="94">
        <f t="shared" si="549"/>
        <v>2905.1275252525256</v>
      </c>
      <c r="AG738">
        <f t="shared" si="562"/>
        <v>1.9686492906777629E-3</v>
      </c>
      <c r="AH738">
        <f t="shared" si="550"/>
        <v>0.59671243220292913</v>
      </c>
      <c r="AI738">
        <f>HLOOKUP(AW738,'Real assumptions'!$A$21:$AK$24,2,TRUE)</f>
        <v>0</v>
      </c>
      <c r="AJ738" s="123">
        <f t="shared" si="529"/>
        <v>0</v>
      </c>
      <c r="AK738" s="122">
        <f>(1+HLOOKUP(YEAR(A738),'Real assumptions'!$A$21:$AK$24,2,TRUE)/100)^(1/12)-1</f>
        <v>0</v>
      </c>
      <c r="AL738">
        <f t="shared" si="563"/>
        <v>4.7370855804534425E-3</v>
      </c>
      <c r="AM738">
        <f>('Real assumptions'!$B$33/12)*O737*AV737</f>
        <v>4.5655624971808959E-3</v>
      </c>
      <c r="AN738">
        <f t="shared" si="551"/>
        <v>0.62565165804582856</v>
      </c>
      <c r="AO738">
        <f t="shared" si="530"/>
        <v>0</v>
      </c>
      <c r="AP738" s="121">
        <f t="shared" si="552"/>
        <v>0</v>
      </c>
      <c r="AQ738">
        <f t="shared" si="553"/>
        <v>0</v>
      </c>
      <c r="AR738">
        <v>0</v>
      </c>
      <c r="AS738">
        <f t="shared" si="536"/>
        <v>0</v>
      </c>
      <c r="AT738">
        <f t="shared" si="554"/>
        <v>0</v>
      </c>
      <c r="AU738">
        <f>IFERROR(HLOOKUP(B738,'Real assumptions'!$B$43:$AL$44,2,TRUE)*($W$3/$U$2),0)</f>
        <v>0</v>
      </c>
      <c r="AV738">
        <f>AV737*(1+'Real assumptions'!$B$35)^(1/12)</f>
        <v>2.1203103297161334</v>
      </c>
      <c r="AW738">
        <f t="shared" si="537"/>
        <v>2079</v>
      </c>
      <c r="AX738">
        <f t="shared" si="564"/>
        <v>0.62612277574397102</v>
      </c>
      <c r="AY738">
        <f t="shared" si="565"/>
        <v>9.0718949521757244E-4</v>
      </c>
      <c r="AZ738">
        <f t="shared" si="538"/>
        <v>0.94692276502679029</v>
      </c>
      <c r="BA738">
        <f t="shared" si="555"/>
        <v>4.932284805470831E-2</v>
      </c>
      <c r="BB738">
        <f t="shared" si="556"/>
        <v>38.416666666666664</v>
      </c>
      <c r="BC738">
        <f t="shared" si="539"/>
        <v>23.049999999999997</v>
      </c>
      <c r="BD738">
        <f t="shared" si="557"/>
        <v>0</v>
      </c>
      <c r="BE738">
        <f t="shared" si="540"/>
        <v>24</v>
      </c>
      <c r="BF738">
        <f t="shared" si="566"/>
        <v>5000</v>
      </c>
      <c r="BU738"/>
      <c r="DW738" s="89"/>
      <c r="DX738" s="89"/>
      <c r="FD738"/>
      <c r="FE738"/>
    </row>
    <row r="739" spans="1:161" x14ac:dyDescent="0.25">
      <c r="A739" s="7">
        <f t="shared" si="558"/>
        <v>65592</v>
      </c>
      <c r="B739">
        <f t="shared" si="541"/>
        <v>728</v>
      </c>
      <c r="C739">
        <f t="shared" si="522"/>
        <v>60.583333333333336</v>
      </c>
      <c r="D739">
        <f t="shared" si="523"/>
        <v>0</v>
      </c>
      <c r="E739">
        <f t="shared" si="542"/>
        <v>112</v>
      </c>
      <c r="F739">
        <f>IF(C739&gt;=$T$2,0,VLOOKUP($E739,EKM_F05!$A$3:$C$128,2,TRUE))</f>
        <v>1</v>
      </c>
      <c r="G739">
        <f>F739*'Real assumptions'!$B$3</f>
        <v>0.4173</v>
      </c>
      <c r="H739">
        <f t="shared" si="524"/>
        <v>4.4009114911801261E-2</v>
      </c>
      <c r="I739">
        <f t="shared" si="525"/>
        <v>9.0249317117146791E-6</v>
      </c>
      <c r="J739">
        <f>IF(B739&gt;$AJ$2,0,HLOOKUP(C739,'Real assumptions'!$B$5:$L$8,4,TRUE))</f>
        <v>3.7900000000000003E-2</v>
      </c>
      <c r="K739">
        <f t="shared" si="531"/>
        <v>1</v>
      </c>
      <c r="L739">
        <f t="shared" si="559"/>
        <v>8.3333333333333329E-2</v>
      </c>
      <c r="M739">
        <f t="shared" si="526"/>
        <v>3.2145624959929453E-3</v>
      </c>
      <c r="N739">
        <f t="shared" si="527"/>
        <v>6.4574133846216526E-7</v>
      </c>
      <c r="O739" s="8">
        <f t="shared" si="543"/>
        <v>1.9572906483260698E-4</v>
      </c>
      <c r="P739">
        <f t="shared" si="544"/>
        <v>4.9295937091868112E-3</v>
      </c>
      <c r="Q739">
        <f t="shared" si="560"/>
        <v>4.5124658558573394E-2</v>
      </c>
      <c r="R739" s="89">
        <f t="shared" si="532"/>
        <v>5000</v>
      </c>
      <c r="S739">
        <f t="shared" si="533"/>
        <v>0.3333333333333357</v>
      </c>
      <c r="U739">
        <f>O738*AV738*'Real assumptions'!$B$33/12+AX739*'Real assumptions'!$B$34</f>
        <v>4.5188149508996614E-3</v>
      </c>
      <c r="V739">
        <f>IF(P739=0,0,IF(E739&lt;=$C$7,$AN$5*O738,0))*'Real assumptions'!$D$28</f>
        <v>0</v>
      </c>
      <c r="X739" s="94">
        <f t="shared" si="545"/>
        <v>0</v>
      </c>
      <c r="Y739">
        <f t="shared" si="534"/>
        <v>24</v>
      </c>
      <c r="Z739">
        <f t="shared" si="561"/>
        <v>38</v>
      </c>
      <c r="AA739">
        <f t="shared" si="535"/>
        <v>38.333333333333336</v>
      </c>
      <c r="AB739">
        <f t="shared" si="546"/>
        <v>50.505050505050505</v>
      </c>
      <c r="AC739">
        <f t="shared" si="528"/>
        <v>1936.0269360269363</v>
      </c>
      <c r="AD739">
        <f t="shared" si="547"/>
        <v>80.505050505050505</v>
      </c>
      <c r="AE739">
        <f t="shared" si="548"/>
        <v>154.3013468013468</v>
      </c>
      <c r="AF739" s="94">
        <f t="shared" si="549"/>
        <v>2909.6717171717169</v>
      </c>
      <c r="AG739">
        <f t="shared" si="562"/>
        <v>1.8788953091319711E-3</v>
      </c>
      <c r="AH739">
        <f t="shared" si="550"/>
        <v>0.56950732417190586</v>
      </c>
      <c r="AI739">
        <f>HLOOKUP(AW739,'Real assumptions'!$A$21:$AK$24,2,TRUE)</f>
        <v>0</v>
      </c>
      <c r="AJ739" s="123">
        <f t="shared" si="529"/>
        <v>0</v>
      </c>
      <c r="AK739" s="122">
        <f>(1+HLOOKUP(YEAR(A739),'Real assumptions'!$A$21:$AK$24,2,TRUE)/100)^(1/12)-1</f>
        <v>0</v>
      </c>
      <c r="AL739">
        <f t="shared" si="563"/>
        <v>4.5188149508996614E-3</v>
      </c>
      <c r="AM739">
        <f>('Real assumptions'!$B$33/12)*O738*AV738</f>
        <v>4.3551118595385272E-3</v>
      </c>
      <c r="AN739">
        <f t="shared" si="551"/>
        <v>0.59712321096121623</v>
      </c>
      <c r="AO739">
        <f t="shared" si="530"/>
        <v>0</v>
      </c>
      <c r="AP739" s="121">
        <f t="shared" si="552"/>
        <v>0</v>
      </c>
      <c r="AQ739">
        <f t="shared" si="553"/>
        <v>0</v>
      </c>
      <c r="AR739">
        <v>0</v>
      </c>
      <c r="AS739">
        <f t="shared" si="536"/>
        <v>0</v>
      </c>
      <c r="AT739">
        <f t="shared" si="554"/>
        <v>0</v>
      </c>
      <c r="AU739">
        <f>IFERROR(HLOOKUP(B739,'Real assumptions'!$B$43:$AL$44,2,TRUE)*($W$3/$U$2),0)</f>
        <v>0</v>
      </c>
      <c r="AV739">
        <f>AV738*(1+'Real assumptions'!$B$35)^(1/12)</f>
        <v>2.1225064326900607</v>
      </c>
      <c r="AW739">
        <f t="shared" si="537"/>
        <v>2079</v>
      </c>
      <c r="AX739">
        <f t="shared" si="564"/>
        <v>0.59757690921422035</v>
      </c>
      <c r="AY739">
        <f t="shared" si="565"/>
        <v>8.6447701129117763E-4</v>
      </c>
      <c r="AZ739">
        <f t="shared" si="538"/>
        <v>0.90032998991737201</v>
      </c>
      <c r="BA739">
        <f t="shared" si="555"/>
        <v>4.7003553867705362E-2</v>
      </c>
      <c r="BB739">
        <f t="shared" si="556"/>
        <v>38.333333333333336</v>
      </c>
      <c r="BC739">
        <f t="shared" si="539"/>
        <v>23</v>
      </c>
      <c r="BD739">
        <f t="shared" si="557"/>
        <v>0</v>
      </c>
      <c r="BE739">
        <f t="shared" si="540"/>
        <v>24</v>
      </c>
      <c r="BF739">
        <f t="shared" si="566"/>
        <v>5000</v>
      </c>
      <c r="BU739"/>
      <c r="DW739" s="89"/>
      <c r="DX739" s="89"/>
      <c r="FD739"/>
      <c r="FE739"/>
    </row>
    <row r="740" spans="1:161" x14ac:dyDescent="0.25">
      <c r="A740" s="7">
        <f t="shared" si="558"/>
        <v>65623</v>
      </c>
      <c r="B740">
        <f t="shared" si="541"/>
        <v>729</v>
      </c>
      <c r="C740">
        <f t="shared" si="522"/>
        <v>60.666666666666664</v>
      </c>
      <c r="D740">
        <f t="shared" si="523"/>
        <v>0</v>
      </c>
      <c r="E740">
        <f t="shared" si="542"/>
        <v>112</v>
      </c>
      <c r="F740">
        <f>IF(C740&gt;=$T$2,0,VLOOKUP($E740,EKM_F05!$A$3:$C$128,2,TRUE))</f>
        <v>1</v>
      </c>
      <c r="G740">
        <f>F740*'Real assumptions'!$B$3</f>
        <v>0.4173</v>
      </c>
      <c r="H740">
        <f t="shared" si="524"/>
        <v>4.4009114911801261E-2</v>
      </c>
      <c r="I740">
        <f t="shared" si="525"/>
        <v>8.6000180054762983E-6</v>
      </c>
      <c r="J740">
        <f>IF(B740&gt;$AJ$2,0,HLOOKUP(C740,'Real assumptions'!$B$5:$L$8,4,TRUE))</f>
        <v>3.7900000000000003E-2</v>
      </c>
      <c r="K740">
        <f t="shared" si="531"/>
        <v>1</v>
      </c>
      <c r="L740">
        <f t="shared" si="559"/>
        <v>8.3333333333333329E-2</v>
      </c>
      <c r="M740">
        <f t="shared" si="526"/>
        <v>3.2145624959929453E-3</v>
      </c>
      <c r="N740">
        <f t="shared" si="527"/>
        <v>6.1533841086536926E-7</v>
      </c>
      <c r="O740" s="8">
        <f t="shared" si="543"/>
        <v>1.8651370841626531E-4</v>
      </c>
      <c r="P740">
        <f t="shared" si="544"/>
        <v>4.6974975559825674E-3</v>
      </c>
      <c r="Q740">
        <f t="shared" si="560"/>
        <v>4.3000090027381491E-2</v>
      </c>
      <c r="R740" s="89">
        <f t="shared" si="532"/>
        <v>5000</v>
      </c>
      <c r="S740">
        <f t="shared" si="533"/>
        <v>0.25</v>
      </c>
      <c r="U740">
        <f>O739*AV739*'Real assumptions'!$B$33/12+AX740*'Real assumptions'!$B$34</f>
        <v>4.3106012350340216E-3</v>
      </c>
      <c r="V740">
        <f>IF(P740=0,0,IF(E740&lt;=$C$7,$AN$5*O739,0))*'Real assumptions'!$D$28</f>
        <v>0</v>
      </c>
      <c r="X740" s="94">
        <f t="shared" si="545"/>
        <v>0</v>
      </c>
      <c r="Y740">
        <f t="shared" si="534"/>
        <v>24</v>
      </c>
      <c r="Z740">
        <f t="shared" si="561"/>
        <v>38</v>
      </c>
      <c r="AA740">
        <f t="shared" si="535"/>
        <v>38.25</v>
      </c>
      <c r="AB740">
        <f t="shared" si="546"/>
        <v>50.505050505050505</v>
      </c>
      <c r="AC740">
        <f t="shared" si="528"/>
        <v>1931.8181818181818</v>
      </c>
      <c r="AD740">
        <f t="shared" si="547"/>
        <v>80.505050505050505</v>
      </c>
      <c r="AE740">
        <f t="shared" si="548"/>
        <v>153.96590909090909</v>
      </c>
      <c r="AF740" s="94">
        <f t="shared" si="549"/>
        <v>2914.215909090909</v>
      </c>
      <c r="AG740">
        <f t="shared" si="562"/>
        <v>1.7932289864185773E-3</v>
      </c>
      <c r="AH740">
        <f t="shared" si="550"/>
        <v>0.54354121633022334</v>
      </c>
      <c r="AI740">
        <f>HLOOKUP(AW740,'Real assumptions'!$A$21:$AK$24,2,TRUE)</f>
        <v>0</v>
      </c>
      <c r="AJ740" s="123">
        <f t="shared" si="529"/>
        <v>0</v>
      </c>
      <c r="AK740" s="122">
        <f>(1+HLOOKUP(YEAR(A740),'Real assumptions'!$A$21:$AK$24,2,TRUE)/100)^(1/12)-1</f>
        <v>0</v>
      </c>
      <c r="AL740">
        <f t="shared" si="563"/>
        <v>4.3106012350340216E-3</v>
      </c>
      <c r="AM740">
        <f>('Real assumptions'!$B$33/12)*O739*AV739</f>
        <v>4.1543619917161828E-3</v>
      </c>
      <c r="AN740">
        <f t="shared" si="551"/>
        <v>0.56989422049285443</v>
      </c>
      <c r="AO740">
        <f t="shared" si="530"/>
        <v>0</v>
      </c>
      <c r="AP740" s="121">
        <f t="shared" si="552"/>
        <v>0</v>
      </c>
      <c r="AQ740">
        <f t="shared" si="553"/>
        <v>0</v>
      </c>
      <c r="AR740">
        <v>0</v>
      </c>
      <c r="AS740">
        <f t="shared" si="536"/>
        <v>0</v>
      </c>
      <c r="AT740">
        <f t="shared" si="554"/>
        <v>0</v>
      </c>
      <c r="AU740">
        <f>IFERROR(HLOOKUP(B740,'Real assumptions'!$B$43:$AL$44,2,TRUE)*($W$3/$U$2),0)</f>
        <v>0</v>
      </c>
      <c r="AV740">
        <f>AV739*(1+'Real assumptions'!$B$35)^(1/12)</f>
        <v>2.124704810268891</v>
      </c>
      <c r="AW740">
        <f t="shared" si="537"/>
        <v>2079</v>
      </c>
      <c r="AX740">
        <f t="shared" si="564"/>
        <v>0.57033109969729567</v>
      </c>
      <c r="AY740">
        <f t="shared" si="565"/>
        <v>8.2377552538976002E-4</v>
      </c>
      <c r="AZ740">
        <f t="shared" si="538"/>
        <v>0.85592356722452057</v>
      </c>
      <c r="BA740">
        <f t="shared" si="555"/>
        <v>4.479331901380007E-2</v>
      </c>
      <c r="BB740">
        <f t="shared" si="556"/>
        <v>38.25</v>
      </c>
      <c r="BC740">
        <f t="shared" si="539"/>
        <v>22.95</v>
      </c>
      <c r="BD740">
        <f t="shared" si="557"/>
        <v>0</v>
      </c>
      <c r="BE740">
        <f t="shared" si="540"/>
        <v>24</v>
      </c>
      <c r="BF740">
        <f t="shared" si="566"/>
        <v>5000</v>
      </c>
      <c r="BU740"/>
      <c r="DW740" s="89"/>
      <c r="DX740" s="89"/>
      <c r="FD740"/>
      <c r="FE740"/>
    </row>
    <row r="741" spans="1:161" x14ac:dyDescent="0.25">
      <c r="A741" s="7">
        <f t="shared" si="558"/>
        <v>65653</v>
      </c>
      <c r="B741">
        <f t="shared" si="541"/>
        <v>730</v>
      </c>
      <c r="C741">
        <f t="shared" si="522"/>
        <v>60.75</v>
      </c>
      <c r="D741">
        <f t="shared" si="523"/>
        <v>0</v>
      </c>
      <c r="E741">
        <f t="shared" si="542"/>
        <v>112</v>
      </c>
      <c r="F741">
        <f>IF(C741&gt;=$T$2,0,VLOOKUP($E741,EKM_F05!$A$3:$C$128,2,TRUE))</f>
        <v>1</v>
      </c>
      <c r="G741">
        <f>F741*'Real assumptions'!$B$3</f>
        <v>0.4173</v>
      </c>
      <c r="H741">
        <f t="shared" si="524"/>
        <v>4.4009114911801261E-2</v>
      </c>
      <c r="I741">
        <f t="shared" si="525"/>
        <v>8.1951101744640855E-6</v>
      </c>
      <c r="J741">
        <f>IF(B741&gt;$AJ$2,0,HLOOKUP(C741,'Real assumptions'!$B$5:$L$8,4,TRUE))</f>
        <v>3.7900000000000003E-2</v>
      </c>
      <c r="K741">
        <f t="shared" si="531"/>
        <v>1</v>
      </c>
      <c r="L741">
        <f t="shared" si="559"/>
        <v>8.3333333333333329E-2</v>
      </c>
      <c r="M741">
        <f t="shared" si="526"/>
        <v>3.2145624959929453E-3</v>
      </c>
      <c r="N741">
        <f t="shared" si="527"/>
        <v>5.8636692020996091E-7</v>
      </c>
      <c r="O741" s="8">
        <f t="shared" si="543"/>
        <v>1.7773223132159127E-4</v>
      </c>
      <c r="P741">
        <f t="shared" si="544"/>
        <v>4.4763290019903673E-3</v>
      </c>
      <c r="Q741">
        <f t="shared" si="560"/>
        <v>4.0975550872320431E-2</v>
      </c>
      <c r="R741" s="89">
        <f t="shared" si="532"/>
        <v>5000</v>
      </c>
      <c r="S741">
        <f t="shared" si="533"/>
        <v>0.1666666666666643</v>
      </c>
      <c r="U741">
        <f>O740*AV740*'Real assumptions'!$B$33/12+AX741*'Real assumptions'!$B$34</f>
        <v>4.1119810724389505E-3</v>
      </c>
      <c r="V741">
        <f>IF(P741=0,0,IF(E741&lt;=$C$7,$AN$5*O740,0))*'Real assumptions'!$D$28</f>
        <v>0</v>
      </c>
      <c r="X741" s="94">
        <f t="shared" si="545"/>
        <v>0</v>
      </c>
      <c r="Y741">
        <f t="shared" si="534"/>
        <v>24</v>
      </c>
      <c r="Z741">
        <f t="shared" si="561"/>
        <v>38</v>
      </c>
      <c r="AA741">
        <f t="shared" si="535"/>
        <v>38.166666666666664</v>
      </c>
      <c r="AB741">
        <f t="shared" si="546"/>
        <v>50.505050505050505</v>
      </c>
      <c r="AC741">
        <f t="shared" si="528"/>
        <v>1927.6094276094275</v>
      </c>
      <c r="AD741">
        <f t="shared" si="547"/>
        <v>80.505050505050505</v>
      </c>
      <c r="AE741">
        <f t="shared" si="548"/>
        <v>153.63047138047136</v>
      </c>
      <c r="AF741" s="94">
        <f t="shared" si="549"/>
        <v>2918.7601010101016</v>
      </c>
      <c r="AG741">
        <f t="shared" si="562"/>
        <v>1.7114643712610076E-3</v>
      </c>
      <c r="AH741">
        <f t="shared" si="550"/>
        <v>0.51875774544495845</v>
      </c>
      <c r="AI741">
        <f>HLOOKUP(AW741,'Real assumptions'!$A$21:$AK$24,2,TRUE)</f>
        <v>0</v>
      </c>
      <c r="AJ741" s="123">
        <f t="shared" si="529"/>
        <v>0</v>
      </c>
      <c r="AK741" s="122">
        <f>(1+HLOOKUP(YEAR(A741),'Real assumptions'!$A$21:$AK$24,2,TRUE)/100)^(1/12)-1</f>
        <v>0</v>
      </c>
      <c r="AL741">
        <f t="shared" si="563"/>
        <v>4.1119810724389505E-3</v>
      </c>
      <c r="AM741">
        <f>('Real assumptions'!$B$33/12)*O740*AV740</f>
        <v>3.9628657345312825E-3</v>
      </c>
      <c r="AN741">
        <f t="shared" si="551"/>
        <v>0.54390556425977477</v>
      </c>
      <c r="AO741">
        <f t="shared" si="530"/>
        <v>0</v>
      </c>
      <c r="AP741" s="121">
        <f t="shared" si="552"/>
        <v>0</v>
      </c>
      <c r="AQ741">
        <f t="shared" si="553"/>
        <v>0</v>
      </c>
      <c r="AR741">
        <v>0</v>
      </c>
      <c r="AS741">
        <f t="shared" si="536"/>
        <v>0</v>
      </c>
      <c r="AT741">
        <f t="shared" si="554"/>
        <v>0</v>
      </c>
      <c r="AU741">
        <f>IFERROR(HLOOKUP(B741,'Real assumptions'!$B$43:$AL$44,2,TRUE)*($W$3/$U$2),0)</f>
        <v>0</v>
      </c>
      <c r="AV741">
        <f>AV740*(1+'Real assumptions'!$B$35)^(1/12)</f>
        <v>2.1269054648085373</v>
      </c>
      <c r="AW741">
        <f t="shared" si="537"/>
        <v>2079</v>
      </c>
      <c r="AX741">
        <f t="shared" si="564"/>
        <v>0.54432620668551068</v>
      </c>
      <c r="AY741">
        <f t="shared" si="565"/>
        <v>7.8499035528731189E-4</v>
      </c>
      <c r="AZ741">
        <f t="shared" si="538"/>
        <v>0.81360089991049056</v>
      </c>
      <c r="BA741">
        <f t="shared" si="555"/>
        <v>4.2687015243581442E-2</v>
      </c>
      <c r="BB741">
        <f t="shared" si="556"/>
        <v>38.166666666666664</v>
      </c>
      <c r="BC741">
        <f t="shared" si="539"/>
        <v>22.9</v>
      </c>
      <c r="BD741">
        <f t="shared" si="557"/>
        <v>0</v>
      </c>
      <c r="BE741">
        <f t="shared" si="540"/>
        <v>24</v>
      </c>
      <c r="BF741">
        <f t="shared" si="566"/>
        <v>5000</v>
      </c>
      <c r="BU741"/>
      <c r="DW741" s="89"/>
      <c r="DX741" s="89"/>
      <c r="FD741"/>
      <c r="FE741"/>
    </row>
    <row r="742" spans="1:161" x14ac:dyDescent="0.25">
      <c r="A742" s="7">
        <f t="shared" si="558"/>
        <v>65684</v>
      </c>
      <c r="B742">
        <f t="shared" si="541"/>
        <v>731</v>
      </c>
      <c r="C742">
        <f t="shared" si="522"/>
        <v>60.833333333333336</v>
      </c>
      <c r="D742">
        <f t="shared" si="523"/>
        <v>0</v>
      </c>
      <c r="E742">
        <f t="shared" si="542"/>
        <v>112</v>
      </c>
      <c r="F742">
        <f>IF(C742&gt;=$T$2,0,VLOOKUP($E742,EKM_F05!$A$3:$C$128,2,TRUE))</f>
        <v>1</v>
      </c>
      <c r="G742">
        <f>F742*'Real assumptions'!$B$3</f>
        <v>0.4173</v>
      </c>
      <c r="H742">
        <f t="shared" si="524"/>
        <v>4.4009114911801261E-2</v>
      </c>
      <c r="I742">
        <f t="shared" si="525"/>
        <v>7.8092662979122722E-6</v>
      </c>
      <c r="J742">
        <f>IF(B742&gt;$AJ$2,0,HLOOKUP(C742,'Real assumptions'!$B$5:$L$8,4,TRUE))</f>
        <v>3.7900000000000003E-2</v>
      </c>
      <c r="K742">
        <f t="shared" si="531"/>
        <v>1</v>
      </c>
      <c r="L742">
        <f t="shared" si="559"/>
        <v>8.3333333333333329E-2</v>
      </c>
      <c r="M742">
        <f t="shared" si="526"/>
        <v>3.2145624959929453E-3</v>
      </c>
      <c r="N742">
        <f t="shared" si="527"/>
        <v>5.5875947128504712E-7</v>
      </c>
      <c r="O742" s="8">
        <f t="shared" si="543"/>
        <v>1.6936420555239395E-4</v>
      </c>
      <c r="P742">
        <f t="shared" si="544"/>
        <v>4.2655735517181902E-3</v>
      </c>
      <c r="Q742">
        <f t="shared" si="560"/>
        <v>3.904633148956136E-2</v>
      </c>
      <c r="R742" s="89">
        <f t="shared" si="532"/>
        <v>5000</v>
      </c>
      <c r="S742">
        <f t="shared" si="533"/>
        <v>8.3333333333335702E-2</v>
      </c>
      <c r="U742">
        <f>O741*AV741*'Real assumptions'!$B$33/12+AX742*'Real assumptions'!$B$34</f>
        <v>3.9225124507042027E-3</v>
      </c>
      <c r="V742">
        <f>IF(P742=0,0,IF(E742&lt;=$C$7,$AN$5*O741,0))*'Real assumptions'!$D$28</f>
        <v>0</v>
      </c>
      <c r="X742" s="94">
        <f t="shared" si="545"/>
        <v>0</v>
      </c>
      <c r="Y742">
        <f t="shared" si="534"/>
        <v>24</v>
      </c>
      <c r="Z742">
        <f t="shared" si="561"/>
        <v>38</v>
      </c>
      <c r="AA742">
        <f t="shared" si="535"/>
        <v>38.083333333333336</v>
      </c>
      <c r="AB742">
        <f t="shared" si="546"/>
        <v>50.505050505050505</v>
      </c>
      <c r="AC742">
        <f t="shared" si="528"/>
        <v>1923.4006734006734</v>
      </c>
      <c r="AD742">
        <f t="shared" si="547"/>
        <v>80.505050505050505</v>
      </c>
      <c r="AE742">
        <f t="shared" si="548"/>
        <v>153.29503367003366</v>
      </c>
      <c r="AF742" s="94">
        <f t="shared" si="549"/>
        <v>2923.3042929292928</v>
      </c>
      <c r="AG742">
        <f t="shared" si="562"/>
        <v>1.6334239611224802E-3</v>
      </c>
      <c r="AH742">
        <f t="shared" si="550"/>
        <v>0.49510310915987243</v>
      </c>
      <c r="AI742">
        <f>HLOOKUP(AW742,'Real assumptions'!$A$21:$AK$24,2,TRUE)</f>
        <v>0</v>
      </c>
      <c r="AJ742" s="123">
        <f t="shared" si="529"/>
        <v>0</v>
      </c>
      <c r="AK742" s="122">
        <f>(1+HLOOKUP(YEAR(A742),'Real assumptions'!$A$21:$AK$24,2,TRUE)/100)^(1/12)-1</f>
        <v>0</v>
      </c>
      <c r="AL742">
        <f t="shared" si="563"/>
        <v>3.9225124507042027E-3</v>
      </c>
      <c r="AM742">
        <f>('Real assumptions'!$B$33/12)*O741*AV741</f>
        <v>3.7801965407050758E-3</v>
      </c>
      <c r="AN742">
        <f t="shared" si="551"/>
        <v>0.51910080654597246</v>
      </c>
      <c r="AO742">
        <f t="shared" si="530"/>
        <v>0</v>
      </c>
      <c r="AP742" s="121">
        <f t="shared" si="552"/>
        <v>0</v>
      </c>
      <c r="AQ742">
        <f t="shared" si="553"/>
        <v>0</v>
      </c>
      <c r="AR742">
        <v>0</v>
      </c>
      <c r="AS742">
        <f t="shared" si="536"/>
        <v>0</v>
      </c>
      <c r="AT742">
        <f t="shared" si="554"/>
        <v>0</v>
      </c>
      <c r="AU742">
        <f>IFERROR(HLOOKUP(B742,'Real assumptions'!$B$43:$AL$44,2,TRUE)*($W$3/$U$2),0)</f>
        <v>0</v>
      </c>
      <c r="AV742">
        <f>AV741*(1+'Real assumptions'!$B$35)^(1/12)</f>
        <v>2.1291083986673529</v>
      </c>
      <c r="AW742">
        <f t="shared" si="537"/>
        <v>2079</v>
      </c>
      <c r="AX742">
        <f t="shared" si="564"/>
        <v>0.51950577672156451</v>
      </c>
      <c r="AY742">
        <f t="shared" si="565"/>
        <v>7.4803127660602381E-4</v>
      </c>
      <c r="AZ742">
        <f t="shared" si="538"/>
        <v>0.77326420556082076</v>
      </c>
      <c r="BA742">
        <f t="shared" si="555"/>
        <v>4.0679755450683842E-2</v>
      </c>
      <c r="BB742">
        <f t="shared" si="556"/>
        <v>38.083333333333336</v>
      </c>
      <c r="BC742">
        <f t="shared" si="539"/>
        <v>22.85</v>
      </c>
      <c r="BD742">
        <f t="shared" si="557"/>
        <v>0</v>
      </c>
      <c r="BE742">
        <f t="shared" si="540"/>
        <v>24</v>
      </c>
      <c r="BF742">
        <f t="shared" si="566"/>
        <v>5000</v>
      </c>
      <c r="BU742"/>
      <c r="DW742" s="89"/>
      <c r="DX742" s="89"/>
      <c r="FD742"/>
      <c r="FE742"/>
    </row>
    <row r="743" spans="1:161" x14ac:dyDescent="0.25">
      <c r="A743" s="7">
        <f t="shared" si="558"/>
        <v>65714</v>
      </c>
      <c r="B743">
        <f t="shared" si="541"/>
        <v>732</v>
      </c>
      <c r="C743">
        <f t="shared" si="522"/>
        <v>60.916666666666664</v>
      </c>
      <c r="D743">
        <f t="shared" si="523"/>
        <v>0</v>
      </c>
      <c r="E743">
        <f t="shared" si="542"/>
        <v>112</v>
      </c>
      <c r="F743">
        <f>IF(C743&gt;=$T$2,0,VLOOKUP($E743,EKM_F05!$A$3:$C$128,2,TRUE))</f>
        <v>1</v>
      </c>
      <c r="G743">
        <f>F743*'Real assumptions'!$B$3</f>
        <v>0.4173</v>
      </c>
      <c r="H743">
        <f t="shared" si="524"/>
        <v>4.4009114911801261E-2</v>
      </c>
      <c r="I743">
        <f t="shared" si="525"/>
        <v>7.4415888027638965E-6</v>
      </c>
      <c r="J743">
        <f>IF(B743&gt;$AJ$2,0,HLOOKUP(C743,'Real assumptions'!$B$5:$L$8,4,TRUE))</f>
        <v>3.7900000000000003E-2</v>
      </c>
      <c r="K743">
        <f t="shared" si="531"/>
        <v>1</v>
      </c>
      <c r="L743">
        <f t="shared" si="559"/>
        <v>8.3333333333333329E-2</v>
      </c>
      <c r="M743">
        <f t="shared" si="526"/>
        <v>3.2145624959929453E-3</v>
      </c>
      <c r="N743">
        <f t="shared" si="527"/>
        <v>5.3245184199502791E-7</v>
      </c>
      <c r="O743" s="8">
        <f t="shared" si="543"/>
        <v>1.6139016490763502E-4</v>
      </c>
      <c r="P743">
        <f t="shared" si="544"/>
        <v>4.0647409332574547E-3</v>
      </c>
      <c r="Q743">
        <f t="shared" si="560"/>
        <v>3.720794401381948E-2</v>
      </c>
      <c r="R743" s="89">
        <f t="shared" si="532"/>
        <v>5000</v>
      </c>
      <c r="S743">
        <f t="shared" si="533"/>
        <v>1</v>
      </c>
      <c r="U743">
        <f>O742*AV742*'Real assumptions'!$B$33/12+AX743*'Real assumptions'!$B$34</f>
        <v>3.7417737219155611E-3</v>
      </c>
      <c r="V743">
        <f>IF(P743=0,0,IF(E743&lt;=$C$7,$AN$5*O742,0))*'Real assumptions'!$D$28</f>
        <v>0</v>
      </c>
      <c r="X743" s="94">
        <f t="shared" si="545"/>
        <v>0</v>
      </c>
      <c r="Y743">
        <f t="shared" si="534"/>
        <v>24</v>
      </c>
      <c r="Z743">
        <f t="shared" si="561"/>
        <v>38</v>
      </c>
      <c r="AA743">
        <f t="shared" si="535"/>
        <v>38</v>
      </c>
      <c r="AB743">
        <f t="shared" si="546"/>
        <v>50.505050505050505</v>
      </c>
      <c r="AC743">
        <f t="shared" si="528"/>
        <v>1919.1919191919192</v>
      </c>
      <c r="AD743">
        <f t="shared" si="547"/>
        <v>80.505050505050505</v>
      </c>
      <c r="AE743">
        <f t="shared" si="548"/>
        <v>152.95959595959596</v>
      </c>
      <c r="AF743" s="94">
        <f t="shared" si="549"/>
        <v>2927.848484848485</v>
      </c>
      <c r="AG743">
        <f t="shared" si="562"/>
        <v>1.5589383188399275E-3</v>
      </c>
      <c r="AH743">
        <f t="shared" si="550"/>
        <v>0.47252594979426632</v>
      </c>
      <c r="AI743">
        <f>HLOOKUP(AW743,'Real assumptions'!$A$21:$AK$24,2,TRUE)</f>
        <v>0</v>
      </c>
      <c r="AJ743" s="123">
        <f t="shared" si="529"/>
        <v>0</v>
      </c>
      <c r="AK743" s="122">
        <f>(1+HLOOKUP(YEAR(A743),'Real assumptions'!$A$21:$AK$24,2,TRUE)/100)^(1/12)-1</f>
        <v>0</v>
      </c>
      <c r="AL743">
        <f t="shared" si="563"/>
        <v>3.7417737219155611E-3</v>
      </c>
      <c r="AM743">
        <f>('Real assumptions'!$B$33/12)*O742*AV742</f>
        <v>3.605947524752259E-3</v>
      </c>
      <c r="AN743">
        <f t="shared" si="551"/>
        <v>0.49542607637121433</v>
      </c>
      <c r="AO743">
        <f t="shared" si="530"/>
        <v>0</v>
      </c>
      <c r="AP743" s="121">
        <f t="shared" si="552"/>
        <v>0</v>
      </c>
      <c r="AQ743">
        <f t="shared" si="553"/>
        <v>0</v>
      </c>
      <c r="AR743">
        <v>0</v>
      </c>
      <c r="AS743">
        <f t="shared" si="536"/>
        <v>0</v>
      </c>
      <c r="AT743">
        <f t="shared" si="554"/>
        <v>0</v>
      </c>
      <c r="AU743">
        <f>IFERROR(HLOOKUP(B743,'Real assumptions'!$B$43:$AL$44,2,TRUE)*($W$3/$U$2),0)</f>
        <v>0</v>
      </c>
      <c r="AV743">
        <f>AV742*(1+'Real assumptions'!$B$35)^(1/12)</f>
        <v>2.1313136142061335</v>
      </c>
      <c r="AW743">
        <f t="shared" si="537"/>
        <v>2079</v>
      </c>
      <c r="AX743">
        <f t="shared" si="564"/>
        <v>0.4958159214728034</v>
      </c>
      <c r="AY743">
        <f t="shared" si="565"/>
        <v>7.1281231293095096E-4</v>
      </c>
      <c r="AZ743">
        <f t="shared" si="538"/>
        <v>0.73482029043950325</v>
      </c>
      <c r="BA743">
        <f t="shared" si="555"/>
        <v>3.8766882332659409E-2</v>
      </c>
      <c r="BB743">
        <f t="shared" si="556"/>
        <v>38</v>
      </c>
      <c r="BC743">
        <f t="shared" si="539"/>
        <v>22.799999999999997</v>
      </c>
      <c r="BD743">
        <f t="shared" si="557"/>
        <v>0</v>
      </c>
      <c r="BE743">
        <f t="shared" si="540"/>
        <v>24</v>
      </c>
      <c r="BF743">
        <f t="shared" si="566"/>
        <v>5000</v>
      </c>
      <c r="BU743"/>
      <c r="DW743" s="89"/>
      <c r="DX743" s="89"/>
      <c r="FD743"/>
      <c r="FE743"/>
    </row>
    <row r="744" spans="1:161" x14ac:dyDescent="0.25">
      <c r="A744" s="7">
        <f t="shared" si="558"/>
        <v>65745</v>
      </c>
      <c r="B744">
        <f t="shared" si="541"/>
        <v>733</v>
      </c>
      <c r="C744">
        <f t="shared" si="522"/>
        <v>61</v>
      </c>
      <c r="D744">
        <f t="shared" si="523"/>
        <v>1</v>
      </c>
      <c r="E744">
        <f t="shared" si="542"/>
        <v>113</v>
      </c>
      <c r="F744">
        <f>IF(C744&gt;=$T$2,0,VLOOKUP($E744,EKM_F05!$A$3:$C$128,2,TRUE))</f>
        <v>0</v>
      </c>
      <c r="G744">
        <f>F744*'Real assumptions'!$B$3</f>
        <v>0</v>
      </c>
      <c r="H744">
        <f t="shared" si="524"/>
        <v>0</v>
      </c>
      <c r="I744">
        <f t="shared" si="525"/>
        <v>0</v>
      </c>
      <c r="J744">
        <f>IF(B744&gt;$AJ$2,0,HLOOKUP(C744,'Real assumptions'!$B$5:$L$8,4,TRUE))</f>
        <v>3.7900000000000003E-2</v>
      </c>
      <c r="K744">
        <f t="shared" si="531"/>
        <v>1</v>
      </c>
      <c r="L744">
        <f t="shared" si="559"/>
        <v>8.3333333333333329E-2</v>
      </c>
      <c r="M744">
        <f t="shared" si="526"/>
        <v>3.2145624959929453E-3</v>
      </c>
      <c r="N744">
        <f t="shared" si="527"/>
        <v>5.1879877133420024E-7</v>
      </c>
      <c r="O744" s="8">
        <f t="shared" si="543"/>
        <v>1.6087136613630081E-4</v>
      </c>
      <c r="P744">
        <f t="shared" si="544"/>
        <v>3.8733639577832402E-3</v>
      </c>
      <c r="Q744">
        <f t="shared" si="560"/>
        <v>0</v>
      </c>
      <c r="R744" s="89">
        <f t="shared" si="532"/>
        <v>5000</v>
      </c>
      <c r="S744">
        <f t="shared" si="533"/>
        <v>0.9166666666666643</v>
      </c>
      <c r="U744">
        <f>O743*AV743*'Real assumptions'!$B$33/12+AX744*'Real assumptions'!$B$34</f>
        <v>3.5693626644525203E-3</v>
      </c>
      <c r="V744">
        <f>IF(P744=0,0,IF(E744&lt;=$C$7,$AN$5*O743,0))*'Real assumptions'!$D$28</f>
        <v>0</v>
      </c>
      <c r="X744" s="94">
        <f t="shared" si="545"/>
        <v>0</v>
      </c>
      <c r="Y744">
        <f t="shared" si="534"/>
        <v>24</v>
      </c>
      <c r="Z744">
        <f t="shared" si="561"/>
        <v>38</v>
      </c>
      <c r="AA744">
        <f t="shared" si="535"/>
        <v>37.916666666666664</v>
      </c>
      <c r="AB744">
        <f t="shared" si="546"/>
        <v>50.505050505050505</v>
      </c>
      <c r="AC744">
        <f t="shared" si="528"/>
        <v>1914.9831649831649</v>
      </c>
      <c r="AD744">
        <f t="shared" si="547"/>
        <v>80.505050505050505</v>
      </c>
      <c r="AE744">
        <f t="shared" si="548"/>
        <v>152.62415824915823</v>
      </c>
      <c r="AF744" s="94">
        <f t="shared" si="549"/>
        <v>2932.3926767676767</v>
      </c>
      <c r="AG744">
        <f t="shared" si="562"/>
        <v>1.5213217177764773E-3</v>
      </c>
      <c r="AH744">
        <f t="shared" si="550"/>
        <v>0.47173801595970011</v>
      </c>
      <c r="AI744">
        <f>HLOOKUP(AW744,'Real assumptions'!$A$21:$AK$24,2,TRUE)</f>
        <v>0</v>
      </c>
      <c r="AJ744" s="123">
        <f t="shared" si="529"/>
        <v>0</v>
      </c>
      <c r="AK744" s="122">
        <f>(1+HLOOKUP(YEAR(A744),'Real assumptions'!$A$21:$AK$24,2,TRUE)/100)^(1/12)-1</f>
        <v>0</v>
      </c>
      <c r="AL744">
        <f t="shared" si="563"/>
        <v>3.5693626644525203E-3</v>
      </c>
      <c r="AM744">
        <f>('Real assumptions'!$B$33/12)*O743*AV743</f>
        <v>3.4397305566661548E-3</v>
      </c>
      <c r="AN744">
        <f t="shared" si="551"/>
        <v>0.47282995108759707</v>
      </c>
      <c r="AO744">
        <f t="shared" si="530"/>
        <v>0</v>
      </c>
      <c r="AP744" s="121">
        <f t="shared" si="552"/>
        <v>0</v>
      </c>
      <c r="AQ744">
        <f t="shared" si="553"/>
        <v>0</v>
      </c>
      <c r="AR744">
        <v>0</v>
      </c>
      <c r="AS744">
        <f t="shared" si="536"/>
        <v>0</v>
      </c>
      <c r="AT744">
        <f t="shared" si="554"/>
        <v>0</v>
      </c>
      <c r="AU744">
        <f>IFERROR(HLOOKUP(B744,'Real assumptions'!$B$43:$AL$44,2,TRUE)*($W$3/$U$2),0)</f>
        <v>0</v>
      </c>
      <c r="AV744">
        <f>AV743*(1+'Real assumptions'!$B$35)^(1/12)</f>
        <v>2.1335211137881198</v>
      </c>
      <c r="AW744">
        <f t="shared" si="537"/>
        <v>2079</v>
      </c>
      <c r="AX744">
        <f t="shared" si="564"/>
        <v>0.47320520133007288</v>
      </c>
      <c r="AY744">
        <f t="shared" si="565"/>
        <v>6.7925153580654461E-4</v>
      </c>
      <c r="AZ744">
        <f t="shared" si="538"/>
        <v>0.73360297001505748</v>
      </c>
      <c r="BA744">
        <f t="shared" si="555"/>
        <v>1.5213217177764773E-3</v>
      </c>
      <c r="BB744">
        <f t="shared" si="556"/>
        <v>37.916666666666664</v>
      </c>
      <c r="BC744">
        <f t="shared" si="539"/>
        <v>22.75</v>
      </c>
      <c r="BD744">
        <f t="shared" si="557"/>
        <v>0</v>
      </c>
      <c r="BE744">
        <f t="shared" si="540"/>
        <v>24</v>
      </c>
      <c r="BF744">
        <f t="shared" si="566"/>
        <v>5000</v>
      </c>
      <c r="BU744"/>
      <c r="DW744" s="89"/>
      <c r="DX744" s="89"/>
      <c r="FD744"/>
      <c r="FE744"/>
    </row>
    <row r="745" spans="1:161" x14ac:dyDescent="0.25">
      <c r="A745" s="7">
        <f t="shared" si="558"/>
        <v>65776</v>
      </c>
      <c r="B745">
        <f t="shared" si="541"/>
        <v>734</v>
      </c>
      <c r="C745">
        <f t="shared" si="522"/>
        <v>61.083333333333336</v>
      </c>
      <c r="D745">
        <f t="shared" si="523"/>
        <v>0</v>
      </c>
      <c r="E745">
        <f t="shared" si="542"/>
        <v>113</v>
      </c>
      <c r="F745">
        <f>IF(C745&gt;=$T$2,0,VLOOKUP($E745,EKM_F05!$A$3:$C$128,2,TRUE))</f>
        <v>0</v>
      </c>
      <c r="G745">
        <f>F745*'Real assumptions'!$B$3</f>
        <v>0</v>
      </c>
      <c r="H745">
        <f t="shared" si="524"/>
        <v>0</v>
      </c>
      <c r="I745">
        <f t="shared" si="525"/>
        <v>0</v>
      </c>
      <c r="J745">
        <f>IF(B745&gt;$AJ$2,0,HLOOKUP(C745,'Real assumptions'!$B$5:$L$8,4,TRUE))</f>
        <v>3.7900000000000003E-2</v>
      </c>
      <c r="K745">
        <f t="shared" si="531"/>
        <v>1</v>
      </c>
      <c r="L745">
        <f t="shared" si="559"/>
        <v>8.3333333333333329E-2</v>
      </c>
      <c r="M745">
        <f t="shared" si="526"/>
        <v>3.2145624959929453E-3</v>
      </c>
      <c r="N745">
        <f t="shared" si="527"/>
        <v>5.1713106026090214E-7</v>
      </c>
      <c r="O745" s="8">
        <f t="shared" si="543"/>
        <v>1.6035423507603991E-4</v>
      </c>
      <c r="P745">
        <f t="shared" si="544"/>
        <v>3.8609127872712198E-3</v>
      </c>
      <c r="Q745">
        <f t="shared" si="560"/>
        <v>0</v>
      </c>
      <c r="R745" s="89">
        <f t="shared" si="532"/>
        <v>5000</v>
      </c>
      <c r="S745">
        <f t="shared" si="533"/>
        <v>0.8333333333333357</v>
      </c>
      <c r="U745">
        <f>O744*AV744*'Real assumptions'!$B$33/12+AX745*'Real assumptions'!$B$34</f>
        <v>3.5616402218035703E-3</v>
      </c>
      <c r="V745">
        <f>IF(P745=0,0,IF(E745&lt;=$C$7,$AN$5*O744,0))*'Real assumptions'!$D$28</f>
        <v>0</v>
      </c>
      <c r="X745" s="94">
        <f t="shared" si="545"/>
        <v>0</v>
      </c>
      <c r="Y745">
        <f t="shared" si="534"/>
        <v>24</v>
      </c>
      <c r="Z745">
        <f t="shared" si="561"/>
        <v>37</v>
      </c>
      <c r="AA745">
        <f t="shared" si="535"/>
        <v>37.833333333333336</v>
      </c>
      <c r="AB745">
        <f t="shared" si="546"/>
        <v>50.505050505050505</v>
      </c>
      <c r="AC745">
        <f t="shared" si="528"/>
        <v>1910.7744107744109</v>
      </c>
      <c r="AD745">
        <f t="shared" si="547"/>
        <v>80.505050505050505</v>
      </c>
      <c r="AE745">
        <f t="shared" si="548"/>
        <v>152.28872053872055</v>
      </c>
      <c r="AF745" s="94">
        <f t="shared" si="549"/>
        <v>2936.9368686868684</v>
      </c>
      <c r="AG745">
        <f t="shared" si="562"/>
        <v>1.5187812768233742E-3</v>
      </c>
      <c r="AH745">
        <f t="shared" si="550"/>
        <v>0.47095026504490262</v>
      </c>
      <c r="AI745">
        <f>HLOOKUP(AW745,'Real assumptions'!$A$21:$AK$24,2,TRUE)</f>
        <v>0</v>
      </c>
      <c r="AJ745" s="123">
        <f t="shared" si="529"/>
        <v>0</v>
      </c>
      <c r="AK745" s="122">
        <f>(1+HLOOKUP(YEAR(A745),'Real assumptions'!$A$21:$AK$24,2,TRUE)/100)^(1/12)-1</f>
        <v>0</v>
      </c>
      <c r="AL745">
        <f t="shared" si="563"/>
        <v>3.5616402218035703E-3</v>
      </c>
      <c r="AM745">
        <f>('Real assumptions'!$B$33/12)*O744*AV744</f>
        <v>3.4322245625573694E-3</v>
      </c>
      <c r="AN745">
        <f t="shared" si="551"/>
        <v>0.4720372885251678</v>
      </c>
      <c r="AO745">
        <f t="shared" si="530"/>
        <v>0</v>
      </c>
      <c r="AP745" s="121">
        <f t="shared" si="552"/>
        <v>0</v>
      </c>
      <c r="AQ745">
        <f t="shared" si="553"/>
        <v>0</v>
      </c>
      <c r="AR745">
        <v>0</v>
      </c>
      <c r="AS745">
        <f t="shared" si="536"/>
        <v>0</v>
      </c>
      <c r="AT745">
        <f t="shared" si="554"/>
        <v>0</v>
      </c>
      <c r="AU745">
        <f>IFERROR(HLOOKUP(B745,'Real assumptions'!$B$43:$AL$44,2,TRUE)*($W$3/$U$2),0)</f>
        <v>0</v>
      </c>
      <c r="AV745">
        <f>AV744*(1+'Real assumptions'!$B$35)^(1/12)</f>
        <v>2.1357308997790008</v>
      </c>
      <c r="AW745">
        <f t="shared" si="537"/>
        <v>2080</v>
      </c>
      <c r="AX745">
        <f t="shared" si="564"/>
        <v>0.47241508399899429</v>
      </c>
      <c r="AY745">
        <f t="shared" si="565"/>
        <v>6.7706803929419536E-4</v>
      </c>
      <c r="AZ745">
        <f t="shared" si="538"/>
        <v>0.73238346130370169</v>
      </c>
      <c r="BA745">
        <f t="shared" si="555"/>
        <v>1.5187812768233742E-3</v>
      </c>
      <c r="BB745">
        <f t="shared" si="556"/>
        <v>37.833333333333336</v>
      </c>
      <c r="BC745">
        <f t="shared" si="539"/>
        <v>22.700000000000003</v>
      </c>
      <c r="BD745">
        <f t="shared" si="557"/>
        <v>0</v>
      </c>
      <c r="BE745">
        <f t="shared" si="540"/>
        <v>24</v>
      </c>
      <c r="BF745">
        <f t="shared" si="566"/>
        <v>5000</v>
      </c>
      <c r="BU745"/>
      <c r="DW745" s="89"/>
      <c r="DX745" s="89"/>
      <c r="FD745"/>
      <c r="FE745"/>
    </row>
    <row r="746" spans="1:161" x14ac:dyDescent="0.25">
      <c r="A746" s="7">
        <f t="shared" si="558"/>
        <v>65805</v>
      </c>
      <c r="B746">
        <f t="shared" si="541"/>
        <v>735</v>
      </c>
      <c r="C746">
        <f t="shared" ref="C746:C809" si="567">(B746+11)/12-1</f>
        <v>61.166666666666664</v>
      </c>
      <c r="D746">
        <f t="shared" ref="D746:D809" si="568">IF(C746-INT(C746)=0,1,0)</f>
        <v>0</v>
      </c>
      <c r="E746">
        <f t="shared" si="542"/>
        <v>113</v>
      </c>
      <c r="F746">
        <f>IF(C746&gt;=$T$2,0,VLOOKUP($E746,EKM_F05!$A$3:$C$128,2,TRUE))</f>
        <v>0</v>
      </c>
      <c r="G746">
        <f>F746*'Real assumptions'!$B$3</f>
        <v>0</v>
      </c>
      <c r="H746">
        <f t="shared" ref="H746:H809" si="569">(1-(1-G746)^(1/12))</f>
        <v>0</v>
      </c>
      <c r="I746">
        <f t="shared" ref="I746:I809" si="570">H746*O745*(1-M746/2)</f>
        <v>0</v>
      </c>
      <c r="J746">
        <f>IF(B746&gt;$AJ$2,0,HLOOKUP(C746,'Real assumptions'!$B$5:$L$8,4,TRUE))</f>
        <v>3.7900000000000003E-2</v>
      </c>
      <c r="K746">
        <f t="shared" si="531"/>
        <v>1</v>
      </c>
      <c r="L746">
        <f t="shared" si="559"/>
        <v>8.3333333333333329E-2</v>
      </c>
      <c r="M746">
        <f t="shared" ref="M746:M809" si="571">(1-(1-J746)^L746)</f>
        <v>3.2145624959929453E-3</v>
      </c>
      <c r="N746">
        <f t="shared" ref="N746:N809" si="572">M746*O745*(1-H746/2)</f>
        <v>5.1546871014907439E-7</v>
      </c>
      <c r="O746" s="8">
        <f t="shared" si="543"/>
        <v>1.5983876636589084E-4</v>
      </c>
      <c r="P746">
        <f t="shared" si="544"/>
        <v>3.8485016418249576E-3</v>
      </c>
      <c r="Q746">
        <f t="shared" si="560"/>
        <v>0</v>
      </c>
      <c r="R746" s="89">
        <f t="shared" si="532"/>
        <v>5000</v>
      </c>
      <c r="S746">
        <f t="shared" si="533"/>
        <v>0.75</v>
      </c>
      <c r="U746">
        <f>O745*AV745*'Real assumptions'!$B$33/12+AX746*'Real assumptions'!$B$34</f>
        <v>3.5539342103620129E-3</v>
      </c>
      <c r="V746">
        <f>IF(P746=0,0,IF(E746&lt;=$C$7,$AN$5*O745,0))*'Real assumptions'!$D$28</f>
        <v>0</v>
      </c>
      <c r="X746" s="94">
        <f t="shared" si="545"/>
        <v>0</v>
      </c>
      <c r="Y746">
        <f t="shared" si="534"/>
        <v>24</v>
      </c>
      <c r="Z746">
        <f t="shared" si="561"/>
        <v>37</v>
      </c>
      <c r="AA746">
        <f t="shared" si="535"/>
        <v>37.75</v>
      </c>
      <c r="AB746">
        <f t="shared" si="546"/>
        <v>50.505050505050505</v>
      </c>
      <c r="AC746">
        <f t="shared" ref="AC746:AC809" si="573">AB746*AA746</f>
        <v>1906.5656565656566</v>
      </c>
      <c r="AD746">
        <f t="shared" si="547"/>
        <v>80.505050505050505</v>
      </c>
      <c r="AE746">
        <f t="shared" si="548"/>
        <v>151.95328282828282</v>
      </c>
      <c r="AF746" s="94">
        <f t="shared" si="549"/>
        <v>2941.481060606061</v>
      </c>
      <c r="AG746">
        <f t="shared" si="562"/>
        <v>1.5162414482385376E-3</v>
      </c>
      <c r="AH746">
        <f t="shared" si="550"/>
        <v>0.47016270401590499</v>
      </c>
      <c r="AI746">
        <f>HLOOKUP(AW746,'Real assumptions'!$A$21:$AK$24,2,TRUE)</f>
        <v>0</v>
      </c>
      <c r="AJ746" s="123">
        <f t="shared" ref="AJ746:AJ809" si="574">((1+AI746/100)^(1/12))-1</f>
        <v>0</v>
      </c>
      <c r="AK746" s="122">
        <f>(1+HLOOKUP(YEAR(A746),'Real assumptions'!$A$21:$AK$24,2,TRUE)/100)^(1/12)-1</f>
        <v>0</v>
      </c>
      <c r="AL746">
        <f t="shared" si="563"/>
        <v>3.5539342103620129E-3</v>
      </c>
      <c r="AM746">
        <f>('Real assumptions'!$B$33/12)*O745*AV745</f>
        <v>3.4247349476232412E-3</v>
      </c>
      <c r="AN746">
        <f t="shared" si="551"/>
        <v>0.47124483247636556</v>
      </c>
      <c r="AO746">
        <f t="shared" ref="AO746:AO809" si="575">AN746*AJ746</f>
        <v>0</v>
      </c>
      <c r="AP746" s="121">
        <f t="shared" si="552"/>
        <v>0</v>
      </c>
      <c r="AQ746">
        <f t="shared" si="553"/>
        <v>0</v>
      </c>
      <c r="AR746">
        <v>0</v>
      </c>
      <c r="AS746">
        <f t="shared" si="536"/>
        <v>0</v>
      </c>
      <c r="AT746">
        <f t="shared" si="554"/>
        <v>0</v>
      </c>
      <c r="AU746">
        <f>IFERROR(HLOOKUP(B746,'Real assumptions'!$B$43:$AL$44,2,TRUE)*($W$3/$U$2),0)</f>
        <v>0</v>
      </c>
      <c r="AV746">
        <f>AV745*(1+'Real assumptions'!$B$35)^(1/12)</f>
        <v>2.137942974546915</v>
      </c>
      <c r="AW746">
        <f t="shared" si="537"/>
        <v>2080</v>
      </c>
      <c r="AX746">
        <f t="shared" si="564"/>
        <v>0.47162515660667048</v>
      </c>
      <c r="AY746">
        <f t="shared" si="565"/>
        <v>6.7489156176784464E-4</v>
      </c>
      <c r="AZ746">
        <f t="shared" si="538"/>
        <v>0.73116178728692605</v>
      </c>
      <c r="BA746">
        <f t="shared" si="555"/>
        <v>1.5162414482385376E-3</v>
      </c>
      <c r="BB746">
        <f t="shared" si="556"/>
        <v>37.75</v>
      </c>
      <c r="BC746">
        <f t="shared" si="539"/>
        <v>22.65</v>
      </c>
      <c r="BD746">
        <f t="shared" si="557"/>
        <v>0</v>
      </c>
      <c r="BE746">
        <f t="shared" si="540"/>
        <v>24</v>
      </c>
      <c r="BF746">
        <f t="shared" si="566"/>
        <v>5000</v>
      </c>
      <c r="BU746"/>
      <c r="DW746" s="89"/>
      <c r="DX746" s="89"/>
      <c r="FD746"/>
      <c r="FE746"/>
    </row>
    <row r="747" spans="1:161" x14ac:dyDescent="0.25">
      <c r="A747" s="7">
        <f t="shared" si="558"/>
        <v>65836</v>
      </c>
      <c r="B747">
        <f t="shared" si="541"/>
        <v>736</v>
      </c>
      <c r="C747">
        <f t="shared" si="567"/>
        <v>61.25</v>
      </c>
      <c r="D747">
        <f t="shared" si="568"/>
        <v>0</v>
      </c>
      <c r="E747">
        <f t="shared" si="542"/>
        <v>113</v>
      </c>
      <c r="F747">
        <f>IF(C747&gt;=$T$2,0,VLOOKUP($E747,EKM_F05!$A$3:$C$128,2,TRUE))</f>
        <v>0</v>
      </c>
      <c r="G747">
        <f>F747*'Real assumptions'!$B$3</f>
        <v>0</v>
      </c>
      <c r="H747">
        <f t="shared" si="569"/>
        <v>0</v>
      </c>
      <c r="I747">
        <f t="shared" si="570"/>
        <v>0</v>
      </c>
      <c r="J747">
        <f>IF(B747&gt;$AJ$2,0,HLOOKUP(C747,'Real assumptions'!$B$5:$L$8,4,TRUE))</f>
        <v>3.7900000000000003E-2</v>
      </c>
      <c r="K747">
        <f t="shared" si="531"/>
        <v>1</v>
      </c>
      <c r="L747">
        <f t="shared" si="559"/>
        <v>8.3333333333333329E-2</v>
      </c>
      <c r="M747">
        <f t="shared" si="571"/>
        <v>3.2145624959929453E-3</v>
      </c>
      <c r="N747">
        <f t="shared" si="572"/>
        <v>5.138117037655713E-7</v>
      </c>
      <c r="O747" s="8">
        <f t="shared" si="543"/>
        <v>1.5932495466212528E-4</v>
      </c>
      <c r="P747">
        <f t="shared" si="544"/>
        <v>3.8361303927813804E-3</v>
      </c>
      <c r="Q747">
        <f t="shared" si="560"/>
        <v>0</v>
      </c>
      <c r="R747" s="89">
        <f t="shared" si="532"/>
        <v>5000</v>
      </c>
      <c r="S747">
        <f t="shared" si="533"/>
        <v>0.6666666666666643</v>
      </c>
      <c r="U747">
        <f>O746*AV746*'Real assumptions'!$B$33/12+AX747*'Real assumptions'!$B$34</f>
        <v>3.5462445962882254E-3</v>
      </c>
      <c r="V747">
        <f>IF(P747=0,0,IF(E747&lt;=$C$7,$AN$5*O746,0))*'Real assumptions'!$D$28</f>
        <v>0</v>
      </c>
      <c r="X747" s="94">
        <f t="shared" si="545"/>
        <v>0</v>
      </c>
      <c r="Y747">
        <f t="shared" si="534"/>
        <v>24</v>
      </c>
      <c r="Z747">
        <f t="shared" si="561"/>
        <v>37</v>
      </c>
      <c r="AA747">
        <f t="shared" si="535"/>
        <v>37.666666666666664</v>
      </c>
      <c r="AB747">
        <f t="shared" si="546"/>
        <v>50.505050505050505</v>
      </c>
      <c r="AC747">
        <f t="shared" si="573"/>
        <v>1902.3569023569023</v>
      </c>
      <c r="AD747">
        <f t="shared" si="547"/>
        <v>80.505050505050505</v>
      </c>
      <c r="AE747">
        <f t="shared" si="548"/>
        <v>151.61784511784509</v>
      </c>
      <c r="AF747" s="94">
        <f t="shared" si="549"/>
        <v>2946.0252525252522</v>
      </c>
      <c r="AG747">
        <f t="shared" si="562"/>
        <v>1.5137022543363972E-3</v>
      </c>
      <c r="AH747">
        <f t="shared" si="550"/>
        <v>0.46937533979206197</v>
      </c>
      <c r="AI747">
        <f>HLOOKUP(AW747,'Real assumptions'!$A$21:$AK$24,2,TRUE)</f>
        <v>0</v>
      </c>
      <c r="AJ747" s="123">
        <f t="shared" si="574"/>
        <v>0</v>
      </c>
      <c r="AK747" s="122">
        <f>(1+HLOOKUP(YEAR(A747),'Real assumptions'!$A$21:$AK$24,2,TRUE)/100)^(1/12)-1</f>
        <v>0</v>
      </c>
      <c r="AL747">
        <f t="shared" si="563"/>
        <v>3.5462445962882254E-3</v>
      </c>
      <c r="AM747">
        <f>('Real assumptions'!$B$33/12)*O746*AV746</f>
        <v>3.4172616761220203E-3</v>
      </c>
      <c r="AN747">
        <f t="shared" si="551"/>
        <v>0.47045258981239813</v>
      </c>
      <c r="AO747">
        <f t="shared" si="575"/>
        <v>0</v>
      </c>
      <c r="AP747" s="121">
        <f t="shared" si="552"/>
        <v>0</v>
      </c>
      <c r="AQ747">
        <f t="shared" si="553"/>
        <v>0</v>
      </c>
      <c r="AR747">
        <v>0</v>
      </c>
      <c r="AS747">
        <f t="shared" si="536"/>
        <v>0</v>
      </c>
      <c r="AT747">
        <f t="shared" si="554"/>
        <v>0</v>
      </c>
      <c r="AU747">
        <f>IFERROR(HLOOKUP(B747,'Real assumptions'!$B$43:$AL$44,2,TRUE)*($W$3/$U$2),0)</f>
        <v>0</v>
      </c>
      <c r="AV747">
        <f>AV746*(1+'Real assumptions'!$B$35)^(1/12)</f>
        <v>2.1401573404624541</v>
      </c>
      <c r="AW747">
        <f t="shared" si="537"/>
        <v>2080</v>
      </c>
      <c r="AX747">
        <f t="shared" si="564"/>
        <v>0.47083542609656953</v>
      </c>
      <c r="AY747">
        <f t="shared" si="565"/>
        <v>6.7272208066452373E-4</v>
      </c>
      <c r="AZ747">
        <f t="shared" si="538"/>
        <v>0.72993797082908274</v>
      </c>
      <c r="BA747">
        <f t="shared" si="555"/>
        <v>1.5137022543363972E-3</v>
      </c>
      <c r="BB747">
        <f t="shared" si="556"/>
        <v>37.666666666666664</v>
      </c>
      <c r="BC747">
        <f t="shared" si="539"/>
        <v>22.599999999999998</v>
      </c>
      <c r="BD747">
        <f t="shared" si="557"/>
        <v>0</v>
      </c>
      <c r="BE747">
        <f t="shared" si="540"/>
        <v>24</v>
      </c>
      <c r="BF747">
        <f t="shared" si="566"/>
        <v>5000</v>
      </c>
      <c r="BU747"/>
      <c r="DW747" s="89"/>
      <c r="DX747" s="89"/>
      <c r="FD747"/>
      <c r="FE747"/>
    </row>
    <row r="748" spans="1:161" x14ac:dyDescent="0.25">
      <c r="A748" s="7">
        <f t="shared" si="558"/>
        <v>65866</v>
      </c>
      <c r="B748">
        <f t="shared" si="541"/>
        <v>737</v>
      </c>
      <c r="C748">
        <f t="shared" si="567"/>
        <v>61.333333333333336</v>
      </c>
      <c r="D748">
        <f t="shared" si="568"/>
        <v>0</v>
      </c>
      <c r="E748">
        <f t="shared" si="542"/>
        <v>113</v>
      </c>
      <c r="F748">
        <f>IF(C748&gt;=$T$2,0,VLOOKUP($E748,EKM_F05!$A$3:$C$128,2,TRUE))</f>
        <v>0</v>
      </c>
      <c r="G748">
        <f>F748*'Real assumptions'!$B$3</f>
        <v>0</v>
      </c>
      <c r="H748">
        <f t="shared" si="569"/>
        <v>0</v>
      </c>
      <c r="I748">
        <f t="shared" si="570"/>
        <v>0</v>
      </c>
      <c r="J748">
        <f>IF(B748&gt;$AJ$2,0,HLOOKUP(C748,'Real assumptions'!$B$5:$L$8,4,TRUE))</f>
        <v>3.7900000000000003E-2</v>
      </c>
      <c r="K748">
        <f t="shared" si="531"/>
        <v>1</v>
      </c>
      <c r="L748">
        <f t="shared" si="559"/>
        <v>8.3333333333333329E-2</v>
      </c>
      <c r="M748">
        <f t="shared" si="571"/>
        <v>3.2145624959929453E-3</v>
      </c>
      <c r="N748">
        <f t="shared" si="572"/>
        <v>5.1216002393264424E-7</v>
      </c>
      <c r="O748" s="8">
        <f t="shared" si="543"/>
        <v>1.5881279463819263E-4</v>
      </c>
      <c r="P748">
        <f t="shared" si="544"/>
        <v>3.8237989118910069E-3</v>
      </c>
      <c r="Q748">
        <f t="shared" si="560"/>
        <v>0</v>
      </c>
      <c r="R748" s="89">
        <f t="shared" si="532"/>
        <v>5000</v>
      </c>
      <c r="S748">
        <f t="shared" si="533"/>
        <v>0.5833333333333357</v>
      </c>
      <c r="U748">
        <f>O747*AV747*'Real assumptions'!$B$33/12+AX748*'Real assumptions'!$B$34</f>
        <v>3.5385713458078124E-3</v>
      </c>
      <c r="V748">
        <f>IF(P748=0,0,IF(E748&lt;=$C$7,$AN$5*O747,0))*'Real assumptions'!$D$28</f>
        <v>0</v>
      </c>
      <c r="X748" s="94">
        <f t="shared" si="545"/>
        <v>0</v>
      </c>
      <c r="Y748">
        <f t="shared" si="534"/>
        <v>24</v>
      </c>
      <c r="Z748">
        <f t="shared" si="561"/>
        <v>37</v>
      </c>
      <c r="AA748">
        <f t="shared" si="535"/>
        <v>37.583333333333336</v>
      </c>
      <c r="AB748">
        <f t="shared" si="546"/>
        <v>50.505050505050505</v>
      </c>
      <c r="AC748">
        <f t="shared" si="573"/>
        <v>1898.1481481481483</v>
      </c>
      <c r="AD748">
        <f t="shared" si="547"/>
        <v>80.505050505050505</v>
      </c>
      <c r="AE748">
        <f t="shared" si="548"/>
        <v>151.28240740740742</v>
      </c>
      <c r="AF748" s="94">
        <f t="shared" si="549"/>
        <v>2950.5694444444443</v>
      </c>
      <c r="AG748">
        <f t="shared" si="562"/>
        <v>1.5111637172815955E-3</v>
      </c>
      <c r="AH748">
        <f t="shared" si="550"/>
        <v>0.46858817924628166</v>
      </c>
      <c r="AI748">
        <f>HLOOKUP(AW748,'Real assumptions'!$A$21:$AK$24,2,TRUE)</f>
        <v>0</v>
      </c>
      <c r="AJ748" s="123">
        <f t="shared" si="574"/>
        <v>0</v>
      </c>
      <c r="AK748" s="122">
        <f>(1+HLOOKUP(YEAR(A748),'Real assumptions'!$A$21:$AK$24,2,TRUE)/100)^(1/12)-1</f>
        <v>0</v>
      </c>
      <c r="AL748">
        <f t="shared" si="563"/>
        <v>3.5385713458078124E-3</v>
      </c>
      <c r="AM748">
        <f>('Real assumptions'!$B$33/12)*O747*AV747</f>
        <v>3.4098047123899511E-3</v>
      </c>
      <c r="AN748">
        <f t="shared" si="551"/>
        <v>0.46966056735814515</v>
      </c>
      <c r="AO748">
        <f t="shared" si="575"/>
        <v>0</v>
      </c>
      <c r="AP748" s="121">
        <f t="shared" si="552"/>
        <v>0</v>
      </c>
      <c r="AQ748">
        <f t="shared" si="553"/>
        <v>0</v>
      </c>
      <c r="AR748">
        <v>0</v>
      </c>
      <c r="AS748">
        <f t="shared" si="536"/>
        <v>0</v>
      </c>
      <c r="AT748">
        <f t="shared" si="554"/>
        <v>0</v>
      </c>
      <c r="AU748">
        <f>IFERROR(HLOOKUP(B748,'Real assumptions'!$B$43:$AL$44,2,TRUE)*($W$3/$U$2),0)</f>
        <v>0</v>
      </c>
      <c r="AV748">
        <f>AV747*(1+'Real assumptions'!$B$35)^(1/12)</f>
        <v>2.1423739998986657</v>
      </c>
      <c r="AW748">
        <f t="shared" si="537"/>
        <v>2080</v>
      </c>
      <c r="AX748">
        <f t="shared" si="564"/>
        <v>0.47004589936555574</v>
      </c>
      <c r="AY748">
        <f t="shared" si="565"/>
        <v>6.7055957349379319E-4</v>
      </c>
      <c r="AZ748">
        <f t="shared" si="538"/>
        <v>0.72871203467788437</v>
      </c>
      <c r="BA748">
        <f t="shared" si="555"/>
        <v>1.5111637172815955E-3</v>
      </c>
      <c r="BB748">
        <f t="shared" si="556"/>
        <v>37.583333333333336</v>
      </c>
      <c r="BC748">
        <f t="shared" si="539"/>
        <v>22.55</v>
      </c>
      <c r="BD748">
        <f t="shared" si="557"/>
        <v>0</v>
      </c>
      <c r="BE748">
        <f t="shared" si="540"/>
        <v>24</v>
      </c>
      <c r="BF748">
        <f t="shared" si="566"/>
        <v>5000</v>
      </c>
      <c r="BU748"/>
      <c r="DW748" s="89"/>
      <c r="DX748" s="89"/>
      <c r="FD748"/>
      <c r="FE748"/>
    </row>
    <row r="749" spans="1:161" x14ac:dyDescent="0.25">
      <c r="A749" s="7">
        <f t="shared" si="558"/>
        <v>65897</v>
      </c>
      <c r="B749">
        <f t="shared" si="541"/>
        <v>738</v>
      </c>
      <c r="C749">
        <f t="shared" si="567"/>
        <v>61.416666666666664</v>
      </c>
      <c r="D749">
        <f t="shared" si="568"/>
        <v>0</v>
      </c>
      <c r="E749">
        <f t="shared" si="542"/>
        <v>113</v>
      </c>
      <c r="F749">
        <f>IF(C749&gt;=$T$2,0,VLOOKUP($E749,EKM_F05!$A$3:$C$128,2,TRUE))</f>
        <v>0</v>
      </c>
      <c r="G749">
        <f>F749*'Real assumptions'!$B$3</f>
        <v>0</v>
      </c>
      <c r="H749">
        <f t="shared" si="569"/>
        <v>0</v>
      </c>
      <c r="I749">
        <f t="shared" si="570"/>
        <v>0</v>
      </c>
      <c r="J749">
        <f>IF(B749&gt;$AJ$2,0,HLOOKUP(C749,'Real assumptions'!$B$5:$L$8,4,TRUE))</f>
        <v>3.7900000000000003E-2</v>
      </c>
      <c r="K749">
        <f t="shared" si="531"/>
        <v>1</v>
      </c>
      <c r="L749">
        <f t="shared" si="559"/>
        <v>8.3333333333333329E-2</v>
      </c>
      <c r="M749">
        <f t="shared" si="571"/>
        <v>3.2145624959929453E-3</v>
      </c>
      <c r="N749">
        <f t="shared" si="572"/>
        <v>5.1051365352776357E-7</v>
      </c>
      <c r="O749" s="8">
        <f t="shared" si="543"/>
        <v>1.5830228098466487E-4</v>
      </c>
      <c r="P749">
        <f t="shared" si="544"/>
        <v>3.8115070713166232E-3</v>
      </c>
      <c r="Q749">
        <f t="shared" si="560"/>
        <v>0</v>
      </c>
      <c r="R749" s="89">
        <f t="shared" si="532"/>
        <v>5000</v>
      </c>
      <c r="S749">
        <f t="shared" si="533"/>
        <v>0.5</v>
      </c>
      <c r="U749">
        <f>O748*AV748*'Real assumptions'!$B$33/12+AX749*'Real assumptions'!$B$34</f>
        <v>3.5309144252114984E-3</v>
      </c>
      <c r="V749">
        <f>IF(P749=0,0,IF(E749&lt;=$C$7,$AN$5*O748,0))*'Real assumptions'!$D$28</f>
        <v>0</v>
      </c>
      <c r="X749" s="94">
        <f t="shared" si="545"/>
        <v>0</v>
      </c>
      <c r="Y749">
        <f t="shared" si="534"/>
        <v>24</v>
      </c>
      <c r="Z749">
        <f t="shared" si="561"/>
        <v>37</v>
      </c>
      <c r="AA749">
        <f t="shared" si="535"/>
        <v>37.5</v>
      </c>
      <c r="AB749">
        <f t="shared" si="546"/>
        <v>50.505050505050505</v>
      </c>
      <c r="AC749">
        <f t="shared" si="573"/>
        <v>1893.939393939394</v>
      </c>
      <c r="AD749">
        <f t="shared" si="547"/>
        <v>80.505050505050505</v>
      </c>
      <c r="AE749">
        <f t="shared" si="548"/>
        <v>150.94696969696969</v>
      </c>
      <c r="AF749" s="94">
        <f t="shared" si="549"/>
        <v>2955.1136363636365</v>
      </c>
      <c r="AG749">
        <f t="shared" si="562"/>
        <v>1.5086258590897149E-3</v>
      </c>
      <c r="AH749">
        <f t="shared" si="550"/>
        <v>0.46780122920525113</v>
      </c>
      <c r="AI749">
        <f>HLOOKUP(AW749,'Real assumptions'!$A$21:$AK$24,2,TRUE)</f>
        <v>0</v>
      </c>
      <c r="AJ749" s="123">
        <f t="shared" si="574"/>
        <v>0</v>
      </c>
      <c r="AK749" s="122">
        <f>(1+HLOOKUP(YEAR(A749),'Real assumptions'!$A$21:$AK$24,2,TRUE)/100)^(1/12)-1</f>
        <v>0</v>
      </c>
      <c r="AL749">
        <f t="shared" si="563"/>
        <v>3.5309144252114984E-3</v>
      </c>
      <c r="AM749">
        <f>('Real assumptions'!$B$33/12)*O748*AV748</f>
        <v>3.4023640208411011E-3</v>
      </c>
      <c r="AN749">
        <f t="shared" si="551"/>
        <v>0.46886877189238679</v>
      </c>
      <c r="AO749">
        <f t="shared" si="575"/>
        <v>0</v>
      </c>
      <c r="AP749" s="121">
        <f t="shared" si="552"/>
        <v>0</v>
      </c>
      <c r="AQ749">
        <f t="shared" si="553"/>
        <v>0</v>
      </c>
      <c r="AR749">
        <v>0</v>
      </c>
      <c r="AS749">
        <f t="shared" si="536"/>
        <v>0</v>
      </c>
      <c r="AT749">
        <f t="shared" si="554"/>
        <v>0</v>
      </c>
      <c r="AU749">
        <f>IFERROR(HLOOKUP(B749,'Real assumptions'!$B$43:$AL$44,2,TRUE)*($W$3/$U$2),0)</f>
        <v>0</v>
      </c>
      <c r="AV749">
        <f>AV748*(1+'Real assumptions'!$B$35)^(1/12)</f>
        <v>2.1445929552310541</v>
      </c>
      <c r="AW749">
        <f t="shared" si="537"/>
        <v>2080</v>
      </c>
      <c r="AX749">
        <f t="shared" si="564"/>
        <v>0.46925658326411918</v>
      </c>
      <c r="AY749">
        <f t="shared" si="565"/>
        <v>6.6840401783751103E-4</v>
      </c>
      <c r="AZ749">
        <f t="shared" si="538"/>
        <v>0.72748400146489978</v>
      </c>
      <c r="BA749">
        <f t="shared" si="555"/>
        <v>1.5086258590897149E-3</v>
      </c>
      <c r="BB749">
        <f t="shared" si="556"/>
        <v>37.5</v>
      </c>
      <c r="BC749">
        <f t="shared" si="539"/>
        <v>22.5</v>
      </c>
      <c r="BD749">
        <f t="shared" si="557"/>
        <v>0</v>
      </c>
      <c r="BE749">
        <f t="shared" si="540"/>
        <v>24</v>
      </c>
      <c r="BF749">
        <f t="shared" si="566"/>
        <v>5000</v>
      </c>
      <c r="BU749"/>
      <c r="DW749" s="89"/>
      <c r="DX749" s="89"/>
      <c r="FD749"/>
      <c r="FE749"/>
    </row>
    <row r="750" spans="1:161" x14ac:dyDescent="0.25">
      <c r="A750" s="7">
        <f t="shared" si="558"/>
        <v>65927</v>
      </c>
      <c r="B750">
        <f t="shared" si="541"/>
        <v>739</v>
      </c>
      <c r="C750">
        <f t="shared" si="567"/>
        <v>61.5</v>
      </c>
      <c r="D750">
        <f t="shared" si="568"/>
        <v>0</v>
      </c>
      <c r="E750">
        <f t="shared" si="542"/>
        <v>113</v>
      </c>
      <c r="F750">
        <f>IF(C750&gt;=$T$2,0,VLOOKUP($E750,EKM_F05!$A$3:$C$128,2,TRUE))</f>
        <v>0</v>
      </c>
      <c r="G750">
        <f>F750*'Real assumptions'!$B$3</f>
        <v>0</v>
      </c>
      <c r="H750">
        <f t="shared" si="569"/>
        <v>0</v>
      </c>
      <c r="I750">
        <f t="shared" si="570"/>
        <v>0</v>
      </c>
      <c r="J750">
        <f>IF(B750&gt;$AJ$2,0,HLOOKUP(C750,'Real assumptions'!$B$5:$L$8,4,TRUE))</f>
        <v>3.7900000000000003E-2</v>
      </c>
      <c r="K750">
        <f t="shared" si="531"/>
        <v>1</v>
      </c>
      <c r="L750">
        <f t="shared" si="559"/>
        <v>8.3333333333333329E-2</v>
      </c>
      <c r="M750">
        <f t="shared" si="571"/>
        <v>3.2145624959929453E-3</v>
      </c>
      <c r="N750">
        <f t="shared" si="572"/>
        <v>5.0887257548344093E-7</v>
      </c>
      <c r="O750" s="8">
        <f t="shared" si="543"/>
        <v>1.5779340840918143E-4</v>
      </c>
      <c r="P750">
        <f t="shared" si="544"/>
        <v>3.799254743631957E-3</v>
      </c>
      <c r="Q750">
        <f t="shared" si="560"/>
        <v>0</v>
      </c>
      <c r="R750" s="89">
        <f t="shared" si="532"/>
        <v>5000</v>
      </c>
      <c r="S750">
        <f t="shared" si="533"/>
        <v>0.4166666666666643</v>
      </c>
      <c r="U750">
        <f>O749*AV749*'Real assumptions'!$B$33/12+AX750*'Real assumptions'!$B$34</f>
        <v>3.5232738008550164E-3</v>
      </c>
      <c r="V750">
        <f>IF(P750=0,0,IF(E750&lt;=$C$7,$AN$5*O749,0))*'Real assumptions'!$D$28</f>
        <v>0</v>
      </c>
      <c r="X750" s="94">
        <f t="shared" si="545"/>
        <v>0</v>
      </c>
      <c r="Y750">
        <f t="shared" si="534"/>
        <v>24</v>
      </c>
      <c r="Z750">
        <f t="shared" si="561"/>
        <v>37</v>
      </c>
      <c r="AA750">
        <f t="shared" si="535"/>
        <v>37.416666666666664</v>
      </c>
      <c r="AB750">
        <f t="shared" si="546"/>
        <v>50.505050505050505</v>
      </c>
      <c r="AC750">
        <f t="shared" si="573"/>
        <v>1889.7306397306397</v>
      </c>
      <c r="AD750">
        <f t="shared" si="547"/>
        <v>80.505050505050505</v>
      </c>
      <c r="AE750">
        <f t="shared" si="548"/>
        <v>150.61153198653196</v>
      </c>
      <c r="AF750" s="94">
        <f t="shared" si="549"/>
        <v>2959.6578282828282</v>
      </c>
      <c r="AG750">
        <f t="shared" si="562"/>
        <v>1.5060887016280103E-3</v>
      </c>
      <c r="AH750">
        <f t="shared" si="550"/>
        <v>0.46701449644966325</v>
      </c>
      <c r="AI750">
        <f>HLOOKUP(AW750,'Real assumptions'!$A$21:$AK$24,2,TRUE)</f>
        <v>0</v>
      </c>
      <c r="AJ750" s="123">
        <f t="shared" si="574"/>
        <v>0</v>
      </c>
      <c r="AK750" s="122">
        <f>(1+HLOOKUP(YEAR(A750),'Real assumptions'!$A$21:$AK$24,2,TRUE)/100)^(1/12)-1</f>
        <v>0</v>
      </c>
      <c r="AL750">
        <f t="shared" si="563"/>
        <v>3.5232738008550164E-3</v>
      </c>
      <c r="AM750">
        <f>('Real assumptions'!$B$33/12)*O749*AV749</f>
        <v>3.3949395659671915E-3</v>
      </c>
      <c r="AN750">
        <f t="shared" si="551"/>
        <v>0.46807721014802806</v>
      </c>
      <c r="AO750">
        <f t="shared" si="575"/>
        <v>0</v>
      </c>
      <c r="AP750" s="121">
        <f t="shared" si="552"/>
        <v>0</v>
      </c>
      <c r="AQ750">
        <f t="shared" si="553"/>
        <v>0</v>
      </c>
      <c r="AR750">
        <v>0</v>
      </c>
      <c r="AS750">
        <f t="shared" si="536"/>
        <v>0</v>
      </c>
      <c r="AT750">
        <f t="shared" si="554"/>
        <v>0</v>
      </c>
      <c r="AU750">
        <f>IFERROR(HLOOKUP(B750,'Real assumptions'!$B$43:$AL$44,2,TRUE)*($W$3/$U$2),0)</f>
        <v>0</v>
      </c>
      <c r="AV750">
        <f>AV749*(1+'Real assumptions'!$B$35)^(1/12)</f>
        <v>2.146814208837585</v>
      </c>
      <c r="AW750">
        <f t="shared" si="537"/>
        <v>2080</v>
      </c>
      <c r="AX750">
        <f t="shared" si="564"/>
        <v>0.46846748459660076</v>
      </c>
      <c r="AY750">
        <f t="shared" si="565"/>
        <v>6.6625539134959957E-4</v>
      </c>
      <c r="AZ750">
        <f t="shared" si="538"/>
        <v>0.72625389370604865</v>
      </c>
      <c r="BA750">
        <f t="shared" si="555"/>
        <v>1.5060887016280103E-3</v>
      </c>
      <c r="BB750">
        <f t="shared" si="556"/>
        <v>37.416666666666664</v>
      </c>
      <c r="BC750">
        <f t="shared" si="539"/>
        <v>22.449999999999996</v>
      </c>
      <c r="BD750">
        <f t="shared" si="557"/>
        <v>0</v>
      </c>
      <c r="BE750">
        <f t="shared" si="540"/>
        <v>24</v>
      </c>
      <c r="BF750">
        <f t="shared" si="566"/>
        <v>5000</v>
      </c>
      <c r="BU750"/>
      <c r="DW750" s="89"/>
      <c r="DX750" s="89"/>
      <c r="FD750"/>
      <c r="FE750"/>
    </row>
    <row r="751" spans="1:161" x14ac:dyDescent="0.25">
      <c r="A751" s="7">
        <f t="shared" si="558"/>
        <v>65958</v>
      </c>
      <c r="B751">
        <f t="shared" si="541"/>
        <v>740</v>
      </c>
      <c r="C751">
        <f t="shared" si="567"/>
        <v>61.583333333333336</v>
      </c>
      <c r="D751">
        <f t="shared" si="568"/>
        <v>0</v>
      </c>
      <c r="E751">
        <f t="shared" si="542"/>
        <v>113</v>
      </c>
      <c r="F751">
        <f>IF(C751&gt;=$T$2,0,VLOOKUP($E751,EKM_F05!$A$3:$C$128,2,TRUE))</f>
        <v>0</v>
      </c>
      <c r="G751">
        <f>F751*'Real assumptions'!$B$3</f>
        <v>0</v>
      </c>
      <c r="H751">
        <f t="shared" si="569"/>
        <v>0</v>
      </c>
      <c r="I751">
        <f t="shared" si="570"/>
        <v>0</v>
      </c>
      <c r="J751">
        <f>IF(B751&gt;$AJ$2,0,HLOOKUP(C751,'Real assumptions'!$B$5:$L$8,4,TRUE))</f>
        <v>3.7900000000000003E-2</v>
      </c>
      <c r="K751">
        <f t="shared" si="531"/>
        <v>1</v>
      </c>
      <c r="L751">
        <f t="shared" si="559"/>
        <v>8.3333333333333329E-2</v>
      </c>
      <c r="M751">
        <f t="shared" si="571"/>
        <v>3.2145624959929453E-3</v>
      </c>
      <c r="N751">
        <f t="shared" si="572"/>
        <v>5.072367727870525E-7</v>
      </c>
      <c r="O751" s="8">
        <f t="shared" si="543"/>
        <v>1.5728617163639439E-4</v>
      </c>
      <c r="P751">
        <f t="shared" si="544"/>
        <v>3.7870418018203546E-3</v>
      </c>
      <c r="Q751">
        <f t="shared" si="560"/>
        <v>0</v>
      </c>
      <c r="R751" s="89">
        <f t="shared" si="532"/>
        <v>5000</v>
      </c>
      <c r="S751">
        <f t="shared" si="533"/>
        <v>0.3333333333333357</v>
      </c>
      <c r="U751">
        <f>O750*AV750*'Real assumptions'!$B$33/12+AX751*'Real assumptions'!$B$34</f>
        <v>3.5156494391590074E-3</v>
      </c>
      <c r="V751">
        <f>IF(P751=0,0,IF(E751&lt;=$C$7,$AN$5*O750,0))*'Real assumptions'!$D$28</f>
        <v>0</v>
      </c>
      <c r="X751" s="94">
        <f t="shared" si="545"/>
        <v>0</v>
      </c>
      <c r="Y751">
        <f t="shared" si="534"/>
        <v>24</v>
      </c>
      <c r="Z751">
        <f t="shared" si="561"/>
        <v>37</v>
      </c>
      <c r="AA751">
        <f t="shared" si="535"/>
        <v>37.333333333333336</v>
      </c>
      <c r="AB751">
        <f t="shared" si="546"/>
        <v>50.505050505050505</v>
      </c>
      <c r="AC751">
        <f t="shared" si="573"/>
        <v>1885.5218855218857</v>
      </c>
      <c r="AD751">
        <f t="shared" si="547"/>
        <v>80.505050505050505</v>
      </c>
      <c r="AE751">
        <f t="shared" si="548"/>
        <v>150.27609427609428</v>
      </c>
      <c r="AF751" s="94">
        <f t="shared" si="549"/>
        <v>2964.2020202020203</v>
      </c>
      <c r="AG751">
        <f t="shared" si="562"/>
        <v>1.5035522666161341E-3</v>
      </c>
      <c r="AH751">
        <f t="shared" si="550"/>
        <v>0.46622798771444196</v>
      </c>
      <c r="AI751">
        <f>HLOOKUP(AW751,'Real assumptions'!$A$21:$AK$24,2,TRUE)</f>
        <v>0</v>
      </c>
      <c r="AJ751" s="123">
        <f t="shared" si="574"/>
        <v>0</v>
      </c>
      <c r="AK751" s="122">
        <f>(1+HLOOKUP(YEAR(A751),'Real assumptions'!$A$21:$AK$24,2,TRUE)/100)^(1/12)-1</f>
        <v>0</v>
      </c>
      <c r="AL751">
        <f t="shared" si="563"/>
        <v>3.5156494391590074E-3</v>
      </c>
      <c r="AM751">
        <f>('Real assumptions'!$B$33/12)*O750*AV750</f>
        <v>3.3875313123374277E-3</v>
      </c>
      <c r="AN751">
        <f t="shared" si="551"/>
        <v>0.46728588881232463</v>
      </c>
      <c r="AO751">
        <f t="shared" si="575"/>
        <v>0</v>
      </c>
      <c r="AP751" s="121">
        <f t="shared" si="552"/>
        <v>0</v>
      </c>
      <c r="AQ751">
        <f t="shared" si="553"/>
        <v>0</v>
      </c>
      <c r="AR751">
        <v>0</v>
      </c>
      <c r="AS751">
        <f t="shared" si="536"/>
        <v>0</v>
      </c>
      <c r="AT751">
        <f t="shared" si="554"/>
        <v>0</v>
      </c>
      <c r="AU751">
        <f>IFERROR(HLOOKUP(B751,'Real assumptions'!$B$43:$AL$44,2,TRUE)*($W$3/$U$2),0)</f>
        <v>0</v>
      </c>
      <c r="AV751">
        <f>AV750*(1+'Real assumptions'!$B$35)^(1/12)</f>
        <v>2.1490377630986863</v>
      </c>
      <c r="AW751">
        <f t="shared" si="537"/>
        <v>2080</v>
      </c>
      <c r="AX751">
        <f t="shared" si="564"/>
        <v>0.46767861012141909</v>
      </c>
      <c r="AY751">
        <f t="shared" si="565"/>
        <v>6.6411367175581409E-4</v>
      </c>
      <c r="AZ751">
        <f t="shared" si="538"/>
        <v>0.72502173380209378</v>
      </c>
      <c r="BA751">
        <f t="shared" si="555"/>
        <v>1.5035522666161341E-3</v>
      </c>
      <c r="BB751">
        <f t="shared" si="556"/>
        <v>37.333333333333336</v>
      </c>
      <c r="BC751">
        <f t="shared" si="539"/>
        <v>22.4</v>
      </c>
      <c r="BD751">
        <f t="shared" si="557"/>
        <v>0</v>
      </c>
      <c r="BE751">
        <f t="shared" si="540"/>
        <v>24</v>
      </c>
      <c r="BF751">
        <f t="shared" si="566"/>
        <v>5000</v>
      </c>
      <c r="BU751"/>
      <c r="DW751" s="89"/>
      <c r="DX751" s="89"/>
      <c r="FD751"/>
      <c r="FE751"/>
    </row>
    <row r="752" spans="1:161" x14ac:dyDescent="0.25">
      <c r="A752" s="7">
        <f t="shared" si="558"/>
        <v>65989</v>
      </c>
      <c r="B752">
        <f t="shared" si="541"/>
        <v>741</v>
      </c>
      <c r="C752">
        <f t="shared" si="567"/>
        <v>61.666666666666664</v>
      </c>
      <c r="D752">
        <f t="shared" si="568"/>
        <v>0</v>
      </c>
      <c r="E752">
        <f t="shared" si="542"/>
        <v>113</v>
      </c>
      <c r="F752">
        <f>IF(C752&gt;=$T$2,0,VLOOKUP($E752,EKM_F05!$A$3:$C$128,2,TRUE))</f>
        <v>0</v>
      </c>
      <c r="G752">
        <f>F752*'Real assumptions'!$B$3</f>
        <v>0</v>
      </c>
      <c r="H752">
        <f t="shared" si="569"/>
        <v>0</v>
      </c>
      <c r="I752">
        <f t="shared" si="570"/>
        <v>0</v>
      </c>
      <c r="J752">
        <f>IF(B752&gt;$AJ$2,0,HLOOKUP(C752,'Real assumptions'!$B$5:$L$8,4,TRUE))</f>
        <v>3.7900000000000003E-2</v>
      </c>
      <c r="K752">
        <f t="shared" si="531"/>
        <v>1</v>
      </c>
      <c r="L752">
        <f t="shared" si="559"/>
        <v>8.3333333333333329E-2</v>
      </c>
      <c r="M752">
        <f t="shared" si="571"/>
        <v>3.2145624959929453E-3</v>
      </c>
      <c r="N752">
        <f t="shared" si="572"/>
        <v>5.0560622848066273E-7</v>
      </c>
      <c r="O752" s="8">
        <f t="shared" si="543"/>
        <v>1.5678056540791371E-4</v>
      </c>
      <c r="P752">
        <f t="shared" si="544"/>
        <v>3.774868119273465E-3</v>
      </c>
      <c r="Q752">
        <f t="shared" si="560"/>
        <v>0</v>
      </c>
      <c r="R752" s="89">
        <f t="shared" si="532"/>
        <v>5000</v>
      </c>
      <c r="S752">
        <f t="shared" si="533"/>
        <v>0.25</v>
      </c>
      <c r="U752">
        <f>O751*AV751*'Real assumptions'!$B$33/12+AX752*'Real assumptions'!$B$34</f>
        <v>3.5080413066089062E-3</v>
      </c>
      <c r="V752">
        <f>IF(P752=0,0,IF(E752&lt;=$C$7,$AN$5*O751,0))*'Real assumptions'!$D$28</f>
        <v>0</v>
      </c>
      <c r="X752" s="94">
        <f t="shared" si="545"/>
        <v>0</v>
      </c>
      <c r="Y752">
        <f t="shared" si="534"/>
        <v>24</v>
      </c>
      <c r="Z752">
        <f t="shared" si="561"/>
        <v>37</v>
      </c>
      <c r="AA752">
        <f t="shared" si="535"/>
        <v>37.25</v>
      </c>
      <c r="AB752">
        <f t="shared" si="546"/>
        <v>50.505050505050505</v>
      </c>
      <c r="AC752">
        <f t="shared" si="573"/>
        <v>1881.3131313131314</v>
      </c>
      <c r="AD752">
        <f t="shared" si="547"/>
        <v>80.505050505050505</v>
      </c>
      <c r="AE752">
        <f t="shared" si="548"/>
        <v>149.94065656565655</v>
      </c>
      <c r="AF752" s="94">
        <f t="shared" si="549"/>
        <v>2968.746212121212</v>
      </c>
      <c r="AG752">
        <f t="shared" si="562"/>
        <v>1.5010165756268595E-3</v>
      </c>
      <c r="AH752">
        <f t="shared" si="550"/>
        <v>0.46544170968896575</v>
      </c>
      <c r="AI752">
        <f>HLOOKUP(AW752,'Real assumptions'!$A$21:$AK$24,2,TRUE)</f>
        <v>0</v>
      </c>
      <c r="AJ752" s="123">
        <f t="shared" si="574"/>
        <v>0</v>
      </c>
      <c r="AK752" s="122">
        <f>(1+HLOOKUP(YEAR(A752),'Real assumptions'!$A$21:$AK$24,2,TRUE)/100)^(1/12)-1</f>
        <v>0</v>
      </c>
      <c r="AL752">
        <f t="shared" si="563"/>
        <v>3.5080413066089062E-3</v>
      </c>
      <c r="AM752">
        <f>('Real assumptions'!$B$33/12)*O751*AV751</f>
        <v>3.3801392245983303E-3</v>
      </c>
      <c r="AN752">
        <f t="shared" si="551"/>
        <v>0.4664948145271065</v>
      </c>
      <c r="AO752">
        <f t="shared" si="575"/>
        <v>0</v>
      </c>
      <c r="AP752" s="121">
        <f t="shared" si="552"/>
        <v>0</v>
      </c>
      <c r="AQ752">
        <f t="shared" si="553"/>
        <v>0</v>
      </c>
      <c r="AR752">
        <v>0</v>
      </c>
      <c r="AS752">
        <f t="shared" si="536"/>
        <v>0</v>
      </c>
      <c r="AT752">
        <f t="shared" si="554"/>
        <v>0</v>
      </c>
      <c r="AU752">
        <f>IFERROR(HLOOKUP(B752,'Real assumptions'!$B$43:$AL$44,2,TRUE)*($W$3/$U$2),0)</f>
        <v>0</v>
      </c>
      <c r="AV752">
        <f>AV751*(1+'Real assumptions'!$B$35)^(1/12)</f>
        <v>2.1512636203972519</v>
      </c>
      <c r="AW752">
        <f t="shared" si="537"/>
        <v>2080</v>
      </c>
      <c r="AX752">
        <f t="shared" si="564"/>
        <v>0.4668899665512955</v>
      </c>
      <c r="AY752">
        <f t="shared" si="565"/>
        <v>6.6197883685351164E-4</v>
      </c>
      <c r="AZ752">
        <f t="shared" si="538"/>
        <v>0.72378754403913148</v>
      </c>
      <c r="BA752">
        <f t="shared" si="555"/>
        <v>1.5010165756268595E-3</v>
      </c>
      <c r="BB752">
        <f t="shared" si="556"/>
        <v>37.25</v>
      </c>
      <c r="BC752">
        <f t="shared" si="539"/>
        <v>22.35</v>
      </c>
      <c r="BD752">
        <f t="shared" si="557"/>
        <v>0</v>
      </c>
      <c r="BE752">
        <f t="shared" si="540"/>
        <v>24</v>
      </c>
      <c r="BF752">
        <f t="shared" si="566"/>
        <v>5000</v>
      </c>
      <c r="BU752"/>
      <c r="DW752" s="89"/>
      <c r="DX752" s="89"/>
      <c r="FD752"/>
      <c r="FE752"/>
    </row>
    <row r="753" spans="1:161" x14ac:dyDescent="0.25">
      <c r="A753" s="7">
        <f t="shared" si="558"/>
        <v>66019</v>
      </c>
      <c r="B753">
        <f t="shared" si="541"/>
        <v>742</v>
      </c>
      <c r="C753">
        <f t="shared" si="567"/>
        <v>61.75</v>
      </c>
      <c r="D753">
        <f t="shared" si="568"/>
        <v>0</v>
      </c>
      <c r="E753">
        <f t="shared" si="542"/>
        <v>113</v>
      </c>
      <c r="F753">
        <f>IF(C753&gt;=$T$2,0,VLOOKUP($E753,EKM_F05!$A$3:$C$128,2,TRUE))</f>
        <v>0</v>
      </c>
      <c r="G753">
        <f>F753*'Real assumptions'!$B$3</f>
        <v>0</v>
      </c>
      <c r="H753">
        <f t="shared" si="569"/>
        <v>0</v>
      </c>
      <c r="I753">
        <f t="shared" si="570"/>
        <v>0</v>
      </c>
      <c r="J753">
        <f>IF(B753&gt;$AJ$2,0,HLOOKUP(C753,'Real assumptions'!$B$5:$L$8,4,TRUE))</f>
        <v>3.7900000000000003E-2</v>
      </c>
      <c r="K753">
        <f t="shared" si="531"/>
        <v>1</v>
      </c>
      <c r="L753">
        <f t="shared" si="559"/>
        <v>8.3333333333333329E-2</v>
      </c>
      <c r="M753">
        <f t="shared" si="571"/>
        <v>3.2145624959929453E-3</v>
      </c>
      <c r="N753">
        <f t="shared" si="572"/>
        <v>5.0398092566084834E-7</v>
      </c>
      <c r="O753" s="8">
        <f t="shared" si="543"/>
        <v>1.5627658448225286E-4</v>
      </c>
      <c r="P753">
        <f t="shared" si="544"/>
        <v>3.7627335697899291E-3</v>
      </c>
      <c r="Q753">
        <f t="shared" si="560"/>
        <v>0</v>
      </c>
      <c r="R753" s="89">
        <f t="shared" si="532"/>
        <v>5000</v>
      </c>
      <c r="S753">
        <f t="shared" si="533"/>
        <v>0.1666666666666643</v>
      </c>
      <c r="U753">
        <f>O752*AV752*'Real assumptions'!$B$33/12+AX753*'Real assumptions'!$B$34</f>
        <v>3.500449369754838E-3</v>
      </c>
      <c r="V753">
        <f>IF(P753=0,0,IF(E753&lt;=$C$7,$AN$5*O752,0))*'Real assumptions'!$D$28</f>
        <v>0</v>
      </c>
      <c r="X753" s="94">
        <f t="shared" si="545"/>
        <v>0</v>
      </c>
      <c r="Y753">
        <f t="shared" si="534"/>
        <v>24</v>
      </c>
      <c r="Z753">
        <f t="shared" si="561"/>
        <v>37</v>
      </c>
      <c r="AA753">
        <f t="shared" si="535"/>
        <v>37.166666666666664</v>
      </c>
      <c r="AB753">
        <f t="shared" si="546"/>
        <v>50.505050505050505</v>
      </c>
      <c r="AC753">
        <f t="shared" si="573"/>
        <v>1877.1043771043769</v>
      </c>
      <c r="AD753">
        <f t="shared" si="547"/>
        <v>80.505050505050505</v>
      </c>
      <c r="AE753">
        <f t="shared" si="548"/>
        <v>149.60521885521885</v>
      </c>
      <c r="AF753" s="94">
        <f t="shared" si="549"/>
        <v>2973.2904040404042</v>
      </c>
      <c r="AG753">
        <f t="shared" si="562"/>
        <v>1.4984816500868007E-3</v>
      </c>
      <c r="AH753">
        <f t="shared" si="550"/>
        <v>0.46465566901729194</v>
      </c>
      <c r="AI753">
        <f>HLOOKUP(AW753,'Real assumptions'!$A$21:$AK$24,2,TRUE)</f>
        <v>0</v>
      </c>
      <c r="AJ753" s="123">
        <f t="shared" si="574"/>
        <v>0</v>
      </c>
      <c r="AK753" s="122">
        <f>(1+HLOOKUP(YEAR(A753),'Real assumptions'!$A$21:$AK$24,2,TRUE)/100)^(1/12)-1</f>
        <v>0</v>
      </c>
      <c r="AL753">
        <f t="shared" si="563"/>
        <v>3.500449369754838E-3</v>
      </c>
      <c r="AM753">
        <f>('Real assumptions'!$B$33/12)*O752*AV752</f>
        <v>3.3727632674735658E-3</v>
      </c>
      <c r="AN753">
        <f t="shared" si="551"/>
        <v>0.46570399388900086</v>
      </c>
      <c r="AO753">
        <f t="shared" si="575"/>
        <v>0</v>
      </c>
      <c r="AP753" s="121">
        <f t="shared" si="552"/>
        <v>0</v>
      </c>
      <c r="AQ753">
        <f t="shared" si="553"/>
        <v>0</v>
      </c>
      <c r="AR753">
        <v>0</v>
      </c>
      <c r="AS753">
        <f t="shared" si="536"/>
        <v>0</v>
      </c>
      <c r="AT753">
        <f t="shared" si="554"/>
        <v>0</v>
      </c>
      <c r="AU753">
        <f>IFERROR(HLOOKUP(B753,'Real assumptions'!$B$43:$AL$44,2,TRUE)*($W$3/$U$2),0)</f>
        <v>0</v>
      </c>
      <c r="AV753">
        <f>AV752*(1+'Real assumptions'!$B$35)^(1/12)</f>
        <v>2.153491783118644</v>
      </c>
      <c r="AW753">
        <f t="shared" si="537"/>
        <v>2080</v>
      </c>
      <c r="AX753">
        <f t="shared" si="564"/>
        <v>0.46610156055347718</v>
      </c>
      <c r="AY753">
        <f t="shared" si="565"/>
        <v>6.5985086451142135E-4</v>
      </c>
      <c r="AZ753">
        <f t="shared" si="538"/>
        <v>0.72255134658907982</v>
      </c>
      <c r="BA753">
        <f t="shared" si="555"/>
        <v>1.4984816500868007E-3</v>
      </c>
      <c r="BB753">
        <f t="shared" si="556"/>
        <v>37.166666666666664</v>
      </c>
      <c r="BC753">
        <f t="shared" si="539"/>
        <v>22.299999999999997</v>
      </c>
      <c r="BD753">
        <f t="shared" si="557"/>
        <v>0</v>
      </c>
      <c r="BE753">
        <f t="shared" si="540"/>
        <v>24</v>
      </c>
      <c r="BF753">
        <f t="shared" si="566"/>
        <v>5000</v>
      </c>
      <c r="BU753"/>
      <c r="DW753" s="89"/>
      <c r="DX753" s="89"/>
      <c r="FD753"/>
      <c r="FE753"/>
    </row>
    <row r="754" spans="1:161" x14ac:dyDescent="0.25">
      <c r="A754" s="7">
        <f t="shared" si="558"/>
        <v>66050</v>
      </c>
      <c r="B754">
        <f t="shared" si="541"/>
        <v>743</v>
      </c>
      <c r="C754">
        <f t="shared" si="567"/>
        <v>61.833333333333336</v>
      </c>
      <c r="D754">
        <f t="shared" si="568"/>
        <v>0</v>
      </c>
      <c r="E754">
        <f t="shared" si="542"/>
        <v>113</v>
      </c>
      <c r="F754">
        <f>IF(C754&gt;=$T$2,0,VLOOKUP($E754,EKM_F05!$A$3:$C$128,2,TRUE))</f>
        <v>0</v>
      </c>
      <c r="G754">
        <f>F754*'Real assumptions'!$B$3</f>
        <v>0</v>
      </c>
      <c r="H754">
        <f t="shared" si="569"/>
        <v>0</v>
      </c>
      <c r="I754">
        <f t="shared" si="570"/>
        <v>0</v>
      </c>
      <c r="J754">
        <f>IF(B754&gt;$AJ$2,0,HLOOKUP(C754,'Real assumptions'!$B$5:$L$8,4,TRUE))</f>
        <v>3.7900000000000003E-2</v>
      </c>
      <c r="K754">
        <f t="shared" si="531"/>
        <v>1</v>
      </c>
      <c r="L754">
        <f t="shared" si="559"/>
        <v>8.3333333333333329E-2</v>
      </c>
      <c r="M754">
        <f t="shared" si="571"/>
        <v>3.2145624959929453E-3</v>
      </c>
      <c r="N754">
        <f t="shared" si="572"/>
        <v>5.0236084747852312E-7</v>
      </c>
      <c r="O754" s="8">
        <f t="shared" si="543"/>
        <v>1.5577422363477434E-4</v>
      </c>
      <c r="P754">
        <f t="shared" si="544"/>
        <v>3.7506380275740686E-3</v>
      </c>
      <c r="Q754">
        <f t="shared" si="560"/>
        <v>0</v>
      </c>
      <c r="R754" s="89">
        <f t="shared" si="532"/>
        <v>5000</v>
      </c>
      <c r="S754">
        <f t="shared" si="533"/>
        <v>8.3333333333335702E-2</v>
      </c>
      <c r="U754">
        <f>O753*AV753*'Real assumptions'!$B$33/12+AX754*'Real assumptions'!$B$34</f>
        <v>3.4928735952115099E-3</v>
      </c>
      <c r="V754">
        <f>IF(P754=0,0,IF(E754&lt;=$C$7,$AN$5*O753,0))*'Real assumptions'!$D$28</f>
        <v>0</v>
      </c>
      <c r="X754" s="94">
        <f t="shared" si="545"/>
        <v>0</v>
      </c>
      <c r="Y754">
        <f t="shared" si="534"/>
        <v>24</v>
      </c>
      <c r="Z754">
        <f t="shared" si="561"/>
        <v>37</v>
      </c>
      <c r="AA754">
        <f t="shared" si="535"/>
        <v>37.083333333333336</v>
      </c>
      <c r="AB754">
        <f t="shared" si="546"/>
        <v>50.505050505050505</v>
      </c>
      <c r="AC754">
        <f t="shared" si="573"/>
        <v>1872.8956228956231</v>
      </c>
      <c r="AD754">
        <f t="shared" si="547"/>
        <v>80.505050505050505</v>
      </c>
      <c r="AE754">
        <f t="shared" si="548"/>
        <v>149.26978114478115</v>
      </c>
      <c r="AF754" s="94">
        <f t="shared" si="549"/>
        <v>2977.8345959595958</v>
      </c>
      <c r="AG754">
        <f t="shared" si="562"/>
        <v>1.4959475112771281E-3</v>
      </c>
      <c r="AH754">
        <f t="shared" si="550"/>
        <v>0.46386987229837801</v>
      </c>
      <c r="AI754">
        <f>HLOOKUP(AW754,'Real assumptions'!$A$21:$AK$24,2,TRUE)</f>
        <v>0</v>
      </c>
      <c r="AJ754" s="123">
        <f t="shared" si="574"/>
        <v>0</v>
      </c>
      <c r="AK754" s="122">
        <f>(1+HLOOKUP(YEAR(A754),'Real assumptions'!$A$21:$AK$24,2,TRUE)/100)^(1/12)-1</f>
        <v>0</v>
      </c>
      <c r="AL754">
        <f t="shared" si="563"/>
        <v>3.4928735952115099E-3</v>
      </c>
      <c r="AM754">
        <f>('Real assumptions'!$B$33/12)*O753*AV753</f>
        <v>3.365403405763781E-3</v>
      </c>
      <c r="AN754">
        <f t="shared" si="551"/>
        <v>0.46491343344965452</v>
      </c>
      <c r="AO754">
        <f t="shared" si="575"/>
        <v>0</v>
      </c>
      <c r="AP754" s="121">
        <f t="shared" si="552"/>
        <v>0</v>
      </c>
      <c r="AQ754">
        <f t="shared" si="553"/>
        <v>0</v>
      </c>
      <c r="AR754">
        <v>0</v>
      </c>
      <c r="AS754">
        <f t="shared" si="536"/>
        <v>0</v>
      </c>
      <c r="AT754">
        <f t="shared" si="554"/>
        <v>0</v>
      </c>
      <c r="AU754">
        <f>IFERROR(HLOOKUP(B754,'Real assumptions'!$B$43:$AL$44,2,TRUE)*($W$3/$U$2),0)</f>
        <v>0</v>
      </c>
      <c r="AV754">
        <f>AV753*(1+'Real assumptions'!$B$35)^(1/12)</f>
        <v>2.1557222536506946</v>
      </c>
      <c r="AW754">
        <f t="shared" si="537"/>
        <v>2080</v>
      </c>
      <c r="AX754">
        <f t="shared" si="564"/>
        <v>0.46531339874996136</v>
      </c>
      <c r="AY754">
        <f t="shared" si="565"/>
        <v>6.5772973266941431E-4</v>
      </c>
      <c r="AZ754">
        <f t="shared" si="538"/>
        <v>0.72131316351016517</v>
      </c>
      <c r="BA754">
        <f t="shared" si="555"/>
        <v>1.4959475112771281E-3</v>
      </c>
      <c r="BB754">
        <f t="shared" si="556"/>
        <v>37.083333333333336</v>
      </c>
      <c r="BC754">
        <f t="shared" si="539"/>
        <v>22.25</v>
      </c>
      <c r="BD754">
        <f t="shared" si="557"/>
        <v>0</v>
      </c>
      <c r="BE754">
        <f t="shared" si="540"/>
        <v>24</v>
      </c>
      <c r="BF754">
        <f t="shared" si="566"/>
        <v>5000</v>
      </c>
      <c r="BU754"/>
      <c r="DW754" s="89"/>
      <c r="DX754" s="89"/>
      <c r="FD754"/>
      <c r="FE754"/>
    </row>
    <row r="755" spans="1:161" x14ac:dyDescent="0.25">
      <c r="A755" s="7">
        <f t="shared" si="558"/>
        <v>66080</v>
      </c>
      <c r="B755">
        <f t="shared" si="541"/>
        <v>744</v>
      </c>
      <c r="C755">
        <f t="shared" si="567"/>
        <v>61.916666666666664</v>
      </c>
      <c r="D755">
        <f t="shared" si="568"/>
        <v>0</v>
      </c>
      <c r="E755">
        <f t="shared" si="542"/>
        <v>113</v>
      </c>
      <c r="F755">
        <f>IF(C755&gt;=$T$2,0,VLOOKUP($E755,EKM_F05!$A$3:$C$128,2,TRUE))</f>
        <v>0</v>
      </c>
      <c r="G755">
        <f>F755*'Real assumptions'!$B$3</f>
        <v>0</v>
      </c>
      <c r="H755">
        <f t="shared" si="569"/>
        <v>0</v>
      </c>
      <c r="I755">
        <f t="shared" si="570"/>
        <v>0</v>
      </c>
      <c r="J755">
        <f>IF(B755&gt;$AJ$2,0,HLOOKUP(C755,'Real assumptions'!$B$5:$L$8,4,TRUE))</f>
        <v>3.7900000000000003E-2</v>
      </c>
      <c r="K755">
        <f t="shared" si="531"/>
        <v>1</v>
      </c>
      <c r="L755">
        <f t="shared" si="559"/>
        <v>8.3333333333333329E-2</v>
      </c>
      <c r="M755">
        <f t="shared" si="571"/>
        <v>3.2145624959929453E-3</v>
      </c>
      <c r="N755">
        <f t="shared" si="572"/>
        <v>5.0074597713876342E-7</v>
      </c>
      <c r="O755" s="8">
        <f t="shared" si="543"/>
        <v>1.5527347765763557E-4</v>
      </c>
      <c r="P755">
        <f t="shared" si="544"/>
        <v>3.7385813672345843E-3</v>
      </c>
      <c r="Q755">
        <f t="shared" si="560"/>
        <v>0</v>
      </c>
      <c r="R755" s="89">
        <f t="shared" si="532"/>
        <v>5000</v>
      </c>
      <c r="S755">
        <f t="shared" si="533"/>
        <v>1</v>
      </c>
      <c r="U755">
        <f>O754*AV754*'Real assumptions'!$B$33/12+AX755*'Real assumptions'!$B$34</f>
        <v>3.4853139496581042E-3</v>
      </c>
      <c r="V755">
        <f>IF(P755=0,0,IF(E755&lt;=$C$7,$AN$5*O754,0))*'Real assumptions'!$D$28</f>
        <v>0</v>
      </c>
      <c r="X755" s="94">
        <f t="shared" si="545"/>
        <v>0</v>
      </c>
      <c r="Y755">
        <f t="shared" si="534"/>
        <v>24</v>
      </c>
      <c r="Z755">
        <f t="shared" si="561"/>
        <v>37</v>
      </c>
      <c r="AA755">
        <f t="shared" si="535"/>
        <v>37</v>
      </c>
      <c r="AB755">
        <f t="shared" si="546"/>
        <v>50.505050505050505</v>
      </c>
      <c r="AC755">
        <f t="shared" si="573"/>
        <v>1868.6868686868686</v>
      </c>
      <c r="AD755">
        <f t="shared" si="547"/>
        <v>80.505050505050505</v>
      </c>
      <c r="AE755">
        <f t="shared" si="548"/>
        <v>148.93434343434342</v>
      </c>
      <c r="AF755" s="94">
        <f t="shared" si="549"/>
        <v>2982.378787878788</v>
      </c>
      <c r="AG755">
        <f t="shared" si="562"/>
        <v>1.4934141803342846E-3</v>
      </c>
      <c r="AH755">
        <f t="shared" si="550"/>
        <v>0.46308432608630323</v>
      </c>
      <c r="AI755">
        <f>HLOOKUP(AW755,'Real assumptions'!$A$21:$AK$24,2,TRUE)</f>
        <v>0</v>
      </c>
      <c r="AJ755" s="123">
        <f t="shared" si="574"/>
        <v>0</v>
      </c>
      <c r="AK755" s="122">
        <f>(1+HLOOKUP(YEAR(A755),'Real assumptions'!$A$21:$AK$24,2,TRUE)/100)^(1/12)-1</f>
        <v>0</v>
      </c>
      <c r="AL755">
        <f t="shared" si="563"/>
        <v>3.4853139496581042E-3</v>
      </c>
      <c r="AM755">
        <f>('Real assumptions'!$B$33/12)*O754*AV754</f>
        <v>3.3580596043464306E-3</v>
      </c>
      <c r="AN755">
        <f t="shared" si="551"/>
        <v>0.46412313971595448</v>
      </c>
      <c r="AO755">
        <f t="shared" si="575"/>
        <v>0</v>
      </c>
      <c r="AP755" s="121">
        <f t="shared" si="552"/>
        <v>0</v>
      </c>
      <c r="AQ755">
        <f t="shared" si="553"/>
        <v>0</v>
      </c>
      <c r="AR755">
        <v>0</v>
      </c>
      <c r="AS755">
        <f t="shared" si="536"/>
        <v>0</v>
      </c>
      <c r="AT755">
        <f t="shared" si="554"/>
        <v>0</v>
      </c>
      <c r="AU755">
        <f>IFERROR(HLOOKUP(B755,'Real assumptions'!$B$43:$AL$44,2,TRUE)*($W$3/$U$2),0)</f>
        <v>0</v>
      </c>
      <c r="AV755">
        <f>AV754*(1+'Real assumptions'!$B$35)^(1/12)</f>
        <v>2.1579550343837099</v>
      </c>
      <c r="AW755">
        <f t="shared" si="537"/>
        <v>2080</v>
      </c>
      <c r="AX755">
        <f t="shared" si="564"/>
        <v>0.46452548771771629</v>
      </c>
      <c r="AY755">
        <f t="shared" si="565"/>
        <v>6.5561541933827582E-4</v>
      </c>
      <c r="AZ755">
        <f t="shared" si="538"/>
        <v>0.72007301674740731</v>
      </c>
      <c r="BA755">
        <f t="shared" si="555"/>
        <v>1.4934141803342846E-3</v>
      </c>
      <c r="BB755">
        <f t="shared" si="556"/>
        <v>37</v>
      </c>
      <c r="BC755">
        <f t="shared" si="539"/>
        <v>22.2</v>
      </c>
      <c r="BD755">
        <f t="shared" si="557"/>
        <v>0</v>
      </c>
      <c r="BE755">
        <f t="shared" si="540"/>
        <v>24</v>
      </c>
      <c r="BF755">
        <f t="shared" si="566"/>
        <v>5000</v>
      </c>
      <c r="BU755"/>
      <c r="DW755" s="89"/>
      <c r="DX755" s="89"/>
      <c r="FD755"/>
      <c r="FE755"/>
    </row>
    <row r="756" spans="1:161" x14ac:dyDescent="0.25">
      <c r="A756" s="7">
        <f t="shared" si="558"/>
        <v>66111</v>
      </c>
      <c r="B756">
        <f t="shared" si="541"/>
        <v>745</v>
      </c>
      <c r="C756">
        <f t="shared" si="567"/>
        <v>62</v>
      </c>
      <c r="D756">
        <f t="shared" si="568"/>
        <v>1</v>
      </c>
      <c r="E756">
        <f t="shared" si="542"/>
        <v>114</v>
      </c>
      <c r="F756">
        <f>IF(C756&gt;=$T$2,0,VLOOKUP($E756,EKM_F05!$A$3:$C$128,2,TRUE))</f>
        <v>1</v>
      </c>
      <c r="G756">
        <f>F756*'Real assumptions'!$B$3</f>
        <v>0.4173</v>
      </c>
      <c r="H756">
        <f t="shared" si="569"/>
        <v>4.4009114911801261E-2</v>
      </c>
      <c r="I756">
        <f t="shared" si="570"/>
        <v>6.8224650476444094E-6</v>
      </c>
      <c r="J756">
        <f>IF(B756&gt;$AJ$2,0,HLOOKUP(C756,'Real assumptions'!$B$5:$L$8,4,TRUE))</f>
        <v>3.7900000000000003E-2</v>
      </c>
      <c r="K756">
        <f t="shared" si="531"/>
        <v>1</v>
      </c>
      <c r="L756">
        <f t="shared" si="559"/>
        <v>8.3333333333333329E-2</v>
      </c>
      <c r="M756">
        <f t="shared" si="571"/>
        <v>3.2145624959929453E-3</v>
      </c>
      <c r="N756">
        <f t="shared" si="572"/>
        <v>4.8815302455515376E-7</v>
      </c>
      <c r="O756" s="8">
        <f t="shared" si="543"/>
        <v>1.4796285958543602E-4</v>
      </c>
      <c r="P756">
        <f t="shared" si="544"/>
        <v>3.7265634637832536E-3</v>
      </c>
      <c r="Q756">
        <f t="shared" si="560"/>
        <v>3.4112325238222045E-2</v>
      </c>
      <c r="R756" s="89">
        <f t="shared" si="532"/>
        <v>5000</v>
      </c>
      <c r="S756">
        <f t="shared" si="533"/>
        <v>0.9166666666666643</v>
      </c>
      <c r="U756">
        <f>O755*AV755*'Real assumptions'!$B$33/12+AX756*'Real assumptions'!$B$34</f>
        <v>3.4777703998381689E-3</v>
      </c>
      <c r="V756">
        <f>IF(P756=0,0,IF(E756&lt;=$C$7,$AN$5*O755,0))*'Real assumptions'!$D$28</f>
        <v>0</v>
      </c>
      <c r="X756" s="94">
        <f t="shared" si="545"/>
        <v>0</v>
      </c>
      <c r="Y756">
        <f t="shared" si="534"/>
        <v>24</v>
      </c>
      <c r="Z756">
        <f t="shared" si="561"/>
        <v>37</v>
      </c>
      <c r="AA756">
        <f t="shared" si="535"/>
        <v>36.916666666666664</v>
      </c>
      <c r="AB756">
        <f t="shared" si="546"/>
        <v>50.505050505050505</v>
      </c>
      <c r="AC756">
        <f t="shared" si="573"/>
        <v>1864.4781144781143</v>
      </c>
      <c r="AD756">
        <f t="shared" si="547"/>
        <v>80.505050505050505</v>
      </c>
      <c r="AE756">
        <f t="shared" si="548"/>
        <v>148.59890572390572</v>
      </c>
      <c r="AF756" s="94">
        <f t="shared" si="549"/>
        <v>2986.9229797979797</v>
      </c>
      <c r="AG756">
        <f t="shared" si="562"/>
        <v>1.4580754867016762E-3</v>
      </c>
      <c r="AH756">
        <f t="shared" si="550"/>
        <v>0.44195366545236064</v>
      </c>
      <c r="AI756">
        <f>HLOOKUP(AW756,'Real assumptions'!$A$21:$AK$24,2,TRUE)</f>
        <v>0</v>
      </c>
      <c r="AJ756" s="123">
        <f t="shared" si="574"/>
        <v>0</v>
      </c>
      <c r="AK756" s="122">
        <f>(1+HLOOKUP(YEAR(A756),'Real assumptions'!$A$21:$AK$24,2,TRUE)/100)^(1/12)-1</f>
        <v>0</v>
      </c>
      <c r="AL756">
        <f t="shared" si="563"/>
        <v>3.4777703998381689E-3</v>
      </c>
      <c r="AM756">
        <f>('Real assumptions'!$B$33/12)*O755*AV755</f>
        <v>3.3507318281756119E-3</v>
      </c>
      <c r="AN756">
        <f t="shared" si="551"/>
        <v>0.46333311915024833</v>
      </c>
      <c r="AO756">
        <f t="shared" si="575"/>
        <v>0</v>
      </c>
      <c r="AP756" s="121">
        <f t="shared" si="552"/>
        <v>0</v>
      </c>
      <c r="AQ756">
        <f t="shared" si="553"/>
        <v>0</v>
      </c>
      <c r="AR756">
        <v>0</v>
      </c>
      <c r="AS756">
        <f t="shared" si="536"/>
        <v>0</v>
      </c>
      <c r="AT756">
        <f t="shared" si="554"/>
        <v>0</v>
      </c>
      <c r="AU756">
        <f>IFERROR(HLOOKUP(B756,'Real assumptions'!$B$43:$AL$44,2,TRUE)*($W$3/$U$2),0)</f>
        <v>0</v>
      </c>
      <c r="AV756">
        <f>AV755*(1+'Real assumptions'!$B$35)^(1/12)</f>
        <v>2.1601901277104711</v>
      </c>
      <c r="AW756">
        <f t="shared" si="537"/>
        <v>2080</v>
      </c>
      <c r="AX756">
        <f t="shared" si="564"/>
        <v>0.46373783398890273</v>
      </c>
      <c r="AY756">
        <f t="shared" si="565"/>
        <v>6.5350790259947628E-4</v>
      </c>
      <c r="AZ756">
        <f t="shared" si="538"/>
        <v>0.68475140908642873</v>
      </c>
      <c r="BA756">
        <f t="shared" si="555"/>
        <v>3.557040072492372E-2</v>
      </c>
      <c r="BB756">
        <f t="shared" si="556"/>
        <v>36.916666666666664</v>
      </c>
      <c r="BC756">
        <f t="shared" si="539"/>
        <v>22.15</v>
      </c>
      <c r="BD756">
        <f t="shared" si="557"/>
        <v>0</v>
      </c>
      <c r="BE756">
        <f t="shared" si="540"/>
        <v>24</v>
      </c>
      <c r="BF756">
        <f t="shared" si="566"/>
        <v>5000</v>
      </c>
      <c r="BU756"/>
      <c r="DW756" s="89"/>
      <c r="DX756" s="89"/>
      <c r="FD756"/>
      <c r="FE756"/>
    </row>
    <row r="757" spans="1:161" x14ac:dyDescent="0.25">
      <c r="A757" s="7">
        <f t="shared" si="558"/>
        <v>66142</v>
      </c>
      <c r="B757">
        <f t="shared" si="541"/>
        <v>746</v>
      </c>
      <c r="C757">
        <f t="shared" si="567"/>
        <v>62.083333333333336</v>
      </c>
      <c r="D757">
        <f t="shared" si="568"/>
        <v>0</v>
      </c>
      <c r="E757">
        <f t="shared" si="542"/>
        <v>114</v>
      </c>
      <c r="F757">
        <f>IF(C757&gt;=$T$2,0,VLOOKUP($E757,EKM_F05!$A$3:$C$128,2,TRUE))</f>
        <v>1</v>
      </c>
      <c r="G757">
        <f>F757*'Real assumptions'!$B$3</f>
        <v>0.4173</v>
      </c>
      <c r="H757">
        <f t="shared" si="569"/>
        <v>4.4009114911801261E-2</v>
      </c>
      <c r="I757">
        <f t="shared" si="570"/>
        <v>6.5012483335818053E-6</v>
      </c>
      <c r="J757">
        <f>IF(B757&gt;$AJ$2,0,HLOOKUP(C757,'Real assumptions'!$B$5:$L$8,4,TRUE))</f>
        <v>3.7900000000000003E-2</v>
      </c>
      <c r="K757">
        <f t="shared" si="531"/>
        <v>1</v>
      </c>
      <c r="L757">
        <f t="shared" si="559"/>
        <v>8.3333333333333329E-2</v>
      </c>
      <c r="M757">
        <f t="shared" si="571"/>
        <v>3.2145624959929453E-3</v>
      </c>
      <c r="N757">
        <f t="shared" si="572"/>
        <v>4.6516970263084908E-7</v>
      </c>
      <c r="O757" s="8">
        <f t="shared" si="543"/>
        <v>1.4099644154922335E-4</v>
      </c>
      <c r="P757">
        <f t="shared" si="544"/>
        <v>3.5511086300504648E-3</v>
      </c>
      <c r="Q757">
        <f t="shared" si="560"/>
        <v>3.2506241667909025E-2</v>
      </c>
      <c r="R757" s="89">
        <f t="shared" si="532"/>
        <v>5000</v>
      </c>
      <c r="S757">
        <f t="shared" si="533"/>
        <v>0.8333333333333357</v>
      </c>
      <c r="U757">
        <f>O756*AV756*'Real assumptions'!$B$33/12+AX757*'Real assumptions'!$B$34</f>
        <v>3.3175205934488201E-3</v>
      </c>
      <c r="V757">
        <f>IF(P757=0,0,IF(E757&lt;=$C$7,$AN$5*O756,0))*'Real assumptions'!$D$28</f>
        <v>0</v>
      </c>
      <c r="X757" s="94">
        <f t="shared" si="545"/>
        <v>0</v>
      </c>
      <c r="Y757">
        <f t="shared" si="534"/>
        <v>24</v>
      </c>
      <c r="Z757">
        <f t="shared" si="561"/>
        <v>36</v>
      </c>
      <c r="AA757">
        <f t="shared" si="535"/>
        <v>36.833333333333336</v>
      </c>
      <c r="AB757">
        <f t="shared" si="546"/>
        <v>50.505050505050505</v>
      </c>
      <c r="AC757">
        <f t="shared" si="573"/>
        <v>1860.2693602693605</v>
      </c>
      <c r="AD757">
        <f t="shared" si="547"/>
        <v>80.505050505050505</v>
      </c>
      <c r="AE757">
        <f t="shared" si="548"/>
        <v>148.26346801346801</v>
      </c>
      <c r="AF757" s="94">
        <f t="shared" si="549"/>
        <v>2991.4671717171714</v>
      </c>
      <c r="AG757">
        <f t="shared" si="562"/>
        <v>1.3915398946976237E-3</v>
      </c>
      <c r="AH757">
        <f t="shared" si="550"/>
        <v>0.42178622622344064</v>
      </c>
      <c r="AI757">
        <f>HLOOKUP(AW757,'Real assumptions'!$A$21:$AK$24,2,TRUE)</f>
        <v>0</v>
      </c>
      <c r="AJ757" s="123">
        <f t="shared" si="574"/>
        <v>0</v>
      </c>
      <c r="AK757" s="122">
        <f>(1+HLOOKUP(YEAR(A757),'Real assumptions'!$A$21:$AK$24,2,TRUE)/100)^(1/12)-1</f>
        <v>0</v>
      </c>
      <c r="AL757">
        <f t="shared" si="563"/>
        <v>3.3175205934488201E-3</v>
      </c>
      <c r="AM757">
        <f>('Real assumptions'!$B$33/12)*O756*AV756</f>
        <v>3.1962790854426952E-3</v>
      </c>
      <c r="AN757">
        <f t="shared" si="551"/>
        <v>0.44218725348896232</v>
      </c>
      <c r="AO757">
        <f t="shared" si="575"/>
        <v>0</v>
      </c>
      <c r="AP757" s="121">
        <f t="shared" si="552"/>
        <v>0</v>
      </c>
      <c r="AQ757">
        <f t="shared" si="553"/>
        <v>0</v>
      </c>
      <c r="AR757">
        <v>0</v>
      </c>
      <c r="AS757">
        <f t="shared" si="536"/>
        <v>0</v>
      </c>
      <c r="AT757">
        <f t="shared" si="554"/>
        <v>0</v>
      </c>
      <c r="AU757">
        <f>IFERROR(HLOOKUP(B757,'Real assumptions'!$B$43:$AL$44,2,TRUE)*($W$3/$U$2),0)</f>
        <v>0</v>
      </c>
      <c r="AV757">
        <f>AV756*(1+'Real assumptions'!$B$35)^(1/12)</f>
        <v>2.1624275360262382</v>
      </c>
      <c r="AW757">
        <f t="shared" si="537"/>
        <v>2081</v>
      </c>
      <c r="AX757">
        <f t="shared" si="564"/>
        <v>0.44257640476038018</v>
      </c>
      <c r="AY757">
        <f t="shared" si="565"/>
        <v>6.2273930801951189E-4</v>
      </c>
      <c r="AZ757">
        <f t="shared" si="538"/>
        <v>0.6510872155604237</v>
      </c>
      <c r="BA757">
        <f t="shared" si="555"/>
        <v>3.3897781562606651E-2</v>
      </c>
      <c r="BB757">
        <f t="shared" si="556"/>
        <v>36.833333333333336</v>
      </c>
      <c r="BC757">
        <f t="shared" si="539"/>
        <v>22.1</v>
      </c>
      <c r="BD757">
        <f t="shared" si="557"/>
        <v>0</v>
      </c>
      <c r="BE757">
        <f t="shared" si="540"/>
        <v>24</v>
      </c>
      <c r="BF757">
        <f t="shared" si="566"/>
        <v>5000</v>
      </c>
      <c r="BU757"/>
      <c r="DW757" s="89"/>
      <c r="DX757" s="89"/>
      <c r="FD757"/>
      <c r="FE757"/>
    </row>
    <row r="758" spans="1:161" x14ac:dyDescent="0.25">
      <c r="A758" s="7">
        <f t="shared" si="558"/>
        <v>66170</v>
      </c>
      <c r="B758">
        <f t="shared" si="541"/>
        <v>747</v>
      </c>
      <c r="C758">
        <f t="shared" si="567"/>
        <v>62.166666666666664</v>
      </c>
      <c r="D758">
        <f t="shared" si="568"/>
        <v>0</v>
      </c>
      <c r="E758">
        <f t="shared" si="542"/>
        <v>114</v>
      </c>
      <c r="F758">
        <f>IF(C758&gt;=$T$2,0,VLOOKUP($E758,EKM_F05!$A$3:$C$128,2,TRUE))</f>
        <v>1</v>
      </c>
      <c r="G758">
        <f>F758*'Real assumptions'!$B$3</f>
        <v>0.4173</v>
      </c>
      <c r="H758">
        <f t="shared" si="569"/>
        <v>4.4009114911801261E-2</v>
      </c>
      <c r="I758">
        <f t="shared" si="570"/>
        <v>6.1951552114573942E-6</v>
      </c>
      <c r="J758">
        <f>IF(B758&gt;$AJ$2,0,HLOOKUP(C758,'Real assumptions'!$B$5:$L$8,4,TRUE))</f>
        <v>3.7900000000000003E-2</v>
      </c>
      <c r="K758">
        <f t="shared" si="531"/>
        <v>1</v>
      </c>
      <c r="L758">
        <f t="shared" si="559"/>
        <v>8.3333333333333329E-2</v>
      </c>
      <c r="M758">
        <f t="shared" si="571"/>
        <v>3.2145624959929453E-3</v>
      </c>
      <c r="N758">
        <f t="shared" si="572"/>
        <v>4.4326848623514888E-7</v>
      </c>
      <c r="O758" s="8">
        <f t="shared" si="543"/>
        <v>1.343580178515308E-4</v>
      </c>
      <c r="P758">
        <f t="shared" si="544"/>
        <v>3.3839145971813604E-3</v>
      </c>
      <c r="Q758">
        <f t="shared" si="560"/>
        <v>3.097577605728697E-2</v>
      </c>
      <c r="R758" s="89">
        <f t="shared" si="532"/>
        <v>5000</v>
      </c>
      <c r="S758">
        <f t="shared" si="533"/>
        <v>0.75</v>
      </c>
      <c r="U758">
        <f>O757*AV757*'Real assumptions'!$B$33/12+AX758*'Real assumptions'!$B$34</f>
        <v>3.1646545875806797E-3</v>
      </c>
      <c r="V758">
        <f>IF(P758=0,0,IF(E758&lt;=$C$7,$AN$5*O757,0))*'Real assumptions'!$D$28</f>
        <v>0</v>
      </c>
      <c r="X758" s="94">
        <f t="shared" si="545"/>
        <v>0</v>
      </c>
      <c r="Y758">
        <f t="shared" si="534"/>
        <v>24</v>
      </c>
      <c r="Z758">
        <f t="shared" si="561"/>
        <v>36</v>
      </c>
      <c r="AA758">
        <f t="shared" si="535"/>
        <v>36.75</v>
      </c>
      <c r="AB758">
        <f t="shared" si="546"/>
        <v>50.505050505050505</v>
      </c>
      <c r="AC758">
        <f t="shared" si="573"/>
        <v>1856.060606060606</v>
      </c>
      <c r="AD758">
        <f t="shared" si="547"/>
        <v>80.505050505050505</v>
      </c>
      <c r="AE758">
        <f t="shared" si="548"/>
        <v>147.92803030303028</v>
      </c>
      <c r="AF758" s="94">
        <f t="shared" si="549"/>
        <v>2996.0113636363635</v>
      </c>
      <c r="AG758">
        <f t="shared" si="562"/>
        <v>1.328037421902395E-3</v>
      </c>
      <c r="AH758">
        <f t="shared" si="550"/>
        <v>0.40253814827884365</v>
      </c>
      <c r="AI758">
        <f>HLOOKUP(AW758,'Real assumptions'!$A$21:$AK$24,2,TRUE)</f>
        <v>0</v>
      </c>
      <c r="AJ758" s="123">
        <f t="shared" si="574"/>
        <v>0</v>
      </c>
      <c r="AK758" s="122">
        <f>(1+HLOOKUP(YEAR(A758),'Real assumptions'!$A$21:$AK$24,2,TRUE)/100)^(1/12)-1</f>
        <v>0</v>
      </c>
      <c r="AL758">
        <f t="shared" si="563"/>
        <v>3.1646545875806797E-3</v>
      </c>
      <c r="AM758">
        <f>('Real assumptions'!$B$33/12)*O757*AV757</f>
        <v>3.0489458768775458E-3</v>
      </c>
      <c r="AN758">
        <f t="shared" si="551"/>
        <v>0.42200548623304129</v>
      </c>
      <c r="AO758">
        <f t="shared" si="575"/>
        <v>0</v>
      </c>
      <c r="AP758" s="121">
        <f t="shared" si="552"/>
        <v>0</v>
      </c>
      <c r="AQ758">
        <f t="shared" si="553"/>
        <v>0</v>
      </c>
      <c r="AR758">
        <v>0</v>
      </c>
      <c r="AS758">
        <f t="shared" si="536"/>
        <v>0</v>
      </c>
      <c r="AT758">
        <f t="shared" si="554"/>
        <v>0</v>
      </c>
      <c r="AU758">
        <f>IFERROR(HLOOKUP(B758,'Real assumptions'!$B$43:$AL$44,2,TRUE)*($W$3/$U$2),0)</f>
        <v>0</v>
      </c>
      <c r="AV758">
        <f>AV757*(1+'Real assumptions'!$B$35)^(1/12)</f>
        <v>2.1646672617287512</v>
      </c>
      <c r="AW758">
        <f t="shared" si="537"/>
        <v>2081</v>
      </c>
      <c r="AX758">
        <f t="shared" si="564"/>
        <v>0.42237964559023028</v>
      </c>
      <c r="AY758">
        <f t="shared" si="565"/>
        <v>5.9341936678966047E-4</v>
      </c>
      <c r="AZ758">
        <f t="shared" si="538"/>
        <v>0.6190026620908351</v>
      </c>
      <c r="BA758">
        <f t="shared" si="555"/>
        <v>3.2303813479189362E-2</v>
      </c>
      <c r="BB758">
        <f t="shared" si="556"/>
        <v>36.75</v>
      </c>
      <c r="BC758">
        <f t="shared" si="539"/>
        <v>22.049999999999997</v>
      </c>
      <c r="BD758">
        <f t="shared" si="557"/>
        <v>0</v>
      </c>
      <c r="BE758">
        <f t="shared" si="540"/>
        <v>24</v>
      </c>
      <c r="BF758">
        <f t="shared" si="566"/>
        <v>5000</v>
      </c>
      <c r="BU758"/>
      <c r="DW758" s="89"/>
      <c r="DX758" s="89"/>
      <c r="FD758"/>
      <c r="FE758"/>
    </row>
    <row r="759" spans="1:161" x14ac:dyDescent="0.25">
      <c r="A759" s="7">
        <f t="shared" si="558"/>
        <v>66201</v>
      </c>
      <c r="B759">
        <f t="shared" si="541"/>
        <v>748</v>
      </c>
      <c r="C759">
        <f t="shared" si="567"/>
        <v>62.25</v>
      </c>
      <c r="D759">
        <f t="shared" si="568"/>
        <v>0</v>
      </c>
      <c r="E759">
        <f t="shared" si="542"/>
        <v>114</v>
      </c>
      <c r="F759">
        <f>IF(C759&gt;=$T$2,0,VLOOKUP($E759,EKM_F05!$A$3:$C$128,2,TRUE))</f>
        <v>1</v>
      </c>
      <c r="G759">
        <f>F759*'Real assumptions'!$B$3</f>
        <v>0.4173</v>
      </c>
      <c r="H759">
        <f t="shared" si="569"/>
        <v>4.4009114911801261E-2</v>
      </c>
      <c r="I759">
        <f t="shared" si="570"/>
        <v>5.9034736291795552E-6</v>
      </c>
      <c r="J759">
        <f>IF(B759&gt;$AJ$2,0,HLOOKUP(C759,'Real assumptions'!$B$5:$L$8,4,TRUE))</f>
        <v>3.7900000000000003E-2</v>
      </c>
      <c r="K759">
        <f t="shared" si="531"/>
        <v>1</v>
      </c>
      <c r="L759">
        <f t="shared" si="559"/>
        <v>8.3333333333333329E-2</v>
      </c>
      <c r="M759">
        <f t="shared" si="571"/>
        <v>3.2145624959929453E-3</v>
      </c>
      <c r="N759">
        <f t="shared" si="572"/>
        <v>4.2239842745117298E-7</v>
      </c>
      <c r="O759" s="8">
        <f t="shared" si="543"/>
        <v>1.2803214579490009E-4</v>
      </c>
      <c r="P759">
        <f t="shared" si="544"/>
        <v>3.2245924284367393E-3</v>
      </c>
      <c r="Q759">
        <f t="shared" si="560"/>
        <v>2.9517368145897775E-2</v>
      </c>
      <c r="R759" s="89">
        <f t="shared" si="532"/>
        <v>5000</v>
      </c>
      <c r="S759">
        <f t="shared" si="533"/>
        <v>0.6666666666666643</v>
      </c>
      <c r="U759">
        <f>O758*AV758*'Real assumptions'!$B$33/12+AX759*'Real assumptions'!$B$34</f>
        <v>3.0188321717563977E-3</v>
      </c>
      <c r="V759">
        <f>IF(P759=0,0,IF(E759&lt;=$C$7,$AN$5*O758,0))*'Real assumptions'!$D$28</f>
        <v>0</v>
      </c>
      <c r="X759" s="94">
        <f t="shared" si="545"/>
        <v>0</v>
      </c>
      <c r="Y759">
        <f t="shared" si="534"/>
        <v>24</v>
      </c>
      <c r="Z759">
        <f t="shared" si="561"/>
        <v>36</v>
      </c>
      <c r="AA759">
        <f t="shared" si="535"/>
        <v>36.666666666666664</v>
      </c>
      <c r="AB759">
        <f t="shared" si="546"/>
        <v>50.505050505050505</v>
      </c>
      <c r="AC759">
        <f t="shared" si="573"/>
        <v>1851.8518518518517</v>
      </c>
      <c r="AD759">
        <f t="shared" si="547"/>
        <v>80.505050505050505</v>
      </c>
      <c r="AE759">
        <f t="shared" si="548"/>
        <v>147.59259259259258</v>
      </c>
      <c r="AF759" s="94">
        <f t="shared" si="549"/>
        <v>3000.5555555555557</v>
      </c>
      <c r="AG759">
        <f t="shared" si="562"/>
        <v>1.2674299481465474E-3</v>
      </c>
      <c r="AH759">
        <f t="shared" si="550"/>
        <v>0.38416756635458632</v>
      </c>
      <c r="AI759">
        <f>HLOOKUP(AW759,'Real assumptions'!$A$21:$AK$24,2,TRUE)</f>
        <v>0</v>
      </c>
      <c r="AJ759" s="123">
        <f t="shared" si="574"/>
        <v>0</v>
      </c>
      <c r="AK759" s="122">
        <f>(1+HLOOKUP(YEAR(A759),'Real assumptions'!$A$21:$AK$24,2,TRUE)/100)^(1/12)-1</f>
        <v>0</v>
      </c>
      <c r="AL759">
        <f t="shared" si="563"/>
        <v>3.0188321717563977E-3</v>
      </c>
      <c r="AM759">
        <f>('Real assumptions'!$B$33/12)*O758*AV758</f>
        <v>2.9084040259397584E-3</v>
      </c>
      <c r="AN759">
        <f t="shared" si="551"/>
        <v>0.402743908535524</v>
      </c>
      <c r="AO759">
        <f t="shared" si="575"/>
        <v>0</v>
      </c>
      <c r="AP759" s="121">
        <f t="shared" si="552"/>
        <v>0</v>
      </c>
      <c r="AQ759">
        <f t="shared" si="553"/>
        <v>0</v>
      </c>
      <c r="AR759">
        <v>0</v>
      </c>
      <c r="AS759">
        <f t="shared" si="536"/>
        <v>0</v>
      </c>
      <c r="AT759">
        <f t="shared" si="554"/>
        <v>0</v>
      </c>
      <c r="AU759">
        <f>IFERROR(HLOOKUP(B759,'Real assumptions'!$B$43:$AL$44,2,TRUE)*($W$3/$U$2),0)</f>
        <v>0</v>
      </c>
      <c r="AV759">
        <f>AV758*(1+'Real assumptions'!$B$35)^(1/12)</f>
        <v>2.1669093072182348</v>
      </c>
      <c r="AW759">
        <f t="shared" si="537"/>
        <v>2081</v>
      </c>
      <c r="AX759">
        <f t="shared" si="564"/>
        <v>0.40310362815195616</v>
      </c>
      <c r="AY759">
        <f t="shared" si="565"/>
        <v>5.6547987311250333E-4</v>
      </c>
      <c r="AZ759">
        <f t="shared" si="538"/>
        <v>0.58842362425347117</v>
      </c>
      <c r="BA759">
        <f t="shared" si="555"/>
        <v>3.0784798094044323E-2</v>
      </c>
      <c r="BB759">
        <f t="shared" si="556"/>
        <v>36.666666666666664</v>
      </c>
      <c r="BC759">
        <f t="shared" si="539"/>
        <v>22</v>
      </c>
      <c r="BD759">
        <f t="shared" si="557"/>
        <v>0</v>
      </c>
      <c r="BE759">
        <f t="shared" si="540"/>
        <v>24</v>
      </c>
      <c r="BF759">
        <f t="shared" si="566"/>
        <v>5000</v>
      </c>
      <c r="BU759"/>
      <c r="DW759" s="89"/>
      <c r="DX759" s="89"/>
      <c r="FD759"/>
      <c r="FE759"/>
    </row>
    <row r="760" spans="1:161" x14ac:dyDescent="0.25">
      <c r="A760" s="7">
        <f t="shared" si="558"/>
        <v>66231</v>
      </c>
      <c r="B760">
        <f t="shared" si="541"/>
        <v>749</v>
      </c>
      <c r="C760">
        <f t="shared" si="567"/>
        <v>62.333333333333336</v>
      </c>
      <c r="D760">
        <f t="shared" si="568"/>
        <v>0</v>
      </c>
      <c r="E760">
        <f t="shared" si="542"/>
        <v>114</v>
      </c>
      <c r="F760">
        <f>IF(C760&gt;=$T$2,0,VLOOKUP($E760,EKM_F05!$A$3:$C$128,2,TRUE))</f>
        <v>1</v>
      </c>
      <c r="G760">
        <f>F760*'Real assumptions'!$B$3</f>
        <v>0.4173</v>
      </c>
      <c r="H760">
        <f t="shared" si="569"/>
        <v>4.4009114911801261E-2</v>
      </c>
      <c r="I760">
        <f t="shared" si="570"/>
        <v>5.6255250596408924E-6</v>
      </c>
      <c r="J760">
        <f>IF(B760&gt;$AJ$2,0,HLOOKUP(C760,'Real assumptions'!$B$5:$L$8,4,TRUE))</f>
        <v>3.7900000000000003E-2</v>
      </c>
      <c r="K760">
        <f t="shared" si="531"/>
        <v>1</v>
      </c>
      <c r="L760">
        <f t="shared" si="559"/>
        <v>8.3333333333333329E-2</v>
      </c>
      <c r="M760">
        <f t="shared" si="571"/>
        <v>3.2145624959929453E-3</v>
      </c>
      <c r="N760">
        <f t="shared" si="572"/>
        <v>4.0251097710242785E-7</v>
      </c>
      <c r="O760" s="8">
        <f t="shared" si="543"/>
        <v>1.2200410975815678E-4</v>
      </c>
      <c r="P760">
        <f t="shared" si="544"/>
        <v>3.0727714990776023E-3</v>
      </c>
      <c r="Q760">
        <f t="shared" si="560"/>
        <v>2.8127625298204461E-2</v>
      </c>
      <c r="R760" s="89">
        <f t="shared" si="532"/>
        <v>5000</v>
      </c>
      <c r="S760">
        <f t="shared" si="533"/>
        <v>0.5833333333333357</v>
      </c>
      <c r="U760">
        <f>O759*AV759*'Real assumptions'!$B$33/12+AX760*'Real assumptions'!$B$34</f>
        <v>2.8797288102309568E-3</v>
      </c>
      <c r="V760">
        <f>IF(P760=0,0,IF(E760&lt;=$C$7,$AN$5*O759,0))*'Real assumptions'!$D$28</f>
        <v>0</v>
      </c>
      <c r="X760" s="94">
        <f t="shared" si="545"/>
        <v>0</v>
      </c>
      <c r="Y760">
        <f t="shared" si="534"/>
        <v>24</v>
      </c>
      <c r="Z760">
        <f t="shared" si="561"/>
        <v>36</v>
      </c>
      <c r="AA760">
        <f t="shared" si="535"/>
        <v>36.583333333333336</v>
      </c>
      <c r="AB760">
        <f t="shared" si="546"/>
        <v>50.505050505050505</v>
      </c>
      <c r="AC760">
        <f t="shared" si="573"/>
        <v>1847.6430976430977</v>
      </c>
      <c r="AD760">
        <f t="shared" si="547"/>
        <v>80.505050505050505</v>
      </c>
      <c r="AE760">
        <f t="shared" si="548"/>
        <v>147.25715488215488</v>
      </c>
      <c r="AF760" s="94">
        <f t="shared" si="549"/>
        <v>3005.0997474747478</v>
      </c>
      <c r="AG760">
        <f t="shared" si="562"/>
        <v>1.2095856356463199E-3</v>
      </c>
      <c r="AH760">
        <f t="shared" si="550"/>
        <v>0.36663451942511838</v>
      </c>
      <c r="AI760">
        <f>HLOOKUP(AW760,'Real assumptions'!$A$21:$AK$24,2,TRUE)</f>
        <v>0</v>
      </c>
      <c r="AJ760" s="123">
        <f t="shared" si="574"/>
        <v>0</v>
      </c>
      <c r="AK760" s="122">
        <f>(1+HLOOKUP(YEAR(A760),'Real assumptions'!$A$21:$AK$24,2,TRUE)/100)^(1/12)-1</f>
        <v>0</v>
      </c>
      <c r="AL760">
        <f t="shared" si="563"/>
        <v>2.8797288102309568E-3</v>
      </c>
      <c r="AM760">
        <f>('Real assumptions'!$B$33/12)*O759*AV759</f>
        <v>2.7743404834609099E-3</v>
      </c>
      <c r="AN760">
        <f t="shared" si="551"/>
        <v>0.38436060904343294</v>
      </c>
      <c r="AO760">
        <f t="shared" si="575"/>
        <v>0</v>
      </c>
      <c r="AP760" s="121">
        <f t="shared" si="552"/>
        <v>0</v>
      </c>
      <c r="AQ760">
        <f t="shared" si="553"/>
        <v>0</v>
      </c>
      <c r="AR760">
        <v>0</v>
      </c>
      <c r="AS760">
        <f t="shared" si="536"/>
        <v>0</v>
      </c>
      <c r="AT760">
        <f t="shared" si="554"/>
        <v>0</v>
      </c>
      <c r="AU760">
        <f>IFERROR(HLOOKUP(B760,'Real assumptions'!$B$43:$AL$44,2,TRUE)*($W$3/$U$2),0)</f>
        <v>0</v>
      </c>
      <c r="AV760">
        <f>AV759*(1+'Real assumptions'!$B$35)^(1/12)</f>
        <v>2.169153674897399</v>
      </c>
      <c r="AW760">
        <f t="shared" si="537"/>
        <v>2081</v>
      </c>
      <c r="AX760">
        <f t="shared" si="564"/>
        <v>0.38470642218705642</v>
      </c>
      <c r="AY760">
        <f t="shared" si="565"/>
        <v>5.3885583247011821E-4</v>
      </c>
      <c r="AZ760">
        <f t="shared" si="538"/>
        <v>0.55927945600846707</v>
      </c>
      <c r="BA760">
        <f t="shared" si="555"/>
        <v>2.933721093385078E-2</v>
      </c>
      <c r="BB760">
        <f t="shared" si="556"/>
        <v>36.583333333333336</v>
      </c>
      <c r="BC760">
        <f t="shared" si="539"/>
        <v>21.950000000000003</v>
      </c>
      <c r="BD760">
        <f t="shared" si="557"/>
        <v>0</v>
      </c>
      <c r="BE760">
        <f t="shared" si="540"/>
        <v>24</v>
      </c>
      <c r="BF760">
        <f t="shared" si="566"/>
        <v>5000</v>
      </c>
      <c r="BU760"/>
      <c r="DW760" s="89"/>
      <c r="DX760" s="89"/>
      <c r="FD760"/>
      <c r="FE760"/>
    </row>
    <row r="761" spans="1:161" x14ac:dyDescent="0.25">
      <c r="A761" s="7">
        <f t="shared" si="558"/>
        <v>66262</v>
      </c>
      <c r="B761">
        <f t="shared" si="541"/>
        <v>750</v>
      </c>
      <c r="C761">
        <f t="shared" si="567"/>
        <v>62.416666666666664</v>
      </c>
      <c r="D761">
        <f t="shared" si="568"/>
        <v>0</v>
      </c>
      <c r="E761">
        <f t="shared" si="542"/>
        <v>114</v>
      </c>
      <c r="F761">
        <f>IF(C761&gt;=$T$2,0,VLOOKUP($E761,EKM_F05!$A$3:$C$128,2,TRUE))</f>
        <v>1</v>
      </c>
      <c r="G761">
        <f>F761*'Real assumptions'!$B$3</f>
        <v>0.4173</v>
      </c>
      <c r="H761">
        <f t="shared" si="569"/>
        <v>4.4009114911801261E-2</v>
      </c>
      <c r="I761">
        <f t="shared" si="570"/>
        <v>5.3606629222879719E-6</v>
      </c>
      <c r="J761">
        <f>IF(B761&gt;$AJ$2,0,HLOOKUP(C761,'Real assumptions'!$B$5:$L$8,4,TRUE))</f>
        <v>3.7900000000000003E-2</v>
      </c>
      <c r="K761">
        <f t="shared" si="531"/>
        <v>1</v>
      </c>
      <c r="L761">
        <f t="shared" si="559"/>
        <v>8.3333333333333329E-2</v>
      </c>
      <c r="M761">
        <f t="shared" si="571"/>
        <v>3.2145624959929453E-3</v>
      </c>
      <c r="N761">
        <f t="shared" si="572"/>
        <v>3.835598718148146E-7</v>
      </c>
      <c r="O761" s="8">
        <f t="shared" si="543"/>
        <v>1.1625988696405399E-4</v>
      </c>
      <c r="P761">
        <f t="shared" si="544"/>
        <v>2.9280986341957628E-3</v>
      </c>
      <c r="Q761">
        <f t="shared" si="560"/>
        <v>2.6803314611439859E-2</v>
      </c>
      <c r="R761" s="89">
        <f t="shared" si="532"/>
        <v>5000</v>
      </c>
      <c r="S761">
        <f t="shared" si="533"/>
        <v>0.5</v>
      </c>
      <c r="U761">
        <f>O760*AV760*'Real assumptions'!$B$33/12+AX761*'Real assumptions'!$B$34</f>
        <v>2.7470349198262028E-3</v>
      </c>
      <c r="V761">
        <f>IF(P761=0,0,IF(E761&lt;=$C$7,$AN$5*O760,0))*'Real assumptions'!$D$28</f>
        <v>0</v>
      </c>
      <c r="X761" s="94">
        <f t="shared" si="545"/>
        <v>0</v>
      </c>
      <c r="Y761">
        <f t="shared" si="534"/>
        <v>24</v>
      </c>
      <c r="Z761">
        <f t="shared" si="561"/>
        <v>36</v>
      </c>
      <c r="AA761">
        <f t="shared" si="535"/>
        <v>36.5</v>
      </c>
      <c r="AB761">
        <f t="shared" si="546"/>
        <v>50.505050505050505</v>
      </c>
      <c r="AC761">
        <f t="shared" si="573"/>
        <v>1843.4343434343434</v>
      </c>
      <c r="AD761">
        <f t="shared" si="547"/>
        <v>80.505050505050505</v>
      </c>
      <c r="AE761">
        <f t="shared" si="548"/>
        <v>146.92171717171718</v>
      </c>
      <c r="AF761" s="94">
        <f t="shared" si="549"/>
        <v>3009.643939393939</v>
      </c>
      <c r="AG761">
        <f t="shared" si="562"/>
        <v>1.1543786436021728E-3</v>
      </c>
      <c r="AH761">
        <f t="shared" si="550"/>
        <v>0.34990086419598948</v>
      </c>
      <c r="AI761">
        <f>HLOOKUP(AW761,'Real assumptions'!$A$21:$AK$24,2,TRUE)</f>
        <v>0</v>
      </c>
      <c r="AJ761" s="123">
        <f t="shared" si="574"/>
        <v>0</v>
      </c>
      <c r="AK761" s="122">
        <f>(1+HLOOKUP(YEAR(A761),'Real assumptions'!$A$21:$AK$24,2,TRUE)/100)^(1/12)-1</f>
        <v>0</v>
      </c>
      <c r="AL761">
        <f t="shared" si="563"/>
        <v>2.7470349198262028E-3</v>
      </c>
      <c r="AM761">
        <f>('Real assumptions'!$B$33/12)*O760*AV760</f>
        <v>2.646456630344914E-3</v>
      </c>
      <c r="AN761">
        <f t="shared" si="551"/>
        <v>0.36681558313948792</v>
      </c>
      <c r="AO761">
        <f t="shared" si="575"/>
        <v>0</v>
      </c>
      <c r="AP761" s="121">
        <f t="shared" si="552"/>
        <v>0</v>
      </c>
      <c r="AQ761">
        <f t="shared" si="553"/>
        <v>0</v>
      </c>
      <c r="AR761">
        <v>0</v>
      </c>
      <c r="AS761">
        <f t="shared" si="536"/>
        <v>0</v>
      </c>
      <c r="AT761">
        <f t="shared" si="554"/>
        <v>0</v>
      </c>
      <c r="AU761">
        <f>IFERROR(HLOOKUP(B761,'Real assumptions'!$B$43:$AL$44,2,TRUE)*($W$3/$U$2),0)</f>
        <v>0</v>
      </c>
      <c r="AV761">
        <f>AV760*(1+'Real assumptions'!$B$35)^(1/12)</f>
        <v>2.1714003671714424</v>
      </c>
      <c r="AW761">
        <f t="shared" si="537"/>
        <v>2081</v>
      </c>
      <c r="AX761">
        <f t="shared" si="564"/>
        <v>0.36714800473554832</v>
      </c>
      <c r="AY761">
        <f t="shared" si="565"/>
        <v>5.1348531042995273E-4</v>
      </c>
      <c r="AZ761">
        <f t="shared" si="538"/>
        <v>0.53150282646779456</v>
      </c>
      <c r="BA761">
        <f t="shared" si="555"/>
        <v>2.7957693255042031E-2</v>
      </c>
      <c r="BB761">
        <f t="shared" si="556"/>
        <v>36.5</v>
      </c>
      <c r="BC761">
        <f t="shared" si="539"/>
        <v>21.9</v>
      </c>
      <c r="BD761">
        <f t="shared" si="557"/>
        <v>0</v>
      </c>
      <c r="BE761">
        <f t="shared" si="540"/>
        <v>24</v>
      </c>
      <c r="BF761">
        <f t="shared" si="566"/>
        <v>5000</v>
      </c>
      <c r="BU761"/>
      <c r="DW761" s="89"/>
      <c r="DX761" s="89"/>
      <c r="FD761"/>
      <c r="FE761"/>
    </row>
    <row r="762" spans="1:161" x14ac:dyDescent="0.25">
      <c r="A762" s="7">
        <f t="shared" si="558"/>
        <v>66292</v>
      </c>
      <c r="B762">
        <f t="shared" si="541"/>
        <v>751</v>
      </c>
      <c r="C762">
        <f t="shared" si="567"/>
        <v>62.5</v>
      </c>
      <c r="D762">
        <f t="shared" si="568"/>
        <v>0</v>
      </c>
      <c r="E762">
        <f t="shared" si="542"/>
        <v>114</v>
      </c>
      <c r="F762">
        <f>IF(C762&gt;=$T$2,0,VLOOKUP($E762,EKM_F05!$A$3:$C$128,2,TRUE))</f>
        <v>1</v>
      </c>
      <c r="G762">
        <f>F762*'Real assumptions'!$B$3</f>
        <v>0.4173</v>
      </c>
      <c r="H762">
        <f t="shared" si="569"/>
        <v>4.4009114911801261E-2</v>
      </c>
      <c r="I762">
        <f t="shared" si="570"/>
        <v>5.1082710790070571E-6</v>
      </c>
      <c r="J762">
        <f>IF(B762&gt;$AJ$2,0,HLOOKUP(C762,'Real assumptions'!$B$5:$L$8,4,TRUE))</f>
        <v>3.7900000000000003E-2</v>
      </c>
      <c r="K762">
        <f t="shared" si="531"/>
        <v>1</v>
      </c>
      <c r="L762">
        <f t="shared" si="559"/>
        <v>8.3333333333333329E-2</v>
      </c>
      <c r="M762">
        <f t="shared" si="571"/>
        <v>3.2145624959929453E-3</v>
      </c>
      <c r="N762">
        <f t="shared" si="572"/>
        <v>3.6550102639600691E-7</v>
      </c>
      <c r="O762" s="8">
        <f t="shared" si="543"/>
        <v>1.1078611485865093E-4</v>
      </c>
      <c r="P762">
        <f t="shared" si="544"/>
        <v>2.7902372871372958E-3</v>
      </c>
      <c r="Q762">
        <f t="shared" si="560"/>
        <v>2.5541355395035287E-2</v>
      </c>
      <c r="R762" s="89">
        <f t="shared" si="532"/>
        <v>5000</v>
      </c>
      <c r="S762">
        <f t="shared" si="533"/>
        <v>0.4166666666666643</v>
      </c>
      <c r="U762">
        <f>O761*AV761*'Real assumptions'!$B$33/12+AX762*'Real assumptions'!$B$34</f>
        <v>2.620455181035691E-3</v>
      </c>
      <c r="V762">
        <f>IF(P762=0,0,IF(E762&lt;=$C$7,$AN$5*O761,0))*'Real assumptions'!$D$28</f>
        <v>0</v>
      </c>
      <c r="X762" s="94">
        <f t="shared" si="545"/>
        <v>0</v>
      </c>
      <c r="Y762">
        <f t="shared" si="534"/>
        <v>24</v>
      </c>
      <c r="Z762">
        <f t="shared" si="561"/>
        <v>36</v>
      </c>
      <c r="AA762">
        <f t="shared" si="535"/>
        <v>36.416666666666664</v>
      </c>
      <c r="AB762">
        <f t="shared" si="546"/>
        <v>50.505050505050505</v>
      </c>
      <c r="AC762">
        <f t="shared" si="573"/>
        <v>1839.2255892255891</v>
      </c>
      <c r="AD762">
        <f t="shared" si="547"/>
        <v>80.505050505050505</v>
      </c>
      <c r="AE762">
        <f t="shared" si="548"/>
        <v>146.58627946127945</v>
      </c>
      <c r="AF762" s="94">
        <f t="shared" si="549"/>
        <v>3014.1881313131316</v>
      </c>
      <c r="AG762">
        <f t="shared" si="562"/>
        <v>1.1016888557456117E-3</v>
      </c>
      <c r="AH762">
        <f t="shared" si="550"/>
        <v>0.33393019252123901</v>
      </c>
      <c r="AI762">
        <f>HLOOKUP(AW762,'Real assumptions'!$A$21:$AK$24,2,TRUE)</f>
        <v>0</v>
      </c>
      <c r="AJ762" s="123">
        <f t="shared" si="574"/>
        <v>0</v>
      </c>
      <c r="AK762" s="122">
        <f>(1+HLOOKUP(YEAR(A762),'Real assumptions'!$A$21:$AK$24,2,TRUE)/100)^(1/12)-1</f>
        <v>0</v>
      </c>
      <c r="AL762">
        <f t="shared" si="563"/>
        <v>2.620455181035691E-3</v>
      </c>
      <c r="AM762">
        <f>('Real assumptions'!$B$33/12)*O761*AV761</f>
        <v>2.5244676124105722E-3</v>
      </c>
      <c r="AN762">
        <f t="shared" si="551"/>
        <v>0.35007064630209106</v>
      </c>
      <c r="AO762">
        <f t="shared" si="575"/>
        <v>0</v>
      </c>
      <c r="AP762" s="121">
        <f t="shared" si="552"/>
        <v>0</v>
      </c>
      <c r="AQ762">
        <f t="shared" si="553"/>
        <v>0</v>
      </c>
      <c r="AR762">
        <v>0</v>
      </c>
      <c r="AS762">
        <f t="shared" si="536"/>
        <v>0</v>
      </c>
      <c r="AT762">
        <f t="shared" si="554"/>
        <v>0</v>
      </c>
      <c r="AU762">
        <f>IFERROR(HLOOKUP(B762,'Real assumptions'!$B$43:$AL$44,2,TRUE)*($W$3/$U$2),0)</f>
        <v>0</v>
      </c>
      <c r="AV762">
        <f>AV761*(1+'Real assumptions'!$B$35)^(1/12)</f>
        <v>2.1736493864480546</v>
      </c>
      <c r="AW762">
        <f t="shared" si="537"/>
        <v>2081</v>
      </c>
      <c r="AX762">
        <f t="shared" si="564"/>
        <v>0.35039017348455875</v>
      </c>
      <c r="AY762">
        <f t="shared" si="565"/>
        <v>4.893092885692508E-4</v>
      </c>
      <c r="AZ762">
        <f t="shared" si="538"/>
        <v>0.5050295643231153</v>
      </c>
      <c r="BA762">
        <f t="shared" si="555"/>
        <v>2.6643044250780901E-2</v>
      </c>
      <c r="BB762">
        <f t="shared" si="556"/>
        <v>36.416666666666664</v>
      </c>
      <c r="BC762">
        <f t="shared" si="539"/>
        <v>21.849999999999998</v>
      </c>
      <c r="BD762">
        <f t="shared" si="557"/>
        <v>0</v>
      </c>
      <c r="BE762">
        <f t="shared" si="540"/>
        <v>24</v>
      </c>
      <c r="BF762">
        <f t="shared" si="566"/>
        <v>5000</v>
      </c>
      <c r="BU762"/>
      <c r="DW762" s="89"/>
      <c r="DX762" s="89"/>
      <c r="FD762"/>
      <c r="FE762"/>
    </row>
    <row r="763" spans="1:161" x14ac:dyDescent="0.25">
      <c r="A763" s="7">
        <f t="shared" si="558"/>
        <v>66323</v>
      </c>
      <c r="B763">
        <f t="shared" si="541"/>
        <v>752</v>
      </c>
      <c r="C763">
        <f t="shared" si="567"/>
        <v>62.583333333333336</v>
      </c>
      <c r="D763">
        <f t="shared" si="568"/>
        <v>0</v>
      </c>
      <c r="E763">
        <f t="shared" si="542"/>
        <v>114</v>
      </c>
      <c r="F763">
        <f>IF(C763&gt;=$T$2,0,VLOOKUP($E763,EKM_F05!$A$3:$C$128,2,TRUE))</f>
        <v>1</v>
      </c>
      <c r="G763">
        <f>F763*'Real assumptions'!$B$3</f>
        <v>0.4173</v>
      </c>
      <c r="H763">
        <f t="shared" si="569"/>
        <v>4.4009114911801261E-2</v>
      </c>
      <c r="I763">
        <f t="shared" si="570"/>
        <v>4.8677624008268407E-6</v>
      </c>
      <c r="J763">
        <f>IF(B763&gt;$AJ$2,0,HLOOKUP(C763,'Real assumptions'!$B$5:$L$8,4,TRUE))</f>
        <v>3.7900000000000003E-2</v>
      </c>
      <c r="K763">
        <f t="shared" si="531"/>
        <v>1</v>
      </c>
      <c r="L763">
        <f t="shared" si="559"/>
        <v>8.3333333333333329E-2</v>
      </c>
      <c r="M763">
        <f t="shared" si="571"/>
        <v>3.2145624959929453E-3</v>
      </c>
      <c r="N763">
        <f t="shared" si="572"/>
        <v>3.4829243128184485E-7</v>
      </c>
      <c r="O763" s="8">
        <f t="shared" si="543"/>
        <v>1.0557006002654224E-4</v>
      </c>
      <c r="P763">
        <f t="shared" si="544"/>
        <v>2.6588667566076222E-3</v>
      </c>
      <c r="Q763">
        <f t="shared" si="560"/>
        <v>2.4338812004134205E-2</v>
      </c>
      <c r="R763" s="89">
        <f t="shared" si="532"/>
        <v>5000</v>
      </c>
      <c r="S763">
        <f t="shared" si="533"/>
        <v>0.3333333333333357</v>
      </c>
      <c r="U763">
        <f>O762*AV762*'Real assumptions'!$B$33/12+AX763*'Real assumptions'!$B$34</f>
        <v>2.4997078808671287E-3</v>
      </c>
      <c r="V763">
        <f>IF(P763=0,0,IF(E763&lt;=$C$7,$AN$5*O762,0))*'Real assumptions'!$D$28</f>
        <v>0</v>
      </c>
      <c r="X763" s="94">
        <f t="shared" si="545"/>
        <v>0</v>
      </c>
      <c r="Y763">
        <f t="shared" si="534"/>
        <v>24</v>
      </c>
      <c r="Z763">
        <f t="shared" si="561"/>
        <v>36</v>
      </c>
      <c r="AA763">
        <f t="shared" si="535"/>
        <v>36.333333333333336</v>
      </c>
      <c r="AB763">
        <f t="shared" si="546"/>
        <v>50.505050505050505</v>
      </c>
      <c r="AC763">
        <f t="shared" si="573"/>
        <v>1835.0168350168351</v>
      </c>
      <c r="AD763">
        <f t="shared" si="547"/>
        <v>80.505050505050505</v>
      </c>
      <c r="AE763">
        <f t="shared" si="548"/>
        <v>146.25084175084174</v>
      </c>
      <c r="AF763" s="94">
        <f t="shared" si="549"/>
        <v>3018.7323232323233</v>
      </c>
      <c r="AG763">
        <f t="shared" si="562"/>
        <v>1.0514016202476779E-3</v>
      </c>
      <c r="AH763">
        <f t="shared" si="550"/>
        <v>0.31868775256769971</v>
      </c>
      <c r="AI763">
        <f>HLOOKUP(AW763,'Real assumptions'!$A$21:$AK$24,2,TRUE)</f>
        <v>0</v>
      </c>
      <c r="AJ763" s="123">
        <f t="shared" si="574"/>
        <v>0</v>
      </c>
      <c r="AK763" s="122">
        <f>(1+HLOOKUP(YEAR(A763),'Real assumptions'!$A$21:$AK$24,2,TRUE)/100)^(1/12)-1</f>
        <v>0</v>
      </c>
      <c r="AL763">
        <f t="shared" si="563"/>
        <v>2.4997078808671287E-3</v>
      </c>
      <c r="AM763">
        <f>('Real assumptions'!$B$33/12)*O762*AV762</f>
        <v>2.4081017058947031E-3</v>
      </c>
      <c r="AN763">
        <f t="shared" si="551"/>
        <v>0.33408935139697954</v>
      </c>
      <c r="AO763">
        <f t="shared" si="575"/>
        <v>0</v>
      </c>
      <c r="AP763" s="121">
        <f t="shared" si="552"/>
        <v>0</v>
      </c>
      <c r="AQ763">
        <f t="shared" si="553"/>
        <v>0</v>
      </c>
      <c r="AR763">
        <v>0</v>
      </c>
      <c r="AS763">
        <f t="shared" si="536"/>
        <v>0</v>
      </c>
      <c r="AT763">
        <f t="shared" si="554"/>
        <v>0</v>
      </c>
      <c r="AU763">
        <f>IFERROR(HLOOKUP(B763,'Real assumptions'!$B$43:$AL$44,2,TRUE)*($W$3/$U$2),0)</f>
        <v>0</v>
      </c>
      <c r="AV763">
        <f>AV762*(1+'Real assumptions'!$B$35)^(1/12)</f>
        <v>2.1759007351374198</v>
      </c>
      <c r="AW763">
        <f t="shared" si="537"/>
        <v>2081</v>
      </c>
      <c r="AX763">
        <f t="shared" si="564"/>
        <v>0.33439646404842188</v>
      </c>
      <c r="AY763">
        <f t="shared" si="565"/>
        <v>4.6627152718287427E-4</v>
      </c>
      <c r="AZ763">
        <f t="shared" si="538"/>
        <v>0.47979850957447384</v>
      </c>
      <c r="BA763">
        <f t="shared" si="555"/>
        <v>2.5390213624381881E-2</v>
      </c>
      <c r="BB763">
        <f t="shared" si="556"/>
        <v>36.333333333333336</v>
      </c>
      <c r="BC763">
        <f t="shared" si="539"/>
        <v>21.8</v>
      </c>
      <c r="BD763">
        <f t="shared" si="557"/>
        <v>0</v>
      </c>
      <c r="BE763">
        <f t="shared" si="540"/>
        <v>24</v>
      </c>
      <c r="BF763">
        <f t="shared" si="566"/>
        <v>5000</v>
      </c>
      <c r="BU763"/>
      <c r="DW763" s="89"/>
      <c r="DX763" s="89"/>
      <c r="FD763"/>
      <c r="FE763"/>
    </row>
    <row r="764" spans="1:161" x14ac:dyDescent="0.25">
      <c r="A764" s="7">
        <f t="shared" si="558"/>
        <v>66354</v>
      </c>
      <c r="B764">
        <f t="shared" si="541"/>
        <v>753</v>
      </c>
      <c r="C764">
        <f t="shared" si="567"/>
        <v>62.666666666666664</v>
      </c>
      <c r="D764">
        <f t="shared" si="568"/>
        <v>0</v>
      </c>
      <c r="E764">
        <f t="shared" si="542"/>
        <v>114</v>
      </c>
      <c r="F764">
        <f>IF(C764&gt;=$T$2,0,VLOOKUP($E764,EKM_F05!$A$3:$C$128,2,TRUE))</f>
        <v>1</v>
      </c>
      <c r="G764">
        <f>F764*'Real assumptions'!$B$3</f>
        <v>0.4173</v>
      </c>
      <c r="H764">
        <f t="shared" si="569"/>
        <v>4.4009114911801261E-2</v>
      </c>
      <c r="I764">
        <f t="shared" si="570"/>
        <v>4.6385774021039868E-6</v>
      </c>
      <c r="J764">
        <f>IF(B764&gt;$AJ$2,0,HLOOKUP(C764,'Real assumptions'!$B$5:$L$8,4,TRUE))</f>
        <v>3.7900000000000003E-2</v>
      </c>
      <c r="K764">
        <f t="shared" si="531"/>
        <v>1</v>
      </c>
      <c r="L764">
        <f t="shared" si="559"/>
        <v>8.3333333333333329E-2</v>
      </c>
      <c r="M764">
        <f t="shared" si="571"/>
        <v>3.2145624959929453E-3</v>
      </c>
      <c r="N764">
        <f t="shared" si="572"/>
        <v>3.318940548111794E-7</v>
      </c>
      <c r="O764" s="8">
        <f t="shared" si="543"/>
        <v>1.0059958856962708E-4</v>
      </c>
      <c r="P764">
        <f t="shared" si="544"/>
        <v>2.5336814406370137E-3</v>
      </c>
      <c r="Q764">
        <f t="shared" si="560"/>
        <v>2.3192887010519934E-2</v>
      </c>
      <c r="R764" s="89">
        <f t="shared" si="532"/>
        <v>5000</v>
      </c>
      <c r="S764">
        <f t="shared" si="533"/>
        <v>0.25</v>
      </c>
      <c r="U764">
        <f>O763*AV763*'Real assumptions'!$B$33/12+AX764*'Real assumptions'!$B$34</f>
        <v>2.38452428596031E-3</v>
      </c>
      <c r="V764">
        <f>IF(P764=0,0,IF(E764&lt;=$C$7,$AN$5*O763,0))*'Real assumptions'!$D$28</f>
        <v>0</v>
      </c>
      <c r="X764" s="94">
        <f t="shared" si="545"/>
        <v>0</v>
      </c>
      <c r="Y764">
        <f t="shared" si="534"/>
        <v>24</v>
      </c>
      <c r="Z764">
        <f t="shared" si="561"/>
        <v>36</v>
      </c>
      <c r="AA764">
        <f t="shared" si="535"/>
        <v>36.25</v>
      </c>
      <c r="AB764">
        <f t="shared" si="546"/>
        <v>50.505050505050505</v>
      </c>
      <c r="AC764">
        <f t="shared" si="573"/>
        <v>1830.8080808080808</v>
      </c>
      <c r="AD764">
        <f t="shared" si="547"/>
        <v>80.505050505050505</v>
      </c>
      <c r="AE764">
        <f t="shared" si="548"/>
        <v>145.91540404040404</v>
      </c>
      <c r="AF764" s="94">
        <f t="shared" si="549"/>
        <v>3023.276515151515</v>
      </c>
      <c r="AG764">
        <f t="shared" si="562"/>
        <v>1.0034075014290485E-3</v>
      </c>
      <c r="AH764">
        <f t="shared" si="550"/>
        <v>0.30414037355645834</v>
      </c>
      <c r="AI764">
        <f>HLOOKUP(AW764,'Real assumptions'!$A$21:$AK$24,2,TRUE)</f>
        <v>0</v>
      </c>
      <c r="AJ764" s="123">
        <f t="shared" si="574"/>
        <v>0</v>
      </c>
      <c r="AK764" s="122">
        <f>(1+HLOOKUP(YEAR(A764),'Real assumptions'!$A$21:$AK$24,2,TRUE)/100)^(1/12)-1</f>
        <v>0</v>
      </c>
      <c r="AL764">
        <f t="shared" si="563"/>
        <v>2.38452428596031E-3</v>
      </c>
      <c r="AM764">
        <f>('Real assumptions'!$B$33/12)*O763*AV763</f>
        <v>2.2970997122025477E-3</v>
      </c>
      <c r="AN764">
        <f t="shared" si="551"/>
        <v>0.31883690972237644</v>
      </c>
      <c r="AO764">
        <f t="shared" si="575"/>
        <v>0</v>
      </c>
      <c r="AP764" s="121">
        <f t="shared" si="552"/>
        <v>0</v>
      </c>
      <c r="AQ764">
        <f t="shared" si="553"/>
        <v>0</v>
      </c>
      <c r="AR764">
        <v>0</v>
      </c>
      <c r="AS764">
        <f t="shared" si="536"/>
        <v>0</v>
      </c>
      <c r="AT764">
        <f t="shared" si="554"/>
        <v>0</v>
      </c>
      <c r="AU764">
        <f>IFERROR(HLOOKUP(B764,'Real assumptions'!$B$43:$AL$44,2,TRUE)*($W$3/$U$2),0)</f>
        <v>0</v>
      </c>
      <c r="AV764">
        <f>AV763*(1+'Real assumptions'!$B$35)^(1/12)</f>
        <v>2.1781544156522177</v>
      </c>
      <c r="AW764">
        <f t="shared" si="537"/>
        <v>2081</v>
      </c>
      <c r="AX764">
        <f t="shared" si="564"/>
        <v>0.31913207100215485</v>
      </c>
      <c r="AY764">
        <f t="shared" si="565"/>
        <v>4.4431843445514409E-4</v>
      </c>
      <c r="AZ764">
        <f t="shared" si="538"/>
        <v>0.45575137221720158</v>
      </c>
      <c r="BA764">
        <f t="shared" si="555"/>
        <v>2.4196294511948983E-2</v>
      </c>
      <c r="BB764">
        <f t="shared" si="556"/>
        <v>36.25</v>
      </c>
      <c r="BC764">
        <f t="shared" si="539"/>
        <v>21.75</v>
      </c>
      <c r="BD764">
        <f t="shared" si="557"/>
        <v>0</v>
      </c>
      <c r="BE764">
        <f t="shared" si="540"/>
        <v>24</v>
      </c>
      <c r="BF764">
        <f t="shared" si="566"/>
        <v>5000</v>
      </c>
      <c r="BU764"/>
      <c r="DW764" s="89"/>
      <c r="DX764" s="89"/>
      <c r="FD764"/>
      <c r="FE764"/>
    </row>
    <row r="765" spans="1:161" x14ac:dyDescent="0.25">
      <c r="A765" s="7">
        <f t="shared" si="558"/>
        <v>66384</v>
      </c>
      <c r="B765">
        <f t="shared" si="541"/>
        <v>754</v>
      </c>
      <c r="C765">
        <f t="shared" si="567"/>
        <v>62.75</v>
      </c>
      <c r="D765">
        <f t="shared" si="568"/>
        <v>0</v>
      </c>
      <c r="E765">
        <f t="shared" si="542"/>
        <v>114</v>
      </c>
      <c r="F765">
        <f>IF(C765&gt;=$T$2,0,VLOOKUP($E765,EKM_F05!$A$3:$C$128,2,TRUE))</f>
        <v>1</v>
      </c>
      <c r="G765">
        <f>F765*'Real assumptions'!$B$3</f>
        <v>0.4173</v>
      </c>
      <c r="H765">
        <f t="shared" si="569"/>
        <v>4.4009114911801261E-2</v>
      </c>
      <c r="I765">
        <f t="shared" si="570"/>
        <v>4.4201829390142358E-6</v>
      </c>
      <c r="J765">
        <f>IF(B765&gt;$AJ$2,0,HLOOKUP(C765,'Real assumptions'!$B$5:$L$8,4,TRUE))</f>
        <v>3.7900000000000003E-2</v>
      </c>
      <c r="K765">
        <f t="shared" si="531"/>
        <v>1</v>
      </c>
      <c r="L765">
        <f t="shared" si="559"/>
        <v>8.3333333333333329E-2</v>
      </c>
      <c r="M765">
        <f t="shared" si="571"/>
        <v>3.2145624959929453E-3</v>
      </c>
      <c r="N765">
        <f t="shared" si="572"/>
        <v>3.1626775010183237E-7</v>
      </c>
      <c r="O765" s="8">
        <f t="shared" si="543"/>
        <v>9.5863137880511005E-5</v>
      </c>
      <c r="P765">
        <f t="shared" si="544"/>
        <v>2.4143901256710497E-3</v>
      </c>
      <c r="Q765">
        <f t="shared" si="560"/>
        <v>2.210091469507118E-2</v>
      </c>
      <c r="R765" s="89">
        <f t="shared" si="532"/>
        <v>5000</v>
      </c>
      <c r="S765">
        <f t="shared" si="533"/>
        <v>0.1666666666666643</v>
      </c>
      <c r="U765">
        <f>O764*AV764*'Real assumptions'!$B$33/12+AX765*'Real assumptions'!$B$34</f>
        <v>2.2746480445858027E-3</v>
      </c>
      <c r="V765">
        <f>IF(P765=0,0,IF(E765&lt;=$C$7,$AN$5*O764,0))*'Real assumptions'!$D$28</f>
        <v>0</v>
      </c>
      <c r="X765" s="94">
        <f t="shared" si="545"/>
        <v>0</v>
      </c>
      <c r="Y765">
        <f t="shared" si="534"/>
        <v>24</v>
      </c>
      <c r="Z765">
        <f t="shared" si="561"/>
        <v>36</v>
      </c>
      <c r="AA765">
        <f t="shared" si="535"/>
        <v>36.166666666666664</v>
      </c>
      <c r="AB765">
        <f t="shared" si="546"/>
        <v>50.505050505050505</v>
      </c>
      <c r="AC765">
        <f t="shared" si="573"/>
        <v>1826.5993265993266</v>
      </c>
      <c r="AD765">
        <f t="shared" si="547"/>
        <v>80.505050505050505</v>
      </c>
      <c r="AE765">
        <f t="shared" si="548"/>
        <v>145.57996632996631</v>
      </c>
      <c r="AF765" s="94">
        <f t="shared" si="549"/>
        <v>3027.8207070707072</v>
      </c>
      <c r="AG765">
        <f t="shared" si="562"/>
        <v>9.5760204273699179E-4</v>
      </c>
      <c r="AH765">
        <f t="shared" si="550"/>
        <v>0.29025639391938551</v>
      </c>
      <c r="AI765">
        <f>HLOOKUP(AW765,'Real assumptions'!$A$21:$AK$24,2,TRUE)</f>
        <v>0</v>
      </c>
      <c r="AJ765" s="123">
        <f t="shared" si="574"/>
        <v>0</v>
      </c>
      <c r="AK765" s="122">
        <f>(1+HLOOKUP(YEAR(A765),'Real assumptions'!$A$21:$AK$24,2,TRUE)/100)^(1/12)-1</f>
        <v>0</v>
      </c>
      <c r="AL765">
        <f t="shared" si="563"/>
        <v>2.2746480445858027E-3</v>
      </c>
      <c r="AM765">
        <f>('Real assumptions'!$B$33/12)*O764*AV764</f>
        <v>2.1912143805572961E-3</v>
      </c>
      <c r="AN765">
        <f t="shared" si="551"/>
        <v>0.30428011563754359</v>
      </c>
      <c r="AO765">
        <f t="shared" si="575"/>
        <v>0</v>
      </c>
      <c r="AP765" s="121">
        <f t="shared" si="552"/>
        <v>0</v>
      </c>
      <c r="AQ765">
        <f t="shared" si="553"/>
        <v>0</v>
      </c>
      <c r="AR765">
        <v>0</v>
      </c>
      <c r="AS765">
        <f t="shared" si="536"/>
        <v>0</v>
      </c>
      <c r="AT765">
        <f t="shared" si="554"/>
        <v>0</v>
      </c>
      <c r="AU765">
        <f>IFERROR(HLOOKUP(B765,'Real assumptions'!$B$43:$AL$44,2,TRUE)*($W$3/$U$2),0)</f>
        <v>0</v>
      </c>
      <c r="AV765">
        <f>AV764*(1+'Real assumptions'!$B$35)^(1/12)</f>
        <v>2.1804104304076271</v>
      </c>
      <c r="AW765">
        <f t="shared" si="537"/>
        <v>2081</v>
      </c>
      <c r="AX765">
        <f t="shared" si="564"/>
        <v>0.30456377249824973</v>
      </c>
      <c r="AY765">
        <f t="shared" si="565"/>
        <v>4.2339894179135976E-4</v>
      </c>
      <c r="AZ765">
        <f t="shared" si="538"/>
        <v>0.43283259756047865</v>
      </c>
      <c r="BA765">
        <f t="shared" si="555"/>
        <v>2.3058516737808173E-2</v>
      </c>
      <c r="BB765">
        <f t="shared" si="556"/>
        <v>36.166666666666664</v>
      </c>
      <c r="BC765">
        <f t="shared" si="539"/>
        <v>21.699999999999996</v>
      </c>
      <c r="BD765">
        <f t="shared" si="557"/>
        <v>0</v>
      </c>
      <c r="BE765">
        <f t="shared" si="540"/>
        <v>24</v>
      </c>
      <c r="BF765">
        <f t="shared" si="566"/>
        <v>5000</v>
      </c>
      <c r="BU765"/>
      <c r="DW765" s="89"/>
      <c r="DX765" s="89"/>
      <c r="FD765"/>
      <c r="FE765"/>
    </row>
    <row r="766" spans="1:161" x14ac:dyDescent="0.25">
      <c r="A766" s="7">
        <f t="shared" si="558"/>
        <v>66415</v>
      </c>
      <c r="B766">
        <f t="shared" si="541"/>
        <v>755</v>
      </c>
      <c r="C766">
        <f t="shared" si="567"/>
        <v>62.833333333333336</v>
      </c>
      <c r="D766">
        <f t="shared" si="568"/>
        <v>0</v>
      </c>
      <c r="E766">
        <f t="shared" si="542"/>
        <v>114</v>
      </c>
      <c r="F766">
        <f>IF(C766&gt;=$T$2,0,VLOOKUP($E766,EKM_F05!$A$3:$C$128,2,TRUE))</f>
        <v>1</v>
      </c>
      <c r="G766">
        <f>F766*'Real assumptions'!$B$3</f>
        <v>0.4173</v>
      </c>
      <c r="H766">
        <f t="shared" si="569"/>
        <v>4.4009114911801261E-2</v>
      </c>
      <c r="I766">
        <f t="shared" si="570"/>
        <v>4.2120709693214083E-6</v>
      </c>
      <c r="J766">
        <f>IF(B766&gt;$AJ$2,0,HLOOKUP(C766,'Real assumptions'!$B$5:$L$8,4,TRUE))</f>
        <v>3.7900000000000003E-2</v>
      </c>
      <c r="K766">
        <f t="shared" si="531"/>
        <v>1</v>
      </c>
      <c r="L766">
        <f t="shared" si="559"/>
        <v>8.3333333333333329E-2</v>
      </c>
      <c r="M766">
        <f t="shared" si="571"/>
        <v>3.2145624959929453E-3</v>
      </c>
      <c r="N766">
        <f t="shared" si="572"/>
        <v>3.0137716631104252E-7</v>
      </c>
      <c r="O766" s="8">
        <f t="shared" si="543"/>
        <v>9.1349689744878558E-5</v>
      </c>
      <c r="P766">
        <f t="shared" si="544"/>
        <v>2.3007153091322641E-3</v>
      </c>
      <c r="Q766">
        <f t="shared" si="560"/>
        <v>2.1060354846607041E-2</v>
      </c>
      <c r="R766" s="89">
        <f t="shared" si="532"/>
        <v>5000</v>
      </c>
      <c r="S766">
        <f t="shared" si="533"/>
        <v>8.3333333333335702E-2</v>
      </c>
      <c r="U766">
        <f>O765*AV765*'Real assumptions'!$B$33/12+AX766*'Real assumptions'!$B$34</f>
        <v>2.1698346161938839E-3</v>
      </c>
      <c r="V766">
        <f>IF(P766=0,0,IF(E766&lt;=$C$7,$AN$5*O765,0))*'Real assumptions'!$D$28</f>
        <v>0</v>
      </c>
      <c r="X766" s="94">
        <f t="shared" si="545"/>
        <v>0</v>
      </c>
      <c r="Y766">
        <f t="shared" si="534"/>
        <v>24</v>
      </c>
      <c r="Z766">
        <f t="shared" si="561"/>
        <v>36</v>
      </c>
      <c r="AA766">
        <f t="shared" si="535"/>
        <v>36.083333333333336</v>
      </c>
      <c r="AB766">
        <f t="shared" si="546"/>
        <v>50.505050505050505</v>
      </c>
      <c r="AC766">
        <f t="shared" si="573"/>
        <v>1822.3905723905725</v>
      </c>
      <c r="AD766">
        <f t="shared" si="547"/>
        <v>80.505050505050505</v>
      </c>
      <c r="AE766">
        <f t="shared" si="548"/>
        <v>145.24452861952861</v>
      </c>
      <c r="AF766" s="94">
        <f t="shared" si="549"/>
        <v>3032.3648989898988</v>
      </c>
      <c r="AG766">
        <f t="shared" si="562"/>
        <v>9.1388554047864645E-4</v>
      </c>
      <c r="AH766">
        <f t="shared" si="550"/>
        <v>0.27700559271598729</v>
      </c>
      <c r="AI766">
        <f>HLOOKUP(AW766,'Real assumptions'!$A$21:$AK$24,2,TRUE)</f>
        <v>0</v>
      </c>
      <c r="AJ766" s="123">
        <f t="shared" si="574"/>
        <v>0</v>
      </c>
      <c r="AK766" s="122">
        <f>(1+HLOOKUP(YEAR(A766),'Real assumptions'!$A$21:$AK$24,2,TRUE)/100)^(1/12)-1</f>
        <v>0</v>
      </c>
      <c r="AL766">
        <f t="shared" si="563"/>
        <v>2.1698346161938839E-3</v>
      </c>
      <c r="AM766">
        <f>('Real assumptions'!$B$33/12)*O765*AV765</f>
        <v>2.090209857262707E-3</v>
      </c>
      <c r="AN766">
        <f t="shared" si="551"/>
        <v>0.29038727461232389</v>
      </c>
      <c r="AO766">
        <f t="shared" si="575"/>
        <v>0</v>
      </c>
      <c r="AP766" s="121">
        <f t="shared" si="552"/>
        <v>0</v>
      </c>
      <c r="AQ766">
        <f t="shared" si="553"/>
        <v>0</v>
      </c>
      <c r="AR766">
        <v>0</v>
      </c>
      <c r="AS766">
        <f t="shared" si="536"/>
        <v>0</v>
      </c>
      <c r="AT766">
        <f t="shared" si="554"/>
        <v>0</v>
      </c>
      <c r="AU766">
        <f>IFERROR(HLOOKUP(B766,'Real assumptions'!$B$43:$AL$44,2,TRUE)*($W$3/$U$2),0)</f>
        <v>0</v>
      </c>
      <c r="AV766">
        <f>AV765*(1+'Real assumptions'!$B$35)^(1/12)</f>
        <v>2.1826687818213286</v>
      </c>
      <c r="AW766">
        <f t="shared" si="537"/>
        <v>2081</v>
      </c>
      <c r="AX766">
        <f t="shared" si="564"/>
        <v>0.29065985830440449</v>
      </c>
      <c r="AY766">
        <f t="shared" si="565"/>
        <v>4.0346438501898569E-4</v>
      </c>
      <c r="AZ766">
        <f t="shared" si="538"/>
        <v>0.41098923786633135</v>
      </c>
      <c r="BA766">
        <f t="shared" si="555"/>
        <v>2.1974240387085689E-2</v>
      </c>
      <c r="BB766">
        <f t="shared" si="556"/>
        <v>36.083333333333336</v>
      </c>
      <c r="BC766">
        <f t="shared" si="539"/>
        <v>21.65</v>
      </c>
      <c r="BD766">
        <f t="shared" si="557"/>
        <v>0</v>
      </c>
      <c r="BE766">
        <f t="shared" si="540"/>
        <v>24</v>
      </c>
      <c r="BF766">
        <f t="shared" si="566"/>
        <v>5000</v>
      </c>
      <c r="BU766"/>
      <c r="DW766" s="89"/>
      <c r="DX766" s="89"/>
      <c r="FD766"/>
      <c r="FE766"/>
    </row>
    <row r="767" spans="1:161" x14ac:dyDescent="0.25">
      <c r="A767" s="7">
        <f t="shared" si="558"/>
        <v>66445</v>
      </c>
      <c r="B767">
        <f t="shared" si="541"/>
        <v>756</v>
      </c>
      <c r="C767">
        <f t="shared" si="567"/>
        <v>62.916666666666664</v>
      </c>
      <c r="D767">
        <f t="shared" si="568"/>
        <v>0</v>
      </c>
      <c r="E767">
        <f t="shared" si="542"/>
        <v>114</v>
      </c>
      <c r="F767">
        <f>IF(C767&gt;=$T$2,0,VLOOKUP($E767,EKM_F05!$A$3:$C$128,2,TRUE))</f>
        <v>1</v>
      </c>
      <c r="G767">
        <f>F767*'Real assumptions'!$B$3</f>
        <v>0.4173</v>
      </c>
      <c r="H767">
        <f t="shared" si="569"/>
        <v>4.4009114911801261E-2</v>
      </c>
      <c r="I767">
        <f t="shared" si="570"/>
        <v>4.0137573705392404E-6</v>
      </c>
      <c r="J767">
        <f>IF(B767&gt;$AJ$2,0,HLOOKUP(C767,'Real assumptions'!$B$5:$L$8,4,TRUE))</f>
        <v>3.7900000000000003E-2</v>
      </c>
      <c r="K767">
        <f t="shared" si="531"/>
        <v>1</v>
      </c>
      <c r="L767">
        <f t="shared" si="559"/>
        <v>8.3333333333333329E-2</v>
      </c>
      <c r="M767">
        <f t="shared" si="571"/>
        <v>3.2145624959929453E-3</v>
      </c>
      <c r="N767">
        <f t="shared" si="572"/>
        <v>2.8718766407396516E-7</v>
      </c>
      <c r="O767" s="8">
        <f t="shared" si="543"/>
        <v>8.7048744710265349E-5</v>
      </c>
      <c r="P767">
        <f t="shared" si="544"/>
        <v>2.1923925538770853E-3</v>
      </c>
      <c r="Q767">
        <f t="shared" si="560"/>
        <v>2.0068786852696203E-2</v>
      </c>
      <c r="R767" s="89">
        <f t="shared" si="532"/>
        <v>5000</v>
      </c>
      <c r="S767">
        <f t="shared" si="533"/>
        <v>1</v>
      </c>
      <c r="U767">
        <f>O766*AV766*'Real assumptions'!$B$33/12+AX767*'Real assumptions'!$B$34</f>
        <v>2.0698507272445209E-3</v>
      </c>
      <c r="V767">
        <f>IF(P767=0,0,IF(E767&lt;=$C$7,$AN$5*O766,0))*'Real assumptions'!$D$28</f>
        <v>0</v>
      </c>
      <c r="X767" s="94">
        <f t="shared" si="545"/>
        <v>0</v>
      </c>
      <c r="Y767">
        <f t="shared" si="534"/>
        <v>24</v>
      </c>
      <c r="Z767">
        <f t="shared" si="561"/>
        <v>36</v>
      </c>
      <c r="AA767">
        <f t="shared" si="535"/>
        <v>36</v>
      </c>
      <c r="AB767">
        <f t="shared" si="546"/>
        <v>50.505050505050505</v>
      </c>
      <c r="AC767">
        <f t="shared" si="573"/>
        <v>1818.1818181818182</v>
      </c>
      <c r="AD767">
        <f t="shared" si="547"/>
        <v>80.505050505050505</v>
      </c>
      <c r="AE767">
        <f t="shared" si="548"/>
        <v>144.90909090909091</v>
      </c>
      <c r="AF767" s="94">
        <f t="shared" si="549"/>
        <v>3036.909090909091</v>
      </c>
      <c r="AG767">
        <f t="shared" si="562"/>
        <v>8.7216282782317091E-4</v>
      </c>
      <c r="AH767">
        <f t="shared" si="550"/>
        <v>0.26435912416282947</v>
      </c>
      <c r="AI767">
        <f>HLOOKUP(AW767,'Real assumptions'!$A$21:$AK$24,2,TRUE)</f>
        <v>0</v>
      </c>
      <c r="AJ767" s="123">
        <f t="shared" si="574"/>
        <v>0</v>
      </c>
      <c r="AK767" s="122">
        <f>(1+HLOOKUP(YEAR(A767),'Real assumptions'!$A$21:$AK$24,2,TRUE)/100)^(1/12)-1</f>
        <v>0</v>
      </c>
      <c r="AL767">
        <f t="shared" si="563"/>
        <v>2.0698507272445209E-3</v>
      </c>
      <c r="AM767">
        <f>('Real assumptions'!$B$33/12)*O766*AV766</f>
        <v>1.993861160352104E-3</v>
      </c>
      <c r="AN767">
        <f t="shared" si="551"/>
        <v>0.27712813454261986</v>
      </c>
      <c r="AO767">
        <f t="shared" si="575"/>
        <v>0</v>
      </c>
      <c r="AP767" s="121">
        <f t="shared" si="552"/>
        <v>0</v>
      </c>
      <c r="AQ767">
        <f t="shared" si="553"/>
        <v>0</v>
      </c>
      <c r="AR767">
        <v>0</v>
      </c>
      <c r="AS767">
        <f t="shared" si="536"/>
        <v>0</v>
      </c>
      <c r="AT767">
        <f t="shared" si="554"/>
        <v>0</v>
      </c>
      <c r="AU767">
        <f>IFERROR(HLOOKUP(B767,'Real assumptions'!$B$43:$AL$44,2,TRUE)*($W$3/$U$2),0)</f>
        <v>0</v>
      </c>
      <c r="AV767">
        <f>AV766*(1+'Real assumptions'!$B$35)^(1/12)</f>
        <v>2.1849294723135064</v>
      </c>
      <c r="AW767">
        <f t="shared" si="537"/>
        <v>2081</v>
      </c>
      <c r="AX767">
        <f t="shared" si="564"/>
        <v>0.27739006110716946</v>
      </c>
      <c r="AY767">
        <f t="shared" si="565"/>
        <v>3.844683911821488E-4</v>
      </c>
      <c r="AZ767">
        <f t="shared" si="538"/>
        <v>0.39017083001244457</v>
      </c>
      <c r="BA767">
        <f t="shared" si="555"/>
        <v>2.0940949680519374E-2</v>
      </c>
      <c r="BB767">
        <f t="shared" si="556"/>
        <v>36</v>
      </c>
      <c r="BC767">
        <f t="shared" si="539"/>
        <v>21.6</v>
      </c>
      <c r="BD767">
        <f t="shared" si="557"/>
        <v>0</v>
      </c>
      <c r="BE767">
        <f t="shared" si="540"/>
        <v>24</v>
      </c>
      <c r="BF767">
        <f t="shared" si="566"/>
        <v>5000</v>
      </c>
      <c r="BU767"/>
      <c r="DW767" s="89"/>
      <c r="DX767" s="89"/>
      <c r="FD767"/>
      <c r="FE767"/>
    </row>
    <row r="768" spans="1:161" x14ac:dyDescent="0.25">
      <c r="A768" s="7">
        <f t="shared" si="558"/>
        <v>66476</v>
      </c>
      <c r="B768">
        <f t="shared" si="541"/>
        <v>757</v>
      </c>
      <c r="C768">
        <f t="shared" si="567"/>
        <v>63</v>
      </c>
      <c r="D768">
        <f t="shared" si="568"/>
        <v>1</v>
      </c>
      <c r="E768">
        <f t="shared" si="542"/>
        <v>115</v>
      </c>
      <c r="F768">
        <f>IF(C768&gt;=$T$2,0,VLOOKUP($E768,EKM_F05!$A$3:$C$128,2,TRUE))</f>
        <v>1</v>
      </c>
      <c r="G768">
        <f>F768*'Real assumptions'!$B$3</f>
        <v>0.4173</v>
      </c>
      <c r="H768">
        <f t="shared" si="569"/>
        <v>4.4009114911801261E-2</v>
      </c>
      <c r="I768">
        <f t="shared" si="570"/>
        <v>3.8247808137367509E-6</v>
      </c>
      <c r="J768">
        <f>IF(B768&gt;$AJ$2,0,HLOOKUP(C768,'Real assumptions'!$B$5:$L$8,4,TRUE))</f>
        <v>3.7900000000000003E-2</v>
      </c>
      <c r="K768">
        <f t="shared" si="531"/>
        <v>1</v>
      </c>
      <c r="L768">
        <f t="shared" si="559"/>
        <v>8.3333333333333329E-2</v>
      </c>
      <c r="M768">
        <f t="shared" si="571"/>
        <v>3.2145624959929453E-3</v>
      </c>
      <c r="N768">
        <f t="shared" si="572"/>
        <v>2.7366623492351381E-7</v>
      </c>
      <c r="O768" s="8">
        <f t="shared" si="543"/>
        <v>8.2950297661605078E-5</v>
      </c>
      <c r="P768">
        <f t="shared" si="544"/>
        <v>2.0891698730463684E-3</v>
      </c>
      <c r="Q768">
        <f t="shared" si="560"/>
        <v>1.9123904068683754E-2</v>
      </c>
      <c r="R768" s="89">
        <f t="shared" si="532"/>
        <v>5000</v>
      </c>
      <c r="S768">
        <f t="shared" si="533"/>
        <v>0.9166666666666643</v>
      </c>
      <c r="U768">
        <f>O767*AV767*'Real assumptions'!$B$33/12+AX768*'Real assumptions'!$B$34</f>
        <v>1.9744738521076514E-3</v>
      </c>
      <c r="V768">
        <f>IF(P768=0,0,IF(E768&lt;=$C$7,$AN$5*O767,0))*'Real assumptions'!$D$28</f>
        <v>0</v>
      </c>
      <c r="X768" s="94">
        <f t="shared" si="545"/>
        <v>0</v>
      </c>
      <c r="Y768">
        <f t="shared" si="534"/>
        <v>24</v>
      </c>
      <c r="Z768">
        <f t="shared" si="561"/>
        <v>36</v>
      </c>
      <c r="AA768">
        <f t="shared" si="535"/>
        <v>35.916666666666664</v>
      </c>
      <c r="AB768">
        <f t="shared" si="546"/>
        <v>50.505050505050505</v>
      </c>
      <c r="AC768">
        <f t="shared" si="573"/>
        <v>1813.9730639730637</v>
      </c>
      <c r="AD768">
        <f t="shared" si="547"/>
        <v>80.505050505050505</v>
      </c>
      <c r="AE768">
        <f t="shared" si="548"/>
        <v>144.57365319865318</v>
      </c>
      <c r="AF768" s="94">
        <f t="shared" si="549"/>
        <v>3041.4532828282831</v>
      </c>
      <c r="AG768">
        <f t="shared" si="562"/>
        <v>8.3234306860737719E-4</v>
      </c>
      <c r="AH768">
        <f t="shared" si="550"/>
        <v>0.25228945513447204</v>
      </c>
      <c r="AI768">
        <f>HLOOKUP(AW768,'Real assumptions'!$A$21:$AK$24,2,TRUE)</f>
        <v>0</v>
      </c>
      <c r="AJ768" s="123">
        <f t="shared" si="574"/>
        <v>0</v>
      </c>
      <c r="AK768" s="122">
        <f>(1+HLOOKUP(YEAR(A768),'Real assumptions'!$A$21:$AK$24,2,TRUE)/100)^(1/12)-1</f>
        <v>0</v>
      </c>
      <c r="AL768">
        <f t="shared" si="563"/>
        <v>1.9744738521076514E-3</v>
      </c>
      <c r="AM768">
        <f>('Real assumptions'!$B$33/12)*O767*AV767</f>
        <v>1.9019536784535319E-3</v>
      </c>
      <c r="AN768">
        <f t="shared" si="551"/>
        <v>0.26447382018376819</v>
      </c>
      <c r="AO768">
        <f t="shared" si="575"/>
        <v>0</v>
      </c>
      <c r="AP768" s="121">
        <f t="shared" si="552"/>
        <v>0</v>
      </c>
      <c r="AQ768">
        <f t="shared" si="553"/>
        <v>0</v>
      </c>
      <c r="AR768">
        <v>0</v>
      </c>
      <c r="AS768">
        <f t="shared" si="536"/>
        <v>0</v>
      </c>
      <c r="AT768">
        <f t="shared" si="554"/>
        <v>0</v>
      </c>
      <c r="AU768">
        <f>IFERROR(HLOOKUP(B768,'Real assumptions'!$B$43:$AL$44,2,TRUE)*($W$3/$U$2),0)</f>
        <v>0</v>
      </c>
      <c r="AV768">
        <f>AV767*(1+'Real assumptions'!$B$35)^(1/12)</f>
        <v>2.1871925043068523</v>
      </c>
      <c r="AW768">
        <f t="shared" si="537"/>
        <v>2081</v>
      </c>
      <c r="AX768">
        <f t="shared" si="564"/>
        <v>0.26472549093349557</v>
      </c>
      <c r="AY768">
        <f t="shared" si="565"/>
        <v>3.6636677066609991E-4</v>
      </c>
      <c r="AZ768">
        <f t="shared" si="538"/>
        <v>0.37032927889609218</v>
      </c>
      <c r="BA768">
        <f t="shared" si="555"/>
        <v>1.995624713729113E-2</v>
      </c>
      <c r="BB768">
        <f t="shared" si="556"/>
        <v>35.916666666666664</v>
      </c>
      <c r="BC768">
        <f t="shared" si="539"/>
        <v>21.549999999999997</v>
      </c>
      <c r="BD768">
        <f t="shared" si="557"/>
        <v>0</v>
      </c>
      <c r="BE768">
        <f t="shared" si="540"/>
        <v>24</v>
      </c>
      <c r="BF768">
        <f t="shared" si="566"/>
        <v>5000</v>
      </c>
      <c r="BU768"/>
      <c r="DW768" s="89"/>
      <c r="DX768" s="89"/>
      <c r="FD768"/>
      <c r="FE768"/>
    </row>
    <row r="769" spans="1:161" x14ac:dyDescent="0.25">
      <c r="A769" s="7">
        <f t="shared" si="558"/>
        <v>66507</v>
      </c>
      <c r="B769">
        <f t="shared" si="541"/>
        <v>758</v>
      </c>
      <c r="C769">
        <f t="shared" si="567"/>
        <v>63.083333333333329</v>
      </c>
      <c r="D769">
        <f t="shared" si="568"/>
        <v>0</v>
      </c>
      <c r="E769">
        <f t="shared" si="542"/>
        <v>115</v>
      </c>
      <c r="F769">
        <f>IF(C769&gt;=$T$2,0,VLOOKUP($E769,EKM_F05!$A$3:$C$128,2,TRUE))</f>
        <v>1</v>
      </c>
      <c r="G769">
        <f>F769*'Real assumptions'!$B$3</f>
        <v>0.4173</v>
      </c>
      <c r="H769">
        <f t="shared" si="569"/>
        <v>4.4009114911801261E-2</v>
      </c>
      <c r="I769">
        <f t="shared" si="570"/>
        <v>3.6447016903673442E-6</v>
      </c>
      <c r="J769">
        <f>IF(B769&gt;$AJ$2,0,HLOOKUP(C769,'Real assumptions'!$B$5:$L$8,4,TRUE))</f>
        <v>3.7900000000000003E-2</v>
      </c>
      <c r="K769">
        <f t="shared" si="531"/>
        <v>1</v>
      </c>
      <c r="L769">
        <f t="shared" si="559"/>
        <v>8.3333333333333329E-2</v>
      </c>
      <c r="M769">
        <f t="shared" si="571"/>
        <v>3.2145624959929453E-3</v>
      </c>
      <c r="N769">
        <f t="shared" si="572"/>
        <v>2.6078142450409399E-7</v>
      </c>
      <c r="O769" s="8">
        <f t="shared" si="543"/>
        <v>7.9044814546733636E-5</v>
      </c>
      <c r="P769">
        <f t="shared" si="544"/>
        <v>1.9908071438785218E-3</v>
      </c>
      <c r="Q769">
        <f t="shared" si="560"/>
        <v>1.822350845183672E-2</v>
      </c>
      <c r="R769" s="89">
        <f t="shared" si="532"/>
        <v>5000</v>
      </c>
      <c r="S769">
        <f t="shared" si="533"/>
        <v>0.8333333333333357</v>
      </c>
      <c r="U769">
        <f>O768*AV768*'Real assumptions'!$B$33/12+AX769*'Real assumptions'!$B$34</f>
        <v>1.8834917178788245E-3</v>
      </c>
      <c r="V769">
        <f>IF(P769=0,0,IF(E769&lt;=$C$7,$AN$5*O768,0))*'Real assumptions'!$D$28</f>
        <v>0</v>
      </c>
      <c r="X769" s="94">
        <f t="shared" si="545"/>
        <v>0</v>
      </c>
      <c r="Y769">
        <f t="shared" si="534"/>
        <v>24</v>
      </c>
      <c r="Z769">
        <f t="shared" si="561"/>
        <v>35</v>
      </c>
      <c r="AA769">
        <f t="shared" si="535"/>
        <v>35.833333333333336</v>
      </c>
      <c r="AB769">
        <f t="shared" si="546"/>
        <v>50.505050505050505</v>
      </c>
      <c r="AC769">
        <f t="shared" si="573"/>
        <v>1809.7643097643099</v>
      </c>
      <c r="AD769">
        <f t="shared" si="547"/>
        <v>80.505050505050505</v>
      </c>
      <c r="AE769">
        <f t="shared" si="548"/>
        <v>144.2382154882155</v>
      </c>
      <c r="AF769" s="94">
        <f t="shared" si="549"/>
        <v>3045.9974747474744</v>
      </c>
      <c r="AG769">
        <f t="shared" si="562"/>
        <v>7.943395605005194E-4</v>
      </c>
      <c r="AH769">
        <f t="shared" si="550"/>
        <v>0.24077030550123307</v>
      </c>
      <c r="AI769">
        <f>HLOOKUP(AW769,'Real assumptions'!$A$21:$AK$24,2,TRUE)</f>
        <v>0</v>
      </c>
      <c r="AJ769" s="123">
        <f t="shared" si="574"/>
        <v>0</v>
      </c>
      <c r="AK769" s="122">
        <f>(1+HLOOKUP(YEAR(A769),'Real assumptions'!$A$21:$AK$24,2,TRUE)/100)^(1/12)-1</f>
        <v>0</v>
      </c>
      <c r="AL769">
        <f t="shared" si="563"/>
        <v>1.8834917178788245E-3</v>
      </c>
      <c r="AM769">
        <f>('Real assumptions'!$B$33/12)*O768*AV768</f>
        <v>1.8142826927548485E-3</v>
      </c>
      <c r="AN769">
        <f t="shared" si="551"/>
        <v>0.25239677056047172</v>
      </c>
      <c r="AO769">
        <f t="shared" si="575"/>
        <v>0</v>
      </c>
      <c r="AP769" s="121">
        <f t="shared" si="552"/>
        <v>0</v>
      </c>
      <c r="AQ769">
        <f t="shared" si="553"/>
        <v>0</v>
      </c>
      <c r="AR769">
        <v>0</v>
      </c>
      <c r="AS769">
        <f t="shared" si="536"/>
        <v>0</v>
      </c>
      <c r="AT769">
        <f t="shared" si="554"/>
        <v>0</v>
      </c>
      <c r="AU769">
        <f>IFERROR(HLOOKUP(B769,'Real assumptions'!$B$43:$AL$44,2,TRUE)*($W$3/$U$2),0)</f>
        <v>0</v>
      </c>
      <c r="AV769">
        <f>AV768*(1+'Real assumptions'!$B$35)^(1/12)</f>
        <v>2.1894578802265663</v>
      </c>
      <c r="AW769">
        <f t="shared" si="537"/>
        <v>2082</v>
      </c>
      <c r="AX769">
        <f t="shared" si="564"/>
        <v>0.25263857254887273</v>
      </c>
      <c r="AY769">
        <f t="shared" si="565"/>
        <v>3.4911741440069477E-4</v>
      </c>
      <c r="AZ769">
        <f t="shared" si="538"/>
        <v>0.35141874630975461</v>
      </c>
      <c r="BA769">
        <f t="shared" si="555"/>
        <v>1.9017848012337239E-2</v>
      </c>
      <c r="BB769">
        <f t="shared" si="556"/>
        <v>35.833333333333336</v>
      </c>
      <c r="BC769">
        <f t="shared" si="539"/>
        <v>21.5</v>
      </c>
      <c r="BD769">
        <f t="shared" si="557"/>
        <v>0</v>
      </c>
      <c r="BE769">
        <f t="shared" si="540"/>
        <v>24</v>
      </c>
      <c r="BF769">
        <f t="shared" si="566"/>
        <v>5000</v>
      </c>
      <c r="BU769"/>
      <c r="DW769" s="89"/>
      <c r="DX769" s="89"/>
      <c r="FD769"/>
      <c r="FE769"/>
    </row>
    <row r="770" spans="1:161" x14ac:dyDescent="0.25">
      <c r="A770" s="7">
        <f t="shared" si="558"/>
        <v>66535</v>
      </c>
      <c r="B770">
        <f t="shared" si="541"/>
        <v>759</v>
      </c>
      <c r="C770">
        <f t="shared" si="567"/>
        <v>63.166666666666671</v>
      </c>
      <c r="D770">
        <f t="shared" si="568"/>
        <v>0</v>
      </c>
      <c r="E770">
        <f t="shared" si="542"/>
        <v>115</v>
      </c>
      <c r="F770">
        <f>IF(C770&gt;=$T$2,0,VLOOKUP($E770,EKM_F05!$A$3:$C$128,2,TRUE))</f>
        <v>1</v>
      </c>
      <c r="G770">
        <f>F770*'Real assumptions'!$B$3</f>
        <v>0.4173</v>
      </c>
      <c r="H770">
        <f t="shared" si="569"/>
        <v>4.4009114911801261E-2</v>
      </c>
      <c r="I770">
        <f t="shared" si="570"/>
        <v>3.4731010896251767E-6</v>
      </c>
      <c r="J770">
        <f>IF(B770&gt;$AJ$2,0,HLOOKUP(C770,'Real assumptions'!$B$5:$L$8,4,TRUE))</f>
        <v>3.7900000000000003E-2</v>
      </c>
      <c r="K770">
        <f t="shared" si="531"/>
        <v>1</v>
      </c>
      <c r="L770">
        <f t="shared" si="559"/>
        <v>8.3333333333333329E-2</v>
      </c>
      <c r="M770">
        <f t="shared" si="571"/>
        <v>3.2145624959929453E-3</v>
      </c>
      <c r="N770">
        <f t="shared" si="572"/>
        <v>2.4850325940060365E-7</v>
      </c>
      <c r="O770" s="8">
        <f t="shared" si="543"/>
        <v>7.5323210197707856E-5</v>
      </c>
      <c r="P770">
        <f t="shared" si="544"/>
        <v>1.8970755491216074E-3</v>
      </c>
      <c r="Q770">
        <f t="shared" si="560"/>
        <v>1.7365505448125883E-2</v>
      </c>
      <c r="R770" s="89">
        <f t="shared" si="532"/>
        <v>5000</v>
      </c>
      <c r="S770">
        <f t="shared" si="533"/>
        <v>0.75</v>
      </c>
      <c r="U770">
        <f>O769*AV769*'Real assumptions'!$B$33/12+AX770*'Real assumptions'!$B$34</f>
        <v>1.7967018320084122E-3</v>
      </c>
      <c r="V770">
        <f>IF(P770=0,0,IF(E770&lt;=$C$7,$AN$5*O769,0))*'Real assumptions'!$D$28</f>
        <v>0</v>
      </c>
      <c r="X770" s="94">
        <f t="shared" si="545"/>
        <v>0</v>
      </c>
      <c r="Y770">
        <f t="shared" si="534"/>
        <v>24</v>
      </c>
      <c r="Z770">
        <f t="shared" si="561"/>
        <v>35</v>
      </c>
      <c r="AA770">
        <f t="shared" si="535"/>
        <v>35.75</v>
      </c>
      <c r="AB770">
        <f t="shared" si="546"/>
        <v>50.505050505050505</v>
      </c>
      <c r="AC770">
        <f t="shared" si="573"/>
        <v>1805.5555555555557</v>
      </c>
      <c r="AD770">
        <f t="shared" si="547"/>
        <v>80.505050505050505</v>
      </c>
      <c r="AE770">
        <f t="shared" si="548"/>
        <v>143.90277777777777</v>
      </c>
      <c r="AF770" s="94">
        <f t="shared" si="549"/>
        <v>3050.5416666666665</v>
      </c>
      <c r="AG770">
        <f t="shared" si="562"/>
        <v>7.5806954710401638E-4</v>
      </c>
      <c r="AH770">
        <f t="shared" si="550"/>
        <v>0.22977659117519939</v>
      </c>
      <c r="AI770">
        <f>HLOOKUP(AW770,'Real assumptions'!$A$21:$AK$24,2,TRUE)</f>
        <v>0</v>
      </c>
      <c r="AJ770" s="123">
        <f t="shared" si="574"/>
        <v>0</v>
      </c>
      <c r="AK770" s="122">
        <f>(1+HLOOKUP(YEAR(A770),'Real assumptions'!$A$21:$AK$24,2,TRUE)/100)^(1/12)-1</f>
        <v>0</v>
      </c>
      <c r="AL770">
        <f t="shared" si="563"/>
        <v>1.7967018320084122E-3</v>
      </c>
      <c r="AM770">
        <f>('Real assumptions'!$B$33/12)*O769*AV769</f>
        <v>1.7306529210039346E-3</v>
      </c>
      <c r="AN770">
        <f t="shared" si="551"/>
        <v>0.24087067921834626</v>
      </c>
      <c r="AO770">
        <f t="shared" si="575"/>
        <v>0</v>
      </c>
      <c r="AP770" s="121">
        <f t="shared" si="552"/>
        <v>0</v>
      </c>
      <c r="AQ770">
        <f t="shared" si="553"/>
        <v>0</v>
      </c>
      <c r="AR770">
        <v>0</v>
      </c>
      <c r="AS770">
        <f t="shared" si="536"/>
        <v>0</v>
      </c>
      <c r="AT770">
        <f t="shared" si="554"/>
        <v>0</v>
      </c>
      <c r="AU770">
        <f>IFERROR(HLOOKUP(B770,'Real assumptions'!$B$43:$AL$44,2,TRUE)*($W$3/$U$2),0)</f>
        <v>0</v>
      </c>
      <c r="AV770">
        <f>AV769*(1+'Real assumptions'!$B$35)^(1/12)</f>
        <v>2.1917256025003611</v>
      </c>
      <c r="AW770">
        <f t="shared" si="537"/>
        <v>2082</v>
      </c>
      <c r="AX770">
        <f t="shared" si="564"/>
        <v>0.24110298569713684</v>
      </c>
      <c r="AY770">
        <f t="shared" si="565"/>
        <v>3.3268019590376106E-4</v>
      </c>
      <c r="AZ770">
        <f t="shared" si="538"/>
        <v>0.33339554503163793</v>
      </c>
      <c r="BA770">
        <f t="shared" si="555"/>
        <v>1.8123574995229898E-2</v>
      </c>
      <c r="BB770">
        <f t="shared" si="556"/>
        <v>35.75</v>
      </c>
      <c r="BC770">
        <f t="shared" si="539"/>
        <v>21.45</v>
      </c>
      <c r="BD770">
        <f t="shared" si="557"/>
        <v>0</v>
      </c>
      <c r="BE770">
        <f t="shared" si="540"/>
        <v>24</v>
      </c>
      <c r="BF770">
        <f t="shared" si="566"/>
        <v>5000</v>
      </c>
      <c r="BU770"/>
      <c r="DW770" s="89"/>
      <c r="DX770" s="89"/>
      <c r="FD770"/>
      <c r="FE770"/>
    </row>
    <row r="771" spans="1:161" x14ac:dyDescent="0.25">
      <c r="A771" s="7">
        <f t="shared" si="558"/>
        <v>66566</v>
      </c>
      <c r="B771">
        <f t="shared" si="541"/>
        <v>760</v>
      </c>
      <c r="C771">
        <f t="shared" si="567"/>
        <v>63.25</v>
      </c>
      <c r="D771">
        <f t="shared" si="568"/>
        <v>0</v>
      </c>
      <c r="E771">
        <f t="shared" si="542"/>
        <v>115</v>
      </c>
      <c r="F771">
        <f>IF(C771&gt;=$T$2,0,VLOOKUP($E771,EKM_F05!$A$3:$C$128,2,TRUE))</f>
        <v>1</v>
      </c>
      <c r="G771">
        <f>F771*'Real assumptions'!$B$3</f>
        <v>0.4173</v>
      </c>
      <c r="H771">
        <f t="shared" si="569"/>
        <v>4.4009114911801261E-2</v>
      </c>
      <c r="I771">
        <f t="shared" si="570"/>
        <v>3.3095798239498261E-6</v>
      </c>
      <c r="J771">
        <f>IF(B771&gt;$AJ$2,0,HLOOKUP(C771,'Real assumptions'!$B$5:$L$8,4,TRUE))</f>
        <v>3.7900000000000003E-2</v>
      </c>
      <c r="K771">
        <f t="shared" si="531"/>
        <v>1</v>
      </c>
      <c r="L771">
        <f t="shared" si="559"/>
        <v>8.3333333333333329E-2</v>
      </c>
      <c r="M771">
        <f t="shared" si="571"/>
        <v>3.2145624959929453E-3</v>
      </c>
      <c r="N771">
        <f t="shared" si="572"/>
        <v>2.3680317741248558E-7</v>
      </c>
      <c r="O771" s="8">
        <f t="shared" si="543"/>
        <v>7.1776827196345545E-5</v>
      </c>
      <c r="P771">
        <f t="shared" si="544"/>
        <v>1.8077570447449886E-3</v>
      </c>
      <c r="Q771">
        <f t="shared" si="560"/>
        <v>1.6547899119749132E-2</v>
      </c>
      <c r="R771" s="89">
        <f t="shared" si="532"/>
        <v>5000</v>
      </c>
      <c r="S771">
        <f t="shared" si="533"/>
        <v>0.6666666666666643</v>
      </c>
      <c r="U771">
        <f>O770*AV770*'Real assumptions'!$B$33/12+AX771*'Real assumptions'!$B$34</f>
        <v>1.7139110316934227E-3</v>
      </c>
      <c r="V771">
        <f>IF(P771=0,0,IF(E771&lt;=$C$7,$AN$5*O770,0))*'Real assumptions'!$D$28</f>
        <v>0</v>
      </c>
      <c r="X771" s="94">
        <f t="shared" si="545"/>
        <v>0</v>
      </c>
      <c r="Y771">
        <f t="shared" si="534"/>
        <v>24</v>
      </c>
      <c r="Z771">
        <f t="shared" si="561"/>
        <v>35</v>
      </c>
      <c r="AA771">
        <f t="shared" si="535"/>
        <v>35.666666666666664</v>
      </c>
      <c r="AB771">
        <f t="shared" si="546"/>
        <v>50.505050505050505</v>
      </c>
      <c r="AC771">
        <f t="shared" si="573"/>
        <v>1801.3468013468012</v>
      </c>
      <c r="AD771">
        <f t="shared" si="547"/>
        <v>80.505050505050505</v>
      </c>
      <c r="AE771">
        <f t="shared" si="548"/>
        <v>143.56734006734004</v>
      </c>
      <c r="AF771" s="94">
        <f t="shared" si="549"/>
        <v>3055.0858585858591</v>
      </c>
      <c r="AG771">
        <f t="shared" si="562"/>
        <v>7.2345403858108299E-4</v>
      </c>
      <c r="AH771">
        <f t="shared" si="550"/>
        <v>0.21928436974171617</v>
      </c>
      <c r="AI771">
        <f>HLOOKUP(AW771,'Real assumptions'!$A$21:$AK$24,2,TRUE)</f>
        <v>0</v>
      </c>
      <c r="AJ771" s="123">
        <f t="shared" si="574"/>
        <v>0</v>
      </c>
      <c r="AK771" s="122">
        <f>(1+HLOOKUP(YEAR(A771),'Real assumptions'!$A$21:$AK$24,2,TRUE)/100)^(1/12)-1</f>
        <v>0</v>
      </c>
      <c r="AL771">
        <f t="shared" si="563"/>
        <v>1.7139110316934227E-3</v>
      </c>
      <c r="AM771">
        <f>('Real assumptions'!$B$33/12)*O770*AV770</f>
        <v>1.6508780825283259E-3</v>
      </c>
      <c r="AN771">
        <f t="shared" si="551"/>
        <v>0.22987043718825095</v>
      </c>
      <c r="AO771">
        <f t="shared" si="575"/>
        <v>0</v>
      </c>
      <c r="AP771" s="121">
        <f t="shared" si="552"/>
        <v>0</v>
      </c>
      <c r="AQ771">
        <f t="shared" si="553"/>
        <v>0</v>
      </c>
      <c r="AR771">
        <v>0</v>
      </c>
      <c r="AS771">
        <f t="shared" si="536"/>
        <v>0</v>
      </c>
      <c r="AT771">
        <f t="shared" si="554"/>
        <v>0</v>
      </c>
      <c r="AU771">
        <f>IFERROR(HLOOKUP(B771,'Real assumptions'!$B$43:$AL$44,2,TRUE)*($W$3/$U$2),0)</f>
        <v>0</v>
      </c>
      <c r="AV771">
        <f>AV770*(1+'Real assumptions'!$B$35)^(1/12)</f>
        <v>2.1939956735584634</v>
      </c>
      <c r="AW771">
        <f t="shared" si="537"/>
        <v>2082</v>
      </c>
      <c r="AX771">
        <f t="shared" si="564"/>
        <v>0.23009360805313586</v>
      </c>
      <c r="AY771">
        <f t="shared" si="565"/>
        <v>3.1701687793648083E-4</v>
      </c>
      <c r="AZ771">
        <f t="shared" si="538"/>
        <v>0.31621803788635927</v>
      </c>
      <c r="BA771">
        <f t="shared" si="555"/>
        <v>1.7271353158330217E-2</v>
      </c>
      <c r="BB771">
        <f t="shared" si="556"/>
        <v>35.666666666666664</v>
      </c>
      <c r="BC771">
        <f t="shared" si="539"/>
        <v>21.4</v>
      </c>
      <c r="BD771">
        <f t="shared" si="557"/>
        <v>0</v>
      </c>
      <c r="BE771">
        <f t="shared" si="540"/>
        <v>24</v>
      </c>
      <c r="BF771">
        <f t="shared" si="566"/>
        <v>5000</v>
      </c>
      <c r="BU771"/>
      <c r="DW771" s="89"/>
      <c r="DX771" s="89"/>
      <c r="FD771"/>
      <c r="FE771"/>
    </row>
    <row r="772" spans="1:161" x14ac:dyDescent="0.25">
      <c r="A772" s="7">
        <f t="shared" si="558"/>
        <v>66596</v>
      </c>
      <c r="B772">
        <f t="shared" si="541"/>
        <v>761</v>
      </c>
      <c r="C772">
        <f t="shared" si="567"/>
        <v>63.333333333333329</v>
      </c>
      <c r="D772">
        <f t="shared" si="568"/>
        <v>0</v>
      </c>
      <c r="E772">
        <f t="shared" si="542"/>
        <v>115</v>
      </c>
      <c r="F772">
        <f>IF(C772&gt;=$T$2,0,VLOOKUP($E772,EKM_F05!$A$3:$C$128,2,TRUE))</f>
        <v>1</v>
      </c>
      <c r="G772">
        <f>F772*'Real assumptions'!$B$3</f>
        <v>0.4173</v>
      </c>
      <c r="H772">
        <f t="shared" si="569"/>
        <v>4.4009114911801261E-2</v>
      </c>
      <c r="I772">
        <f t="shared" si="570"/>
        <v>3.1537575004123663E-6</v>
      </c>
      <c r="J772">
        <f>IF(B772&gt;$AJ$2,0,HLOOKUP(C772,'Real assumptions'!$B$5:$L$8,4,TRUE))</f>
        <v>3.7900000000000003E-2</v>
      </c>
      <c r="K772">
        <f t="shared" si="531"/>
        <v>1</v>
      </c>
      <c r="L772">
        <f t="shared" si="559"/>
        <v>8.3333333333333329E-2</v>
      </c>
      <c r="M772">
        <f t="shared" si="571"/>
        <v>3.2145624959929453E-3</v>
      </c>
      <c r="N772">
        <f t="shared" si="572"/>
        <v>2.2565396111063207E-7</v>
      </c>
      <c r="O772" s="8">
        <f t="shared" si="543"/>
        <v>6.8397415734822547E-5</v>
      </c>
      <c r="P772">
        <f t="shared" si="544"/>
        <v>1.722643852712293E-3</v>
      </c>
      <c r="Q772">
        <f t="shared" si="560"/>
        <v>1.5768787502061832E-2</v>
      </c>
      <c r="R772" s="89">
        <f t="shared" si="532"/>
        <v>5000</v>
      </c>
      <c r="S772">
        <f t="shared" si="533"/>
        <v>0.5833333333333357</v>
      </c>
      <c r="U772">
        <f>O771*AV771*'Real assumptions'!$B$33/12+AX772*'Real assumptions'!$B$34</f>
        <v>1.6349350540293037E-3</v>
      </c>
      <c r="V772">
        <f>IF(P772=0,0,IF(E772&lt;=$C$7,$AN$5*O771,0))*'Real assumptions'!$D$28</f>
        <v>0</v>
      </c>
      <c r="X772" s="94">
        <f t="shared" si="545"/>
        <v>0</v>
      </c>
      <c r="Y772">
        <f t="shared" si="534"/>
        <v>24</v>
      </c>
      <c r="Z772">
        <f t="shared" si="561"/>
        <v>35</v>
      </c>
      <c r="AA772">
        <f t="shared" si="535"/>
        <v>35.583333333333336</v>
      </c>
      <c r="AB772">
        <f t="shared" si="546"/>
        <v>50.505050505050505</v>
      </c>
      <c r="AC772">
        <f t="shared" si="573"/>
        <v>1797.1380471380473</v>
      </c>
      <c r="AD772">
        <f t="shared" si="547"/>
        <v>80.505050505050505</v>
      </c>
      <c r="AE772">
        <f t="shared" si="548"/>
        <v>143.23190235690237</v>
      </c>
      <c r="AF772" s="94">
        <f t="shared" si="549"/>
        <v>3059.6300505050503</v>
      </c>
      <c r="AG772">
        <f t="shared" si="562"/>
        <v>6.9041764042958786E-4</v>
      </c>
      <c r="AH772">
        <f t="shared" si="550"/>
        <v>0.20927078855915004</v>
      </c>
      <c r="AI772">
        <f>HLOOKUP(AW772,'Real assumptions'!$A$21:$AK$24,2,TRUE)</f>
        <v>0</v>
      </c>
      <c r="AJ772" s="123">
        <f t="shared" si="574"/>
        <v>0</v>
      </c>
      <c r="AK772" s="122">
        <f>(1+HLOOKUP(YEAR(A772),'Real assumptions'!$A$21:$AK$24,2,TRUE)/100)^(1/12)-1</f>
        <v>0</v>
      </c>
      <c r="AL772">
        <f t="shared" si="563"/>
        <v>1.6349350540293037E-3</v>
      </c>
      <c r="AM772">
        <f>('Real assumptions'!$B$33/12)*O771*AV771</f>
        <v>1.5747804833053558E-3</v>
      </c>
      <c r="AN772">
        <f t="shared" si="551"/>
        <v>0.21937207854039914</v>
      </c>
      <c r="AO772">
        <f t="shared" si="575"/>
        <v>0</v>
      </c>
      <c r="AP772" s="121">
        <f t="shared" si="552"/>
        <v>0</v>
      </c>
      <c r="AQ772">
        <f t="shared" si="553"/>
        <v>0</v>
      </c>
      <c r="AR772">
        <v>0</v>
      </c>
      <c r="AS772">
        <f t="shared" si="536"/>
        <v>0</v>
      </c>
      <c r="AT772">
        <f t="shared" si="554"/>
        <v>0</v>
      </c>
      <c r="AU772">
        <f>IFERROR(HLOOKUP(B772,'Real assumptions'!$B$43:$AL$44,2,TRUE)*($W$3/$U$2),0)</f>
        <v>0</v>
      </c>
      <c r="AV772">
        <f>AV771*(1+'Real assumptions'!$B$35)^(1/12)</f>
        <v>2.1962680958336169</v>
      </c>
      <c r="AW772">
        <f t="shared" si="537"/>
        <v>2082</v>
      </c>
      <c r="AX772">
        <f t="shared" si="564"/>
        <v>0.2195864607652698</v>
      </c>
      <c r="AY772">
        <f t="shared" si="565"/>
        <v>3.0209102355364286E-4</v>
      </c>
      <c r="AZ772">
        <f t="shared" si="538"/>
        <v>0.29984654154255086</v>
      </c>
      <c r="BA772">
        <f t="shared" si="555"/>
        <v>1.6459205142491419E-2</v>
      </c>
      <c r="BB772">
        <f t="shared" si="556"/>
        <v>35.583333333333336</v>
      </c>
      <c r="BC772">
        <f t="shared" si="539"/>
        <v>21.35</v>
      </c>
      <c r="BD772">
        <f t="shared" si="557"/>
        <v>0</v>
      </c>
      <c r="BE772">
        <f t="shared" si="540"/>
        <v>24</v>
      </c>
      <c r="BF772">
        <f t="shared" si="566"/>
        <v>5000</v>
      </c>
      <c r="BU772"/>
      <c r="DW772" s="89"/>
      <c r="DX772" s="89"/>
      <c r="FD772"/>
      <c r="FE772"/>
    </row>
    <row r="773" spans="1:161" x14ac:dyDescent="0.25">
      <c r="A773" s="7">
        <f t="shared" si="558"/>
        <v>66627</v>
      </c>
      <c r="B773">
        <f t="shared" si="541"/>
        <v>762</v>
      </c>
      <c r="C773">
        <f t="shared" si="567"/>
        <v>63.416666666666671</v>
      </c>
      <c r="D773">
        <f t="shared" si="568"/>
        <v>0</v>
      </c>
      <c r="E773">
        <f t="shared" si="542"/>
        <v>115</v>
      </c>
      <c r="F773">
        <f>IF(C773&gt;=$T$2,0,VLOOKUP($E773,EKM_F05!$A$3:$C$128,2,TRUE))</f>
        <v>1</v>
      </c>
      <c r="G773">
        <f>F773*'Real assumptions'!$B$3</f>
        <v>0.4173</v>
      </c>
      <c r="H773">
        <f t="shared" si="569"/>
        <v>4.4009114911801261E-2</v>
      </c>
      <c r="I773">
        <f t="shared" si="570"/>
        <v>3.0052716358226274E-6</v>
      </c>
      <c r="J773">
        <f>IF(B773&gt;$AJ$2,0,HLOOKUP(C773,'Real assumptions'!$B$5:$L$8,4,TRUE))</f>
        <v>3.7900000000000003E-2</v>
      </c>
      <c r="K773">
        <f t="shared" si="531"/>
        <v>1</v>
      </c>
      <c r="L773">
        <f t="shared" si="559"/>
        <v>8.3333333333333329E-2</v>
      </c>
      <c r="M773">
        <f t="shared" si="571"/>
        <v>3.2145624959929453E-3</v>
      </c>
      <c r="N773">
        <f t="shared" si="572"/>
        <v>2.1502967452257623E-7</v>
      </c>
      <c r="O773" s="8">
        <f t="shared" si="543"/>
        <v>6.5177114424477342E-5</v>
      </c>
      <c r="P773">
        <f t="shared" si="544"/>
        <v>1.6415379776357412E-3</v>
      </c>
      <c r="Q773">
        <f t="shared" si="560"/>
        <v>1.5026358179113138E-2</v>
      </c>
      <c r="R773" s="89">
        <f t="shared" si="532"/>
        <v>5000</v>
      </c>
      <c r="S773">
        <f t="shared" si="533"/>
        <v>0.5</v>
      </c>
      <c r="U773">
        <f>O772*AV772*'Real assumptions'!$B$33/12+AX773*'Real assumptions'!$B$34</f>
        <v>1.5595981259653574E-3</v>
      </c>
      <c r="V773">
        <f>IF(P773=0,0,IF(E773&lt;=$C$7,$AN$5*O772,0))*'Real assumptions'!$D$28</f>
        <v>0</v>
      </c>
      <c r="X773" s="94">
        <f t="shared" si="545"/>
        <v>0</v>
      </c>
      <c r="Y773">
        <f t="shared" si="534"/>
        <v>24</v>
      </c>
      <c r="Z773">
        <f t="shared" si="561"/>
        <v>35</v>
      </c>
      <c r="AA773">
        <f t="shared" si="535"/>
        <v>35.5</v>
      </c>
      <c r="AB773">
        <f t="shared" si="546"/>
        <v>50.505050505050505</v>
      </c>
      <c r="AC773">
        <f t="shared" si="573"/>
        <v>1792.9292929292928</v>
      </c>
      <c r="AD773">
        <f t="shared" si="547"/>
        <v>80.505050505050505</v>
      </c>
      <c r="AE773">
        <f t="shared" si="548"/>
        <v>142.89646464646464</v>
      </c>
      <c r="AF773" s="94">
        <f t="shared" si="549"/>
        <v>3064.1742424242425</v>
      </c>
      <c r="AG773">
        <f t="shared" si="562"/>
        <v>6.5888839002894647E-4</v>
      </c>
      <c r="AH773">
        <f t="shared" si="550"/>
        <v>0.19971403521502104</v>
      </c>
      <c r="AI773">
        <f>HLOOKUP(AW773,'Real assumptions'!$A$21:$AK$24,2,TRUE)</f>
        <v>0</v>
      </c>
      <c r="AJ773" s="123">
        <f t="shared" si="574"/>
        <v>0</v>
      </c>
      <c r="AK773" s="122">
        <f>(1+HLOOKUP(YEAR(A773),'Real assumptions'!$A$21:$AK$24,2,TRUE)/100)^(1/12)-1</f>
        <v>0</v>
      </c>
      <c r="AL773">
        <f t="shared" si="563"/>
        <v>1.5595981259653574E-3</v>
      </c>
      <c r="AM773">
        <f>('Real assumptions'!$B$33/12)*O772*AV772</f>
        <v>1.5021906201585899E-3</v>
      </c>
      <c r="AN773">
        <f t="shared" si="551"/>
        <v>0.20935272841082045</v>
      </c>
      <c r="AO773">
        <f t="shared" si="575"/>
        <v>0</v>
      </c>
      <c r="AP773" s="121">
        <f t="shared" si="552"/>
        <v>0</v>
      </c>
      <c r="AQ773">
        <f t="shared" si="553"/>
        <v>0</v>
      </c>
      <c r="AR773">
        <v>0</v>
      </c>
      <c r="AS773">
        <f t="shared" si="536"/>
        <v>0</v>
      </c>
      <c r="AT773">
        <f t="shared" si="554"/>
        <v>0</v>
      </c>
      <c r="AU773">
        <f>IFERROR(HLOOKUP(B773,'Real assumptions'!$B$43:$AL$44,2,TRUE)*($W$3/$U$2),0)</f>
        <v>0</v>
      </c>
      <c r="AV773">
        <f>AV772*(1+'Real assumptions'!$B$35)^(1/12)</f>
        <v>2.1985428717610858</v>
      </c>
      <c r="AW773">
        <f t="shared" si="537"/>
        <v>2082</v>
      </c>
      <c r="AX773">
        <f t="shared" si="564"/>
        <v>0.20955865647049188</v>
      </c>
      <c r="AY773">
        <f t="shared" si="565"/>
        <v>2.8786791134184571E-4</v>
      </c>
      <c r="AZ773">
        <f t="shared" si="538"/>
        <v>0.28424323482507913</v>
      </c>
      <c r="BA773">
        <f t="shared" si="555"/>
        <v>1.5685246569142084E-2</v>
      </c>
      <c r="BB773">
        <f t="shared" si="556"/>
        <v>35.5</v>
      </c>
      <c r="BC773">
        <f t="shared" si="539"/>
        <v>21.299999999999997</v>
      </c>
      <c r="BD773">
        <f t="shared" si="557"/>
        <v>0</v>
      </c>
      <c r="BE773">
        <f t="shared" si="540"/>
        <v>24</v>
      </c>
      <c r="BF773">
        <f t="shared" si="566"/>
        <v>5000</v>
      </c>
      <c r="BU773"/>
      <c r="DW773" s="89"/>
      <c r="DX773" s="89"/>
      <c r="FD773"/>
      <c r="FE773"/>
    </row>
    <row r="774" spans="1:161" x14ac:dyDescent="0.25">
      <c r="A774" s="7">
        <f t="shared" si="558"/>
        <v>66657</v>
      </c>
      <c r="B774">
        <f t="shared" si="541"/>
        <v>763</v>
      </c>
      <c r="C774">
        <f t="shared" si="567"/>
        <v>63.5</v>
      </c>
      <c r="D774">
        <f t="shared" si="568"/>
        <v>0</v>
      </c>
      <c r="E774">
        <f t="shared" si="542"/>
        <v>115</v>
      </c>
      <c r="F774">
        <f>IF(C774&gt;=$T$2,0,VLOOKUP($E774,EKM_F05!$A$3:$C$128,2,TRUE))</f>
        <v>1</v>
      </c>
      <c r="G774">
        <f>F774*'Real assumptions'!$B$3</f>
        <v>0.4173</v>
      </c>
      <c r="H774">
        <f t="shared" si="569"/>
        <v>4.4009114911801261E-2</v>
      </c>
      <c r="I774">
        <f t="shared" si="570"/>
        <v>2.8637768134991625E-6</v>
      </c>
      <c r="J774">
        <f>IF(B774&gt;$AJ$2,0,HLOOKUP(C774,'Real assumptions'!$B$5:$L$8,4,TRUE))</f>
        <v>3.7900000000000003E-2</v>
      </c>
      <c r="K774">
        <f t="shared" si="531"/>
        <v>1</v>
      </c>
      <c r="L774">
        <f t="shared" si="559"/>
        <v>8.3333333333333329E-2</v>
      </c>
      <c r="M774">
        <f t="shared" si="571"/>
        <v>3.2145624959929453E-3</v>
      </c>
      <c r="N774">
        <f t="shared" si="572"/>
        <v>2.0490560279868492E-7</v>
      </c>
      <c r="O774" s="8">
        <f t="shared" si="543"/>
        <v>6.2108432008179496E-5</v>
      </c>
      <c r="P774">
        <f t="shared" si="544"/>
        <v>1.5642507461874561E-3</v>
      </c>
      <c r="Q774">
        <f t="shared" si="560"/>
        <v>1.4318884067495813E-2</v>
      </c>
      <c r="R774" s="89">
        <f t="shared" si="532"/>
        <v>5000</v>
      </c>
      <c r="S774">
        <f t="shared" si="533"/>
        <v>0.4166666666666643</v>
      </c>
      <c r="U774">
        <f>O773*AV773*'Real assumptions'!$B$33/12+AX774*'Real assumptions'!$B$34</f>
        <v>1.4877325731514133E-3</v>
      </c>
      <c r="V774">
        <f>IF(P774=0,0,IF(E774&lt;=$C$7,$AN$5*O773,0))*'Real assumptions'!$D$28</f>
        <v>0</v>
      </c>
      <c r="X774" s="94">
        <f t="shared" si="545"/>
        <v>0</v>
      </c>
      <c r="Y774">
        <f t="shared" si="534"/>
        <v>24</v>
      </c>
      <c r="Z774">
        <f t="shared" si="561"/>
        <v>35</v>
      </c>
      <c r="AA774">
        <f t="shared" si="535"/>
        <v>35.416666666666664</v>
      </c>
      <c r="AB774">
        <f t="shared" si="546"/>
        <v>50.505050505050505</v>
      </c>
      <c r="AC774">
        <f t="shared" si="573"/>
        <v>1788.7205387205386</v>
      </c>
      <c r="AD774">
        <f t="shared" si="547"/>
        <v>80.505050505050505</v>
      </c>
      <c r="AE774">
        <f t="shared" si="548"/>
        <v>142.56102693602693</v>
      </c>
      <c r="AF774" s="94">
        <f t="shared" si="549"/>
        <v>3068.7184343434346</v>
      </c>
      <c r="AG774">
        <f t="shared" si="562"/>
        <v>6.2879760060857812E-4</v>
      </c>
      <c r="AH774">
        <f t="shared" si="550"/>
        <v>0.19059329023166624</v>
      </c>
      <c r="AI774">
        <f>HLOOKUP(AW774,'Real assumptions'!$A$21:$AK$24,2,TRUE)</f>
        <v>0</v>
      </c>
      <c r="AJ774" s="123">
        <f t="shared" si="574"/>
        <v>0</v>
      </c>
      <c r="AK774" s="122">
        <f>(1+HLOOKUP(YEAR(A774),'Real assumptions'!$A$21:$AK$24,2,TRUE)/100)^(1/12)-1</f>
        <v>0</v>
      </c>
      <c r="AL774">
        <f t="shared" si="563"/>
        <v>1.4877325731514133E-3</v>
      </c>
      <c r="AM774">
        <f>('Real assumptions'!$B$33/12)*O773*AV773</f>
        <v>1.432946803198913E-3</v>
      </c>
      <c r="AN774">
        <f t="shared" si="551"/>
        <v>0.1997905533880571</v>
      </c>
      <c r="AO774">
        <f t="shared" si="575"/>
        <v>0</v>
      </c>
      <c r="AP774" s="121">
        <f t="shared" si="552"/>
        <v>0</v>
      </c>
      <c r="AQ774">
        <f t="shared" si="553"/>
        <v>0</v>
      </c>
      <c r="AR774">
        <v>0</v>
      </c>
      <c r="AS774">
        <f t="shared" si="536"/>
        <v>0</v>
      </c>
      <c r="AT774">
        <f t="shared" si="554"/>
        <v>0</v>
      </c>
      <c r="AU774">
        <f>IFERROR(HLOOKUP(B774,'Real assumptions'!$B$43:$AL$44,2,TRUE)*($W$3/$U$2),0)</f>
        <v>0</v>
      </c>
      <c r="AV774">
        <f>AV773*(1+'Real assumptions'!$B$35)^(1/12)</f>
        <v>2.2008200037786558</v>
      </c>
      <c r="AW774">
        <f t="shared" si="537"/>
        <v>2082</v>
      </c>
      <c r="AX774">
        <f t="shared" si="564"/>
        <v>0.19998834966966952</v>
      </c>
      <c r="AY774">
        <f t="shared" si="565"/>
        <v>2.7431445464847366E-4</v>
      </c>
      <c r="AZ774">
        <f t="shared" si="538"/>
        <v>0.26937207133001073</v>
      </c>
      <c r="BA774">
        <f t="shared" si="555"/>
        <v>1.4947681668104392E-2</v>
      </c>
      <c r="BB774">
        <f t="shared" si="556"/>
        <v>35.416666666666664</v>
      </c>
      <c r="BC774">
        <f t="shared" si="539"/>
        <v>21.25</v>
      </c>
      <c r="BD774">
        <f t="shared" si="557"/>
        <v>0</v>
      </c>
      <c r="BE774">
        <f t="shared" si="540"/>
        <v>24</v>
      </c>
      <c r="BF774">
        <f t="shared" si="566"/>
        <v>5000</v>
      </c>
      <c r="BU774"/>
      <c r="DW774" s="89"/>
      <c r="DX774" s="89"/>
      <c r="FD774"/>
      <c r="FE774"/>
    </row>
    <row r="775" spans="1:161" x14ac:dyDescent="0.25">
      <c r="A775" s="7">
        <f t="shared" si="558"/>
        <v>66688</v>
      </c>
      <c r="B775">
        <f t="shared" si="541"/>
        <v>764</v>
      </c>
      <c r="C775">
        <f t="shared" si="567"/>
        <v>63.583333333333329</v>
      </c>
      <c r="D775">
        <f t="shared" si="568"/>
        <v>0</v>
      </c>
      <c r="E775">
        <f t="shared" si="542"/>
        <v>115</v>
      </c>
      <c r="F775">
        <f>IF(C775&gt;=$T$2,0,VLOOKUP($E775,EKM_F05!$A$3:$C$128,2,TRUE))</f>
        <v>1</v>
      </c>
      <c r="G775">
        <f>F775*'Real assumptions'!$B$3</f>
        <v>0.4173</v>
      </c>
      <c r="H775">
        <f t="shared" si="569"/>
        <v>4.4009114911801261E-2</v>
      </c>
      <c r="I775">
        <f t="shared" si="570"/>
        <v>2.7289438797403456E-6</v>
      </c>
      <c r="J775">
        <f>IF(B775&gt;$AJ$2,0,HLOOKUP(C775,'Real assumptions'!$B$5:$L$8,4,TRUE))</f>
        <v>3.7900000000000003E-2</v>
      </c>
      <c r="K775">
        <f t="shared" si="531"/>
        <v>1</v>
      </c>
      <c r="L775">
        <f t="shared" si="559"/>
        <v>8.3333333333333329E-2</v>
      </c>
      <c r="M775">
        <f t="shared" si="571"/>
        <v>3.2145624959929453E-3</v>
      </c>
      <c r="N775">
        <f t="shared" si="572"/>
        <v>1.9525819471900027E-7</v>
      </c>
      <c r="O775" s="8">
        <f t="shared" si="543"/>
        <v>5.918422993372015E-5</v>
      </c>
      <c r="P775">
        <f t="shared" si="544"/>
        <v>1.4906023681963078E-3</v>
      </c>
      <c r="Q775">
        <f t="shared" si="560"/>
        <v>1.3644719398701727E-2</v>
      </c>
      <c r="R775" s="89">
        <f t="shared" si="532"/>
        <v>5000</v>
      </c>
      <c r="S775">
        <f t="shared" si="533"/>
        <v>0.3333333333333357</v>
      </c>
      <c r="U775">
        <f>O774*AV774*'Real assumptions'!$B$33/12+AX775*'Real assumptions'!$B$34</f>
        <v>1.4191784468054582E-3</v>
      </c>
      <c r="V775">
        <f>IF(P775=0,0,IF(E775&lt;=$C$7,$AN$5*O774,0))*'Real assumptions'!$D$28</f>
        <v>0</v>
      </c>
      <c r="X775" s="94">
        <f t="shared" si="545"/>
        <v>0</v>
      </c>
      <c r="Y775">
        <f t="shared" si="534"/>
        <v>24</v>
      </c>
      <c r="Z775">
        <f t="shared" si="561"/>
        <v>35</v>
      </c>
      <c r="AA775">
        <f t="shared" si="535"/>
        <v>35.333333333333336</v>
      </c>
      <c r="AB775">
        <f t="shared" si="546"/>
        <v>50.505050505050505</v>
      </c>
      <c r="AC775">
        <f t="shared" si="573"/>
        <v>1784.5117845117845</v>
      </c>
      <c r="AD775">
        <f t="shared" si="547"/>
        <v>80.505050505050505</v>
      </c>
      <c r="AE775">
        <f t="shared" si="548"/>
        <v>142.22558922558923</v>
      </c>
      <c r="AF775" s="94">
        <f t="shared" si="549"/>
        <v>3073.2626262626259</v>
      </c>
      <c r="AG775">
        <f t="shared" si="562"/>
        <v>6.0007971230141392E-4</v>
      </c>
      <c r="AH775">
        <f t="shared" si="550"/>
        <v>0.18188868191943591</v>
      </c>
      <c r="AI775">
        <f>HLOOKUP(AW775,'Real assumptions'!$A$21:$AK$24,2,TRUE)</f>
        <v>0</v>
      </c>
      <c r="AJ775" s="123">
        <f t="shared" si="574"/>
        <v>0</v>
      </c>
      <c r="AK775" s="122">
        <f>(1+HLOOKUP(YEAR(A775),'Real assumptions'!$A$21:$AK$24,2,TRUE)/100)^(1/12)-1</f>
        <v>0</v>
      </c>
      <c r="AL775">
        <f t="shared" si="563"/>
        <v>1.4191784468054582E-3</v>
      </c>
      <c r="AM775">
        <f>('Real assumptions'!$B$33/12)*O774*AV774</f>
        <v>1.36689479566928E-3</v>
      </c>
      <c r="AN775">
        <f t="shared" si="551"/>
        <v>0.19066471415305711</v>
      </c>
      <c r="AO775">
        <f t="shared" si="575"/>
        <v>0</v>
      </c>
      <c r="AP775" s="121">
        <f t="shared" si="552"/>
        <v>0</v>
      </c>
      <c r="AQ775">
        <f t="shared" si="553"/>
        <v>0</v>
      </c>
      <c r="AR775">
        <v>0</v>
      </c>
      <c r="AS775">
        <f t="shared" si="536"/>
        <v>0</v>
      </c>
      <c r="AT775">
        <f t="shared" si="554"/>
        <v>0</v>
      </c>
      <c r="AU775">
        <f>IFERROR(HLOOKUP(B775,'Real assumptions'!$B$43:$AL$44,2,TRUE)*($W$3/$U$2),0)</f>
        <v>0</v>
      </c>
      <c r="AV775">
        <f>AV774*(1+'Real assumptions'!$B$35)^(1/12)</f>
        <v>2.2030994943266382</v>
      </c>
      <c r="AW775">
        <f t="shared" si="537"/>
        <v>2082</v>
      </c>
      <c r="AX775">
        <f t="shared" si="564"/>
        <v>0.19085468935627978</v>
      </c>
      <c r="AY775">
        <f t="shared" si="565"/>
        <v>2.6139912461355005E-4</v>
      </c>
      <c r="AZ775">
        <f t="shared" si="538"/>
        <v>0.25519869614039847</v>
      </c>
      <c r="BA775">
        <f t="shared" si="555"/>
        <v>1.4244799111003141E-2</v>
      </c>
      <c r="BB775">
        <f t="shared" si="556"/>
        <v>35.333333333333336</v>
      </c>
      <c r="BC775">
        <f t="shared" si="539"/>
        <v>21.200000000000003</v>
      </c>
      <c r="BD775">
        <f t="shared" si="557"/>
        <v>0</v>
      </c>
      <c r="BE775">
        <f t="shared" si="540"/>
        <v>24</v>
      </c>
      <c r="BF775">
        <f t="shared" si="566"/>
        <v>5000</v>
      </c>
      <c r="BU775"/>
      <c r="DW775" s="89"/>
      <c r="DX775" s="89"/>
      <c r="FD775"/>
      <c r="FE775"/>
    </row>
    <row r="776" spans="1:161" x14ac:dyDescent="0.25">
      <c r="A776" s="7">
        <f t="shared" si="558"/>
        <v>66719</v>
      </c>
      <c r="B776">
        <f t="shared" si="541"/>
        <v>765</v>
      </c>
      <c r="C776">
        <f t="shared" si="567"/>
        <v>63.666666666666671</v>
      </c>
      <c r="D776">
        <f t="shared" si="568"/>
        <v>0</v>
      </c>
      <c r="E776">
        <f t="shared" si="542"/>
        <v>115</v>
      </c>
      <c r="F776">
        <f>IF(C776&gt;=$T$2,0,VLOOKUP($E776,EKM_F05!$A$3:$C$128,2,TRUE))</f>
        <v>1</v>
      </c>
      <c r="G776">
        <f>F776*'Real assumptions'!$B$3</f>
        <v>0.4173</v>
      </c>
      <c r="H776">
        <f t="shared" si="569"/>
        <v>4.4009114911801261E-2</v>
      </c>
      <c r="I776">
        <f t="shared" si="570"/>
        <v>2.6004591781273843E-6</v>
      </c>
      <c r="J776">
        <f>IF(B776&gt;$AJ$2,0,HLOOKUP(C776,'Real assumptions'!$B$5:$L$8,4,TRUE))</f>
        <v>3.7900000000000003E-2</v>
      </c>
      <c r="K776">
        <f t="shared" si="531"/>
        <v>1</v>
      </c>
      <c r="L776">
        <f t="shared" si="559"/>
        <v>8.3333333333333329E-2</v>
      </c>
      <c r="M776">
        <f t="shared" si="571"/>
        <v>3.2145624959929453E-3</v>
      </c>
      <c r="N776">
        <f t="shared" si="572"/>
        <v>1.860650079069859E-7</v>
      </c>
      <c r="O776" s="8">
        <f t="shared" si="543"/>
        <v>5.6397705747685785E-5</v>
      </c>
      <c r="P776">
        <f t="shared" si="544"/>
        <v>1.4204215184092837E-3</v>
      </c>
      <c r="Q776">
        <f t="shared" si="560"/>
        <v>1.3002295890636921E-2</v>
      </c>
      <c r="R776" s="89">
        <f t="shared" si="532"/>
        <v>5000</v>
      </c>
      <c r="S776">
        <f t="shared" si="533"/>
        <v>0.25</v>
      </c>
      <c r="U776">
        <f>O775*AV775*'Real assumptions'!$B$33/12+AX776*'Real assumptions'!$B$34</f>
        <v>1.3537831677719989E-3</v>
      </c>
      <c r="V776">
        <f>IF(P776=0,0,IF(E776&lt;=$C$7,$AN$5*O775,0))*'Real assumptions'!$D$28</f>
        <v>0</v>
      </c>
      <c r="X776" s="94">
        <f t="shared" si="545"/>
        <v>0</v>
      </c>
      <c r="Y776">
        <f t="shared" si="534"/>
        <v>24</v>
      </c>
      <c r="Z776">
        <f t="shared" si="561"/>
        <v>35</v>
      </c>
      <c r="AA776">
        <f t="shared" si="535"/>
        <v>35.25</v>
      </c>
      <c r="AB776">
        <f t="shared" si="546"/>
        <v>50.505050505050505</v>
      </c>
      <c r="AC776">
        <f t="shared" si="573"/>
        <v>1780.3030303030303</v>
      </c>
      <c r="AD776">
        <f t="shared" si="547"/>
        <v>80.505050505050505</v>
      </c>
      <c r="AE776">
        <f t="shared" si="548"/>
        <v>141.8901515151515</v>
      </c>
      <c r="AF776" s="94">
        <f t="shared" si="549"/>
        <v>3077.8068181818185</v>
      </c>
      <c r="AG776">
        <f t="shared" si="562"/>
        <v>5.7267214996117519E-4</v>
      </c>
      <c r="AH776">
        <f t="shared" si="550"/>
        <v>0.17358124328003924</v>
      </c>
      <c r="AI776">
        <f>HLOOKUP(AW776,'Real assumptions'!$A$21:$AK$24,2,TRUE)</f>
        <v>0</v>
      </c>
      <c r="AJ776" s="123">
        <f t="shared" si="574"/>
        <v>0</v>
      </c>
      <c r="AK776" s="122">
        <f>(1+HLOOKUP(YEAR(A776),'Real assumptions'!$A$21:$AK$24,2,TRUE)/100)^(1/12)-1</f>
        <v>0</v>
      </c>
      <c r="AL776">
        <f t="shared" si="563"/>
        <v>1.3537831677719989E-3</v>
      </c>
      <c r="AM776">
        <f>('Real assumptions'!$B$33/12)*O775*AV775</f>
        <v>1.3038874703909034E-3</v>
      </c>
      <c r="AN776">
        <f t="shared" si="551"/>
        <v>0.18195532027007322</v>
      </c>
      <c r="AO776">
        <f t="shared" si="575"/>
        <v>0</v>
      </c>
      <c r="AP776" s="121">
        <f t="shared" si="552"/>
        <v>0</v>
      </c>
      <c r="AQ776">
        <f t="shared" si="553"/>
        <v>0</v>
      </c>
      <c r="AR776">
        <v>0</v>
      </c>
      <c r="AS776">
        <f t="shared" si="536"/>
        <v>0</v>
      </c>
      <c r="AT776">
        <f t="shared" si="554"/>
        <v>0</v>
      </c>
      <c r="AU776">
        <f>IFERROR(HLOOKUP(B776,'Real assumptions'!$B$43:$AL$44,2,TRUE)*($W$3/$U$2),0)</f>
        <v>0</v>
      </c>
      <c r="AV776">
        <f>AV775*(1+'Real assumptions'!$B$35)^(1/12)</f>
        <v>2.2053813458478708</v>
      </c>
      <c r="AW776">
        <f t="shared" si="537"/>
        <v>2082</v>
      </c>
      <c r="AX776">
        <f t="shared" si="564"/>
        <v>0.18213777379626134</v>
      </c>
      <c r="AY776">
        <f t="shared" si="565"/>
        <v>2.4909187682542146E-4</v>
      </c>
      <c r="AZ776">
        <f t="shared" si="538"/>
        <v>0.24169036645043765</v>
      </c>
      <c r="BA776">
        <f t="shared" si="555"/>
        <v>1.3574968040598096E-2</v>
      </c>
      <c r="BB776">
        <f t="shared" si="556"/>
        <v>35.25</v>
      </c>
      <c r="BC776">
        <f t="shared" si="539"/>
        <v>21.15</v>
      </c>
      <c r="BD776">
        <f t="shared" si="557"/>
        <v>0</v>
      </c>
      <c r="BE776">
        <f t="shared" si="540"/>
        <v>24</v>
      </c>
      <c r="BF776">
        <f t="shared" si="566"/>
        <v>5000</v>
      </c>
      <c r="BU776"/>
      <c r="DW776" s="89"/>
      <c r="DX776" s="89"/>
      <c r="FD776"/>
      <c r="FE776"/>
    </row>
    <row r="777" spans="1:161" x14ac:dyDescent="0.25">
      <c r="A777" s="7">
        <f t="shared" si="558"/>
        <v>66749</v>
      </c>
      <c r="B777">
        <f t="shared" si="541"/>
        <v>766</v>
      </c>
      <c r="C777">
        <f t="shared" si="567"/>
        <v>63.75</v>
      </c>
      <c r="D777">
        <f t="shared" si="568"/>
        <v>0</v>
      </c>
      <c r="E777">
        <f t="shared" si="542"/>
        <v>115</v>
      </c>
      <c r="F777">
        <f>IF(C777&gt;=$T$2,0,VLOOKUP($E777,EKM_F05!$A$3:$C$128,2,TRUE))</f>
        <v>1</v>
      </c>
      <c r="G777">
        <f>F777*'Real assumptions'!$B$3</f>
        <v>0.4173</v>
      </c>
      <c r="H777">
        <f t="shared" si="569"/>
        <v>4.4009114911801261E-2</v>
      </c>
      <c r="I777">
        <f t="shared" si="570"/>
        <v>2.478023819878033E-6</v>
      </c>
      <c r="J777">
        <f>IF(B777&gt;$AJ$2,0,HLOOKUP(C777,'Real assumptions'!$B$5:$L$8,4,TRUE))</f>
        <v>3.7900000000000003E-2</v>
      </c>
      <c r="K777">
        <f t="shared" si="531"/>
        <v>1</v>
      </c>
      <c r="L777">
        <f t="shared" si="559"/>
        <v>8.3333333333333329E-2</v>
      </c>
      <c r="M777">
        <f t="shared" si="571"/>
        <v>3.2145624959929453E-3</v>
      </c>
      <c r="N777">
        <f t="shared" si="572"/>
        <v>1.7730465662273117E-7</v>
      </c>
      <c r="O777" s="8">
        <f t="shared" si="543"/>
        <v>5.3742377271185017E-5</v>
      </c>
      <c r="P777">
        <f t="shared" si="544"/>
        <v>1.3535449379444588E-3</v>
      </c>
      <c r="Q777">
        <f t="shared" si="560"/>
        <v>1.2390119099390164E-2</v>
      </c>
      <c r="R777" s="89">
        <f t="shared" si="532"/>
        <v>5000</v>
      </c>
      <c r="S777">
        <f t="shared" si="533"/>
        <v>0.1666666666666643</v>
      </c>
      <c r="U777">
        <f>O776*AV776*'Real assumptions'!$B$33/12+AX777*'Real assumptions'!$B$34</f>
        <v>1.2914011869791903E-3</v>
      </c>
      <c r="V777">
        <f>IF(P777=0,0,IF(E777&lt;=$C$7,$AN$5*O776,0))*'Real assumptions'!$D$28</f>
        <v>0</v>
      </c>
      <c r="X777" s="94">
        <f t="shared" si="545"/>
        <v>0</v>
      </c>
      <c r="Y777">
        <f t="shared" si="534"/>
        <v>24</v>
      </c>
      <c r="Z777">
        <f t="shared" si="561"/>
        <v>35</v>
      </c>
      <c r="AA777">
        <f t="shared" si="535"/>
        <v>35.166666666666664</v>
      </c>
      <c r="AB777">
        <f t="shared" si="546"/>
        <v>50.505050505050505</v>
      </c>
      <c r="AC777">
        <f t="shared" si="573"/>
        <v>1776.094276094276</v>
      </c>
      <c r="AD777">
        <f t="shared" si="547"/>
        <v>80.505050505050505</v>
      </c>
      <c r="AE777">
        <f t="shared" si="548"/>
        <v>141.5547138047138</v>
      </c>
      <c r="AF777" s="94">
        <f t="shared" si="549"/>
        <v>3082.3510101010102</v>
      </c>
      <c r="AG777">
        <f t="shared" si="562"/>
        <v>5.4651518743668815E-4</v>
      </c>
      <c r="AH777">
        <f t="shared" si="550"/>
        <v>0.1656528708670667</v>
      </c>
      <c r="AI777">
        <f>HLOOKUP(AW777,'Real assumptions'!$A$21:$AK$24,2,TRUE)</f>
        <v>0</v>
      </c>
      <c r="AJ777" s="123">
        <f t="shared" si="574"/>
        <v>0</v>
      </c>
      <c r="AK777" s="122">
        <f>(1+HLOOKUP(YEAR(A777),'Real assumptions'!$A$21:$AK$24,2,TRUE)/100)^(1/12)-1</f>
        <v>0</v>
      </c>
      <c r="AL777">
        <f t="shared" si="563"/>
        <v>1.2914011869791903E-3</v>
      </c>
      <c r="AM777">
        <f>('Real assumptions'!$B$33/12)*O776*AV776</f>
        <v>1.2437844820456347E-3</v>
      </c>
      <c r="AN777">
        <f t="shared" si="551"/>
        <v>0.17364338703100451</v>
      </c>
      <c r="AO777">
        <f t="shared" si="575"/>
        <v>0</v>
      </c>
      <c r="AP777" s="121">
        <f t="shared" si="552"/>
        <v>0</v>
      </c>
      <c r="AQ777">
        <f t="shared" si="553"/>
        <v>0</v>
      </c>
      <c r="AR777">
        <v>0</v>
      </c>
      <c r="AS777">
        <f t="shared" si="536"/>
        <v>0</v>
      </c>
      <c r="AT777">
        <f t="shared" si="554"/>
        <v>0</v>
      </c>
      <c r="AU777">
        <f>IFERROR(HLOOKUP(B777,'Real assumptions'!$B$43:$AL$44,2,TRUE)*($W$3/$U$2),0)</f>
        <v>0</v>
      </c>
      <c r="AV777">
        <f>AV776*(1+'Real assumptions'!$B$35)^(1/12)</f>
        <v>2.2076655607877229</v>
      </c>
      <c r="AW777">
        <f t="shared" si="537"/>
        <v>2082</v>
      </c>
      <c r="AX777">
        <f t="shared" si="564"/>
        <v>0.1738186073614689</v>
      </c>
      <c r="AY777">
        <f t="shared" si="565"/>
        <v>2.3736408142965395E-4</v>
      </c>
      <c r="AZ777">
        <f t="shared" si="538"/>
        <v>0.22881587591457608</v>
      </c>
      <c r="BA777">
        <f t="shared" si="555"/>
        <v>1.2936634286826853E-2</v>
      </c>
      <c r="BB777">
        <f t="shared" si="556"/>
        <v>35.166666666666664</v>
      </c>
      <c r="BC777">
        <f t="shared" si="539"/>
        <v>21.099999999999998</v>
      </c>
      <c r="BD777">
        <f t="shared" si="557"/>
        <v>0</v>
      </c>
      <c r="BE777">
        <f t="shared" si="540"/>
        <v>24</v>
      </c>
      <c r="BF777">
        <f t="shared" si="566"/>
        <v>5000</v>
      </c>
      <c r="BU777"/>
      <c r="DW777" s="89"/>
      <c r="DX777" s="89"/>
      <c r="FD777"/>
      <c r="FE777"/>
    </row>
    <row r="778" spans="1:161" x14ac:dyDescent="0.25">
      <c r="A778" s="7">
        <f t="shared" si="558"/>
        <v>66780</v>
      </c>
      <c r="B778">
        <f t="shared" si="541"/>
        <v>767</v>
      </c>
      <c r="C778">
        <f t="shared" si="567"/>
        <v>63.833333333333329</v>
      </c>
      <c r="D778">
        <f t="shared" si="568"/>
        <v>0</v>
      </c>
      <c r="E778">
        <f t="shared" si="542"/>
        <v>115</v>
      </c>
      <c r="F778">
        <f>IF(C778&gt;=$T$2,0,VLOOKUP($E778,EKM_F05!$A$3:$C$128,2,TRUE))</f>
        <v>1</v>
      </c>
      <c r="G778">
        <f>F778*'Real assumptions'!$B$3</f>
        <v>0.4173</v>
      </c>
      <c r="H778">
        <f t="shared" si="569"/>
        <v>4.4009114911801261E-2</v>
      </c>
      <c r="I778">
        <f t="shared" si="570"/>
        <v>2.3613529885536691E-6</v>
      </c>
      <c r="J778">
        <f>IF(B778&gt;$AJ$2,0,HLOOKUP(C778,'Real assumptions'!$B$5:$L$8,4,TRUE))</f>
        <v>3.7900000000000003E-2</v>
      </c>
      <c r="K778">
        <f t="shared" si="531"/>
        <v>1</v>
      </c>
      <c r="L778">
        <f t="shared" si="559"/>
        <v>8.3333333333333329E-2</v>
      </c>
      <c r="M778">
        <f t="shared" si="571"/>
        <v>3.2145624959929453E-3</v>
      </c>
      <c r="N778">
        <f t="shared" si="572"/>
        <v>1.6895676201416639E-7</v>
      </c>
      <c r="O778" s="8">
        <f t="shared" si="543"/>
        <v>5.121206752061718E-5</v>
      </c>
      <c r="P778">
        <f t="shared" si="544"/>
        <v>1.2898170545084405E-3</v>
      </c>
      <c r="Q778">
        <f t="shared" si="560"/>
        <v>1.1806764942768345E-2</v>
      </c>
      <c r="R778" s="89">
        <f t="shared" si="532"/>
        <v>5000</v>
      </c>
      <c r="S778">
        <f t="shared" si="533"/>
        <v>8.3333333333335702E-2</v>
      </c>
      <c r="U778">
        <f>O777*AV777*'Real assumptions'!$B$33/12+AX778*'Real assumptions'!$B$34</f>
        <v>1.2318936615392439E-3</v>
      </c>
      <c r="V778">
        <f>IF(P778=0,0,IF(E778&lt;=$C$7,$AN$5*O777,0))*'Real assumptions'!$D$28</f>
        <v>0</v>
      </c>
      <c r="X778" s="94">
        <f t="shared" si="545"/>
        <v>0</v>
      </c>
      <c r="Y778">
        <f t="shared" si="534"/>
        <v>24</v>
      </c>
      <c r="Z778">
        <f t="shared" si="561"/>
        <v>35</v>
      </c>
      <c r="AA778">
        <f t="shared" si="535"/>
        <v>35.083333333333336</v>
      </c>
      <c r="AB778">
        <f t="shared" si="546"/>
        <v>50.505050505050505</v>
      </c>
      <c r="AC778">
        <f t="shared" si="573"/>
        <v>1771.8855218855219</v>
      </c>
      <c r="AD778">
        <f t="shared" si="547"/>
        <v>80.505050505050505</v>
      </c>
      <c r="AE778">
        <f t="shared" si="548"/>
        <v>141.2192760942761</v>
      </c>
      <c r="AF778" s="94">
        <f t="shared" si="549"/>
        <v>3086.8952020202019</v>
      </c>
      <c r="AG778">
        <f t="shared" si="562"/>
        <v>5.2155181801039931E-4</v>
      </c>
      <c r="AH778">
        <f t="shared" si="550"/>
        <v>0.15808628551492779</v>
      </c>
      <c r="AI778">
        <f>HLOOKUP(AW778,'Real assumptions'!$A$21:$AK$24,2,TRUE)</f>
        <v>0</v>
      </c>
      <c r="AJ778" s="123">
        <f t="shared" si="574"/>
        <v>0</v>
      </c>
      <c r="AK778" s="122">
        <f>(1+HLOOKUP(YEAR(A778),'Real assumptions'!$A$21:$AK$24,2,TRUE)/100)^(1/12)-1</f>
        <v>0</v>
      </c>
      <c r="AL778">
        <f t="shared" si="563"/>
        <v>1.2318936615392439E-3</v>
      </c>
      <c r="AM778">
        <f>('Real assumptions'!$B$33/12)*O777*AV777</f>
        <v>1.1864519545645605E-3</v>
      </c>
      <c r="AN778">
        <f t="shared" si="551"/>
        <v>0.1657107942600359</v>
      </c>
      <c r="AO778">
        <f t="shared" si="575"/>
        <v>0</v>
      </c>
      <c r="AP778" s="121">
        <f t="shared" si="552"/>
        <v>0</v>
      </c>
      <c r="AQ778">
        <f t="shared" si="553"/>
        <v>0</v>
      </c>
      <c r="AR778">
        <v>0</v>
      </c>
      <c r="AS778">
        <f t="shared" si="536"/>
        <v>0</v>
      </c>
      <c r="AT778">
        <f t="shared" si="554"/>
        <v>0</v>
      </c>
      <c r="AU778">
        <f>IFERROR(HLOOKUP(B778,'Real assumptions'!$B$43:$AL$44,2,TRUE)*($W$3/$U$2),0)</f>
        <v>0</v>
      </c>
      <c r="AV778">
        <f>AV777*(1+'Real assumptions'!$B$35)^(1/12)</f>
        <v>2.2099521415940955</v>
      </c>
      <c r="AW778">
        <f t="shared" si="537"/>
        <v>2082</v>
      </c>
      <c r="AX778">
        <f t="shared" si="564"/>
        <v>0.16587905932359526</v>
      </c>
      <c r="AY778">
        <f t="shared" si="565"/>
        <v>2.2618845652855646E-4</v>
      </c>
      <c r="AZ778">
        <f t="shared" si="538"/>
        <v>0.21654548254676653</v>
      </c>
      <c r="BA778">
        <f t="shared" si="555"/>
        <v>1.2328316760778744E-2</v>
      </c>
      <c r="BB778">
        <f t="shared" si="556"/>
        <v>35.083333333333336</v>
      </c>
      <c r="BC778">
        <f t="shared" si="539"/>
        <v>21.05</v>
      </c>
      <c r="BD778">
        <f t="shared" si="557"/>
        <v>0</v>
      </c>
      <c r="BE778">
        <f t="shared" si="540"/>
        <v>24</v>
      </c>
      <c r="BF778">
        <f t="shared" si="566"/>
        <v>5000</v>
      </c>
      <c r="BU778"/>
      <c r="DW778" s="89"/>
      <c r="DX778" s="89"/>
      <c r="FD778"/>
      <c r="FE778"/>
    </row>
    <row r="779" spans="1:161" x14ac:dyDescent="0.25">
      <c r="A779" s="7">
        <f t="shared" si="558"/>
        <v>66810</v>
      </c>
      <c r="B779">
        <f t="shared" si="541"/>
        <v>768</v>
      </c>
      <c r="C779">
        <f t="shared" si="567"/>
        <v>63.916666666666671</v>
      </c>
      <c r="D779">
        <f t="shared" si="568"/>
        <v>0</v>
      </c>
      <c r="E779">
        <f t="shared" si="542"/>
        <v>115</v>
      </c>
      <c r="F779">
        <f>IF(C779&gt;=$T$2,0,VLOOKUP($E779,EKM_F05!$A$3:$C$128,2,TRUE))</f>
        <v>1</v>
      </c>
      <c r="G779">
        <f>F779*'Real assumptions'!$B$3</f>
        <v>0.4173</v>
      </c>
      <c r="H779">
        <f t="shared" si="569"/>
        <v>4.4009114911801261E-2</v>
      </c>
      <c r="I779">
        <f t="shared" si="570"/>
        <v>2.2501752775022931E-6</v>
      </c>
      <c r="J779">
        <f>IF(B779&gt;$AJ$2,0,HLOOKUP(C779,'Real assumptions'!$B$5:$L$8,4,TRUE))</f>
        <v>3.7900000000000003E-2</v>
      </c>
      <c r="K779">
        <f t="shared" si="531"/>
        <v>1</v>
      </c>
      <c r="L779">
        <f t="shared" si="559"/>
        <v>8.3333333333333329E-2</v>
      </c>
      <c r="M779">
        <f t="shared" si="571"/>
        <v>3.2145624959929453E-3</v>
      </c>
      <c r="N779">
        <f t="shared" si="572"/>
        <v>1.610019047105608E-7</v>
      </c>
      <c r="O779" s="8">
        <f t="shared" si="543"/>
        <v>4.8800890338404328E-5</v>
      </c>
      <c r="P779">
        <f t="shared" si="544"/>
        <v>1.2290896204948123E-3</v>
      </c>
      <c r="Q779">
        <f t="shared" si="560"/>
        <v>1.1250876387511466E-2</v>
      </c>
      <c r="R779" s="89">
        <f t="shared" si="532"/>
        <v>5000</v>
      </c>
      <c r="S779">
        <f t="shared" si="533"/>
        <v>1</v>
      </c>
      <c r="U779">
        <f>O778*AV778*'Real assumptions'!$B$33/12+AX779*'Real assumptions'!$B$34</f>
        <v>1.1751281457714263E-3</v>
      </c>
      <c r="V779">
        <f>IF(P779=0,0,IF(E779&lt;=$C$7,$AN$5*O778,0))*'Real assumptions'!$D$28</f>
        <v>0</v>
      </c>
      <c r="X779" s="94">
        <f t="shared" si="545"/>
        <v>0</v>
      </c>
      <c r="Y779">
        <f t="shared" si="534"/>
        <v>24</v>
      </c>
      <c r="Z779">
        <f t="shared" si="561"/>
        <v>35</v>
      </c>
      <c r="AA779">
        <f t="shared" si="535"/>
        <v>35</v>
      </c>
      <c r="AB779">
        <f t="shared" si="546"/>
        <v>50.505050505050505</v>
      </c>
      <c r="AC779">
        <f t="shared" si="573"/>
        <v>1767.6767676767677</v>
      </c>
      <c r="AD779">
        <f t="shared" si="547"/>
        <v>80.505050505050505</v>
      </c>
      <c r="AE779">
        <f t="shared" si="548"/>
        <v>140.88383838383837</v>
      </c>
      <c r="AF779" s="94">
        <f t="shared" si="549"/>
        <v>3091.439393939394</v>
      </c>
      <c r="AG779">
        <f t="shared" si="562"/>
        <v>4.977276307215041E-4</v>
      </c>
      <c r="AH779">
        <f t="shared" si="550"/>
        <v>0.15086499485145952</v>
      </c>
      <c r="AI779">
        <f>HLOOKUP(AW779,'Real assumptions'!$A$21:$AK$24,2,TRUE)</f>
        <v>0</v>
      </c>
      <c r="AJ779" s="123">
        <f t="shared" si="574"/>
        <v>0</v>
      </c>
      <c r="AK779" s="122">
        <f>(1+HLOOKUP(YEAR(A779),'Real assumptions'!$A$21:$AK$24,2,TRUE)/100)^(1/12)-1</f>
        <v>0</v>
      </c>
      <c r="AL779">
        <f t="shared" si="563"/>
        <v>1.1751281457714263E-3</v>
      </c>
      <c r="AM779">
        <f>('Real assumptions'!$B$33/12)*O778*AV778</f>
        <v>1.1317621829264935E-3</v>
      </c>
      <c r="AN779">
        <f t="shared" si="551"/>
        <v>0.15814024698965118</v>
      </c>
      <c r="AO779">
        <f t="shared" si="575"/>
        <v>0</v>
      </c>
      <c r="AP779" s="121">
        <f t="shared" si="552"/>
        <v>0</v>
      </c>
      <c r="AQ779">
        <f t="shared" si="553"/>
        <v>0</v>
      </c>
      <c r="AR779">
        <v>0</v>
      </c>
      <c r="AS779">
        <f t="shared" si="536"/>
        <v>0</v>
      </c>
      <c r="AT779">
        <f t="shared" si="554"/>
        <v>0</v>
      </c>
      <c r="AU779">
        <f>IFERROR(HLOOKUP(B779,'Real assumptions'!$B$43:$AL$44,2,TRUE)*($W$3/$U$2),0)</f>
        <v>0</v>
      </c>
      <c r="AV779">
        <f>AV778*(1+'Real assumptions'!$B$35)^(1/12)</f>
        <v>2.2122410907174257</v>
      </c>
      <c r="AW779">
        <f t="shared" si="537"/>
        <v>2082</v>
      </c>
      <c r="AX779">
        <f t="shared" si="564"/>
        <v>0.1583018245196442</v>
      </c>
      <c r="AY779">
        <f t="shared" si="565"/>
        <v>2.1553900471640226E-4</v>
      </c>
      <c r="AZ779">
        <f t="shared" si="538"/>
        <v>0.20485084000325696</v>
      </c>
      <c r="BA779">
        <f t="shared" si="555"/>
        <v>1.174860401823297E-2</v>
      </c>
      <c r="BB779">
        <f t="shared" si="556"/>
        <v>35</v>
      </c>
      <c r="BC779">
        <f t="shared" si="539"/>
        <v>21</v>
      </c>
      <c r="BD779">
        <f t="shared" si="557"/>
        <v>0</v>
      </c>
      <c r="BE779">
        <f t="shared" si="540"/>
        <v>24</v>
      </c>
      <c r="BF779">
        <f t="shared" si="566"/>
        <v>5000</v>
      </c>
      <c r="BU779"/>
      <c r="DW779" s="89"/>
      <c r="DX779" s="89"/>
      <c r="FD779"/>
      <c r="FE779"/>
    </row>
    <row r="780" spans="1:161" x14ac:dyDescent="0.25">
      <c r="A780" s="7">
        <f t="shared" si="558"/>
        <v>66841</v>
      </c>
      <c r="B780">
        <f t="shared" si="541"/>
        <v>769</v>
      </c>
      <c r="C780">
        <f t="shared" si="567"/>
        <v>64</v>
      </c>
      <c r="D780">
        <f t="shared" si="568"/>
        <v>1</v>
      </c>
      <c r="E780">
        <f t="shared" si="542"/>
        <v>116</v>
      </c>
      <c r="F780">
        <f>IF(C780&gt;=$T$2,0,VLOOKUP($E780,EKM_F05!$A$3:$C$128,2,TRUE))</f>
        <v>1</v>
      </c>
      <c r="G780">
        <f>F780*'Real assumptions'!$B$3</f>
        <v>0.4173</v>
      </c>
      <c r="H780">
        <f t="shared" si="569"/>
        <v>4.4009114911801261E-2</v>
      </c>
      <c r="I780">
        <f t="shared" si="570"/>
        <v>2.1442320584961722E-6</v>
      </c>
      <c r="J780">
        <f>IF(B780&gt;$AJ$2,0,HLOOKUP(C780,'Real assumptions'!$B$5:$L$8,4,TRUE))</f>
        <v>3.7900000000000003E-2</v>
      </c>
      <c r="K780">
        <f t="shared" ref="K780:K843" si="576">IF(B780&gt;$AJ$2,0,IF(($U$2*(B780+11))/12-INT(($U$2*(B780+11))/12)=0,1,0))</f>
        <v>1</v>
      </c>
      <c r="L780">
        <f t="shared" si="559"/>
        <v>8.3333333333333329E-2</v>
      </c>
      <c r="M780">
        <f t="shared" si="571"/>
        <v>3.2145624959929453E-3</v>
      </c>
      <c r="N780">
        <f t="shared" si="572"/>
        <v>1.53421579648023E-7</v>
      </c>
      <c r="O780" s="8">
        <f t="shared" si="543"/>
        <v>4.6503236700260133E-5</v>
      </c>
      <c r="P780">
        <f t="shared" si="544"/>
        <v>1.1712213681217038E-3</v>
      </c>
      <c r="Q780">
        <f t="shared" si="560"/>
        <v>1.0721160292480861E-2</v>
      </c>
      <c r="R780" s="89">
        <f t="shared" ref="R780:R843" si="577">$AI$2</f>
        <v>5000</v>
      </c>
      <c r="S780">
        <f t="shared" ref="S780:S843" si="578">INT(B780/12)+1-B780/12</f>
        <v>0.9166666666666714</v>
      </c>
      <c r="U780">
        <f>O779*AV779*'Real assumptions'!$B$33/12+AX780*'Real assumptions'!$B$34</f>
        <v>1.1209782964601753E-3</v>
      </c>
      <c r="V780">
        <f>IF(P780=0,0,IF(E780&lt;=$C$7,$AN$5*O779,0))*'Real assumptions'!$D$28</f>
        <v>0</v>
      </c>
      <c r="X780" s="94">
        <f t="shared" si="545"/>
        <v>0</v>
      </c>
      <c r="Y780">
        <f t="shared" ref="Y780:Y843" si="579">IF(P780=0,0,$AN$5)</f>
        <v>24</v>
      </c>
      <c r="Z780">
        <f t="shared" si="561"/>
        <v>35</v>
      </c>
      <c r="AA780">
        <f t="shared" ref="AA780:AA843" si="580">99-(B780/12)</f>
        <v>34.916666666666671</v>
      </c>
      <c r="AB780">
        <f t="shared" si="546"/>
        <v>50.505050505050505</v>
      </c>
      <c r="AC780">
        <f t="shared" si="573"/>
        <v>1763.4680134680136</v>
      </c>
      <c r="AD780">
        <f t="shared" si="547"/>
        <v>80.505050505050505</v>
      </c>
      <c r="AE780">
        <f t="shared" si="548"/>
        <v>140.54840067340069</v>
      </c>
      <c r="AF780" s="94">
        <f t="shared" si="549"/>
        <v>3095.9835858585857</v>
      </c>
      <c r="AG780">
        <f t="shared" si="562"/>
        <v>4.7499069230677485E-4</v>
      </c>
      <c r="AH780">
        <f t="shared" si="550"/>
        <v>0.14397325751330195</v>
      </c>
      <c r="AI780">
        <f>HLOOKUP(AW780,'Real assumptions'!$A$21:$AK$24,2,TRUE)</f>
        <v>0</v>
      </c>
      <c r="AJ780" s="123">
        <f t="shared" si="574"/>
        <v>0</v>
      </c>
      <c r="AK780" s="122">
        <f>(1+HLOOKUP(YEAR(A780),'Real assumptions'!$A$21:$AK$24,2,TRUE)/100)^(1/12)-1</f>
        <v>0</v>
      </c>
      <c r="AL780">
        <f t="shared" si="563"/>
        <v>1.1209782964601753E-3</v>
      </c>
      <c r="AM780">
        <f>('Real assumptions'!$B$33/12)*O779*AV779</f>
        <v>1.0795933487021308E-3</v>
      </c>
      <c r="AN780">
        <f t="shared" si="551"/>
        <v>0.15091523792312103</v>
      </c>
      <c r="AO780">
        <f t="shared" si="575"/>
        <v>0</v>
      </c>
      <c r="AP780" s="121">
        <f t="shared" si="552"/>
        <v>0</v>
      </c>
      <c r="AQ780">
        <f t="shared" si="553"/>
        <v>0</v>
      </c>
      <c r="AR780">
        <v>0</v>
      </c>
      <c r="AS780">
        <f t="shared" ref="AS780:AS843" si="581">IF(B780&gt;$B$12,IF(B780&lt;=$AJ$2,AT780,0),0)</f>
        <v>0</v>
      </c>
      <c r="AT780">
        <f t="shared" si="554"/>
        <v>0</v>
      </c>
      <c r="AU780">
        <f>IFERROR(HLOOKUP(B780,'Real assumptions'!$B$43:$AL$44,2,TRUE)*($W$3/$U$2),0)</f>
        <v>0</v>
      </c>
      <c r="AV780">
        <f>AV779*(1+'Real assumptions'!$B$35)^(1/12)</f>
        <v>2.2145324106106883</v>
      </c>
      <c r="AW780">
        <f t="shared" ref="AW780:AW843" si="582">YEAR(A780)</f>
        <v>2082</v>
      </c>
      <c r="AX780">
        <f t="shared" si="564"/>
        <v>0.15107038580406223</v>
      </c>
      <c r="AY780">
        <f t="shared" si="565"/>
        <v>2.0539095260271181E-4</v>
      </c>
      <c r="AZ780">
        <f t="shared" ref="AZ780:AZ843" si="583">(AZ781+BA781-P781+U781+AQ781)/((1+AJ781))</f>
        <v>0.19370493209013084</v>
      </c>
      <c r="BA780">
        <f t="shared" si="555"/>
        <v>1.1196150984787635E-2</v>
      </c>
      <c r="BB780">
        <f t="shared" si="556"/>
        <v>34.916666666666671</v>
      </c>
      <c r="BC780">
        <f t="shared" ref="BC780:BC843" si="584">$AQ$5*BB780+IF($W$3=0,0,$AP$5*AA780)</f>
        <v>20.950000000000003</v>
      </c>
      <c r="BD780">
        <f t="shared" si="557"/>
        <v>0</v>
      </c>
      <c r="BE780">
        <f t="shared" ref="BE780:BE843" si="585">IF(B780=1,$AR$5,IF(P780=0,0,$W$3/$U$2))</f>
        <v>24</v>
      </c>
      <c r="BF780">
        <f t="shared" si="566"/>
        <v>5000</v>
      </c>
      <c r="BU780"/>
      <c r="DW780" s="89"/>
      <c r="DX780" s="89"/>
      <c r="FD780"/>
      <c r="FE780"/>
    </row>
    <row r="781" spans="1:161" x14ac:dyDescent="0.25">
      <c r="A781" s="7">
        <f t="shared" si="558"/>
        <v>66872</v>
      </c>
      <c r="B781">
        <f t="shared" ref="B781:B844" si="586">B780+1</f>
        <v>770</v>
      </c>
      <c r="C781">
        <f t="shared" si="567"/>
        <v>64.083333333333329</v>
      </c>
      <c r="D781">
        <f t="shared" si="568"/>
        <v>0</v>
      </c>
      <c r="E781">
        <f t="shared" ref="E781:E844" si="587">$C$2+INT($C781)</f>
        <v>116</v>
      </c>
      <c r="F781">
        <f>IF(C781&gt;=$T$2,0,VLOOKUP($E781,EKM_F05!$A$3:$C$128,2,TRUE))</f>
        <v>1</v>
      </c>
      <c r="G781">
        <f>F781*'Real assumptions'!$B$3</f>
        <v>0.4173</v>
      </c>
      <c r="H781">
        <f t="shared" si="569"/>
        <v>4.4009114911801261E-2</v>
      </c>
      <c r="I781">
        <f t="shared" si="570"/>
        <v>2.0432768800954199E-6</v>
      </c>
      <c r="J781">
        <f>IF(B781&gt;$AJ$2,0,HLOOKUP(C781,'Real assumptions'!$B$5:$L$8,4,TRUE))</f>
        <v>3.7900000000000003E-2</v>
      </c>
      <c r="K781">
        <f t="shared" si="576"/>
        <v>1</v>
      </c>
      <c r="L781">
        <f t="shared" si="559"/>
        <v>8.3333333333333329E-2</v>
      </c>
      <c r="M781">
        <f t="shared" si="571"/>
        <v>3.2145624959929453E-3</v>
      </c>
      <c r="N781">
        <f t="shared" si="572"/>
        <v>1.46198153021917E-7</v>
      </c>
      <c r="O781" s="8">
        <f t="shared" ref="O781:O844" si="588">IF(E782&gt;$C$5,0,IF(B781&gt;$AJ$2,0,O780-I781-N781))</f>
        <v>4.4313761667142796E-5</v>
      </c>
      <c r="P781">
        <f t="shared" ref="P781:P844" si="589">IF($U$2=0,0,$W$3/$U$2*K781*O780)</f>
        <v>1.1160776808062432E-3</v>
      </c>
      <c r="Q781">
        <f t="shared" si="560"/>
        <v>1.02163844004771E-2</v>
      </c>
      <c r="R781" s="89">
        <f t="shared" si="577"/>
        <v>5000</v>
      </c>
      <c r="S781">
        <f t="shared" si="578"/>
        <v>0.8333333333333286</v>
      </c>
      <c r="U781">
        <f>O780*AV780*'Real assumptions'!$B$33/12+AX781*'Real assumptions'!$B$34</f>
        <v>1.0693235916925121E-3</v>
      </c>
      <c r="V781">
        <f>IF(P781=0,0,IF(E781&lt;=$C$7,$AN$5*O780,0))*'Real assumptions'!$D$28</f>
        <v>0</v>
      </c>
      <c r="X781" s="94">
        <f t="shared" ref="X781:X844" si="590">IF($U$2=12,0,IF($AM$2&lt;&gt;0,0,X780+Y781-($AN$5*($U$2/12))))</f>
        <v>0</v>
      </c>
      <c r="Y781">
        <f t="shared" si="579"/>
        <v>24</v>
      </c>
      <c r="Z781">
        <f t="shared" si="561"/>
        <v>34</v>
      </c>
      <c r="AA781">
        <f t="shared" si="580"/>
        <v>34.833333333333329</v>
      </c>
      <c r="AB781">
        <f t="shared" ref="AB781:AB844" si="591">IF($AM$2&lt;&gt;0,0,R781/99)</f>
        <v>50.505050505050505</v>
      </c>
      <c r="AC781">
        <f t="shared" si="573"/>
        <v>1759.2592592592591</v>
      </c>
      <c r="AD781">
        <f t="shared" ref="AD781:AD844" si="592">IF($AM$2&lt;&gt;0,0,AB781+$Q$4*$AI$2+$Q$5*$AI$2)</f>
        <v>80.505050505050505</v>
      </c>
      <c r="AE781">
        <f t="shared" ref="AE781:AE844" si="593">MIN($C$6*AD781*AA781,$AI$2-AC781+BD781)</f>
        <v>140.21296296296293</v>
      </c>
      <c r="AF781" s="94">
        <f t="shared" ref="AF781:AF844" si="594">MAX(($AI$2+$Y$2-AC781-AE781+X781+BD781),0)</f>
        <v>3100.5277777777778</v>
      </c>
      <c r="AG781">
        <f t="shared" si="562"/>
        <v>4.5329143450425981E-4</v>
      </c>
      <c r="AH781">
        <f t="shared" ref="AH781:AH844" si="595">AF781*O781</f>
        <v>0.13739604898680033</v>
      </c>
      <c r="AI781">
        <f>HLOOKUP(AW781,'Real assumptions'!$A$21:$AK$24,2,TRUE)</f>
        <v>0</v>
      </c>
      <c r="AJ781" s="123">
        <f t="shared" si="574"/>
        <v>0</v>
      </c>
      <c r="AK781" s="122">
        <f>(1+HLOOKUP(YEAR(A781),'Real assumptions'!$A$21:$AK$24,2,TRUE)/100)^(1/12)-1</f>
        <v>0</v>
      </c>
      <c r="AL781">
        <f t="shared" si="563"/>
        <v>1.0693235916925121E-3</v>
      </c>
      <c r="AM781">
        <f>('Real assumptions'!$B$33/12)*O780*AV780</f>
        <v>1.029829248710265E-3</v>
      </c>
      <c r="AN781">
        <f t="shared" ref="AN781:AN844" si="596">AP780+P781+AH780-V781-AL781</f>
        <v>0.14402001160241568</v>
      </c>
      <c r="AO781">
        <f t="shared" si="575"/>
        <v>0</v>
      </c>
      <c r="AP781" s="121">
        <f t="shared" ref="AP781:AP844" si="597">IF(MONTH(A781)=12,0,AP780+AO781)</f>
        <v>0</v>
      </c>
      <c r="AQ781">
        <f t="shared" ref="AQ781:AQ844" si="598">IF(P781=0,0,AR781+AS781)</f>
        <v>0</v>
      </c>
      <c r="AR781">
        <v>0</v>
      </c>
      <c r="AS781">
        <f t="shared" si="581"/>
        <v>0</v>
      </c>
      <c r="AT781">
        <f t="shared" ref="AT781:AT844" si="599">IF(OR(B781&lt;=$B$12,B781&gt;$AJ$2),0,AU781*O780)</f>
        <v>0</v>
      </c>
      <c r="AU781">
        <f>IFERROR(HLOOKUP(B781,'Real assumptions'!$B$43:$AL$44,2,TRUE)*($W$3/$U$2),0)</f>
        <v>0</v>
      </c>
      <c r="AV781">
        <f>AV780*(1+'Real assumptions'!$B$35)^(1/12)</f>
        <v>2.2168261037293986</v>
      </c>
      <c r="AW781">
        <f t="shared" si="582"/>
        <v>2083</v>
      </c>
      <c r="AX781">
        <f t="shared" si="564"/>
        <v>0.14416897820648486</v>
      </c>
      <c r="AY781">
        <f t="shared" si="565"/>
        <v>1.9572069318291301E-4</v>
      </c>
      <c r="AZ781">
        <f t="shared" si="583"/>
        <v>0.18308201034426322</v>
      </c>
      <c r="BA781">
        <f t="shared" ref="BA781:BA844" si="600">AG781+V781+Q781</f>
        <v>1.066967583498136E-2</v>
      </c>
      <c r="BB781">
        <f t="shared" ref="BB781:BB844" si="601">Z782+IF(S781=1,0,S781)</f>
        <v>34.833333333333329</v>
      </c>
      <c r="BC781">
        <f t="shared" si="584"/>
        <v>20.9</v>
      </c>
      <c r="BD781">
        <f t="shared" ref="BD781:BD844" si="602">(BC781/100)*($AI$2+$Y$2)-AA781*(AD781-AB781)</f>
        <v>0</v>
      </c>
      <c r="BE781">
        <f t="shared" si="585"/>
        <v>24</v>
      </c>
      <c r="BF781">
        <f t="shared" si="566"/>
        <v>5000</v>
      </c>
      <c r="BU781"/>
      <c r="DW781" s="89"/>
      <c r="DX781" s="89"/>
      <c r="FD781"/>
      <c r="FE781"/>
    </row>
    <row r="782" spans="1:161" x14ac:dyDescent="0.25">
      <c r="A782" s="7">
        <f t="shared" ref="A782:A845" si="603">DATE(YEAR(A781),MONTH(A781)+2,1)-1</f>
        <v>66900</v>
      </c>
      <c r="B782">
        <f t="shared" si="586"/>
        <v>771</v>
      </c>
      <c r="C782">
        <f t="shared" si="567"/>
        <v>64.166666666666671</v>
      </c>
      <c r="D782">
        <f t="shared" si="568"/>
        <v>0</v>
      </c>
      <c r="E782">
        <f t="shared" si="587"/>
        <v>116</v>
      </c>
      <c r="F782">
        <f>IF(C782&gt;=$T$2,0,VLOOKUP($E782,EKM_F05!$A$3:$C$128,2,TRUE))</f>
        <v>1</v>
      </c>
      <c r="G782">
        <f>F782*'Real assumptions'!$B$3</f>
        <v>0.4173</v>
      </c>
      <c r="H782">
        <f t="shared" si="569"/>
        <v>4.4009114911801261E-2</v>
      </c>
      <c r="I782">
        <f t="shared" si="570"/>
        <v>1.9470748943379472E-6</v>
      </c>
      <c r="J782">
        <f>IF(B782&gt;$AJ$2,0,HLOOKUP(C782,'Real assumptions'!$B$5:$L$8,4,TRUE))</f>
        <v>3.7900000000000003E-2</v>
      </c>
      <c r="K782">
        <f t="shared" si="576"/>
        <v>1</v>
      </c>
      <c r="L782">
        <f t="shared" ref="L782:L845" si="604">IF(B782&gt;$AJ$2,0,1/12)</f>
        <v>8.3333333333333329E-2</v>
      </c>
      <c r="M782">
        <f t="shared" si="571"/>
        <v>3.2145624959929453E-3</v>
      </c>
      <c r="N782">
        <f t="shared" si="572"/>
        <v>1.3931482126605309E-7</v>
      </c>
      <c r="O782" s="8">
        <f t="shared" si="588"/>
        <v>4.2227371951538797E-5</v>
      </c>
      <c r="P782">
        <f t="shared" si="589"/>
        <v>1.0635302800114271E-3</v>
      </c>
      <c r="Q782">
        <f t="shared" ref="Q782:Q845" si="605">BF782*I782</f>
        <v>9.7353744716897356E-3</v>
      </c>
      <c r="R782" s="89">
        <f t="shared" si="577"/>
        <v>5000</v>
      </c>
      <c r="S782">
        <f t="shared" si="578"/>
        <v>0.75</v>
      </c>
      <c r="U782">
        <f>O781*AV781*'Real assumptions'!$B$33/12+AX782*'Real assumptions'!$B$34</f>
        <v>1.0200490626491581E-3</v>
      </c>
      <c r="V782">
        <f>IF(P782=0,0,IF(E782&lt;=$C$7,$AN$5*O781,0))*'Real assumptions'!$D$28</f>
        <v>0</v>
      </c>
      <c r="X782" s="94">
        <f t="shared" si="590"/>
        <v>0</v>
      </c>
      <c r="Y782">
        <f t="shared" si="579"/>
        <v>24</v>
      </c>
      <c r="Z782">
        <f t="shared" ref="Z782:Z845" si="606">IF(S780=1,Z781-1,Z781)</f>
        <v>34</v>
      </c>
      <c r="AA782">
        <f t="shared" si="580"/>
        <v>34.75</v>
      </c>
      <c r="AB782">
        <f t="shared" si="591"/>
        <v>50.505050505050505</v>
      </c>
      <c r="AC782">
        <f t="shared" si="573"/>
        <v>1755.0505050505051</v>
      </c>
      <c r="AD782">
        <f t="shared" si="592"/>
        <v>80.505050505050505</v>
      </c>
      <c r="AE782">
        <f t="shared" si="593"/>
        <v>139.87752525252526</v>
      </c>
      <c r="AF782" s="94">
        <f t="shared" si="594"/>
        <v>3105.0719696969695</v>
      </c>
      <c r="AG782">
        <f t="shared" ref="AG782:AG845" si="607">IF(B782&lt;=$C$8,0,AF782*N782)</f>
        <v>4.3258254647656472E-4</v>
      </c>
      <c r="AH782">
        <f t="shared" si="595"/>
        <v>0.13111902900069114</v>
      </c>
      <c r="AI782">
        <f>HLOOKUP(AW782,'Real assumptions'!$A$21:$AK$24,2,TRUE)</f>
        <v>0</v>
      </c>
      <c r="AJ782" s="123">
        <f t="shared" si="574"/>
        <v>0</v>
      </c>
      <c r="AK782" s="122">
        <f>(1+HLOOKUP(YEAR(A782),'Real assumptions'!$A$21:$AK$24,2,TRUE)/100)^(1/12)-1</f>
        <v>0</v>
      </c>
      <c r="AL782">
        <f t="shared" ref="AL782:AL845" si="608">AQ782+U782</f>
        <v>1.0200490626491581E-3</v>
      </c>
      <c r="AM782">
        <f>('Real assumptions'!$B$33/12)*O781*AV781</f>
        <v>9.8235903618165352E-4</v>
      </c>
      <c r="AN782">
        <f t="shared" si="596"/>
        <v>0.13743953020416261</v>
      </c>
      <c r="AO782">
        <f t="shared" si="575"/>
        <v>0</v>
      </c>
      <c r="AP782" s="121">
        <f t="shared" si="597"/>
        <v>0</v>
      </c>
      <c r="AQ782">
        <f t="shared" si="598"/>
        <v>0</v>
      </c>
      <c r="AR782">
        <v>0</v>
      </c>
      <c r="AS782">
        <f t="shared" si="581"/>
        <v>0</v>
      </c>
      <c r="AT782">
        <f t="shared" si="599"/>
        <v>0</v>
      </c>
      <c r="AU782">
        <f>IFERROR(HLOOKUP(B782,'Real assumptions'!$B$43:$AL$44,2,TRUE)*($W$3/$U$2),0)</f>
        <v>0</v>
      </c>
      <c r="AV782">
        <f>AV781*(1+'Real assumptions'!$B$35)^(1/12)</f>
        <v>2.2191221725316157</v>
      </c>
      <c r="AW782">
        <f t="shared" si="582"/>
        <v>2083</v>
      </c>
      <c r="AX782">
        <f t="shared" ref="AX782:AX845" si="609">MAX(0,AH781+AP781-V782+AY782)</f>
        <v>0.13758255471772265</v>
      </c>
      <c r="AY782">
        <f t="shared" ref="AY782:AY845" si="610">IF(P782=0,0,(AB782/$U$2)*O781)</f>
        <v>1.8650573092231814E-4</v>
      </c>
      <c r="AZ782">
        <f t="shared" si="583"/>
        <v>0.17295753454345919</v>
      </c>
      <c r="BA782">
        <f t="shared" si="600"/>
        <v>1.01679570181663E-2</v>
      </c>
      <c r="BB782">
        <f t="shared" si="601"/>
        <v>34.75</v>
      </c>
      <c r="BC782">
        <f t="shared" si="584"/>
        <v>20.85</v>
      </c>
      <c r="BD782">
        <f t="shared" si="602"/>
        <v>0</v>
      </c>
      <c r="BE782">
        <f t="shared" si="585"/>
        <v>24</v>
      </c>
      <c r="BF782">
        <f t="shared" ref="BF782:BF845" si="611">((IF(B782&lt;13,BF781+BE782,$AI$2+$Y$2)))</f>
        <v>5000</v>
      </c>
      <c r="BU782"/>
      <c r="DW782" s="89"/>
      <c r="DX782" s="89"/>
      <c r="FD782"/>
      <c r="FE782"/>
    </row>
    <row r="783" spans="1:161" x14ac:dyDescent="0.25">
      <c r="A783" s="7">
        <f t="shared" si="603"/>
        <v>66931</v>
      </c>
      <c r="B783">
        <f t="shared" si="586"/>
        <v>772</v>
      </c>
      <c r="C783">
        <f t="shared" si="567"/>
        <v>64.25</v>
      </c>
      <c r="D783">
        <f t="shared" si="568"/>
        <v>0</v>
      </c>
      <c r="E783">
        <f t="shared" si="587"/>
        <v>116</v>
      </c>
      <c r="F783">
        <f>IF(C783&gt;=$T$2,0,VLOOKUP($E783,EKM_F05!$A$3:$C$128,2,TRUE))</f>
        <v>1</v>
      </c>
      <c r="G783">
        <f>F783*'Real assumptions'!$B$3</f>
        <v>0.4173</v>
      </c>
      <c r="H783">
        <f t="shared" si="569"/>
        <v>4.4009114911801261E-2</v>
      </c>
      <c r="I783">
        <f t="shared" si="570"/>
        <v>1.8554023104221129E-6</v>
      </c>
      <c r="J783">
        <f>IF(B783&gt;$AJ$2,0,HLOOKUP(C783,'Real assumptions'!$B$5:$L$8,4,TRUE))</f>
        <v>3.7900000000000003E-2</v>
      </c>
      <c r="K783">
        <f t="shared" si="576"/>
        <v>1</v>
      </c>
      <c r="L783">
        <f t="shared" si="604"/>
        <v>8.3333333333333329E-2</v>
      </c>
      <c r="M783">
        <f t="shared" si="571"/>
        <v>3.2145624959929453E-3</v>
      </c>
      <c r="N783">
        <f t="shared" si="572"/>
        <v>1.3275557196322938E-7</v>
      </c>
      <c r="O783" s="8">
        <f t="shared" si="588"/>
        <v>4.0239214069153455E-5</v>
      </c>
      <c r="P783">
        <f t="shared" si="589"/>
        <v>1.0134569268369312E-3</v>
      </c>
      <c r="Q783">
        <f t="shared" si="605"/>
        <v>9.2770115521105638E-3</v>
      </c>
      <c r="R783" s="89">
        <f t="shared" si="577"/>
        <v>5000</v>
      </c>
      <c r="S783">
        <f t="shared" si="578"/>
        <v>0.6666666666666714</v>
      </c>
      <c r="U783">
        <f>O782*AV782*'Real assumptions'!$B$33/12+AX783*'Real assumptions'!$B$34</f>
        <v>9.7304503775257111E-4</v>
      </c>
      <c r="V783">
        <f>IF(P783=0,0,IF(E783&lt;=$C$7,$AN$5*O782,0))*'Real assumptions'!$D$28</f>
        <v>0</v>
      </c>
      <c r="X783" s="94">
        <f t="shared" si="590"/>
        <v>0</v>
      </c>
      <c r="Y783">
        <f t="shared" si="579"/>
        <v>24</v>
      </c>
      <c r="Z783">
        <f t="shared" si="606"/>
        <v>34</v>
      </c>
      <c r="AA783">
        <f t="shared" si="580"/>
        <v>34.666666666666671</v>
      </c>
      <c r="AB783">
        <f t="shared" si="591"/>
        <v>50.505050505050505</v>
      </c>
      <c r="AC783">
        <f t="shared" si="573"/>
        <v>1750.841750841751</v>
      </c>
      <c r="AD783">
        <f t="shared" si="592"/>
        <v>80.505050505050505</v>
      </c>
      <c r="AE783">
        <f t="shared" si="593"/>
        <v>139.54208754208756</v>
      </c>
      <c r="AF783" s="94">
        <f t="shared" si="594"/>
        <v>3109.6161616161612</v>
      </c>
      <c r="AG783">
        <f t="shared" si="607"/>
        <v>4.1281887212145542E-4</v>
      </c>
      <c r="AH783">
        <f t="shared" si="595"/>
        <v>0.125128510400172</v>
      </c>
      <c r="AI783">
        <f>HLOOKUP(AW783,'Real assumptions'!$A$21:$AK$24,2,TRUE)</f>
        <v>0</v>
      </c>
      <c r="AJ783" s="123">
        <f t="shared" si="574"/>
        <v>0</v>
      </c>
      <c r="AK783" s="122">
        <f>(1+HLOOKUP(YEAR(A783),'Real assumptions'!$A$21:$AK$24,2,TRUE)/100)^(1/12)-1</f>
        <v>0</v>
      </c>
      <c r="AL783">
        <f t="shared" si="608"/>
        <v>9.7304503775257111E-4</v>
      </c>
      <c r="AM783">
        <f>('Real assumptions'!$B$33/12)*O782*AV782</f>
        <v>9.3707697385399377E-4</v>
      </c>
      <c r="AN783">
        <f t="shared" si="596"/>
        <v>0.13115944088977549</v>
      </c>
      <c r="AO783">
        <f t="shared" si="575"/>
        <v>0</v>
      </c>
      <c r="AP783" s="121">
        <f t="shared" si="597"/>
        <v>0</v>
      </c>
      <c r="AQ783">
        <f t="shared" si="598"/>
        <v>0</v>
      </c>
      <c r="AR783">
        <v>0</v>
      </c>
      <c r="AS783">
        <f t="shared" si="581"/>
        <v>0</v>
      </c>
      <c r="AT783">
        <f t="shared" si="599"/>
        <v>0</v>
      </c>
      <c r="AU783">
        <f>IFERROR(HLOOKUP(B783,'Real assumptions'!$B$43:$AL$44,2,TRUE)*($W$3/$U$2),0)</f>
        <v>0</v>
      </c>
      <c r="AV783">
        <f>AV782*(1+'Real assumptions'!$B$35)^(1/12)</f>
        <v>2.2214206194779442</v>
      </c>
      <c r="AW783">
        <f t="shared" si="582"/>
        <v>2083</v>
      </c>
      <c r="AX783">
        <f t="shared" si="609"/>
        <v>0.13129675363011681</v>
      </c>
      <c r="AY783">
        <f t="shared" si="610"/>
        <v>1.7772462942566833E-4</v>
      </c>
      <c r="AZ783">
        <f t="shared" si="583"/>
        <v>0.16330811600831152</v>
      </c>
      <c r="BA783">
        <f t="shared" si="600"/>
        <v>9.6898304242320193E-3</v>
      </c>
      <c r="BB783">
        <f t="shared" si="601"/>
        <v>34.666666666666671</v>
      </c>
      <c r="BC783">
        <f t="shared" si="584"/>
        <v>20.800000000000004</v>
      </c>
      <c r="BD783">
        <f t="shared" si="602"/>
        <v>0</v>
      </c>
      <c r="BE783">
        <f t="shared" si="585"/>
        <v>24</v>
      </c>
      <c r="BF783">
        <f t="shared" si="611"/>
        <v>5000</v>
      </c>
      <c r="BU783"/>
      <c r="DW783" s="89"/>
      <c r="DX783" s="89"/>
      <c r="FD783"/>
      <c r="FE783"/>
    </row>
    <row r="784" spans="1:161" x14ac:dyDescent="0.25">
      <c r="A784" s="7">
        <f t="shared" si="603"/>
        <v>66961</v>
      </c>
      <c r="B784">
        <f t="shared" si="586"/>
        <v>773</v>
      </c>
      <c r="C784">
        <f t="shared" si="567"/>
        <v>64.333333333333329</v>
      </c>
      <c r="D784">
        <f t="shared" si="568"/>
        <v>0</v>
      </c>
      <c r="E784">
        <f t="shared" si="587"/>
        <v>116</v>
      </c>
      <c r="F784">
        <f>IF(C784&gt;=$T$2,0,VLOOKUP($E784,EKM_F05!$A$3:$C$128,2,TRUE))</f>
        <v>1</v>
      </c>
      <c r="G784">
        <f>F784*'Real assumptions'!$B$3</f>
        <v>0.4173</v>
      </c>
      <c r="H784">
        <f t="shared" si="569"/>
        <v>4.4009114911801261E-2</v>
      </c>
      <c r="I784">
        <f t="shared" si="570"/>
        <v>1.768045874111203E-6</v>
      </c>
      <c r="J784">
        <f>IF(B784&gt;$AJ$2,0,HLOOKUP(C784,'Real assumptions'!$B$5:$L$8,4,TRUE))</f>
        <v>3.7900000000000003E-2</v>
      </c>
      <c r="K784">
        <f t="shared" si="576"/>
        <v>1</v>
      </c>
      <c r="L784">
        <f t="shared" si="604"/>
        <v>8.3333333333333329E-2</v>
      </c>
      <c r="M784">
        <f t="shared" si="571"/>
        <v>3.2145624959929453E-3</v>
      </c>
      <c r="N784">
        <f t="shared" si="572"/>
        <v>1.2650514659619084E-7</v>
      </c>
      <c r="O784" s="8">
        <f t="shared" si="588"/>
        <v>3.8344663048446061E-5</v>
      </c>
      <c r="P784">
        <f t="shared" si="589"/>
        <v>9.6574113765968291E-4</v>
      </c>
      <c r="Q784">
        <f t="shared" si="605"/>
        <v>8.8402293705560145E-3</v>
      </c>
      <c r="R784" s="89">
        <f t="shared" si="577"/>
        <v>5000</v>
      </c>
      <c r="S784">
        <f t="shared" si="578"/>
        <v>0.5833333333333286</v>
      </c>
      <c r="U784">
        <f>O783*AV783*'Real assumptions'!$B$33/12+AX784*'Real assumptions'!$B$34</f>
        <v>9.2820689860261788E-4</v>
      </c>
      <c r="V784">
        <f>IF(P784=0,0,IF(E784&lt;=$C$7,$AN$5*O783,0))*'Real assumptions'!$D$28</f>
        <v>0</v>
      </c>
      <c r="X784" s="94">
        <f t="shared" si="590"/>
        <v>0</v>
      </c>
      <c r="Y784">
        <f t="shared" si="579"/>
        <v>24</v>
      </c>
      <c r="Z784">
        <f t="shared" si="606"/>
        <v>34</v>
      </c>
      <c r="AA784">
        <f t="shared" si="580"/>
        <v>34.583333333333329</v>
      </c>
      <c r="AB784">
        <f t="shared" si="591"/>
        <v>50.505050505050505</v>
      </c>
      <c r="AC784">
        <f t="shared" si="573"/>
        <v>1746.6329966329963</v>
      </c>
      <c r="AD784">
        <f t="shared" si="592"/>
        <v>80.505050505050505</v>
      </c>
      <c r="AE784">
        <f t="shared" si="593"/>
        <v>139.2066498316498</v>
      </c>
      <c r="AF784" s="94">
        <f t="shared" si="594"/>
        <v>3114.1603535353538</v>
      </c>
      <c r="AG784">
        <f t="shared" si="607"/>
        <v>3.9395731204803542E-4</v>
      </c>
      <c r="AH784">
        <f t="shared" si="595"/>
        <v>0.1194114294351428</v>
      </c>
      <c r="AI784">
        <f>HLOOKUP(AW784,'Real assumptions'!$A$21:$AK$24,2,TRUE)</f>
        <v>0</v>
      </c>
      <c r="AJ784" s="123">
        <f t="shared" si="574"/>
        <v>0</v>
      </c>
      <c r="AK784" s="122">
        <f>(1+HLOOKUP(YEAR(A784),'Real assumptions'!$A$21:$AK$24,2,TRUE)/100)^(1/12)-1</f>
        <v>0</v>
      </c>
      <c r="AL784">
        <f t="shared" si="608"/>
        <v>9.2820689860261788E-4</v>
      </c>
      <c r="AM784">
        <f>('Real assumptions'!$B$33/12)*O783*AV783</f>
        <v>8.9388219844804481E-4</v>
      </c>
      <c r="AN784">
        <f t="shared" si="596"/>
        <v>0.12516604463922906</v>
      </c>
      <c r="AO784">
        <f t="shared" si="575"/>
        <v>0</v>
      </c>
      <c r="AP784" s="121">
        <f t="shared" si="597"/>
        <v>0</v>
      </c>
      <c r="AQ784">
        <f t="shared" si="598"/>
        <v>0</v>
      </c>
      <c r="AR784">
        <v>0</v>
      </c>
      <c r="AS784">
        <f t="shared" si="581"/>
        <v>0</v>
      </c>
      <c r="AT784">
        <f t="shared" si="599"/>
        <v>0</v>
      </c>
      <c r="AU784">
        <f>IFERROR(HLOOKUP(B784,'Real assumptions'!$B$43:$AL$44,2,TRUE)*($W$3/$U$2),0)</f>
        <v>0</v>
      </c>
      <c r="AV784">
        <f>AV783*(1+'Real assumptions'!$B$35)^(1/12)</f>
        <v>2.2237214470315374</v>
      </c>
      <c r="AW784">
        <f t="shared" si="582"/>
        <v>2083</v>
      </c>
      <c r="AX784">
        <f t="shared" si="609"/>
        <v>0.1252978673617425</v>
      </c>
      <c r="AY784">
        <f t="shared" si="610"/>
        <v>1.6935696157051116E-4</v>
      </c>
      <c r="AZ784">
        <f t="shared" si="583"/>
        <v>0.15411146356476452</v>
      </c>
      <c r="BA784">
        <f t="shared" si="600"/>
        <v>9.2341866826040498E-3</v>
      </c>
      <c r="BB784">
        <f t="shared" si="601"/>
        <v>34.583333333333329</v>
      </c>
      <c r="BC784">
        <f t="shared" si="584"/>
        <v>20.749999999999996</v>
      </c>
      <c r="BD784">
        <f t="shared" si="602"/>
        <v>0</v>
      </c>
      <c r="BE784">
        <f t="shared" si="585"/>
        <v>24</v>
      </c>
      <c r="BF784">
        <f t="shared" si="611"/>
        <v>5000</v>
      </c>
      <c r="BU784"/>
      <c r="DW784" s="89"/>
      <c r="DX784" s="89"/>
      <c r="FD784"/>
      <c r="FE784"/>
    </row>
    <row r="785" spans="1:161" x14ac:dyDescent="0.25">
      <c r="A785" s="7">
        <f t="shared" si="603"/>
        <v>66992</v>
      </c>
      <c r="B785">
        <f t="shared" si="586"/>
        <v>774</v>
      </c>
      <c r="C785">
        <f t="shared" si="567"/>
        <v>64.416666666666671</v>
      </c>
      <c r="D785">
        <f t="shared" si="568"/>
        <v>0</v>
      </c>
      <c r="E785">
        <f t="shared" si="587"/>
        <v>116</v>
      </c>
      <c r="F785">
        <f>IF(C785&gt;=$T$2,0,VLOOKUP($E785,EKM_F05!$A$3:$C$128,2,TRUE))</f>
        <v>1</v>
      </c>
      <c r="G785">
        <f>F785*'Real assumptions'!$B$3</f>
        <v>0.4173</v>
      </c>
      <c r="H785">
        <f t="shared" si="569"/>
        <v>4.4009114911801261E-2</v>
      </c>
      <c r="I785">
        <f t="shared" si="570"/>
        <v>1.684802371648697E-6</v>
      </c>
      <c r="J785">
        <f>IF(B785&gt;$AJ$2,0,HLOOKUP(C785,'Real assumptions'!$B$5:$L$8,4,TRUE))</f>
        <v>3.7900000000000003E-2</v>
      </c>
      <c r="K785">
        <f t="shared" si="576"/>
        <v>1</v>
      </c>
      <c r="L785">
        <f t="shared" si="604"/>
        <v>8.3333333333333329E-2</v>
      </c>
      <c r="M785">
        <f t="shared" si="571"/>
        <v>3.2145624959929453E-3</v>
      </c>
      <c r="N785">
        <f t="shared" si="572"/>
        <v>1.2054900505235595E-7</v>
      </c>
      <c r="O785" s="8">
        <f t="shared" si="588"/>
        <v>3.6539311671745009E-5</v>
      </c>
      <c r="P785">
        <f t="shared" si="589"/>
        <v>9.2027191316270546E-4</v>
      </c>
      <c r="Q785">
        <f t="shared" si="605"/>
        <v>8.4240118582434853E-3</v>
      </c>
      <c r="R785" s="89">
        <f t="shared" si="577"/>
        <v>5000</v>
      </c>
      <c r="S785">
        <f t="shared" si="578"/>
        <v>0.5</v>
      </c>
      <c r="U785">
        <f>O784*AV784*'Real assumptions'!$B$33/12+AX785*'Real assumptions'!$B$34</f>
        <v>8.8543484715682109E-4</v>
      </c>
      <c r="V785">
        <f>IF(P785=0,0,IF(E785&lt;=$C$7,$AN$5*O784,0))*'Real assumptions'!$D$28</f>
        <v>0</v>
      </c>
      <c r="X785" s="94">
        <f t="shared" si="590"/>
        <v>0</v>
      </c>
      <c r="Y785">
        <f t="shared" si="579"/>
        <v>24</v>
      </c>
      <c r="Z785">
        <f t="shared" si="606"/>
        <v>34</v>
      </c>
      <c r="AA785">
        <f t="shared" si="580"/>
        <v>34.5</v>
      </c>
      <c r="AB785">
        <f t="shared" si="591"/>
        <v>50.505050505050505</v>
      </c>
      <c r="AC785">
        <f t="shared" si="573"/>
        <v>1742.4242424242425</v>
      </c>
      <c r="AD785">
        <f t="shared" si="592"/>
        <v>80.505050505050505</v>
      </c>
      <c r="AE785">
        <f t="shared" si="593"/>
        <v>138.87121212121212</v>
      </c>
      <c r="AF785" s="94">
        <f t="shared" si="594"/>
        <v>3118.7045454545455</v>
      </c>
      <c r="AG785">
        <f t="shared" si="607"/>
        <v>3.7595673000680548E-4</v>
      </c>
      <c r="AH785">
        <f t="shared" si="595"/>
        <v>0.11395531739845149</v>
      </c>
      <c r="AI785">
        <f>HLOOKUP(AW785,'Real assumptions'!$A$21:$AK$24,2,TRUE)</f>
        <v>0</v>
      </c>
      <c r="AJ785" s="123">
        <f t="shared" si="574"/>
        <v>0</v>
      </c>
      <c r="AK785" s="122">
        <f>(1+HLOOKUP(YEAR(A785),'Real assumptions'!$A$21:$AK$24,2,TRUE)/100)^(1/12)-1</f>
        <v>0</v>
      </c>
      <c r="AL785">
        <f t="shared" si="608"/>
        <v>8.8543484715682109E-4</v>
      </c>
      <c r="AM785">
        <f>('Real assumptions'!$B$33/12)*O784*AV784</f>
        <v>8.5267849600027194E-4</v>
      </c>
      <c r="AN785">
        <f t="shared" si="596"/>
        <v>0.11944626650114869</v>
      </c>
      <c r="AO785">
        <f t="shared" si="575"/>
        <v>0</v>
      </c>
      <c r="AP785" s="121">
        <f t="shared" si="597"/>
        <v>0</v>
      </c>
      <c r="AQ785">
        <f t="shared" si="598"/>
        <v>0</v>
      </c>
      <c r="AR785">
        <v>0</v>
      </c>
      <c r="AS785">
        <f t="shared" si="581"/>
        <v>0</v>
      </c>
      <c r="AT785">
        <f t="shared" si="599"/>
        <v>0</v>
      </c>
      <c r="AU785">
        <f>IFERROR(HLOOKUP(B785,'Real assumptions'!$B$43:$AL$44,2,TRUE)*($W$3/$U$2),0)</f>
        <v>0</v>
      </c>
      <c r="AV785">
        <f>AV784*(1+'Real assumptions'!$B$35)^(1/12)</f>
        <v>2.2260246576580998</v>
      </c>
      <c r="AW785">
        <f t="shared" si="582"/>
        <v>2083</v>
      </c>
      <c r="AX785">
        <f t="shared" si="609"/>
        <v>0.1195728126971312</v>
      </c>
      <c r="AY785">
        <f t="shared" si="610"/>
        <v>1.6138326198840934E-4</v>
      </c>
      <c r="AZ785">
        <f t="shared" si="583"/>
        <v>0.14534633204252012</v>
      </c>
      <c r="BA785">
        <f t="shared" si="600"/>
        <v>8.7999685882502905E-3</v>
      </c>
      <c r="BB785">
        <f t="shared" si="601"/>
        <v>34.5</v>
      </c>
      <c r="BC785">
        <f t="shared" si="584"/>
        <v>20.7</v>
      </c>
      <c r="BD785">
        <f t="shared" si="602"/>
        <v>0</v>
      </c>
      <c r="BE785">
        <f t="shared" si="585"/>
        <v>24</v>
      </c>
      <c r="BF785">
        <f t="shared" si="611"/>
        <v>5000</v>
      </c>
      <c r="BU785"/>
      <c r="DW785" s="89"/>
      <c r="DX785" s="89"/>
      <c r="FD785"/>
      <c r="FE785"/>
    </row>
    <row r="786" spans="1:161" x14ac:dyDescent="0.25">
      <c r="A786" s="7">
        <f t="shared" si="603"/>
        <v>67022</v>
      </c>
      <c r="B786">
        <f t="shared" si="586"/>
        <v>775</v>
      </c>
      <c r="C786">
        <f t="shared" si="567"/>
        <v>64.5</v>
      </c>
      <c r="D786">
        <f t="shared" si="568"/>
        <v>0</v>
      </c>
      <c r="E786">
        <f t="shared" si="587"/>
        <v>116</v>
      </c>
      <c r="F786">
        <f>IF(C786&gt;=$T$2,0,VLOOKUP($E786,EKM_F05!$A$3:$C$128,2,TRUE))</f>
        <v>1</v>
      </c>
      <c r="G786">
        <f>F786*'Real assumptions'!$B$3</f>
        <v>0.4173</v>
      </c>
      <c r="H786">
        <f t="shared" si="569"/>
        <v>4.4009114911801261E-2</v>
      </c>
      <c r="I786">
        <f t="shared" si="570"/>
        <v>1.6054781570302969E-6</v>
      </c>
      <c r="J786">
        <f>IF(B786&gt;$AJ$2,0,HLOOKUP(C786,'Real assumptions'!$B$5:$L$8,4,TRUE))</f>
        <v>3.7900000000000003E-2</v>
      </c>
      <c r="K786">
        <f t="shared" si="576"/>
        <v>1</v>
      </c>
      <c r="L786">
        <f t="shared" si="604"/>
        <v>8.3333333333333329E-2</v>
      </c>
      <c r="M786">
        <f t="shared" si="571"/>
        <v>3.2145624959929453E-3</v>
      </c>
      <c r="N786">
        <f t="shared" si="572"/>
        <v>1.1487329179973857E-7</v>
      </c>
      <c r="O786" s="8">
        <f t="shared" si="588"/>
        <v>3.4818960222914972E-5</v>
      </c>
      <c r="P786">
        <f t="shared" si="589"/>
        <v>8.7694348012188022E-4</v>
      </c>
      <c r="Q786">
        <f t="shared" si="605"/>
        <v>8.0273907851514843E-3</v>
      </c>
      <c r="R786" s="89">
        <f t="shared" si="577"/>
        <v>5000</v>
      </c>
      <c r="S786">
        <f t="shared" si="578"/>
        <v>0.4166666666666714</v>
      </c>
      <c r="U786">
        <f>O785*AV785*'Real assumptions'!$B$33/12+AX786*'Real assumptions'!$B$34</f>
        <v>8.446336836371391E-4</v>
      </c>
      <c r="V786">
        <f>IF(P786=0,0,IF(E786&lt;=$C$7,$AN$5*O785,0))*'Real assumptions'!$D$28</f>
        <v>0</v>
      </c>
      <c r="X786" s="94">
        <f t="shared" si="590"/>
        <v>0</v>
      </c>
      <c r="Y786">
        <f t="shared" si="579"/>
        <v>24</v>
      </c>
      <c r="Z786">
        <f t="shared" si="606"/>
        <v>34</v>
      </c>
      <c r="AA786">
        <f t="shared" si="580"/>
        <v>34.416666666666671</v>
      </c>
      <c r="AB786">
        <f t="shared" si="591"/>
        <v>50.505050505050505</v>
      </c>
      <c r="AC786">
        <f t="shared" si="573"/>
        <v>1738.2154882154884</v>
      </c>
      <c r="AD786">
        <f t="shared" si="592"/>
        <v>80.505050505050505</v>
      </c>
      <c r="AE786">
        <f t="shared" si="593"/>
        <v>138.53577441077442</v>
      </c>
      <c r="AF786" s="94">
        <f t="shared" si="594"/>
        <v>3123.2487373737372</v>
      </c>
      <c r="AG786">
        <f t="shared" si="607"/>
        <v>3.5877786357149834E-4</v>
      </c>
      <c r="AH786">
        <f t="shared" si="595"/>
        <v>0.10874827355288556</v>
      </c>
      <c r="AI786">
        <f>HLOOKUP(AW786,'Real assumptions'!$A$21:$AK$24,2,TRUE)</f>
        <v>0</v>
      </c>
      <c r="AJ786" s="123">
        <f t="shared" si="574"/>
        <v>0</v>
      </c>
      <c r="AK786" s="122">
        <f>(1+HLOOKUP(YEAR(A786),'Real assumptions'!$A$21:$AK$24,2,TRUE)/100)^(1/12)-1</f>
        <v>0</v>
      </c>
      <c r="AL786">
        <f t="shared" si="608"/>
        <v>8.446336836371391E-4</v>
      </c>
      <c r="AM786">
        <f>('Real assumptions'!$B$33/12)*O785*AV785</f>
        <v>8.133740875515879E-4</v>
      </c>
      <c r="AN786">
        <f t="shared" si="596"/>
        <v>0.11398762719493623</v>
      </c>
      <c r="AO786">
        <f t="shared" si="575"/>
        <v>0</v>
      </c>
      <c r="AP786" s="121">
        <f t="shared" si="597"/>
        <v>0</v>
      </c>
      <c r="AQ786">
        <f t="shared" si="598"/>
        <v>0</v>
      </c>
      <c r="AR786">
        <v>0</v>
      </c>
      <c r="AS786">
        <f t="shared" si="581"/>
        <v>0</v>
      </c>
      <c r="AT786">
        <f t="shared" si="599"/>
        <v>0</v>
      </c>
      <c r="AU786">
        <f>IFERROR(HLOOKUP(B786,'Real assumptions'!$B$43:$AL$44,2,TRUE)*($W$3/$U$2),0)</f>
        <v>0</v>
      </c>
      <c r="AV786">
        <f>AV785*(1+'Real assumptions'!$B$35)^(1/12)</f>
        <v>2.2283302538258893</v>
      </c>
      <c r="AW786">
        <f t="shared" si="582"/>
        <v>2083</v>
      </c>
      <c r="AX786">
        <f t="shared" si="609"/>
        <v>0.11410910238023493</v>
      </c>
      <c r="AY786">
        <f t="shared" si="610"/>
        <v>1.5378498178343858E-4</v>
      </c>
      <c r="AZ786">
        <f t="shared" si="583"/>
        <v>0.13699247319028188</v>
      </c>
      <c r="BA786">
        <f t="shared" si="600"/>
        <v>8.3861686487229827E-3</v>
      </c>
      <c r="BB786">
        <f t="shared" si="601"/>
        <v>34.416666666666671</v>
      </c>
      <c r="BC786">
        <f t="shared" si="584"/>
        <v>20.650000000000002</v>
      </c>
      <c r="BD786">
        <f t="shared" si="602"/>
        <v>0</v>
      </c>
      <c r="BE786">
        <f t="shared" si="585"/>
        <v>24</v>
      </c>
      <c r="BF786">
        <f t="shared" si="611"/>
        <v>5000</v>
      </c>
      <c r="BU786"/>
      <c r="DW786" s="89"/>
      <c r="DX786" s="89"/>
      <c r="FD786"/>
      <c r="FE786"/>
    </row>
    <row r="787" spans="1:161" x14ac:dyDescent="0.25">
      <c r="A787" s="7">
        <f t="shared" si="603"/>
        <v>67053</v>
      </c>
      <c r="B787">
        <f t="shared" si="586"/>
        <v>776</v>
      </c>
      <c r="C787">
        <f t="shared" si="567"/>
        <v>64.583333333333329</v>
      </c>
      <c r="D787">
        <f t="shared" si="568"/>
        <v>0</v>
      </c>
      <c r="E787">
        <f t="shared" si="587"/>
        <v>116</v>
      </c>
      <c r="F787">
        <f>IF(C787&gt;=$T$2,0,VLOOKUP($E787,EKM_F05!$A$3:$C$128,2,TRUE))</f>
        <v>1</v>
      </c>
      <c r="G787">
        <f>F787*'Real assumptions'!$B$3</f>
        <v>0.4173</v>
      </c>
      <c r="H787">
        <f t="shared" si="569"/>
        <v>4.4009114911801261E-2</v>
      </c>
      <c r="I787">
        <f t="shared" si="570"/>
        <v>1.5298887015330325E-6</v>
      </c>
      <c r="J787">
        <f>IF(B787&gt;$AJ$2,0,HLOOKUP(C787,'Real assumptions'!$B$5:$L$8,4,TRUE))</f>
        <v>3.7900000000000003E-2</v>
      </c>
      <c r="K787">
        <f t="shared" si="576"/>
        <v>1</v>
      </c>
      <c r="L787">
        <f t="shared" si="604"/>
        <v>8.3333333333333329E-2</v>
      </c>
      <c r="M787">
        <f t="shared" si="571"/>
        <v>3.2145624959929453E-3</v>
      </c>
      <c r="N787">
        <f t="shared" si="572"/>
        <v>1.0946480365538272E-7</v>
      </c>
      <c r="O787" s="8">
        <f t="shared" si="588"/>
        <v>3.3179606717726557E-5</v>
      </c>
      <c r="P787">
        <f t="shared" si="589"/>
        <v>8.3565504534995928E-4</v>
      </c>
      <c r="Q787">
        <f t="shared" si="605"/>
        <v>7.6494435076651622E-3</v>
      </c>
      <c r="R787" s="89">
        <f t="shared" si="577"/>
        <v>5000</v>
      </c>
      <c r="S787">
        <f t="shared" si="578"/>
        <v>0.3333333333333286</v>
      </c>
      <c r="U787">
        <f>O786*AV786*'Real assumptions'!$B$33/12+AX787*'Real assumptions'!$B$34</f>
        <v>8.0571259466909976E-4</v>
      </c>
      <c r="V787">
        <f>IF(P787=0,0,IF(E787&lt;=$C$7,$AN$5*O786,0))*'Real assumptions'!$D$28</f>
        <v>0</v>
      </c>
      <c r="X787" s="94">
        <f t="shared" si="590"/>
        <v>0</v>
      </c>
      <c r="Y787">
        <f t="shared" si="579"/>
        <v>24</v>
      </c>
      <c r="Z787">
        <f t="shared" si="606"/>
        <v>34</v>
      </c>
      <c r="AA787">
        <f t="shared" si="580"/>
        <v>34.333333333333329</v>
      </c>
      <c r="AB787">
        <f t="shared" si="591"/>
        <v>50.505050505050505</v>
      </c>
      <c r="AC787">
        <f t="shared" si="573"/>
        <v>1734.0067340067337</v>
      </c>
      <c r="AD787">
        <f t="shared" si="592"/>
        <v>80.505050505050505</v>
      </c>
      <c r="AE787">
        <f t="shared" si="593"/>
        <v>138.20033670033666</v>
      </c>
      <c r="AF787" s="94">
        <f t="shared" si="594"/>
        <v>3127.7929292929298</v>
      </c>
      <c r="AG787">
        <f t="shared" si="607"/>
        <v>3.4238323887974496E-4</v>
      </c>
      <c r="AH787">
        <f t="shared" si="595"/>
        <v>0.10377893928842533</v>
      </c>
      <c r="AI787">
        <f>HLOOKUP(AW787,'Real assumptions'!$A$21:$AK$24,2,TRUE)</f>
        <v>0</v>
      </c>
      <c r="AJ787" s="123">
        <f t="shared" si="574"/>
        <v>0</v>
      </c>
      <c r="AK787" s="122">
        <f>(1+HLOOKUP(YEAR(A787),'Real assumptions'!$A$21:$AK$24,2,TRUE)/100)^(1/12)-1</f>
        <v>0</v>
      </c>
      <c r="AL787">
        <f t="shared" si="608"/>
        <v>8.0571259466909976E-4</v>
      </c>
      <c r="AM787">
        <f>('Real assumptions'!$B$33/12)*O786*AV786</f>
        <v>7.7588142471481667E-4</v>
      </c>
      <c r="AN787">
        <f t="shared" si="596"/>
        <v>0.10877821600356642</v>
      </c>
      <c r="AO787">
        <f t="shared" si="575"/>
        <v>0</v>
      </c>
      <c r="AP787" s="121">
        <f t="shared" si="597"/>
        <v>0</v>
      </c>
      <c r="AQ787">
        <f t="shared" si="598"/>
        <v>0</v>
      </c>
      <c r="AR787">
        <v>0</v>
      </c>
      <c r="AS787">
        <f t="shared" si="581"/>
        <v>0</v>
      </c>
      <c r="AT787">
        <f t="shared" si="599"/>
        <v>0</v>
      </c>
      <c r="AU787">
        <f>IFERROR(HLOOKUP(B787,'Real assumptions'!$B$43:$AL$44,2,TRUE)*($W$3/$U$2),0)</f>
        <v>0</v>
      </c>
      <c r="AV787">
        <f>AV786*(1+'Real assumptions'!$B$35)^(1/12)</f>
        <v>2.2306382380057213</v>
      </c>
      <c r="AW787">
        <f t="shared" si="582"/>
        <v>2083</v>
      </c>
      <c r="AX787">
        <f t="shared" si="609"/>
        <v>0.1088948179982682</v>
      </c>
      <c r="AY787">
        <f t="shared" si="610"/>
        <v>1.4654444538263875E-4</v>
      </c>
      <c r="AZ787">
        <f t="shared" si="583"/>
        <v>0.12903058889441782</v>
      </c>
      <c r="BA787">
        <f t="shared" si="600"/>
        <v>7.991826746544908E-3</v>
      </c>
      <c r="BB787">
        <f t="shared" si="601"/>
        <v>34.333333333333329</v>
      </c>
      <c r="BC787">
        <f t="shared" si="584"/>
        <v>20.599999999999994</v>
      </c>
      <c r="BD787">
        <f t="shared" si="602"/>
        <v>0</v>
      </c>
      <c r="BE787">
        <f t="shared" si="585"/>
        <v>24</v>
      </c>
      <c r="BF787">
        <f t="shared" si="611"/>
        <v>5000</v>
      </c>
      <c r="BU787"/>
      <c r="DW787" s="89"/>
      <c r="DX787" s="89"/>
      <c r="FD787"/>
      <c r="FE787"/>
    </row>
    <row r="788" spans="1:161" x14ac:dyDescent="0.25">
      <c r="A788" s="7">
        <f t="shared" si="603"/>
        <v>67084</v>
      </c>
      <c r="B788">
        <f t="shared" si="586"/>
        <v>777</v>
      </c>
      <c r="C788">
        <f t="shared" si="567"/>
        <v>64.666666666666671</v>
      </c>
      <c r="D788">
        <f t="shared" si="568"/>
        <v>0</v>
      </c>
      <c r="E788">
        <f t="shared" si="587"/>
        <v>116</v>
      </c>
      <c r="F788">
        <f>IF(C788&gt;=$T$2,0,VLOOKUP($E788,EKM_F05!$A$3:$C$128,2,TRUE))</f>
        <v>1</v>
      </c>
      <c r="G788">
        <f>F788*'Real assumptions'!$B$3</f>
        <v>0.4173</v>
      </c>
      <c r="H788">
        <f t="shared" si="569"/>
        <v>4.4009114911801261E-2</v>
      </c>
      <c r="I788">
        <f t="shared" si="570"/>
        <v>1.4578581644535318E-6</v>
      </c>
      <c r="J788">
        <f>IF(B788&gt;$AJ$2,0,HLOOKUP(C788,'Real assumptions'!$B$5:$L$8,4,TRUE))</f>
        <v>3.7900000000000003E-2</v>
      </c>
      <c r="K788">
        <f t="shared" si="576"/>
        <v>1</v>
      </c>
      <c r="L788">
        <f t="shared" si="604"/>
        <v>8.3333333333333329E-2</v>
      </c>
      <c r="M788">
        <f t="shared" si="571"/>
        <v>3.2145624959929453E-3</v>
      </c>
      <c r="N788">
        <f t="shared" si="572"/>
        <v>1.0431095907133012E-7</v>
      </c>
      <c r="O788" s="8">
        <f t="shared" si="588"/>
        <v>3.1617437594201698E-5</v>
      </c>
      <c r="P788">
        <f t="shared" si="589"/>
        <v>7.9631056122543738E-4</v>
      </c>
      <c r="Q788">
        <f t="shared" si="605"/>
        <v>7.2892908222676588E-3</v>
      </c>
      <c r="R788" s="89">
        <f t="shared" si="577"/>
        <v>5000</v>
      </c>
      <c r="S788">
        <f t="shared" si="578"/>
        <v>0.25</v>
      </c>
      <c r="U788">
        <f>O787*AV787*'Real assumptions'!$B$33/12+AX788*'Real assumptions'!$B$34</f>
        <v>7.6858495118188E-4</v>
      </c>
      <c r="V788">
        <f>IF(P788=0,0,IF(E788&lt;=$C$7,$AN$5*O787,0))*'Real assumptions'!$D$28</f>
        <v>0</v>
      </c>
      <c r="X788" s="94">
        <f t="shared" si="590"/>
        <v>0</v>
      </c>
      <c r="Y788">
        <f t="shared" si="579"/>
        <v>24</v>
      </c>
      <c r="Z788">
        <f t="shared" si="606"/>
        <v>34</v>
      </c>
      <c r="AA788">
        <f t="shared" si="580"/>
        <v>34.25</v>
      </c>
      <c r="AB788">
        <f t="shared" si="591"/>
        <v>50.505050505050505</v>
      </c>
      <c r="AC788">
        <f t="shared" si="573"/>
        <v>1729.7979797979799</v>
      </c>
      <c r="AD788">
        <f t="shared" si="592"/>
        <v>80.505050505050505</v>
      </c>
      <c r="AE788">
        <f t="shared" si="593"/>
        <v>137.86489898989899</v>
      </c>
      <c r="AF788" s="94">
        <f t="shared" si="594"/>
        <v>3132.3371212121215</v>
      </c>
      <c r="AG788">
        <f t="shared" si="607"/>
        <v>3.2673708924836565E-4</v>
      </c>
      <c r="AH788">
        <f t="shared" si="595"/>
        <v>9.9036473453925647E-2</v>
      </c>
      <c r="AI788">
        <f>HLOOKUP(AW788,'Real assumptions'!$A$21:$AK$24,2,TRUE)</f>
        <v>0</v>
      </c>
      <c r="AJ788" s="123">
        <f t="shared" si="574"/>
        <v>0</v>
      </c>
      <c r="AK788" s="122">
        <f>(1+HLOOKUP(YEAR(A788),'Real assumptions'!$A$21:$AK$24,2,TRUE)/100)^(1/12)-1</f>
        <v>0</v>
      </c>
      <c r="AL788">
        <f t="shared" si="608"/>
        <v>7.6858495118188E-4</v>
      </c>
      <c r="AM788">
        <f>('Real assumptions'!$B$33/12)*O787*AV787</f>
        <v>7.4011699466552364E-4</v>
      </c>
      <c r="AN788">
        <f t="shared" si="596"/>
        <v>0.10380666489846888</v>
      </c>
      <c r="AO788">
        <f t="shared" si="575"/>
        <v>0</v>
      </c>
      <c r="AP788" s="121">
        <f t="shared" si="597"/>
        <v>0</v>
      </c>
      <c r="AQ788">
        <f t="shared" si="598"/>
        <v>0</v>
      </c>
      <c r="AR788">
        <v>0</v>
      </c>
      <c r="AS788">
        <f t="shared" si="581"/>
        <v>0</v>
      </c>
      <c r="AT788">
        <f t="shared" si="599"/>
        <v>0</v>
      </c>
      <c r="AU788">
        <f>IFERROR(HLOOKUP(B788,'Real assumptions'!$B$43:$AL$44,2,TRUE)*($W$3/$U$2),0)</f>
        <v>0</v>
      </c>
      <c r="AV788">
        <f>AV787*(1+'Real assumptions'!$B$35)^(1/12)</f>
        <v>2.2329486126709694</v>
      </c>
      <c r="AW788">
        <f t="shared" si="582"/>
        <v>2083</v>
      </c>
      <c r="AX788">
        <f t="shared" si="609"/>
        <v>0.10391858409784337</v>
      </c>
      <c r="AY788">
        <f t="shared" si="610"/>
        <v>1.3964480941804105E-4</v>
      </c>
      <c r="AZ788">
        <f t="shared" si="583"/>
        <v>0.12144228659294537</v>
      </c>
      <c r="BA788">
        <f t="shared" si="600"/>
        <v>7.6160279115160242E-3</v>
      </c>
      <c r="BB788">
        <f t="shared" si="601"/>
        <v>34.25</v>
      </c>
      <c r="BC788">
        <f t="shared" si="584"/>
        <v>20.549999999999997</v>
      </c>
      <c r="BD788">
        <f t="shared" si="602"/>
        <v>0</v>
      </c>
      <c r="BE788">
        <f t="shared" si="585"/>
        <v>24</v>
      </c>
      <c r="BF788">
        <f t="shared" si="611"/>
        <v>5000</v>
      </c>
      <c r="BU788"/>
      <c r="DW788" s="89"/>
      <c r="DX788" s="89"/>
      <c r="FD788"/>
      <c r="FE788"/>
    </row>
    <row r="789" spans="1:161" x14ac:dyDescent="0.25">
      <c r="A789" s="7">
        <f t="shared" si="603"/>
        <v>67114</v>
      </c>
      <c r="B789">
        <f t="shared" si="586"/>
        <v>778</v>
      </c>
      <c r="C789">
        <f t="shared" si="567"/>
        <v>64.75</v>
      </c>
      <c r="D789">
        <f t="shared" si="568"/>
        <v>0</v>
      </c>
      <c r="E789">
        <f t="shared" si="587"/>
        <v>116</v>
      </c>
      <c r="F789">
        <f>IF(C789&gt;=$T$2,0,VLOOKUP($E789,EKM_F05!$A$3:$C$128,2,TRUE))</f>
        <v>1</v>
      </c>
      <c r="G789">
        <f>F789*'Real assumptions'!$B$3</f>
        <v>0.4173</v>
      </c>
      <c r="H789">
        <f t="shared" si="569"/>
        <v>4.4009114911801261E-2</v>
      </c>
      <c r="I789">
        <f t="shared" si="570"/>
        <v>1.3892189840568819E-6</v>
      </c>
      <c r="J789">
        <f>IF(B789&gt;$AJ$2,0,HLOOKUP(C789,'Real assumptions'!$B$5:$L$8,4,TRUE))</f>
        <v>3.7900000000000003E-2</v>
      </c>
      <c r="K789">
        <f t="shared" si="576"/>
        <v>1</v>
      </c>
      <c r="L789">
        <f t="shared" si="604"/>
        <v>8.3333333333333329E-2</v>
      </c>
      <c r="M789">
        <f t="shared" si="571"/>
        <v>3.2145624959929453E-3</v>
      </c>
      <c r="N789">
        <f t="shared" si="572"/>
        <v>9.9399768866672315E-8</v>
      </c>
      <c r="O789" s="8">
        <f t="shared" si="588"/>
        <v>3.0128818841278146E-5</v>
      </c>
      <c r="P789">
        <f t="shared" si="589"/>
        <v>7.5881850226084074E-4</v>
      </c>
      <c r="Q789">
        <f t="shared" si="605"/>
        <v>6.9460949202844093E-3</v>
      </c>
      <c r="R789" s="89">
        <f t="shared" si="577"/>
        <v>5000</v>
      </c>
      <c r="S789">
        <f t="shared" si="578"/>
        <v>0.1666666666666714</v>
      </c>
      <c r="U789">
        <f>O788*AV788*'Real assumptions'!$B$33/12+AX789*'Real assumptions'!$B$34</f>
        <v>7.3316811561963493E-4</v>
      </c>
      <c r="V789">
        <f>IF(P789=0,0,IF(E789&lt;=$C$7,$AN$5*O788,0))*'Real assumptions'!$D$28</f>
        <v>0</v>
      </c>
      <c r="X789" s="94">
        <f t="shared" si="590"/>
        <v>0</v>
      </c>
      <c r="Y789">
        <f t="shared" si="579"/>
        <v>24</v>
      </c>
      <c r="Z789">
        <f t="shared" si="606"/>
        <v>34</v>
      </c>
      <c r="AA789">
        <f t="shared" si="580"/>
        <v>34.166666666666671</v>
      </c>
      <c r="AB789">
        <f t="shared" si="591"/>
        <v>50.505050505050505</v>
      </c>
      <c r="AC789">
        <f t="shared" si="573"/>
        <v>1725.5892255892259</v>
      </c>
      <c r="AD789">
        <f t="shared" si="592"/>
        <v>80.505050505050505</v>
      </c>
      <c r="AE789">
        <f t="shared" si="593"/>
        <v>137.52946127946129</v>
      </c>
      <c r="AF789" s="94">
        <f t="shared" si="594"/>
        <v>3136.8813131313127</v>
      </c>
      <c r="AG789">
        <f t="shared" si="607"/>
        <v>3.1180527748743604E-4</v>
      </c>
      <c r="AH789">
        <f t="shared" si="595"/>
        <v>9.4510528809924027E-2</v>
      </c>
      <c r="AI789">
        <f>HLOOKUP(AW789,'Real assumptions'!$A$21:$AK$24,2,TRUE)</f>
        <v>0</v>
      </c>
      <c r="AJ789" s="123">
        <f t="shared" si="574"/>
        <v>0</v>
      </c>
      <c r="AK789" s="122">
        <f>(1+HLOOKUP(YEAR(A789),'Real assumptions'!$A$21:$AK$24,2,TRUE)/100)^(1/12)-1</f>
        <v>0</v>
      </c>
      <c r="AL789">
        <f t="shared" si="608"/>
        <v>7.3316811561963493E-4</v>
      </c>
      <c r="AM789">
        <f>('Real assumptions'!$B$33/12)*O788*AV788</f>
        <v>7.060011341218364E-4</v>
      </c>
      <c r="AN789">
        <f t="shared" si="596"/>
        <v>9.9062123840566854E-2</v>
      </c>
      <c r="AO789">
        <f t="shared" si="575"/>
        <v>0</v>
      </c>
      <c r="AP789" s="121">
        <f t="shared" si="597"/>
        <v>0</v>
      </c>
      <c r="AQ789">
        <f t="shared" si="598"/>
        <v>0</v>
      </c>
      <c r="AR789">
        <v>0</v>
      </c>
      <c r="AS789">
        <f t="shared" si="581"/>
        <v>0</v>
      </c>
      <c r="AT789">
        <f t="shared" si="599"/>
        <v>0</v>
      </c>
      <c r="AU789">
        <f>IFERROR(HLOOKUP(B789,'Real assumptions'!$B$43:$AL$44,2,TRUE)*($W$3/$U$2),0)</f>
        <v>0</v>
      </c>
      <c r="AV789">
        <f>AV788*(1+'Real assumptions'!$B$35)^(1/12)</f>
        <v>2.2352613802975698</v>
      </c>
      <c r="AW789">
        <f t="shared" si="582"/>
        <v>2083</v>
      </c>
      <c r="AX789">
        <f t="shared" si="609"/>
        <v>9.9169543477470271E-2</v>
      </c>
      <c r="AY789">
        <f t="shared" si="610"/>
        <v>1.3307002354461992E-4</v>
      </c>
      <c r="AZ789">
        <f t="shared" si="583"/>
        <v>0.11421003678181472</v>
      </c>
      <c r="BA789">
        <f t="shared" si="600"/>
        <v>7.2579001977718452E-3</v>
      </c>
      <c r="BB789">
        <f t="shared" si="601"/>
        <v>34.166666666666671</v>
      </c>
      <c r="BC789">
        <f t="shared" si="584"/>
        <v>20.5</v>
      </c>
      <c r="BD789">
        <f t="shared" si="602"/>
        <v>0</v>
      </c>
      <c r="BE789">
        <f t="shared" si="585"/>
        <v>24</v>
      </c>
      <c r="BF789">
        <f t="shared" si="611"/>
        <v>5000</v>
      </c>
      <c r="BU789"/>
      <c r="DW789" s="89"/>
      <c r="DX789" s="89"/>
      <c r="FD789"/>
      <c r="FE789"/>
    </row>
    <row r="790" spans="1:161" x14ac:dyDescent="0.25">
      <c r="A790" s="7">
        <f t="shared" si="603"/>
        <v>67145</v>
      </c>
      <c r="B790">
        <f t="shared" si="586"/>
        <v>779</v>
      </c>
      <c r="C790">
        <f t="shared" si="567"/>
        <v>64.833333333333329</v>
      </c>
      <c r="D790">
        <f t="shared" si="568"/>
        <v>0</v>
      </c>
      <c r="E790">
        <f t="shared" si="587"/>
        <v>116</v>
      </c>
      <c r="F790">
        <f>IF(C790&gt;=$T$2,0,VLOOKUP($E790,EKM_F05!$A$3:$C$128,2,TRUE))</f>
        <v>1</v>
      </c>
      <c r="G790">
        <f>F790*'Real assumptions'!$B$3</f>
        <v>0.4173</v>
      </c>
      <c r="H790">
        <f t="shared" si="569"/>
        <v>4.4009114911801261E-2</v>
      </c>
      <c r="I790">
        <f t="shared" si="570"/>
        <v>1.323811487784517E-6</v>
      </c>
      <c r="J790">
        <f>IF(B790&gt;$AJ$2,0,HLOOKUP(C790,'Real assumptions'!$B$5:$L$8,4,TRUE))</f>
        <v>3.7900000000000003E-2</v>
      </c>
      <c r="K790">
        <f t="shared" si="576"/>
        <v>1</v>
      </c>
      <c r="L790">
        <f t="shared" si="604"/>
        <v>8.3333333333333329E-2</v>
      </c>
      <c r="M790">
        <f t="shared" si="571"/>
        <v>3.2145624959929453E-3</v>
      </c>
      <c r="N790">
        <f t="shared" si="572"/>
        <v>9.4719808337602407E-8</v>
      </c>
      <c r="O790" s="8">
        <f t="shared" si="588"/>
        <v>2.8710287545156025E-5</v>
      </c>
      <c r="P790">
        <f t="shared" si="589"/>
        <v>7.2309165219067552E-4</v>
      </c>
      <c r="Q790">
        <f t="shared" si="605"/>
        <v>6.6190574389225851E-3</v>
      </c>
      <c r="R790" s="89">
        <f t="shared" si="577"/>
        <v>5000</v>
      </c>
      <c r="S790">
        <f t="shared" si="578"/>
        <v>8.3333333333328596E-2</v>
      </c>
      <c r="U790">
        <f>O789*AV789*'Real assumptions'!$B$33/12+AX790*'Real assumptions'!$B$34</f>
        <v>6.9938325803510276E-4</v>
      </c>
      <c r="V790">
        <f>IF(P790=0,0,IF(E790&lt;=$C$7,$AN$5*O789,0))*'Real assumptions'!$D$28</f>
        <v>0</v>
      </c>
      <c r="X790" s="94">
        <f t="shared" si="590"/>
        <v>0</v>
      </c>
      <c r="Y790">
        <f t="shared" si="579"/>
        <v>24</v>
      </c>
      <c r="Z790">
        <f t="shared" si="606"/>
        <v>34</v>
      </c>
      <c r="AA790">
        <f t="shared" si="580"/>
        <v>34.083333333333329</v>
      </c>
      <c r="AB790">
        <f t="shared" si="591"/>
        <v>50.505050505050505</v>
      </c>
      <c r="AC790">
        <f t="shared" si="573"/>
        <v>1721.3804713804711</v>
      </c>
      <c r="AD790">
        <f t="shared" si="592"/>
        <v>80.505050505050505</v>
      </c>
      <c r="AE790">
        <f t="shared" si="593"/>
        <v>137.19402356902356</v>
      </c>
      <c r="AF790" s="94">
        <f t="shared" si="594"/>
        <v>3141.4255050505053</v>
      </c>
      <c r="AG790">
        <f t="shared" si="607"/>
        <v>2.975552217452397E-4</v>
      </c>
      <c r="AH790">
        <f t="shared" si="595"/>
        <v>9.0191229551686999E-2</v>
      </c>
      <c r="AI790">
        <f>HLOOKUP(AW790,'Real assumptions'!$A$21:$AK$24,2,TRUE)</f>
        <v>0</v>
      </c>
      <c r="AJ790" s="123">
        <f t="shared" si="574"/>
        <v>0</v>
      </c>
      <c r="AK790" s="122">
        <f>(1+HLOOKUP(YEAR(A790),'Real assumptions'!$A$21:$AK$24,2,TRUE)/100)^(1/12)-1</f>
        <v>0</v>
      </c>
      <c r="AL790">
        <f t="shared" si="608"/>
        <v>6.9938325803510276E-4</v>
      </c>
      <c r="AM790">
        <f>('Real assumptions'!$B$33/12)*O789*AV789</f>
        <v>6.7345785189890811E-4</v>
      </c>
      <c r="AN790">
        <f t="shared" si="596"/>
        <v>9.4534237204079594E-2</v>
      </c>
      <c r="AO790">
        <f t="shared" si="575"/>
        <v>0</v>
      </c>
      <c r="AP790" s="121">
        <f t="shared" si="597"/>
        <v>0</v>
      </c>
      <c r="AQ790">
        <f t="shared" si="598"/>
        <v>0</v>
      </c>
      <c r="AR790">
        <v>0</v>
      </c>
      <c r="AS790">
        <f t="shared" si="581"/>
        <v>0</v>
      </c>
      <c r="AT790">
        <f t="shared" si="599"/>
        <v>0</v>
      </c>
      <c r="AU790">
        <f>IFERROR(HLOOKUP(B790,'Real assumptions'!$B$43:$AL$44,2,TRUE)*($W$3/$U$2),0)</f>
        <v>0</v>
      </c>
      <c r="AV790">
        <f>AV789*(1+'Real assumptions'!$B$35)^(1/12)</f>
        <v>2.237576543364022</v>
      </c>
      <c r="AW790">
        <f t="shared" si="582"/>
        <v>2083</v>
      </c>
      <c r="AX790">
        <f t="shared" si="609"/>
        <v>9.4637333603027049E-2</v>
      </c>
      <c r="AY790">
        <f t="shared" si="610"/>
        <v>1.2680479310302249E-4</v>
      </c>
      <c r="AZ790">
        <f t="shared" si="583"/>
        <v>0.10731713251530246</v>
      </c>
      <c r="BA790">
        <f t="shared" si="600"/>
        <v>6.9166126606678251E-3</v>
      </c>
      <c r="BB790">
        <f t="shared" si="601"/>
        <v>34.083333333333329</v>
      </c>
      <c r="BC790">
        <f t="shared" si="584"/>
        <v>20.449999999999996</v>
      </c>
      <c r="BD790">
        <f t="shared" si="602"/>
        <v>0</v>
      </c>
      <c r="BE790">
        <f t="shared" si="585"/>
        <v>24</v>
      </c>
      <c r="BF790">
        <f t="shared" si="611"/>
        <v>5000</v>
      </c>
      <c r="BU790"/>
      <c r="DW790" s="89"/>
      <c r="DX790" s="89"/>
      <c r="FD790"/>
      <c r="FE790"/>
    </row>
    <row r="791" spans="1:161" x14ac:dyDescent="0.25">
      <c r="A791" s="7">
        <f t="shared" si="603"/>
        <v>67175</v>
      </c>
      <c r="B791">
        <f t="shared" si="586"/>
        <v>780</v>
      </c>
      <c r="C791">
        <f t="shared" si="567"/>
        <v>64.916666666666671</v>
      </c>
      <c r="D791">
        <f t="shared" si="568"/>
        <v>0</v>
      </c>
      <c r="E791">
        <f t="shared" si="587"/>
        <v>116</v>
      </c>
      <c r="F791">
        <f>IF(C791&gt;=$T$2,0,VLOOKUP($E791,EKM_F05!$A$3:$C$128,2,TRUE))</f>
        <v>1</v>
      </c>
      <c r="G791">
        <f>F791*'Real assumptions'!$B$3</f>
        <v>0.4173</v>
      </c>
      <c r="H791">
        <f t="shared" si="569"/>
        <v>4.4009114911801261E-2</v>
      </c>
      <c r="I791">
        <f t="shared" si="570"/>
        <v>1.2614835208143833E-6</v>
      </c>
      <c r="J791">
        <f>IF(B791&gt;$AJ$2,0,HLOOKUP(C791,'Real assumptions'!$B$5:$L$8,4,TRUE))</f>
        <v>3.7900000000000003E-2</v>
      </c>
      <c r="K791">
        <f t="shared" si="576"/>
        <v>1</v>
      </c>
      <c r="L791">
        <f t="shared" si="604"/>
        <v>8.3333333333333329E-2</v>
      </c>
      <c r="M791">
        <f t="shared" si="571"/>
        <v>3.2145624959929453E-3</v>
      </c>
      <c r="N791">
        <f t="shared" si="572"/>
        <v>9.0260190680587151E-8</v>
      </c>
      <c r="O791" s="8">
        <f t="shared" si="588"/>
        <v>2.7358543833661055E-5</v>
      </c>
      <c r="P791">
        <f t="shared" si="589"/>
        <v>6.8904690108374464E-4</v>
      </c>
      <c r="Q791">
        <f t="shared" si="605"/>
        <v>6.3074176040719167E-3</v>
      </c>
      <c r="R791" s="89">
        <f t="shared" si="577"/>
        <v>5000</v>
      </c>
      <c r="S791">
        <f t="shared" si="578"/>
        <v>1</v>
      </c>
      <c r="U791">
        <f>O790*AV790*'Real assumptions'!$B$33/12+AX791*'Real assumptions'!$B$34</f>
        <v>6.6715518065626816E-4</v>
      </c>
      <c r="V791">
        <f>IF(P791=0,0,IF(E791&lt;=$C$7,$AN$5*O790,0))*'Real assumptions'!$D$28</f>
        <v>0</v>
      </c>
      <c r="X791" s="94">
        <f t="shared" si="590"/>
        <v>0</v>
      </c>
      <c r="Y791">
        <f t="shared" si="579"/>
        <v>24</v>
      </c>
      <c r="Z791">
        <f t="shared" si="606"/>
        <v>34</v>
      </c>
      <c r="AA791">
        <f t="shared" si="580"/>
        <v>34</v>
      </c>
      <c r="AB791">
        <f t="shared" si="591"/>
        <v>50.505050505050505</v>
      </c>
      <c r="AC791">
        <f t="shared" si="573"/>
        <v>1717.1717171717171</v>
      </c>
      <c r="AD791">
        <f t="shared" si="592"/>
        <v>80.505050505050505</v>
      </c>
      <c r="AE791">
        <f t="shared" si="593"/>
        <v>136.85858585858585</v>
      </c>
      <c r="AF791" s="94">
        <f t="shared" si="594"/>
        <v>3145.969696969697</v>
      </c>
      <c r="AG791">
        <f t="shared" si="607"/>
        <v>2.8395582472383384E-4</v>
      </c>
      <c r="AH791">
        <f t="shared" si="595"/>
        <v>8.6069149853914839E-2</v>
      </c>
      <c r="AI791">
        <f>HLOOKUP(AW791,'Real assumptions'!$A$21:$AK$24,2,TRUE)</f>
        <v>0</v>
      </c>
      <c r="AJ791" s="123">
        <f t="shared" si="574"/>
        <v>0</v>
      </c>
      <c r="AK791" s="122">
        <f>(1+HLOOKUP(YEAR(A791),'Real assumptions'!$A$21:$AK$24,2,TRUE)/100)^(1/12)-1</f>
        <v>0</v>
      </c>
      <c r="AL791">
        <f t="shared" si="608"/>
        <v>6.6715518065626816E-4</v>
      </c>
      <c r="AM791">
        <f>('Real assumptions'!$B$33/12)*O790*AV790</f>
        <v>6.4241465964277357E-4</v>
      </c>
      <c r="AN791">
        <f t="shared" si="596"/>
        <v>9.0213121272114477E-2</v>
      </c>
      <c r="AO791">
        <f t="shared" si="575"/>
        <v>0</v>
      </c>
      <c r="AP791" s="121">
        <f t="shared" si="597"/>
        <v>0</v>
      </c>
      <c r="AQ791">
        <f t="shared" si="598"/>
        <v>0</v>
      </c>
      <c r="AR791">
        <v>0</v>
      </c>
      <c r="AS791">
        <f t="shared" si="581"/>
        <v>0</v>
      </c>
      <c r="AT791">
        <f t="shared" si="599"/>
        <v>0</v>
      </c>
      <c r="AU791">
        <f>IFERROR(HLOOKUP(B791,'Real assumptions'!$B$43:$AL$44,2,TRUE)*($W$3/$U$2),0)</f>
        <v>0</v>
      </c>
      <c r="AV791">
        <f>AV790*(1+'Real assumptions'!$B$35)^(1/12)</f>
        <v>2.2398941043513938</v>
      </c>
      <c r="AW791">
        <f t="shared" si="582"/>
        <v>2083</v>
      </c>
      <c r="AX791">
        <f t="shared" si="609"/>
        <v>9.0312064095227212E-2</v>
      </c>
      <c r="AY791">
        <f t="shared" si="610"/>
        <v>1.2083454354021895E-4</v>
      </c>
      <c r="AZ791">
        <f t="shared" si="583"/>
        <v>0.10074765080693419</v>
      </c>
      <c r="BA791">
        <f t="shared" si="600"/>
        <v>6.5913734287957508E-3</v>
      </c>
      <c r="BB791">
        <f t="shared" si="601"/>
        <v>34</v>
      </c>
      <c r="BC791">
        <f t="shared" si="584"/>
        <v>20.399999999999999</v>
      </c>
      <c r="BD791">
        <f t="shared" si="602"/>
        <v>0</v>
      </c>
      <c r="BE791">
        <f t="shared" si="585"/>
        <v>24</v>
      </c>
      <c r="BF791">
        <f t="shared" si="611"/>
        <v>5000</v>
      </c>
      <c r="BU791"/>
      <c r="DW791" s="89"/>
      <c r="DX791" s="89"/>
      <c r="FD791"/>
      <c r="FE791"/>
    </row>
    <row r="792" spans="1:161" x14ac:dyDescent="0.25">
      <c r="A792" s="7">
        <f t="shared" si="603"/>
        <v>67206</v>
      </c>
      <c r="B792">
        <f t="shared" si="586"/>
        <v>781</v>
      </c>
      <c r="C792">
        <f t="shared" si="567"/>
        <v>65</v>
      </c>
      <c r="D792">
        <f t="shared" si="568"/>
        <v>1</v>
      </c>
      <c r="E792">
        <f t="shared" si="587"/>
        <v>117</v>
      </c>
      <c r="F792">
        <f>IF(C792&gt;=$T$2,0,VLOOKUP($E792,EKM_F05!$A$3:$C$128,2,TRUE))</f>
        <v>0</v>
      </c>
      <c r="G792">
        <f>F792*'Real assumptions'!$B$3</f>
        <v>0</v>
      </c>
      <c r="H792">
        <f t="shared" si="569"/>
        <v>0</v>
      </c>
      <c r="I792">
        <f t="shared" si="570"/>
        <v>0</v>
      </c>
      <c r="J792">
        <f>IF(B792&gt;$AJ$2,0,HLOOKUP(C792,'Real assumptions'!$B$5:$L$8,4,TRUE))</f>
        <v>3.7900000000000003E-2</v>
      </c>
      <c r="K792">
        <f t="shared" si="576"/>
        <v>1</v>
      </c>
      <c r="L792">
        <f t="shared" si="604"/>
        <v>8.3333333333333329E-2</v>
      </c>
      <c r="M792">
        <f t="shared" si="571"/>
        <v>3.2145624959929453E-3</v>
      </c>
      <c r="N792">
        <f t="shared" si="572"/>
        <v>8.7945748952665881E-8</v>
      </c>
      <c r="O792" s="8">
        <f t="shared" si="588"/>
        <v>2.7270598084708388E-5</v>
      </c>
      <c r="P792">
        <f t="shared" si="589"/>
        <v>6.5660505200786535E-4</v>
      </c>
      <c r="Q792">
        <f t="shared" si="605"/>
        <v>0</v>
      </c>
      <c r="R792" s="89">
        <f t="shared" si="577"/>
        <v>5000</v>
      </c>
      <c r="S792">
        <f t="shared" si="578"/>
        <v>0.9166666666666714</v>
      </c>
      <c r="U792">
        <f>O791*AV791*'Real assumptions'!$B$33/12+AX792*'Real assumptions'!$B$34</f>
        <v>6.3641215053572575E-4</v>
      </c>
      <c r="V792">
        <f>IF(P792=0,0,IF(E792&lt;=$C$7,$AN$5*O791,0))*'Real assumptions'!$D$28</f>
        <v>0</v>
      </c>
      <c r="X792" s="94">
        <f t="shared" si="590"/>
        <v>0</v>
      </c>
      <c r="Y792">
        <f t="shared" si="579"/>
        <v>24</v>
      </c>
      <c r="Z792">
        <f t="shared" si="606"/>
        <v>34</v>
      </c>
      <c r="AA792">
        <f t="shared" si="580"/>
        <v>33.916666666666671</v>
      </c>
      <c r="AB792">
        <f t="shared" si="591"/>
        <v>50.505050505050505</v>
      </c>
      <c r="AC792">
        <f t="shared" si="573"/>
        <v>1712.9629629629633</v>
      </c>
      <c r="AD792">
        <f t="shared" si="592"/>
        <v>80.505050505050505</v>
      </c>
      <c r="AE792">
        <f t="shared" si="593"/>
        <v>136.52314814814815</v>
      </c>
      <c r="AF792" s="94">
        <f t="shared" si="594"/>
        <v>3150.5138888888882</v>
      </c>
      <c r="AG792">
        <f t="shared" si="607"/>
        <v>2.7707430354410927E-4</v>
      </c>
      <c r="AH792">
        <f t="shared" si="595"/>
        <v>8.5916398024180496E-2</v>
      </c>
      <c r="AI792">
        <f>HLOOKUP(AW792,'Real assumptions'!$A$21:$AK$24,2,TRUE)</f>
        <v>0</v>
      </c>
      <c r="AJ792" s="123">
        <f t="shared" si="574"/>
        <v>0</v>
      </c>
      <c r="AK792" s="122">
        <f>(1+HLOOKUP(YEAR(A792),'Real assumptions'!$A$21:$AK$24,2,TRUE)/100)^(1/12)-1</f>
        <v>0</v>
      </c>
      <c r="AL792">
        <f t="shared" si="608"/>
        <v>6.3641215053572575E-4</v>
      </c>
      <c r="AM792">
        <f>('Real assumptions'!$B$33/12)*O791*AV791</f>
        <v>6.1280241036656578E-4</v>
      </c>
      <c r="AN792">
        <f t="shared" si="596"/>
        <v>8.6089342755386974E-2</v>
      </c>
      <c r="AO792">
        <f t="shared" si="575"/>
        <v>0</v>
      </c>
      <c r="AP792" s="121">
        <f t="shared" si="597"/>
        <v>0</v>
      </c>
      <c r="AQ792">
        <f t="shared" si="598"/>
        <v>0</v>
      </c>
      <c r="AR792">
        <v>0</v>
      </c>
      <c r="AS792">
        <f t="shared" si="581"/>
        <v>0</v>
      </c>
      <c r="AT792">
        <f t="shared" si="599"/>
        <v>0</v>
      </c>
      <c r="AU792">
        <f>IFERROR(HLOOKUP(B792,'Real assumptions'!$B$43:$AL$44,2,TRUE)*($W$3/$U$2),0)</f>
        <v>0</v>
      </c>
      <c r="AV792">
        <f>AV791*(1+'Real assumptions'!$B$35)^(1/12)</f>
        <v>2.242214065743322</v>
      </c>
      <c r="AW792">
        <f t="shared" si="582"/>
        <v>2083</v>
      </c>
      <c r="AX792">
        <f t="shared" si="609"/>
        <v>8.618429524042015E-2</v>
      </c>
      <c r="AY792">
        <f t="shared" si="610"/>
        <v>1.1514538650530746E-4</v>
      </c>
      <c r="AZ792">
        <f t="shared" si="583"/>
        <v>0.10049076940486222</v>
      </c>
      <c r="BA792">
        <f t="shared" si="600"/>
        <v>2.7707430354410927E-4</v>
      </c>
      <c r="BB792">
        <f t="shared" si="601"/>
        <v>33.916666666666671</v>
      </c>
      <c r="BC792">
        <f t="shared" si="584"/>
        <v>20.350000000000001</v>
      </c>
      <c r="BD792">
        <f t="shared" si="602"/>
        <v>0</v>
      </c>
      <c r="BE792">
        <f t="shared" si="585"/>
        <v>24</v>
      </c>
      <c r="BF792">
        <f t="shared" si="611"/>
        <v>5000</v>
      </c>
      <c r="BU792"/>
      <c r="DW792" s="89"/>
      <c r="DX792" s="89"/>
      <c r="FD792"/>
      <c r="FE792"/>
    </row>
    <row r="793" spans="1:161" x14ac:dyDescent="0.25">
      <c r="A793" s="7">
        <f t="shared" si="603"/>
        <v>67237</v>
      </c>
      <c r="B793">
        <f t="shared" si="586"/>
        <v>782</v>
      </c>
      <c r="C793">
        <f t="shared" si="567"/>
        <v>65.083333333333329</v>
      </c>
      <c r="D793">
        <f t="shared" si="568"/>
        <v>0</v>
      </c>
      <c r="E793">
        <f t="shared" si="587"/>
        <v>117</v>
      </c>
      <c r="F793">
        <f>IF(C793&gt;=$T$2,0,VLOOKUP($E793,EKM_F05!$A$3:$C$128,2,TRUE))</f>
        <v>0</v>
      </c>
      <c r="G793">
        <f>F793*'Real assumptions'!$B$3</f>
        <v>0</v>
      </c>
      <c r="H793">
        <f t="shared" si="569"/>
        <v>0</v>
      </c>
      <c r="I793">
        <f t="shared" si="570"/>
        <v>0</v>
      </c>
      <c r="J793">
        <f>IF(B793&gt;$AJ$2,0,HLOOKUP(C793,'Real assumptions'!$B$5:$L$8,4,TRUE))</f>
        <v>3.7900000000000003E-2</v>
      </c>
      <c r="K793">
        <f t="shared" si="576"/>
        <v>1</v>
      </c>
      <c r="L793">
        <f t="shared" si="604"/>
        <v>8.3333333333333329E-2</v>
      </c>
      <c r="M793">
        <f t="shared" si="571"/>
        <v>3.2145624959929453E-3</v>
      </c>
      <c r="N793">
        <f t="shared" si="572"/>
        <v>8.7663041846400623E-8</v>
      </c>
      <c r="O793" s="8">
        <f t="shared" si="588"/>
        <v>2.7182935042861987E-5</v>
      </c>
      <c r="P793">
        <f t="shared" si="589"/>
        <v>6.5449435403300131E-4</v>
      </c>
      <c r="Q793">
        <f t="shared" si="605"/>
        <v>0</v>
      </c>
      <c r="R793" s="89">
        <f t="shared" si="577"/>
        <v>5000</v>
      </c>
      <c r="S793">
        <f t="shared" si="578"/>
        <v>0.8333333333333286</v>
      </c>
      <c r="U793">
        <f>O792*AV792*'Real assumptions'!$B$33/12+AX793*'Real assumptions'!$B$34</f>
        <v>6.3503297926773841E-4</v>
      </c>
      <c r="V793">
        <f>IF(P793=0,0,IF(E793&lt;=$C$7,$AN$5*O792,0))*'Real assumptions'!$D$28</f>
        <v>0</v>
      </c>
      <c r="X793" s="94">
        <f t="shared" si="590"/>
        <v>0</v>
      </c>
      <c r="Y793">
        <f t="shared" si="579"/>
        <v>24</v>
      </c>
      <c r="Z793">
        <f t="shared" si="606"/>
        <v>33</v>
      </c>
      <c r="AA793">
        <f t="shared" si="580"/>
        <v>33.833333333333329</v>
      </c>
      <c r="AB793">
        <f t="shared" si="591"/>
        <v>50.505050505050505</v>
      </c>
      <c r="AC793">
        <f t="shared" si="573"/>
        <v>1708.7542087542085</v>
      </c>
      <c r="AD793">
        <f t="shared" si="592"/>
        <v>80.505050505050505</v>
      </c>
      <c r="AE793">
        <f t="shared" si="593"/>
        <v>136.18771043771042</v>
      </c>
      <c r="AF793" s="94">
        <f t="shared" si="594"/>
        <v>3155.0580808080808</v>
      </c>
      <c r="AG793">
        <f t="shared" si="607"/>
        <v>2.7658198856570323E-4</v>
      </c>
      <c r="AH793">
        <f t="shared" si="595"/>
        <v>8.5763738867062872E-2</v>
      </c>
      <c r="AI793">
        <f>HLOOKUP(AW793,'Real assumptions'!$A$21:$AK$24,2,TRUE)</f>
        <v>0</v>
      </c>
      <c r="AJ793" s="123">
        <f t="shared" si="574"/>
        <v>0</v>
      </c>
      <c r="AK793" s="122">
        <f>(1+HLOOKUP(YEAR(A793),'Real assumptions'!$A$21:$AK$24,2,TRUE)/100)^(1/12)-1</f>
        <v>0</v>
      </c>
      <c r="AL793">
        <f t="shared" si="608"/>
        <v>6.3503297926773841E-4</v>
      </c>
      <c r="AM793">
        <f>('Real assumptions'!$B$33/12)*O792*AV792</f>
        <v>6.1146518606766047E-4</v>
      </c>
      <c r="AN793">
        <f t="shared" si="596"/>
        <v>8.5935859398945755E-2</v>
      </c>
      <c r="AO793">
        <f t="shared" si="575"/>
        <v>0</v>
      </c>
      <c r="AP793" s="121">
        <f t="shared" si="597"/>
        <v>0</v>
      </c>
      <c r="AQ793">
        <f t="shared" si="598"/>
        <v>0</v>
      </c>
      <c r="AR793">
        <v>0</v>
      </c>
      <c r="AS793">
        <f t="shared" si="581"/>
        <v>0</v>
      </c>
      <c r="AT793">
        <f t="shared" si="599"/>
        <v>0</v>
      </c>
      <c r="AU793">
        <f>IFERROR(HLOOKUP(B793,'Real assumptions'!$B$43:$AL$44,2,TRUE)*($W$3/$U$2),0)</f>
        <v>0</v>
      </c>
      <c r="AV793">
        <f>AV792*(1+'Real assumptions'!$B$35)^(1/12)</f>
        <v>2.2445364300260162</v>
      </c>
      <c r="AW793">
        <f t="shared" si="582"/>
        <v>2084</v>
      </c>
      <c r="AX793">
        <f t="shared" si="609"/>
        <v>8.6031173268644762E-2</v>
      </c>
      <c r="AY793">
        <f t="shared" si="610"/>
        <v>1.1477524446426088E-4</v>
      </c>
      <c r="AZ793">
        <f t="shared" si="583"/>
        <v>0.10023364879106178</v>
      </c>
      <c r="BA793">
        <f t="shared" si="600"/>
        <v>2.7658198856570323E-4</v>
      </c>
      <c r="BB793">
        <f t="shared" si="601"/>
        <v>33.833333333333329</v>
      </c>
      <c r="BC793">
        <f t="shared" si="584"/>
        <v>20.299999999999997</v>
      </c>
      <c r="BD793">
        <f t="shared" si="602"/>
        <v>0</v>
      </c>
      <c r="BE793">
        <f t="shared" si="585"/>
        <v>24</v>
      </c>
      <c r="BF793">
        <f t="shared" si="611"/>
        <v>5000</v>
      </c>
      <c r="BU793"/>
      <c r="DW793" s="89"/>
      <c r="DX793" s="89"/>
      <c r="FD793"/>
      <c r="FE793"/>
    </row>
    <row r="794" spans="1:161" x14ac:dyDescent="0.25">
      <c r="A794" s="7">
        <f t="shared" si="603"/>
        <v>67266</v>
      </c>
      <c r="B794">
        <f t="shared" si="586"/>
        <v>783</v>
      </c>
      <c r="C794">
        <f t="shared" si="567"/>
        <v>65.166666666666671</v>
      </c>
      <c r="D794">
        <f t="shared" si="568"/>
        <v>0</v>
      </c>
      <c r="E794">
        <f t="shared" si="587"/>
        <v>117</v>
      </c>
      <c r="F794">
        <f>IF(C794&gt;=$T$2,0,VLOOKUP($E794,EKM_F05!$A$3:$C$128,2,TRUE))</f>
        <v>0</v>
      </c>
      <c r="G794">
        <f>F794*'Real assumptions'!$B$3</f>
        <v>0</v>
      </c>
      <c r="H794">
        <f t="shared" si="569"/>
        <v>0</v>
      </c>
      <c r="I794">
        <f t="shared" si="570"/>
        <v>0</v>
      </c>
      <c r="J794">
        <f>IF(B794&gt;$AJ$2,0,HLOOKUP(C794,'Real assumptions'!$B$5:$L$8,4,TRUE))</f>
        <v>3.7900000000000003E-2</v>
      </c>
      <c r="K794">
        <f t="shared" si="576"/>
        <v>1</v>
      </c>
      <c r="L794">
        <f t="shared" si="604"/>
        <v>8.3333333333333329E-2</v>
      </c>
      <c r="M794">
        <f t="shared" si="571"/>
        <v>3.2145624959929453E-3</v>
      </c>
      <c r="N794">
        <f t="shared" si="572"/>
        <v>8.7381243519796526E-8</v>
      </c>
      <c r="O794" s="8">
        <f t="shared" si="588"/>
        <v>2.709555379934219E-5</v>
      </c>
      <c r="P794">
        <f t="shared" si="589"/>
        <v>6.5239044102868772E-4</v>
      </c>
      <c r="Q794">
        <f t="shared" si="605"/>
        <v>0</v>
      </c>
      <c r="R794" s="89">
        <f t="shared" si="577"/>
        <v>5000</v>
      </c>
      <c r="S794">
        <f t="shared" si="578"/>
        <v>0.75</v>
      </c>
      <c r="U794">
        <f>O793*AV793*'Real assumptions'!$B$33/12+AX794*'Real assumptions'!$B$34</f>
        <v>6.3365675173147537E-4</v>
      </c>
      <c r="V794">
        <f>IF(P794=0,0,IF(E794&lt;=$C$7,$AN$5*O793,0))*'Real assumptions'!$D$28</f>
        <v>0</v>
      </c>
      <c r="X794" s="94">
        <f t="shared" si="590"/>
        <v>0</v>
      </c>
      <c r="Y794">
        <f t="shared" si="579"/>
        <v>24</v>
      </c>
      <c r="Z794">
        <f t="shared" si="606"/>
        <v>33</v>
      </c>
      <c r="AA794">
        <f t="shared" si="580"/>
        <v>33.75</v>
      </c>
      <c r="AB794">
        <f t="shared" si="591"/>
        <v>50.505050505050505</v>
      </c>
      <c r="AC794">
        <f t="shared" si="573"/>
        <v>1704.5454545454545</v>
      </c>
      <c r="AD794">
        <f t="shared" si="592"/>
        <v>80.505050505050505</v>
      </c>
      <c r="AE794">
        <f t="shared" si="593"/>
        <v>135.85227272727272</v>
      </c>
      <c r="AF794" s="94">
        <f t="shared" si="594"/>
        <v>3159.602272727273</v>
      </c>
      <c r="AG794">
        <f t="shared" si="607"/>
        <v>2.7608997561888438E-4</v>
      </c>
      <c r="AH794">
        <f t="shared" si="595"/>
        <v>8.5611173365205684E-2</v>
      </c>
      <c r="AI794">
        <f>HLOOKUP(AW794,'Real assumptions'!$A$21:$AK$24,2,TRUE)</f>
        <v>0</v>
      </c>
      <c r="AJ794" s="123">
        <f t="shared" si="574"/>
        <v>0</v>
      </c>
      <c r="AK794" s="122">
        <f>(1+HLOOKUP(YEAR(A794),'Real assumptions'!$A$21:$AK$24,2,TRUE)/100)^(1/12)-1</f>
        <v>0</v>
      </c>
      <c r="AL794">
        <f t="shared" si="608"/>
        <v>6.3365675173147537E-4</v>
      </c>
      <c r="AM794">
        <f>('Real assumptions'!$B$33/12)*O793*AV793</f>
        <v>6.1013087978734548E-4</v>
      </c>
      <c r="AN794">
        <f t="shared" si="596"/>
        <v>8.5782472556360082E-2</v>
      </c>
      <c r="AO794">
        <f t="shared" si="575"/>
        <v>0</v>
      </c>
      <c r="AP794" s="121">
        <f t="shared" si="597"/>
        <v>0</v>
      </c>
      <c r="AQ794">
        <f t="shared" si="598"/>
        <v>0</v>
      </c>
      <c r="AR794">
        <v>0</v>
      </c>
      <c r="AS794">
        <f t="shared" si="581"/>
        <v>0</v>
      </c>
      <c r="AT794">
        <f t="shared" si="599"/>
        <v>0</v>
      </c>
      <c r="AU794">
        <f>IFERROR(HLOOKUP(B794,'Real assumptions'!$B$43:$AL$44,2,TRUE)*($W$3/$U$2),0)</f>
        <v>0</v>
      </c>
      <c r="AV794">
        <f>AV793*(1+'Real assumptions'!$B$35)^(1/12)</f>
        <v>2.246861199688261</v>
      </c>
      <c r="AW794">
        <f t="shared" si="582"/>
        <v>2084</v>
      </c>
      <c r="AX794">
        <f t="shared" si="609"/>
        <v>8.5878145159330815E-2</v>
      </c>
      <c r="AY794">
        <f t="shared" si="610"/>
        <v>1.1440629226793765E-4</v>
      </c>
      <c r="AZ794">
        <f t="shared" si="583"/>
        <v>9.9976292504740105E-2</v>
      </c>
      <c r="BA794">
        <f t="shared" si="600"/>
        <v>2.7608997561888438E-4</v>
      </c>
      <c r="BB794">
        <f t="shared" si="601"/>
        <v>33.75</v>
      </c>
      <c r="BC794">
        <f t="shared" si="584"/>
        <v>20.25</v>
      </c>
      <c r="BD794">
        <f t="shared" si="602"/>
        <v>0</v>
      </c>
      <c r="BE794">
        <f t="shared" si="585"/>
        <v>24</v>
      </c>
      <c r="BF794">
        <f t="shared" si="611"/>
        <v>5000</v>
      </c>
      <c r="BU794"/>
      <c r="DW794" s="89"/>
      <c r="DX794" s="89"/>
      <c r="FD794"/>
      <c r="FE794"/>
    </row>
    <row r="795" spans="1:161" x14ac:dyDescent="0.25">
      <c r="A795" s="7">
        <f t="shared" si="603"/>
        <v>67297</v>
      </c>
      <c r="B795">
        <f t="shared" si="586"/>
        <v>784</v>
      </c>
      <c r="C795">
        <f t="shared" si="567"/>
        <v>65.25</v>
      </c>
      <c r="D795">
        <f t="shared" si="568"/>
        <v>0</v>
      </c>
      <c r="E795">
        <f t="shared" si="587"/>
        <v>117</v>
      </c>
      <c r="F795">
        <f>IF(C795&gt;=$T$2,0,VLOOKUP($E795,EKM_F05!$A$3:$C$128,2,TRUE))</f>
        <v>0</v>
      </c>
      <c r="G795">
        <f>F795*'Real assumptions'!$B$3</f>
        <v>0</v>
      </c>
      <c r="H795">
        <f t="shared" si="569"/>
        <v>0</v>
      </c>
      <c r="I795">
        <f t="shared" si="570"/>
        <v>0</v>
      </c>
      <c r="J795">
        <f>IF(B795&gt;$AJ$2,0,HLOOKUP(C795,'Real assumptions'!$B$5:$L$8,4,TRUE))</f>
        <v>3.7900000000000003E-2</v>
      </c>
      <c r="K795">
        <f t="shared" si="576"/>
        <v>1</v>
      </c>
      <c r="L795">
        <f t="shared" si="604"/>
        <v>8.3333333333333329E-2</v>
      </c>
      <c r="M795">
        <f t="shared" si="571"/>
        <v>3.2145624959929453E-3</v>
      </c>
      <c r="N795">
        <f t="shared" si="572"/>
        <v>8.7100351051524559E-8</v>
      </c>
      <c r="O795" s="8">
        <f t="shared" si="588"/>
        <v>2.7008453448290665E-5</v>
      </c>
      <c r="P795">
        <f t="shared" si="589"/>
        <v>6.5029329118421251E-4</v>
      </c>
      <c r="Q795">
        <f t="shared" si="605"/>
        <v>0</v>
      </c>
      <c r="R795" s="89">
        <f t="shared" si="577"/>
        <v>5000</v>
      </c>
      <c r="S795">
        <f t="shared" si="578"/>
        <v>0.6666666666666714</v>
      </c>
      <c r="U795">
        <f>O794*AV794*'Real assumptions'!$B$33/12+AX795*'Real assumptions'!$B$34</f>
        <v>6.3228346182753626E-4</v>
      </c>
      <c r="V795">
        <f>IF(P795=0,0,IF(E795&lt;=$C$7,$AN$5*O794,0))*'Real assumptions'!$D$28</f>
        <v>0</v>
      </c>
      <c r="X795" s="94">
        <f t="shared" si="590"/>
        <v>0</v>
      </c>
      <c r="Y795">
        <f t="shared" si="579"/>
        <v>24</v>
      </c>
      <c r="Z795">
        <f t="shared" si="606"/>
        <v>33</v>
      </c>
      <c r="AA795">
        <f t="shared" si="580"/>
        <v>33.666666666666671</v>
      </c>
      <c r="AB795">
        <f t="shared" si="591"/>
        <v>50.505050505050505</v>
      </c>
      <c r="AC795">
        <f t="shared" si="573"/>
        <v>1700.3367003367007</v>
      </c>
      <c r="AD795">
        <f t="shared" si="592"/>
        <v>80.505050505050505</v>
      </c>
      <c r="AE795">
        <f t="shared" si="593"/>
        <v>135.51683501683502</v>
      </c>
      <c r="AF795" s="94">
        <f t="shared" si="594"/>
        <v>3164.1464646464642</v>
      </c>
      <c r="AG795">
        <f t="shared" si="607"/>
        <v>2.7559826784914738E-4</v>
      </c>
      <c r="AH795">
        <f t="shared" si="595"/>
        <v>8.5458702493977509E-2</v>
      </c>
      <c r="AI795">
        <f>HLOOKUP(AW795,'Real assumptions'!$A$21:$AK$24,2,TRUE)</f>
        <v>0</v>
      </c>
      <c r="AJ795" s="123">
        <f t="shared" si="574"/>
        <v>0</v>
      </c>
      <c r="AK795" s="122">
        <f>(1+HLOOKUP(YEAR(A795),'Real assumptions'!$A$21:$AK$24,2,TRUE)/100)^(1/12)-1</f>
        <v>0</v>
      </c>
      <c r="AL795">
        <f t="shared" si="608"/>
        <v>6.3228346182753626E-4</v>
      </c>
      <c r="AM795">
        <f>('Real assumptions'!$B$33/12)*O794*AV794</f>
        <v>6.0879948515807814E-4</v>
      </c>
      <c r="AN795">
        <f t="shared" si="596"/>
        <v>8.5629183194562364E-2</v>
      </c>
      <c r="AO795">
        <f t="shared" si="575"/>
        <v>0</v>
      </c>
      <c r="AP795" s="121">
        <f t="shared" si="597"/>
        <v>0</v>
      </c>
      <c r="AQ795">
        <f t="shared" si="598"/>
        <v>0</v>
      </c>
      <c r="AR795">
        <v>0</v>
      </c>
      <c r="AS795">
        <f t="shared" si="581"/>
        <v>0</v>
      </c>
      <c r="AT795">
        <f t="shared" si="599"/>
        <v>0</v>
      </c>
      <c r="AU795">
        <f>IFERROR(HLOOKUP(B795,'Real assumptions'!$B$43:$AL$44,2,TRUE)*($W$3/$U$2),0)</f>
        <v>0</v>
      </c>
      <c r="AV795">
        <f>AV794*(1+'Real assumptions'!$B$35)^(1/12)</f>
        <v>2.2491883772214187</v>
      </c>
      <c r="AW795">
        <f t="shared" si="582"/>
        <v>2084</v>
      </c>
      <c r="AX795">
        <f t="shared" si="609"/>
        <v>8.5725211891297198E-2</v>
      </c>
      <c r="AY795">
        <f t="shared" si="610"/>
        <v>1.1403852609150752E-4</v>
      </c>
      <c r="AZ795">
        <f t="shared" si="583"/>
        <v>9.9718704066247638E-2</v>
      </c>
      <c r="BA795">
        <f t="shared" si="600"/>
        <v>2.7559826784914738E-4</v>
      </c>
      <c r="BB795">
        <f t="shared" si="601"/>
        <v>33.666666666666671</v>
      </c>
      <c r="BC795">
        <f t="shared" si="584"/>
        <v>20.200000000000003</v>
      </c>
      <c r="BD795">
        <f t="shared" si="602"/>
        <v>0</v>
      </c>
      <c r="BE795">
        <f t="shared" si="585"/>
        <v>24</v>
      </c>
      <c r="BF795">
        <f t="shared" si="611"/>
        <v>5000</v>
      </c>
      <c r="BU795"/>
      <c r="DW795" s="89"/>
      <c r="DX795" s="89"/>
      <c r="FD795"/>
      <c r="FE795"/>
    </row>
    <row r="796" spans="1:161" x14ac:dyDescent="0.25">
      <c r="A796" s="7">
        <f t="shared" si="603"/>
        <v>67327</v>
      </c>
      <c r="B796">
        <f t="shared" si="586"/>
        <v>785</v>
      </c>
      <c r="C796">
        <f t="shared" si="567"/>
        <v>65.333333333333329</v>
      </c>
      <c r="D796">
        <f t="shared" si="568"/>
        <v>0</v>
      </c>
      <c r="E796">
        <f t="shared" si="587"/>
        <v>117</v>
      </c>
      <c r="F796">
        <f>IF(C796&gt;=$T$2,0,VLOOKUP($E796,EKM_F05!$A$3:$C$128,2,TRUE))</f>
        <v>0</v>
      </c>
      <c r="G796">
        <f>F796*'Real assumptions'!$B$3</f>
        <v>0</v>
      </c>
      <c r="H796">
        <f t="shared" si="569"/>
        <v>0</v>
      </c>
      <c r="I796">
        <f t="shared" si="570"/>
        <v>0</v>
      </c>
      <c r="J796">
        <f>IF(B796&gt;$AJ$2,0,HLOOKUP(C796,'Real assumptions'!$B$5:$L$8,4,TRUE))</f>
        <v>3.7900000000000003E-2</v>
      </c>
      <c r="K796">
        <f t="shared" si="576"/>
        <v>1</v>
      </c>
      <c r="L796">
        <f t="shared" si="604"/>
        <v>8.3333333333333329E-2</v>
      </c>
      <c r="M796">
        <f t="shared" si="571"/>
        <v>3.2145624959929453E-3</v>
      </c>
      <c r="N796">
        <f t="shared" si="572"/>
        <v>8.6820361529646504E-8</v>
      </c>
      <c r="O796" s="8">
        <f t="shared" si="588"/>
        <v>2.6921633086761019E-5</v>
      </c>
      <c r="P796">
        <f t="shared" si="589"/>
        <v>6.4820288275897601E-4</v>
      </c>
      <c r="Q796">
        <f t="shared" si="605"/>
        <v>0</v>
      </c>
      <c r="R796" s="89">
        <f t="shared" si="577"/>
        <v>5000</v>
      </c>
      <c r="S796">
        <f t="shared" si="578"/>
        <v>0.5833333333333286</v>
      </c>
      <c r="U796">
        <f>O795*AV795*'Real assumptions'!$B$33/12+AX796*'Real assumptions'!$B$34</f>
        <v>6.3091310346842641E-4</v>
      </c>
      <c r="V796">
        <f>IF(P796=0,0,IF(E796&lt;=$C$7,$AN$5*O795,0))*'Real assumptions'!$D$28</f>
        <v>0</v>
      </c>
      <c r="X796" s="94">
        <f t="shared" si="590"/>
        <v>0</v>
      </c>
      <c r="Y796">
        <f t="shared" si="579"/>
        <v>24</v>
      </c>
      <c r="Z796">
        <f t="shared" si="606"/>
        <v>33</v>
      </c>
      <c r="AA796">
        <f t="shared" si="580"/>
        <v>33.583333333333329</v>
      </c>
      <c r="AB796">
        <f t="shared" si="591"/>
        <v>50.505050505050505</v>
      </c>
      <c r="AC796">
        <f t="shared" si="573"/>
        <v>1696.127946127946</v>
      </c>
      <c r="AD796">
        <f t="shared" si="592"/>
        <v>80.505050505050505</v>
      </c>
      <c r="AE796">
        <f t="shared" si="593"/>
        <v>135.18139730639729</v>
      </c>
      <c r="AF796" s="94">
        <f t="shared" si="594"/>
        <v>3168.6906565656568</v>
      </c>
      <c r="AG796">
        <f t="shared" si="607"/>
        <v>2.7510686837864325E-4</v>
      </c>
      <c r="AH796">
        <f t="shared" si="595"/>
        <v>8.5306327221508479E-2</v>
      </c>
      <c r="AI796">
        <f>HLOOKUP(AW796,'Real assumptions'!$A$21:$AK$24,2,TRUE)</f>
        <v>0</v>
      </c>
      <c r="AJ796" s="123">
        <f t="shared" si="574"/>
        <v>0</v>
      </c>
      <c r="AK796" s="122">
        <f>(1+HLOOKUP(YEAR(A796),'Real assumptions'!$A$21:$AK$24,2,TRUE)/100)^(1/12)-1</f>
        <v>0</v>
      </c>
      <c r="AL796">
        <f t="shared" si="608"/>
        <v>6.3091310346842641E-4</v>
      </c>
      <c r="AM796">
        <f>('Real assumptions'!$B$33/12)*O795*AV795</f>
        <v>6.0747099582621113E-4</v>
      </c>
      <c r="AN796">
        <f t="shared" si="596"/>
        <v>8.5475992273268062E-2</v>
      </c>
      <c r="AO796">
        <f t="shared" si="575"/>
        <v>0</v>
      </c>
      <c r="AP796" s="121">
        <f t="shared" si="597"/>
        <v>0</v>
      </c>
      <c r="AQ796">
        <f t="shared" si="598"/>
        <v>0</v>
      </c>
      <c r="AR796">
        <v>0</v>
      </c>
      <c r="AS796">
        <f t="shared" si="581"/>
        <v>0</v>
      </c>
      <c r="AT796">
        <f t="shared" si="599"/>
        <v>0</v>
      </c>
      <c r="AU796">
        <f>IFERROR(HLOOKUP(B796,'Real assumptions'!$B$43:$AL$44,2,TRUE)*($W$3/$U$2),0)</f>
        <v>0</v>
      </c>
      <c r="AV796">
        <f>AV795*(1+'Real assumptions'!$B$35)^(1/12)</f>
        <v>2.2515179651194317</v>
      </c>
      <c r="AW796">
        <f t="shared" si="582"/>
        <v>2084</v>
      </c>
      <c r="AX796">
        <f t="shared" si="609"/>
        <v>8.5572374436099941E-2</v>
      </c>
      <c r="AY796">
        <f t="shared" si="610"/>
        <v>1.1367194212243545E-4</v>
      </c>
      <c r="AZ796">
        <f t="shared" si="583"/>
        <v>9.9460886977159546E-2</v>
      </c>
      <c r="BA796">
        <f t="shared" si="600"/>
        <v>2.7510686837864325E-4</v>
      </c>
      <c r="BB796">
        <f t="shared" si="601"/>
        <v>33.583333333333329</v>
      </c>
      <c r="BC796">
        <f t="shared" si="584"/>
        <v>20.149999999999999</v>
      </c>
      <c r="BD796">
        <f t="shared" si="602"/>
        <v>0</v>
      </c>
      <c r="BE796">
        <f t="shared" si="585"/>
        <v>24</v>
      </c>
      <c r="BF796">
        <f t="shared" si="611"/>
        <v>5000</v>
      </c>
      <c r="BU796"/>
      <c r="DW796" s="89"/>
      <c r="DX796" s="89"/>
      <c r="FD796"/>
      <c r="FE796"/>
    </row>
    <row r="797" spans="1:161" x14ac:dyDescent="0.25">
      <c r="A797" s="7">
        <f t="shared" si="603"/>
        <v>67358</v>
      </c>
      <c r="B797">
        <f t="shared" si="586"/>
        <v>786</v>
      </c>
      <c r="C797">
        <f t="shared" si="567"/>
        <v>65.416666666666671</v>
      </c>
      <c r="D797">
        <f t="shared" si="568"/>
        <v>0</v>
      </c>
      <c r="E797">
        <f t="shared" si="587"/>
        <v>117</v>
      </c>
      <c r="F797">
        <f>IF(C797&gt;=$T$2,0,VLOOKUP($E797,EKM_F05!$A$3:$C$128,2,TRUE))</f>
        <v>0</v>
      </c>
      <c r="G797">
        <f>F797*'Real assumptions'!$B$3</f>
        <v>0</v>
      </c>
      <c r="H797">
        <f t="shared" si="569"/>
        <v>0</v>
      </c>
      <c r="I797">
        <f t="shared" si="570"/>
        <v>0</v>
      </c>
      <c r="J797">
        <f>IF(B797&gt;$AJ$2,0,HLOOKUP(C797,'Real assumptions'!$B$5:$L$8,4,TRUE))</f>
        <v>3.7900000000000003E-2</v>
      </c>
      <c r="K797">
        <f t="shared" si="576"/>
        <v>1</v>
      </c>
      <c r="L797">
        <f t="shared" si="604"/>
        <v>8.3333333333333329E-2</v>
      </c>
      <c r="M797">
        <f t="shared" si="571"/>
        <v>3.2145624959929453E-3</v>
      </c>
      <c r="N797">
        <f t="shared" si="572"/>
        <v>8.6541272051584758E-8</v>
      </c>
      <c r="O797" s="8">
        <f t="shared" si="588"/>
        <v>2.6835091814709433E-5</v>
      </c>
      <c r="P797">
        <f t="shared" si="589"/>
        <v>6.4611919408226449E-4</v>
      </c>
      <c r="Q797">
        <f t="shared" si="605"/>
        <v>0</v>
      </c>
      <c r="R797" s="89">
        <f t="shared" si="577"/>
        <v>5000</v>
      </c>
      <c r="S797">
        <f t="shared" si="578"/>
        <v>0.5</v>
      </c>
      <c r="U797">
        <f>O796*AV796*'Real assumptions'!$B$33/12+AX797*'Real assumptions'!$B$34</f>
        <v>6.2954567057853608E-4</v>
      </c>
      <c r="V797">
        <f>IF(P797=0,0,IF(E797&lt;=$C$7,$AN$5*O796,0))*'Real assumptions'!$D$28</f>
        <v>0</v>
      </c>
      <c r="X797" s="94">
        <f t="shared" si="590"/>
        <v>0</v>
      </c>
      <c r="Y797">
        <f t="shared" si="579"/>
        <v>24</v>
      </c>
      <c r="Z797">
        <f t="shared" si="606"/>
        <v>33</v>
      </c>
      <c r="AA797">
        <f t="shared" si="580"/>
        <v>33.5</v>
      </c>
      <c r="AB797">
        <f t="shared" si="591"/>
        <v>50.505050505050505</v>
      </c>
      <c r="AC797">
        <f t="shared" si="573"/>
        <v>1691.9191919191919</v>
      </c>
      <c r="AD797">
        <f t="shared" si="592"/>
        <v>80.505050505050505</v>
      </c>
      <c r="AE797">
        <f t="shared" si="593"/>
        <v>134.84595959595958</v>
      </c>
      <c r="AF797" s="94">
        <f t="shared" si="594"/>
        <v>3173.234848484849</v>
      </c>
      <c r="AG797">
        <f t="shared" si="607"/>
        <v>2.7461578030629665E-4</v>
      </c>
      <c r="AH797">
        <f t="shared" si="595"/>
        <v>8.5154048508726501E-2</v>
      </c>
      <c r="AI797">
        <f>HLOOKUP(AW797,'Real assumptions'!$A$21:$AK$24,2,TRUE)</f>
        <v>0</v>
      </c>
      <c r="AJ797" s="123">
        <f t="shared" si="574"/>
        <v>0</v>
      </c>
      <c r="AK797" s="122">
        <f>(1+HLOOKUP(YEAR(A797),'Real assumptions'!$A$21:$AK$24,2,TRUE)/100)^(1/12)-1</f>
        <v>0</v>
      </c>
      <c r="AL797">
        <f t="shared" si="608"/>
        <v>6.2954567057853608E-4</v>
      </c>
      <c r="AM797">
        <f>('Real assumptions'!$B$33/12)*O796*AV796</f>
        <v>6.0614540545196138E-4</v>
      </c>
      <c r="AN797">
        <f t="shared" si="596"/>
        <v>8.5322900745012212E-2</v>
      </c>
      <c r="AO797">
        <f t="shared" si="575"/>
        <v>0</v>
      </c>
      <c r="AP797" s="121">
        <f t="shared" si="597"/>
        <v>0</v>
      </c>
      <c r="AQ797">
        <f t="shared" si="598"/>
        <v>0</v>
      </c>
      <c r="AR797">
        <v>0</v>
      </c>
      <c r="AS797">
        <f t="shared" si="581"/>
        <v>0</v>
      </c>
      <c r="AT797">
        <f t="shared" si="599"/>
        <v>0</v>
      </c>
      <c r="AU797">
        <f>IFERROR(HLOOKUP(B797,'Real assumptions'!$B$43:$AL$44,2,TRUE)*($W$3/$U$2),0)</f>
        <v>0</v>
      </c>
      <c r="AV797">
        <f>AV796*(1+'Real assumptions'!$B$35)^(1/12)</f>
        <v>2.253849965878826</v>
      </c>
      <c r="AW797">
        <f t="shared" si="582"/>
        <v>2084</v>
      </c>
      <c r="AX797">
        <f t="shared" si="609"/>
        <v>8.5419633758068922E-2</v>
      </c>
      <c r="AY797">
        <f t="shared" si="610"/>
        <v>1.1330653656044199E-4</v>
      </c>
      <c r="AZ797">
        <f t="shared" si="583"/>
        <v>9.9202844720356981E-2</v>
      </c>
      <c r="BA797">
        <f t="shared" si="600"/>
        <v>2.7461578030629665E-4</v>
      </c>
      <c r="BB797">
        <f t="shared" si="601"/>
        <v>33.5</v>
      </c>
      <c r="BC797">
        <f t="shared" si="584"/>
        <v>20.100000000000001</v>
      </c>
      <c r="BD797">
        <f t="shared" si="602"/>
        <v>0</v>
      </c>
      <c r="BE797">
        <f t="shared" si="585"/>
        <v>24</v>
      </c>
      <c r="BF797">
        <f t="shared" si="611"/>
        <v>5000</v>
      </c>
      <c r="BU797"/>
      <c r="DW797" s="89"/>
      <c r="DX797" s="89"/>
      <c r="FD797"/>
      <c r="FE797"/>
    </row>
    <row r="798" spans="1:161" x14ac:dyDescent="0.25">
      <c r="A798" s="7">
        <f t="shared" si="603"/>
        <v>67388</v>
      </c>
      <c r="B798">
        <f t="shared" si="586"/>
        <v>787</v>
      </c>
      <c r="C798">
        <f t="shared" si="567"/>
        <v>65.5</v>
      </c>
      <c r="D798">
        <f t="shared" si="568"/>
        <v>0</v>
      </c>
      <c r="E798">
        <f t="shared" si="587"/>
        <v>117</v>
      </c>
      <c r="F798">
        <f>IF(C798&gt;=$T$2,0,VLOOKUP($E798,EKM_F05!$A$3:$C$128,2,TRUE))</f>
        <v>0</v>
      </c>
      <c r="G798">
        <f>F798*'Real assumptions'!$B$3</f>
        <v>0</v>
      </c>
      <c r="H798">
        <f t="shared" si="569"/>
        <v>0</v>
      </c>
      <c r="I798">
        <f t="shared" si="570"/>
        <v>0</v>
      </c>
      <c r="J798">
        <f>IF(B798&gt;$AJ$2,0,HLOOKUP(C798,'Real assumptions'!$B$5:$L$8,4,TRUE))</f>
        <v>3.7900000000000003E-2</v>
      </c>
      <c r="K798">
        <f t="shared" si="576"/>
        <v>1</v>
      </c>
      <c r="L798">
        <f t="shared" si="604"/>
        <v>8.3333333333333329E-2</v>
      </c>
      <c r="M798">
        <f t="shared" si="571"/>
        <v>3.2145624959929453E-3</v>
      </c>
      <c r="N798">
        <f t="shared" si="572"/>
        <v>8.6263079724092208E-8</v>
      </c>
      <c r="O798" s="8">
        <f t="shared" si="588"/>
        <v>2.6748828734985342E-5</v>
      </c>
      <c r="P798">
        <f t="shared" si="589"/>
        <v>6.4404220355302637E-4</v>
      </c>
      <c r="Q798">
        <f t="shared" si="605"/>
        <v>0</v>
      </c>
      <c r="R798" s="89">
        <f t="shared" si="577"/>
        <v>5000</v>
      </c>
      <c r="S798">
        <f t="shared" si="578"/>
        <v>0.4166666666666714</v>
      </c>
      <c r="U798">
        <f>O797*AV797*'Real assumptions'!$B$33/12+AX798*'Real assumptions'!$B$34</f>
        <v>6.2818115709411995E-4</v>
      </c>
      <c r="V798">
        <f>IF(P798=0,0,IF(E798&lt;=$C$7,$AN$5*O797,0))*'Real assumptions'!$D$28</f>
        <v>0</v>
      </c>
      <c r="X798" s="94">
        <f t="shared" si="590"/>
        <v>0</v>
      </c>
      <c r="Y798">
        <f t="shared" si="579"/>
        <v>24</v>
      </c>
      <c r="Z798">
        <f t="shared" si="606"/>
        <v>33</v>
      </c>
      <c r="AA798">
        <f t="shared" si="580"/>
        <v>33.416666666666671</v>
      </c>
      <c r="AB798">
        <f t="shared" si="591"/>
        <v>50.505050505050505</v>
      </c>
      <c r="AC798">
        <f t="shared" si="573"/>
        <v>1687.7104377104379</v>
      </c>
      <c r="AD798">
        <f t="shared" si="592"/>
        <v>80.505050505050505</v>
      </c>
      <c r="AE798">
        <f t="shared" si="593"/>
        <v>134.51052188552191</v>
      </c>
      <c r="AF798" s="94">
        <f t="shared" si="594"/>
        <v>3177.7790404040402</v>
      </c>
      <c r="AG798">
        <f t="shared" si="607"/>
        <v>2.7412500670792296E-4</v>
      </c>
      <c r="AH798">
        <f t="shared" si="595"/>
        <v>8.5001867309393742E-2</v>
      </c>
      <c r="AI798">
        <f>HLOOKUP(AW798,'Real assumptions'!$A$21:$AK$24,2,TRUE)</f>
        <v>0</v>
      </c>
      <c r="AJ798" s="123">
        <f t="shared" si="574"/>
        <v>0</v>
      </c>
      <c r="AK798" s="122">
        <f>(1+HLOOKUP(YEAR(A798),'Real assumptions'!$A$21:$AK$24,2,TRUE)/100)^(1/12)-1</f>
        <v>0</v>
      </c>
      <c r="AL798">
        <f t="shared" si="608"/>
        <v>6.2818115709411995E-4</v>
      </c>
      <c r="AM798">
        <f>('Real assumptions'!$B$33/12)*O797*AV797</f>
        <v>6.0482270770938012E-4</v>
      </c>
      <c r="AN798">
        <f t="shared" si="596"/>
        <v>8.5169909555185414E-2</v>
      </c>
      <c r="AO798">
        <f t="shared" si="575"/>
        <v>0</v>
      </c>
      <c r="AP798" s="121">
        <f t="shared" si="597"/>
        <v>0</v>
      </c>
      <c r="AQ798">
        <f t="shared" si="598"/>
        <v>0</v>
      </c>
      <c r="AR798">
        <v>0</v>
      </c>
      <c r="AS798">
        <f t="shared" si="581"/>
        <v>0</v>
      </c>
      <c r="AT798">
        <f t="shared" si="599"/>
        <v>0</v>
      </c>
      <c r="AU798">
        <f>IFERROR(HLOOKUP(B798,'Real assumptions'!$B$43:$AL$44,2,TRUE)*($W$3/$U$2),0)</f>
        <v>0</v>
      </c>
      <c r="AV798">
        <f>AV797*(1+'Real assumptions'!$B$35)^(1/12)</f>
        <v>2.2561843819987129</v>
      </c>
      <c r="AW798">
        <f t="shared" si="582"/>
        <v>2084</v>
      </c>
      <c r="AX798">
        <f t="shared" si="609"/>
        <v>8.5266990814343968E-2</v>
      </c>
      <c r="AY798">
        <f t="shared" si="610"/>
        <v>1.1294230561746394E-4</v>
      </c>
      <c r="AZ798">
        <f t="shared" si="583"/>
        <v>9.8944580760107967E-2</v>
      </c>
      <c r="BA798">
        <f t="shared" si="600"/>
        <v>2.7412500670792296E-4</v>
      </c>
      <c r="BB798">
        <f t="shared" si="601"/>
        <v>33.416666666666671</v>
      </c>
      <c r="BC798">
        <f t="shared" si="584"/>
        <v>20.050000000000004</v>
      </c>
      <c r="BD798">
        <f t="shared" si="602"/>
        <v>0</v>
      </c>
      <c r="BE798">
        <f t="shared" si="585"/>
        <v>24</v>
      </c>
      <c r="BF798">
        <f t="shared" si="611"/>
        <v>5000</v>
      </c>
      <c r="BU798"/>
      <c r="DW798" s="89"/>
      <c r="DX798" s="89"/>
      <c r="FD798"/>
      <c r="FE798"/>
    </row>
    <row r="799" spans="1:161" x14ac:dyDescent="0.25">
      <c r="A799" s="7">
        <f t="shared" si="603"/>
        <v>67419</v>
      </c>
      <c r="B799">
        <f t="shared" si="586"/>
        <v>788</v>
      </c>
      <c r="C799">
        <f t="shared" si="567"/>
        <v>65.583333333333329</v>
      </c>
      <c r="D799">
        <f t="shared" si="568"/>
        <v>0</v>
      </c>
      <c r="E799">
        <f t="shared" si="587"/>
        <v>117</v>
      </c>
      <c r="F799">
        <f>IF(C799&gt;=$T$2,0,VLOOKUP($E799,EKM_F05!$A$3:$C$128,2,TRUE))</f>
        <v>0</v>
      </c>
      <c r="G799">
        <f>F799*'Real assumptions'!$B$3</f>
        <v>0</v>
      </c>
      <c r="H799">
        <f t="shared" si="569"/>
        <v>0</v>
      </c>
      <c r="I799">
        <f t="shared" si="570"/>
        <v>0</v>
      </c>
      <c r="J799">
        <f>IF(B799&gt;$AJ$2,0,HLOOKUP(C799,'Real assumptions'!$B$5:$L$8,4,TRUE))</f>
        <v>3.7900000000000003E-2</v>
      </c>
      <c r="K799">
        <f t="shared" si="576"/>
        <v>1</v>
      </c>
      <c r="L799">
        <f t="shared" si="604"/>
        <v>8.3333333333333329E-2</v>
      </c>
      <c r="M799">
        <f t="shared" si="571"/>
        <v>3.2145624959929453E-3</v>
      </c>
      <c r="N799">
        <f t="shared" si="572"/>
        <v>8.5985781663222297E-8</v>
      </c>
      <c r="O799" s="8">
        <f t="shared" si="588"/>
        <v>2.6662842953322121E-5</v>
      </c>
      <c r="P799">
        <f t="shared" si="589"/>
        <v>6.4197188963964827E-4</v>
      </c>
      <c r="Q799">
        <f t="shared" si="605"/>
        <v>0</v>
      </c>
      <c r="R799" s="89">
        <f t="shared" si="577"/>
        <v>5000</v>
      </c>
      <c r="S799">
        <f t="shared" si="578"/>
        <v>0.3333333333333286</v>
      </c>
      <c r="U799">
        <f>O798*AV798*'Real assumptions'!$B$33/12+AX799*'Real assumptions'!$B$34</f>
        <v>6.268195569632774E-4</v>
      </c>
      <c r="V799">
        <f>IF(P799=0,0,IF(E799&lt;=$C$7,$AN$5*O798,0))*'Real assumptions'!$D$28</f>
        <v>0</v>
      </c>
      <c r="X799" s="94">
        <f t="shared" si="590"/>
        <v>0</v>
      </c>
      <c r="Y799">
        <f t="shared" si="579"/>
        <v>24</v>
      </c>
      <c r="Z799">
        <f t="shared" si="606"/>
        <v>33</v>
      </c>
      <c r="AA799">
        <f t="shared" si="580"/>
        <v>33.333333333333329</v>
      </c>
      <c r="AB799">
        <f t="shared" si="591"/>
        <v>50.505050505050505</v>
      </c>
      <c r="AC799">
        <f t="shared" si="573"/>
        <v>1683.5016835016834</v>
      </c>
      <c r="AD799">
        <f t="shared" si="592"/>
        <v>80.505050505050505</v>
      </c>
      <c r="AE799">
        <f t="shared" si="593"/>
        <v>134.17508417508415</v>
      </c>
      <c r="AF799" s="94">
        <f t="shared" si="594"/>
        <v>3182.3232323232328</v>
      </c>
      <c r="AG799">
        <f t="shared" si="607"/>
        <v>2.7363455063634536E-4</v>
      </c>
      <c r="AH799">
        <f t="shared" si="595"/>
        <v>8.4849784570142778E-2</v>
      </c>
      <c r="AI799">
        <f>HLOOKUP(AW799,'Real assumptions'!$A$21:$AK$24,2,TRUE)</f>
        <v>0</v>
      </c>
      <c r="AJ799" s="123">
        <f t="shared" si="574"/>
        <v>0</v>
      </c>
      <c r="AK799" s="122">
        <f>(1+HLOOKUP(YEAR(A799),'Real assumptions'!$A$21:$AK$24,2,TRUE)/100)^(1/12)-1</f>
        <v>0</v>
      </c>
      <c r="AL799">
        <f t="shared" si="608"/>
        <v>6.268195569632774E-4</v>
      </c>
      <c r="AM799">
        <f>('Real assumptions'!$B$33/12)*O798*AV798</f>
        <v>6.0350289628632316E-4</v>
      </c>
      <c r="AN799">
        <f t="shared" si="596"/>
        <v>8.5017019642070105E-2</v>
      </c>
      <c r="AO799">
        <f t="shared" si="575"/>
        <v>0</v>
      </c>
      <c r="AP799" s="121">
        <f t="shared" si="597"/>
        <v>0</v>
      </c>
      <c r="AQ799">
        <f t="shared" si="598"/>
        <v>0</v>
      </c>
      <c r="AR799">
        <v>0</v>
      </c>
      <c r="AS799">
        <f t="shared" si="581"/>
        <v>0</v>
      </c>
      <c r="AT799">
        <f t="shared" si="599"/>
        <v>0</v>
      </c>
      <c r="AU799">
        <f>IFERROR(HLOOKUP(B799,'Real assumptions'!$B$43:$AL$44,2,TRUE)*($W$3/$U$2),0)</f>
        <v>0</v>
      </c>
      <c r="AV799">
        <f>AV798*(1+'Real assumptions'!$B$35)^(1/12)</f>
        <v>2.2585212159807928</v>
      </c>
      <c r="AW799">
        <f t="shared" si="582"/>
        <v>2084</v>
      </c>
      <c r="AX799">
        <f t="shared" si="609"/>
        <v>8.5114446554911363E-2</v>
      </c>
      <c r="AY799">
        <f t="shared" si="610"/>
        <v>1.1257924551761508E-4</v>
      </c>
      <c r="AZ799">
        <f t="shared" si="583"/>
        <v>9.8686098542147979E-2</v>
      </c>
      <c r="BA799">
        <f t="shared" si="600"/>
        <v>2.7363455063634536E-4</v>
      </c>
      <c r="BB799">
        <f t="shared" si="601"/>
        <v>33.333333333333329</v>
      </c>
      <c r="BC799">
        <f t="shared" si="584"/>
        <v>19.999999999999996</v>
      </c>
      <c r="BD799">
        <f t="shared" si="602"/>
        <v>0</v>
      </c>
      <c r="BE799">
        <f t="shared" si="585"/>
        <v>24</v>
      </c>
      <c r="BF799">
        <f t="shared" si="611"/>
        <v>5000</v>
      </c>
      <c r="BU799"/>
      <c r="DW799" s="89"/>
      <c r="DX799" s="89"/>
      <c r="FD799"/>
      <c r="FE799"/>
    </row>
    <row r="800" spans="1:161" x14ac:dyDescent="0.25">
      <c r="A800" s="7">
        <f t="shared" si="603"/>
        <v>67450</v>
      </c>
      <c r="B800">
        <f t="shared" si="586"/>
        <v>789</v>
      </c>
      <c r="C800">
        <f t="shared" si="567"/>
        <v>65.666666666666671</v>
      </c>
      <c r="D800">
        <f t="shared" si="568"/>
        <v>0</v>
      </c>
      <c r="E800">
        <f t="shared" si="587"/>
        <v>117</v>
      </c>
      <c r="F800">
        <f>IF(C800&gt;=$T$2,0,VLOOKUP($E800,EKM_F05!$A$3:$C$128,2,TRUE))</f>
        <v>0</v>
      </c>
      <c r="G800">
        <f>F800*'Real assumptions'!$B$3</f>
        <v>0</v>
      </c>
      <c r="H800">
        <f t="shared" si="569"/>
        <v>0</v>
      </c>
      <c r="I800">
        <f t="shared" si="570"/>
        <v>0</v>
      </c>
      <c r="J800">
        <f>IF(B800&gt;$AJ$2,0,HLOOKUP(C800,'Real assumptions'!$B$5:$L$8,4,TRUE))</f>
        <v>3.7900000000000003E-2</v>
      </c>
      <c r="K800">
        <f t="shared" si="576"/>
        <v>1</v>
      </c>
      <c r="L800">
        <f t="shared" si="604"/>
        <v>8.3333333333333329E-2</v>
      </c>
      <c r="M800">
        <f t="shared" si="571"/>
        <v>3.2145624959929453E-3</v>
      </c>
      <c r="N800">
        <f t="shared" si="572"/>
        <v>8.5709374994299072E-8</v>
      </c>
      <c r="O800" s="8">
        <f t="shared" si="588"/>
        <v>2.6577133578327822E-5</v>
      </c>
      <c r="P800">
        <f t="shared" si="589"/>
        <v>6.3990823087973093E-4</v>
      </c>
      <c r="Q800">
        <f t="shared" si="605"/>
        <v>0</v>
      </c>
      <c r="R800" s="89">
        <f t="shared" si="577"/>
        <v>5000</v>
      </c>
      <c r="S800">
        <f t="shared" si="578"/>
        <v>0.25</v>
      </c>
      <c r="U800">
        <f>O799*AV799*'Real assumptions'!$B$33/12+AX800*'Real assumptions'!$B$34</f>
        <v>6.2546086414593221E-4</v>
      </c>
      <c r="V800">
        <f>IF(P800=0,0,IF(E800&lt;=$C$7,$AN$5*O799,0))*'Real assumptions'!$D$28</f>
        <v>0</v>
      </c>
      <c r="X800" s="94">
        <f t="shared" si="590"/>
        <v>0</v>
      </c>
      <c r="Y800">
        <f t="shared" si="579"/>
        <v>24</v>
      </c>
      <c r="Z800">
        <f t="shared" si="606"/>
        <v>33</v>
      </c>
      <c r="AA800">
        <f t="shared" si="580"/>
        <v>33.25</v>
      </c>
      <c r="AB800">
        <f t="shared" si="591"/>
        <v>50.505050505050505</v>
      </c>
      <c r="AC800">
        <f t="shared" si="573"/>
        <v>1679.2929292929293</v>
      </c>
      <c r="AD800">
        <f t="shared" si="592"/>
        <v>80.505050505050505</v>
      </c>
      <c r="AE800">
        <f t="shared" si="593"/>
        <v>133.83964646464645</v>
      </c>
      <c r="AF800" s="94">
        <f t="shared" si="594"/>
        <v>3186.867424242424</v>
      </c>
      <c r="AG800">
        <f t="shared" si="607"/>
        <v>2.7314441512150993E-4</v>
      </c>
      <c r="AH800">
        <f t="shared" si="595"/>
        <v>8.4697801230512418E-2</v>
      </c>
      <c r="AI800">
        <f>HLOOKUP(AW800,'Real assumptions'!$A$21:$AK$24,2,TRUE)</f>
        <v>0</v>
      </c>
      <c r="AJ800" s="123">
        <f t="shared" si="574"/>
        <v>0</v>
      </c>
      <c r="AK800" s="122">
        <f>(1+HLOOKUP(YEAR(A800),'Real assumptions'!$A$21:$AK$24,2,TRUE)/100)^(1/12)-1</f>
        <v>0</v>
      </c>
      <c r="AL800">
        <f t="shared" si="608"/>
        <v>6.2546086414593221E-4</v>
      </c>
      <c r="AM800">
        <f>('Real assumptions'!$B$33/12)*O799*AV799</f>
        <v>6.0218596488441985E-4</v>
      </c>
      <c r="AN800">
        <f t="shared" si="596"/>
        <v>8.4864231936876575E-2</v>
      </c>
      <c r="AO800">
        <f t="shared" si="575"/>
        <v>0</v>
      </c>
      <c r="AP800" s="121">
        <f t="shared" si="597"/>
        <v>0</v>
      </c>
      <c r="AQ800">
        <f t="shared" si="598"/>
        <v>0</v>
      </c>
      <c r="AR800">
        <v>0</v>
      </c>
      <c r="AS800">
        <f t="shared" si="581"/>
        <v>0</v>
      </c>
      <c r="AT800">
        <f t="shared" si="599"/>
        <v>0</v>
      </c>
      <c r="AU800">
        <f>IFERROR(HLOOKUP(B800,'Real assumptions'!$B$43:$AL$44,2,TRUE)*($W$3/$U$2),0)</f>
        <v>0</v>
      </c>
      <c r="AV800">
        <f>AV799*(1+'Real assumptions'!$B$35)^(1/12)</f>
        <v>2.2608604703293564</v>
      </c>
      <c r="AW800">
        <f t="shared" si="582"/>
        <v>2084</v>
      </c>
      <c r="AX800">
        <f t="shared" si="609"/>
        <v>8.4962001922639918E-2</v>
      </c>
      <c r="AY800">
        <f t="shared" si="610"/>
        <v>1.1221735249714696E-4</v>
      </c>
      <c r="AZ800">
        <f t="shared" si="583"/>
        <v>9.8427401493760266E-2</v>
      </c>
      <c r="BA800">
        <f t="shared" si="600"/>
        <v>2.7314441512150993E-4</v>
      </c>
      <c r="BB800">
        <f t="shared" si="601"/>
        <v>33.25</v>
      </c>
      <c r="BC800">
        <f t="shared" si="584"/>
        <v>19.95</v>
      </c>
      <c r="BD800">
        <f t="shared" si="602"/>
        <v>0</v>
      </c>
      <c r="BE800">
        <f t="shared" si="585"/>
        <v>24</v>
      </c>
      <c r="BF800">
        <f t="shared" si="611"/>
        <v>5000</v>
      </c>
      <c r="BU800"/>
      <c r="DW800" s="89"/>
      <c r="DX800" s="89"/>
      <c r="FD800"/>
      <c r="FE800"/>
    </row>
    <row r="801" spans="1:161" x14ac:dyDescent="0.25">
      <c r="A801" s="7">
        <f t="shared" si="603"/>
        <v>67480</v>
      </c>
      <c r="B801">
        <f t="shared" si="586"/>
        <v>790</v>
      </c>
      <c r="C801">
        <f t="shared" si="567"/>
        <v>65.75</v>
      </c>
      <c r="D801">
        <f t="shared" si="568"/>
        <v>0</v>
      </c>
      <c r="E801">
        <f t="shared" si="587"/>
        <v>117</v>
      </c>
      <c r="F801">
        <f>IF(C801&gt;=$T$2,0,VLOOKUP($E801,EKM_F05!$A$3:$C$128,2,TRUE))</f>
        <v>0</v>
      </c>
      <c r="G801">
        <f>F801*'Real assumptions'!$B$3</f>
        <v>0</v>
      </c>
      <c r="H801">
        <f t="shared" si="569"/>
        <v>0</v>
      </c>
      <c r="I801">
        <f t="shared" si="570"/>
        <v>0</v>
      </c>
      <c r="J801">
        <f>IF(B801&gt;$AJ$2,0,HLOOKUP(C801,'Real assumptions'!$B$5:$L$8,4,TRUE))</f>
        <v>3.7900000000000003E-2</v>
      </c>
      <c r="K801">
        <f t="shared" si="576"/>
        <v>1</v>
      </c>
      <c r="L801">
        <f t="shared" si="604"/>
        <v>8.3333333333333329E-2</v>
      </c>
      <c r="M801">
        <f t="shared" si="571"/>
        <v>3.2145624959929453E-3</v>
      </c>
      <c r="N801">
        <f t="shared" si="572"/>
        <v>8.5433856851887402E-8</v>
      </c>
      <c r="O801" s="8">
        <f t="shared" si="588"/>
        <v>2.6491699721475935E-5</v>
      </c>
      <c r="P801">
        <f t="shared" si="589"/>
        <v>6.3785120587986767E-4</v>
      </c>
      <c r="Q801">
        <f t="shared" si="605"/>
        <v>0</v>
      </c>
      <c r="R801" s="89">
        <f t="shared" si="577"/>
        <v>5000</v>
      </c>
      <c r="S801">
        <f t="shared" si="578"/>
        <v>0.1666666666666714</v>
      </c>
      <c r="U801">
        <f>O800*AV800*'Real assumptions'!$B$33/12+AX801*'Real assumptions'!$B$34</f>
        <v>6.2410507261381146E-4</v>
      </c>
      <c r="V801">
        <f>IF(P801=0,0,IF(E801&lt;=$C$7,$AN$5*O800,0))*'Real assumptions'!$D$28</f>
        <v>0</v>
      </c>
      <c r="X801" s="94">
        <f t="shared" si="590"/>
        <v>0</v>
      </c>
      <c r="Y801">
        <f t="shared" si="579"/>
        <v>24</v>
      </c>
      <c r="Z801">
        <f t="shared" si="606"/>
        <v>33</v>
      </c>
      <c r="AA801">
        <f t="shared" si="580"/>
        <v>33.166666666666671</v>
      </c>
      <c r="AB801">
        <f t="shared" si="591"/>
        <v>50.505050505050505</v>
      </c>
      <c r="AC801">
        <f t="shared" si="573"/>
        <v>1675.0841750841753</v>
      </c>
      <c r="AD801">
        <f t="shared" si="592"/>
        <v>80.505050505050505</v>
      </c>
      <c r="AE801">
        <f t="shared" si="593"/>
        <v>133.50420875420878</v>
      </c>
      <c r="AF801" s="94">
        <f t="shared" si="594"/>
        <v>3191.4116161616157</v>
      </c>
      <c r="AG801">
        <f t="shared" si="607"/>
        <v>2.7265460317060211E-4</v>
      </c>
      <c r="AH801">
        <f t="shared" si="595"/>
        <v>8.454591822298374E-2</v>
      </c>
      <c r="AI801">
        <f>HLOOKUP(AW801,'Real assumptions'!$A$21:$AK$24,2,TRUE)</f>
        <v>0</v>
      </c>
      <c r="AJ801" s="123">
        <f t="shared" si="574"/>
        <v>0</v>
      </c>
      <c r="AK801" s="122">
        <f>(1+HLOOKUP(YEAR(A801),'Real assumptions'!$A$21:$AK$24,2,TRUE)/100)^(1/12)-1</f>
        <v>0</v>
      </c>
      <c r="AL801">
        <f t="shared" si="608"/>
        <v>6.2410507261381146E-4</v>
      </c>
      <c r="AM801">
        <f>('Real assumptions'!$B$33/12)*O800*AV800</f>
        <v>6.008719072190437E-4</v>
      </c>
      <c r="AN801">
        <f t="shared" si="596"/>
        <v>8.4711547363778464E-2</v>
      </c>
      <c r="AO801">
        <f t="shared" si="575"/>
        <v>0</v>
      </c>
      <c r="AP801" s="121">
        <f t="shared" si="597"/>
        <v>0</v>
      </c>
      <c r="AQ801">
        <f t="shared" si="598"/>
        <v>0</v>
      </c>
      <c r="AR801">
        <v>0</v>
      </c>
      <c r="AS801">
        <f t="shared" si="581"/>
        <v>0</v>
      </c>
      <c r="AT801">
        <f t="shared" si="599"/>
        <v>0</v>
      </c>
      <c r="AU801">
        <f>IFERROR(HLOOKUP(B801,'Real assumptions'!$B$43:$AL$44,2,TRUE)*($W$3/$U$2),0)</f>
        <v>0</v>
      </c>
      <c r="AV801">
        <f>AV800*(1+'Real assumptions'!$B$35)^(1/12)</f>
        <v>2.2632021475512891</v>
      </c>
      <c r="AW801">
        <f t="shared" si="582"/>
        <v>2084</v>
      </c>
      <c r="AX801">
        <f t="shared" si="609"/>
        <v>8.480965785331683E-2</v>
      </c>
      <c r="AY801">
        <f t="shared" si="610"/>
        <v>1.1185662280441002E-4</v>
      </c>
      <c r="AZ801">
        <f t="shared" si="583"/>
        <v>9.8168493023855705E-2</v>
      </c>
      <c r="BA801">
        <f t="shared" si="600"/>
        <v>2.7265460317060211E-4</v>
      </c>
      <c r="BB801">
        <f t="shared" si="601"/>
        <v>33.166666666666671</v>
      </c>
      <c r="BC801">
        <f t="shared" si="584"/>
        <v>19.900000000000002</v>
      </c>
      <c r="BD801">
        <f t="shared" si="602"/>
        <v>0</v>
      </c>
      <c r="BE801">
        <f t="shared" si="585"/>
        <v>24</v>
      </c>
      <c r="BF801">
        <f t="shared" si="611"/>
        <v>5000</v>
      </c>
      <c r="BU801"/>
      <c r="DW801" s="89"/>
      <c r="DX801" s="89"/>
      <c r="FD801"/>
      <c r="FE801"/>
    </row>
    <row r="802" spans="1:161" x14ac:dyDescent="0.25">
      <c r="A802" s="7">
        <f t="shared" si="603"/>
        <v>67511</v>
      </c>
      <c r="B802">
        <f t="shared" si="586"/>
        <v>791</v>
      </c>
      <c r="C802">
        <f t="shared" si="567"/>
        <v>65.833333333333329</v>
      </c>
      <c r="D802">
        <f t="shared" si="568"/>
        <v>0</v>
      </c>
      <c r="E802">
        <f t="shared" si="587"/>
        <v>117</v>
      </c>
      <c r="F802">
        <f>IF(C802&gt;=$T$2,0,VLOOKUP($E802,EKM_F05!$A$3:$C$128,2,TRUE))</f>
        <v>0</v>
      </c>
      <c r="G802">
        <f>F802*'Real assumptions'!$B$3</f>
        <v>0</v>
      </c>
      <c r="H802">
        <f t="shared" si="569"/>
        <v>0</v>
      </c>
      <c r="I802">
        <f t="shared" si="570"/>
        <v>0</v>
      </c>
      <c r="J802">
        <f>IF(B802&gt;$AJ$2,0,HLOOKUP(C802,'Real assumptions'!$B$5:$L$8,4,TRUE))</f>
        <v>3.7900000000000003E-2</v>
      </c>
      <c r="K802">
        <f t="shared" si="576"/>
        <v>1</v>
      </c>
      <c r="L802">
        <f t="shared" si="604"/>
        <v>8.3333333333333329E-2</v>
      </c>
      <c r="M802">
        <f t="shared" si="571"/>
        <v>3.2145624959929453E-3</v>
      </c>
      <c r="N802">
        <f t="shared" si="572"/>
        <v>8.5159224379763298E-8</v>
      </c>
      <c r="O802" s="8">
        <f t="shared" si="588"/>
        <v>2.6406540497096171E-5</v>
      </c>
      <c r="P802">
        <f t="shared" si="589"/>
        <v>6.3580079331542242E-4</v>
      </c>
      <c r="Q802">
        <f t="shared" si="605"/>
        <v>0</v>
      </c>
      <c r="R802" s="89">
        <f t="shared" si="577"/>
        <v>5000</v>
      </c>
      <c r="S802">
        <f t="shared" si="578"/>
        <v>8.3333333333328596E-2</v>
      </c>
      <c r="U802">
        <f>O801*AV801*'Real assumptions'!$B$33/12+AX802*'Real assumptions'!$B$34</f>
        <v>6.2275217635042695E-4</v>
      </c>
      <c r="V802">
        <f>IF(P802=0,0,IF(E802&lt;=$C$7,$AN$5*O801,0))*'Real assumptions'!$D$28</f>
        <v>0</v>
      </c>
      <c r="X802" s="94">
        <f t="shared" si="590"/>
        <v>0</v>
      </c>
      <c r="Y802">
        <f t="shared" si="579"/>
        <v>24</v>
      </c>
      <c r="Z802">
        <f t="shared" si="606"/>
        <v>33</v>
      </c>
      <c r="AA802">
        <f t="shared" si="580"/>
        <v>33.083333333333329</v>
      </c>
      <c r="AB802">
        <f t="shared" si="591"/>
        <v>50.505050505050505</v>
      </c>
      <c r="AC802">
        <f t="shared" si="573"/>
        <v>1670.8754208754206</v>
      </c>
      <c r="AD802">
        <f t="shared" si="592"/>
        <v>80.505050505050505</v>
      </c>
      <c r="AE802">
        <f t="shared" si="593"/>
        <v>133.16877104377102</v>
      </c>
      <c r="AF802" s="94">
        <f t="shared" si="594"/>
        <v>3195.9558080808083</v>
      </c>
      <c r="AG802">
        <f t="shared" si="607"/>
        <v>2.7216511776816126E-4</v>
      </c>
      <c r="AH802">
        <f t="shared" si="595"/>
        <v>8.439413647301558E-2</v>
      </c>
      <c r="AI802">
        <f>HLOOKUP(AW802,'Real assumptions'!$A$21:$AK$24,2,TRUE)</f>
        <v>0</v>
      </c>
      <c r="AJ802" s="123">
        <f t="shared" si="574"/>
        <v>0</v>
      </c>
      <c r="AK802" s="122">
        <f>(1+HLOOKUP(YEAR(A802),'Real assumptions'!$A$21:$AK$24,2,TRUE)/100)^(1/12)-1</f>
        <v>0</v>
      </c>
      <c r="AL802">
        <f t="shared" si="608"/>
        <v>6.2275217635042695E-4</v>
      </c>
      <c r="AM802">
        <f>('Real assumptions'!$B$33/12)*O801*AV801</f>
        <v>5.9956071701928223E-4</v>
      </c>
      <c r="AN802">
        <f t="shared" si="596"/>
        <v>8.4558966839948735E-2</v>
      </c>
      <c r="AO802">
        <f t="shared" si="575"/>
        <v>0</v>
      </c>
      <c r="AP802" s="121">
        <f t="shared" si="597"/>
        <v>0</v>
      </c>
      <c r="AQ802">
        <f t="shared" si="598"/>
        <v>0</v>
      </c>
      <c r="AR802">
        <v>0</v>
      </c>
      <c r="AS802">
        <f t="shared" si="581"/>
        <v>0</v>
      </c>
      <c r="AT802">
        <f t="shared" si="599"/>
        <v>0</v>
      </c>
      <c r="AU802">
        <f>IFERROR(HLOOKUP(B802,'Real assumptions'!$B$43:$AL$44,2,TRUE)*($W$3/$U$2),0)</f>
        <v>0</v>
      </c>
      <c r="AV802">
        <f>AV801*(1+'Real assumptions'!$B$35)^(1/12)</f>
        <v>2.2655462501560719</v>
      </c>
      <c r="AW802">
        <f t="shared" si="582"/>
        <v>2084</v>
      </c>
      <c r="AX802">
        <f t="shared" si="609"/>
        <v>8.4657415275683559E-2</v>
      </c>
      <c r="AY802">
        <f t="shared" si="610"/>
        <v>1.1149705269981453E-4</v>
      </c>
      <c r="AZ802">
        <f t="shared" si="583"/>
        <v>9.7909376523052538E-2</v>
      </c>
      <c r="BA802">
        <f t="shared" si="600"/>
        <v>2.7216511776816126E-4</v>
      </c>
      <c r="BB802">
        <f t="shared" si="601"/>
        <v>33.083333333333329</v>
      </c>
      <c r="BC802">
        <f t="shared" si="584"/>
        <v>19.849999999999994</v>
      </c>
      <c r="BD802">
        <f t="shared" si="602"/>
        <v>0</v>
      </c>
      <c r="BE802">
        <f t="shared" si="585"/>
        <v>24</v>
      </c>
      <c r="BF802">
        <f t="shared" si="611"/>
        <v>5000</v>
      </c>
      <c r="BU802"/>
      <c r="DW802" s="89"/>
      <c r="DX802" s="89"/>
      <c r="FD802"/>
      <c r="FE802"/>
    </row>
    <row r="803" spans="1:161" x14ac:dyDescent="0.25">
      <c r="A803" s="7">
        <f t="shared" si="603"/>
        <v>67541</v>
      </c>
      <c r="B803">
        <f t="shared" si="586"/>
        <v>792</v>
      </c>
      <c r="C803">
        <f t="shared" si="567"/>
        <v>65.916666666666671</v>
      </c>
      <c r="D803">
        <f t="shared" si="568"/>
        <v>0</v>
      </c>
      <c r="E803">
        <f t="shared" si="587"/>
        <v>117</v>
      </c>
      <c r="F803">
        <f>IF(C803&gt;=$T$2,0,VLOOKUP($E803,EKM_F05!$A$3:$C$128,2,TRUE))</f>
        <v>0</v>
      </c>
      <c r="G803">
        <f>F803*'Real assumptions'!$B$3</f>
        <v>0</v>
      </c>
      <c r="H803">
        <f t="shared" si="569"/>
        <v>0</v>
      </c>
      <c r="I803">
        <f t="shared" si="570"/>
        <v>0</v>
      </c>
      <c r="J803">
        <f>IF(B803&gt;$AJ$2,0,HLOOKUP(C803,'Real assumptions'!$B$5:$L$8,4,TRUE))</f>
        <v>3.7900000000000003E-2</v>
      </c>
      <c r="K803">
        <f t="shared" si="576"/>
        <v>1</v>
      </c>
      <c r="L803">
        <f t="shared" si="604"/>
        <v>8.3333333333333329E-2</v>
      </c>
      <c r="M803">
        <f t="shared" si="571"/>
        <v>3.2145624959929453E-3</v>
      </c>
      <c r="N803">
        <f t="shared" si="572"/>
        <v>8.488547473088425E-8</v>
      </c>
      <c r="O803" s="8">
        <f t="shared" si="588"/>
        <v>2.6321655022365288E-5</v>
      </c>
      <c r="P803">
        <f t="shared" si="589"/>
        <v>6.3375697193030812E-4</v>
      </c>
      <c r="Q803">
        <f t="shared" si="605"/>
        <v>0</v>
      </c>
      <c r="R803" s="89">
        <f t="shared" si="577"/>
        <v>5000</v>
      </c>
      <c r="S803">
        <f t="shared" si="578"/>
        <v>1</v>
      </c>
      <c r="U803">
        <f>O802*AV802*'Real assumptions'!$B$33/12+AX803*'Real assumptions'!$B$34</f>
        <v>6.2140216935105343E-4</v>
      </c>
      <c r="V803">
        <f>IF(P803=0,0,IF(E803&lt;=$C$7,$AN$5*O802,0))*'Real assumptions'!$D$28</f>
        <v>0</v>
      </c>
      <c r="X803" s="94">
        <f t="shared" si="590"/>
        <v>0</v>
      </c>
      <c r="Y803">
        <f t="shared" si="579"/>
        <v>24</v>
      </c>
      <c r="Z803">
        <f t="shared" si="606"/>
        <v>33</v>
      </c>
      <c r="AA803">
        <f t="shared" si="580"/>
        <v>33</v>
      </c>
      <c r="AB803">
        <f t="shared" si="591"/>
        <v>50.505050505050505</v>
      </c>
      <c r="AC803">
        <f t="shared" si="573"/>
        <v>1666.6666666666667</v>
      </c>
      <c r="AD803">
        <f t="shared" si="592"/>
        <v>80.505050505050505</v>
      </c>
      <c r="AE803">
        <f t="shared" si="593"/>
        <v>132.83333333333331</v>
      </c>
      <c r="AF803" s="94">
        <f t="shared" si="594"/>
        <v>3200.4999999999995</v>
      </c>
      <c r="AG803">
        <f t="shared" si="607"/>
        <v>2.7167596187619499E-4</v>
      </c>
      <c r="AH803">
        <f t="shared" si="595"/>
        <v>8.4242456899080095E-2</v>
      </c>
      <c r="AI803">
        <f>HLOOKUP(AW803,'Real assumptions'!$A$21:$AK$24,2,TRUE)</f>
        <v>0</v>
      </c>
      <c r="AJ803" s="123">
        <f t="shared" si="574"/>
        <v>0</v>
      </c>
      <c r="AK803" s="122">
        <f>(1+HLOOKUP(YEAR(A803),'Real assumptions'!$A$21:$AK$24,2,TRUE)/100)^(1/12)-1</f>
        <v>0</v>
      </c>
      <c r="AL803">
        <f t="shared" si="608"/>
        <v>6.2140216935105343E-4</v>
      </c>
      <c r="AM803">
        <f>('Real assumptions'!$B$33/12)*O802*AV802</f>
        <v>5.9825238802790686E-4</v>
      </c>
      <c r="AN803">
        <f t="shared" si="596"/>
        <v>8.4406491275594839E-2</v>
      </c>
      <c r="AO803">
        <f t="shared" si="575"/>
        <v>0</v>
      </c>
      <c r="AP803" s="121">
        <f t="shared" si="597"/>
        <v>0</v>
      </c>
      <c r="AQ803">
        <f t="shared" si="598"/>
        <v>0</v>
      </c>
      <c r="AR803">
        <v>0</v>
      </c>
      <c r="AS803">
        <f t="shared" si="581"/>
        <v>0</v>
      </c>
      <c r="AT803">
        <f t="shared" si="599"/>
        <v>0</v>
      </c>
      <c r="AU803">
        <f>IFERROR(HLOOKUP(B803,'Real assumptions'!$B$43:$AL$44,2,TRUE)*($W$3/$U$2),0)</f>
        <v>0</v>
      </c>
      <c r="AV803">
        <f>AV802*(1+'Real assumptions'!$B$35)^(1/12)</f>
        <v>2.267892780655786</v>
      </c>
      <c r="AW803">
        <f t="shared" si="582"/>
        <v>2084</v>
      </c>
      <c r="AX803">
        <f t="shared" si="609"/>
        <v>8.4505275111471378E-2</v>
      </c>
      <c r="AY803">
        <f t="shared" si="610"/>
        <v>1.1113863845579196E-4</v>
      </c>
      <c r="AZ803">
        <f t="shared" si="583"/>
        <v>9.7650055363755608E-2</v>
      </c>
      <c r="BA803">
        <f t="shared" si="600"/>
        <v>2.7167596187619499E-4</v>
      </c>
      <c r="BB803">
        <f t="shared" si="601"/>
        <v>33</v>
      </c>
      <c r="BC803">
        <f t="shared" si="584"/>
        <v>19.799999999999997</v>
      </c>
      <c r="BD803">
        <f t="shared" si="602"/>
        <v>0</v>
      </c>
      <c r="BE803">
        <f t="shared" si="585"/>
        <v>24</v>
      </c>
      <c r="BF803">
        <f t="shared" si="611"/>
        <v>5000</v>
      </c>
      <c r="BU803"/>
      <c r="DW803" s="89"/>
      <c r="DX803" s="89"/>
      <c r="FD803"/>
      <c r="FE803"/>
    </row>
    <row r="804" spans="1:161" x14ac:dyDescent="0.25">
      <c r="A804" s="7">
        <f t="shared" si="603"/>
        <v>67572</v>
      </c>
      <c r="B804">
        <f t="shared" si="586"/>
        <v>793</v>
      </c>
      <c r="C804">
        <f t="shared" si="567"/>
        <v>66</v>
      </c>
      <c r="D804">
        <f t="shared" si="568"/>
        <v>1</v>
      </c>
      <c r="E804">
        <f t="shared" si="587"/>
        <v>118</v>
      </c>
      <c r="F804">
        <f>IF(C804&gt;=$T$2,0,VLOOKUP($E804,EKM_F05!$A$3:$C$128,2,TRUE))</f>
        <v>0</v>
      </c>
      <c r="G804">
        <f>F804*'Real assumptions'!$B$3</f>
        <v>0</v>
      </c>
      <c r="H804">
        <f t="shared" si="569"/>
        <v>0</v>
      </c>
      <c r="I804">
        <f t="shared" si="570"/>
        <v>0</v>
      </c>
      <c r="J804">
        <f>IF(B804&gt;$AJ$2,0,HLOOKUP(C804,'Real assumptions'!$B$5:$L$8,4,TRUE))</f>
        <v>3.7900000000000003E-2</v>
      </c>
      <c r="K804">
        <f t="shared" si="576"/>
        <v>1</v>
      </c>
      <c r="L804">
        <f t="shared" si="604"/>
        <v>8.3333333333333329E-2</v>
      </c>
      <c r="M804">
        <f t="shared" si="571"/>
        <v>3.2145624959929453E-3</v>
      </c>
      <c r="N804">
        <f t="shared" si="572"/>
        <v>8.4612605067359807E-8</v>
      </c>
      <c r="O804" s="8">
        <f t="shared" si="588"/>
        <v>2.6237042417297928E-5</v>
      </c>
      <c r="P804">
        <f t="shared" si="589"/>
        <v>6.3171972053676696E-4</v>
      </c>
      <c r="Q804">
        <f t="shared" si="605"/>
        <v>0</v>
      </c>
      <c r="R804" s="89">
        <f t="shared" si="577"/>
        <v>5000</v>
      </c>
      <c r="S804">
        <f t="shared" si="578"/>
        <v>0.9166666666666714</v>
      </c>
      <c r="U804">
        <f>O803*AV803*'Real assumptions'!$B$33/12+AX804*'Real assumptions'!$B$34</f>
        <v>6.2005504562270971E-4</v>
      </c>
      <c r="V804">
        <f>IF(P804=0,0,IF(E804&lt;=$C$7,$AN$5*O803,0))*'Real assumptions'!$D$28</f>
        <v>0</v>
      </c>
      <c r="X804" s="94">
        <f t="shared" si="590"/>
        <v>0</v>
      </c>
      <c r="Y804">
        <f t="shared" si="579"/>
        <v>24</v>
      </c>
      <c r="Z804">
        <f t="shared" si="606"/>
        <v>33</v>
      </c>
      <c r="AA804">
        <f t="shared" si="580"/>
        <v>32.916666666666671</v>
      </c>
      <c r="AB804">
        <f t="shared" si="591"/>
        <v>50.505050505050505</v>
      </c>
      <c r="AC804">
        <f t="shared" si="573"/>
        <v>1662.4579124579127</v>
      </c>
      <c r="AD804">
        <f t="shared" si="592"/>
        <v>80.505050505050505</v>
      </c>
      <c r="AE804">
        <f t="shared" si="593"/>
        <v>132.49789562289564</v>
      </c>
      <c r="AF804" s="94">
        <f t="shared" si="594"/>
        <v>3205.0441919191917</v>
      </c>
      <c r="AG804">
        <f t="shared" si="607"/>
        <v>2.7118713843429391E-4</v>
      </c>
      <c r="AH804">
        <f t="shared" si="595"/>
        <v>8.4090880412698188E-2</v>
      </c>
      <c r="AI804">
        <f>HLOOKUP(AW804,'Real assumptions'!$A$21:$AK$24,2,TRUE)</f>
        <v>0</v>
      </c>
      <c r="AJ804" s="123">
        <f t="shared" si="574"/>
        <v>0</v>
      </c>
      <c r="AK804" s="122">
        <f>(1+HLOOKUP(YEAR(A804),'Real assumptions'!$A$21:$AK$24,2,TRUE)/100)^(1/12)-1</f>
        <v>0</v>
      </c>
      <c r="AL804">
        <f t="shared" si="608"/>
        <v>6.2005504562270971E-4</v>
      </c>
      <c r="AM804">
        <f>('Real assumptions'!$B$33/12)*O803*AV803</f>
        <v>5.9694691400134347E-4</v>
      </c>
      <c r="AN804">
        <f t="shared" si="596"/>
        <v>8.4254121573994159E-2</v>
      </c>
      <c r="AO804">
        <f t="shared" si="575"/>
        <v>0</v>
      </c>
      <c r="AP804" s="121">
        <f t="shared" si="597"/>
        <v>0</v>
      </c>
      <c r="AQ804">
        <f t="shared" si="598"/>
        <v>0</v>
      </c>
      <c r="AR804">
        <v>0</v>
      </c>
      <c r="AS804">
        <f t="shared" si="581"/>
        <v>0</v>
      </c>
      <c r="AT804">
        <f t="shared" si="599"/>
        <v>0</v>
      </c>
      <c r="AU804">
        <f>IFERROR(HLOOKUP(B804,'Real assumptions'!$B$43:$AL$44,2,TRUE)*($W$3/$U$2),0)</f>
        <v>0</v>
      </c>
      <c r="AV804">
        <f>AV803*(1+'Real assumptions'!$B$35)^(1/12)</f>
        <v>2.2702417415651133</v>
      </c>
      <c r="AW804">
        <f t="shared" si="582"/>
        <v>2084</v>
      </c>
      <c r="AX804">
        <f t="shared" si="609"/>
        <v>8.4353238275436851E-2</v>
      </c>
      <c r="AY804">
        <f t="shared" si="610"/>
        <v>1.1078137635675625E-4</v>
      </c>
      <c r="AZ804">
        <f t="shared" si="583"/>
        <v>9.7390532900235374E-2</v>
      </c>
      <c r="BA804">
        <f t="shared" si="600"/>
        <v>2.7118713843429391E-4</v>
      </c>
      <c r="BB804">
        <f t="shared" si="601"/>
        <v>32.916666666666671</v>
      </c>
      <c r="BC804">
        <f t="shared" si="584"/>
        <v>19.75</v>
      </c>
      <c r="BD804">
        <f t="shared" si="602"/>
        <v>0</v>
      </c>
      <c r="BE804">
        <f t="shared" si="585"/>
        <v>24</v>
      </c>
      <c r="BF804">
        <f t="shared" si="611"/>
        <v>5000</v>
      </c>
      <c r="BU804"/>
      <c r="DW804" s="89"/>
      <c r="DX804" s="89"/>
      <c r="FD804"/>
      <c r="FE804"/>
    </row>
    <row r="805" spans="1:161" x14ac:dyDescent="0.25">
      <c r="A805" s="7">
        <f t="shared" si="603"/>
        <v>67603</v>
      </c>
      <c r="B805">
        <f t="shared" si="586"/>
        <v>794</v>
      </c>
      <c r="C805">
        <f t="shared" si="567"/>
        <v>66.083333333333329</v>
      </c>
      <c r="D805">
        <f t="shared" si="568"/>
        <v>0</v>
      </c>
      <c r="E805">
        <f t="shared" si="587"/>
        <v>118</v>
      </c>
      <c r="F805">
        <f>IF(C805&gt;=$T$2,0,VLOOKUP($E805,EKM_F05!$A$3:$C$128,2,TRUE))</f>
        <v>0</v>
      </c>
      <c r="G805">
        <f>F805*'Real assumptions'!$B$3</f>
        <v>0</v>
      </c>
      <c r="H805">
        <f t="shared" si="569"/>
        <v>0</v>
      </c>
      <c r="I805">
        <f t="shared" si="570"/>
        <v>0</v>
      </c>
      <c r="J805">
        <f>IF(B805&gt;$AJ$2,0,HLOOKUP(C805,'Real assumptions'!$B$5:$L$8,4,TRUE))</f>
        <v>3.7900000000000003E-2</v>
      </c>
      <c r="K805">
        <f t="shared" si="576"/>
        <v>1</v>
      </c>
      <c r="L805">
        <f t="shared" si="604"/>
        <v>8.3333333333333329E-2</v>
      </c>
      <c r="M805">
        <f t="shared" si="571"/>
        <v>3.2145624959929453E-3</v>
      </c>
      <c r="N805">
        <f t="shared" si="572"/>
        <v>8.4340612560422008E-8</v>
      </c>
      <c r="O805" s="8">
        <f t="shared" si="588"/>
        <v>2.6152701804737506E-5</v>
      </c>
      <c r="P805">
        <f t="shared" si="589"/>
        <v>6.2968901801515025E-4</v>
      </c>
      <c r="Q805">
        <f t="shared" si="605"/>
        <v>0</v>
      </c>
      <c r="R805" s="89">
        <f t="shared" si="577"/>
        <v>5000</v>
      </c>
      <c r="S805">
        <f t="shared" si="578"/>
        <v>0.8333333333333286</v>
      </c>
      <c r="U805">
        <f>O804*AV804*'Real assumptions'!$B$33/12+AX805*'Real assumptions'!$B$34</f>
        <v>6.1871079918413734E-4</v>
      </c>
      <c r="V805">
        <f>IF(P805=0,0,IF(E805&lt;=$C$7,$AN$5*O804,0))*'Real assumptions'!$D$28</f>
        <v>0</v>
      </c>
      <c r="X805" s="94">
        <f t="shared" si="590"/>
        <v>0</v>
      </c>
      <c r="Y805">
        <f t="shared" si="579"/>
        <v>24</v>
      </c>
      <c r="Z805">
        <f t="shared" si="606"/>
        <v>32</v>
      </c>
      <c r="AA805">
        <f t="shared" si="580"/>
        <v>32.833333333333329</v>
      </c>
      <c r="AB805">
        <f t="shared" si="591"/>
        <v>50.505050505050505</v>
      </c>
      <c r="AC805">
        <f t="shared" si="573"/>
        <v>1658.249158249158</v>
      </c>
      <c r="AD805">
        <f t="shared" si="592"/>
        <v>80.505050505050505</v>
      </c>
      <c r="AE805">
        <f t="shared" si="593"/>
        <v>132.16245791245788</v>
      </c>
      <c r="AF805" s="94">
        <f t="shared" si="594"/>
        <v>3209.5883838383843</v>
      </c>
      <c r="AG805">
        <f t="shared" si="607"/>
        <v>2.7069865035974418E-4</v>
      </c>
      <c r="AH805">
        <f t="shared" si="595"/>
        <v>8.3939407918474651E-2</v>
      </c>
      <c r="AI805">
        <f>HLOOKUP(AW805,'Real assumptions'!$A$21:$AK$24,2,TRUE)</f>
        <v>0</v>
      </c>
      <c r="AJ805" s="123">
        <f t="shared" si="574"/>
        <v>0</v>
      </c>
      <c r="AK805" s="122">
        <f>(1+HLOOKUP(YEAR(A805),'Real assumptions'!$A$21:$AK$24,2,TRUE)/100)^(1/12)-1</f>
        <v>0</v>
      </c>
      <c r="AL805">
        <f t="shared" si="608"/>
        <v>6.1871079918413734E-4</v>
      </c>
      <c r="AM805">
        <f>('Real assumptions'!$B$33/12)*O804*AV804</f>
        <v>5.9564428870964201E-4</v>
      </c>
      <c r="AN805">
        <f t="shared" si="596"/>
        <v>8.4101858631529192E-2</v>
      </c>
      <c r="AO805">
        <f t="shared" si="575"/>
        <v>0</v>
      </c>
      <c r="AP805" s="121">
        <f t="shared" si="597"/>
        <v>0</v>
      </c>
      <c r="AQ805">
        <f t="shared" si="598"/>
        <v>0</v>
      </c>
      <c r="AR805">
        <v>0</v>
      </c>
      <c r="AS805">
        <f t="shared" si="581"/>
        <v>0</v>
      </c>
      <c r="AT805">
        <f t="shared" si="599"/>
        <v>0</v>
      </c>
      <c r="AU805">
        <f>IFERROR(HLOOKUP(B805,'Real assumptions'!$B$43:$AL$44,2,TRUE)*($W$3/$U$2),0)</f>
        <v>0</v>
      </c>
      <c r="AV805">
        <f>AV804*(1+'Real assumptions'!$B$35)^(1/12)</f>
        <v>2.2725931354013413</v>
      </c>
      <c r="AW805">
        <f t="shared" si="582"/>
        <v>2085</v>
      </c>
      <c r="AX805">
        <f t="shared" si="609"/>
        <v>8.4201305675397256E-2</v>
      </c>
      <c r="AY805">
        <f t="shared" si="610"/>
        <v>1.1042526269906534E-4</v>
      </c>
      <c r="AZ805">
        <f t="shared" si="583"/>
        <v>9.713081246870664E-2</v>
      </c>
      <c r="BA805">
        <f t="shared" si="600"/>
        <v>2.7069865035974418E-4</v>
      </c>
      <c r="BB805">
        <f t="shared" si="601"/>
        <v>32.833333333333329</v>
      </c>
      <c r="BC805">
        <f t="shared" si="584"/>
        <v>19.699999999999996</v>
      </c>
      <c r="BD805">
        <f t="shared" si="602"/>
        <v>0</v>
      </c>
      <c r="BE805">
        <f t="shared" si="585"/>
        <v>24</v>
      </c>
      <c r="BF805">
        <f t="shared" si="611"/>
        <v>5000</v>
      </c>
      <c r="BU805"/>
      <c r="DW805" s="89"/>
      <c r="DX805" s="89"/>
      <c r="FD805"/>
      <c r="FE805"/>
    </row>
    <row r="806" spans="1:161" x14ac:dyDescent="0.25">
      <c r="A806" s="7">
        <f t="shared" si="603"/>
        <v>67631</v>
      </c>
      <c r="B806">
        <f t="shared" si="586"/>
        <v>795</v>
      </c>
      <c r="C806">
        <f t="shared" si="567"/>
        <v>66.166666666666671</v>
      </c>
      <c r="D806">
        <f t="shared" si="568"/>
        <v>0</v>
      </c>
      <c r="E806">
        <f t="shared" si="587"/>
        <v>118</v>
      </c>
      <c r="F806">
        <f>IF(C806&gt;=$T$2,0,VLOOKUP($E806,EKM_F05!$A$3:$C$128,2,TRUE))</f>
        <v>0</v>
      </c>
      <c r="G806">
        <f>F806*'Real assumptions'!$B$3</f>
        <v>0</v>
      </c>
      <c r="H806">
        <f t="shared" si="569"/>
        <v>0</v>
      </c>
      <c r="I806">
        <f t="shared" si="570"/>
        <v>0</v>
      </c>
      <c r="J806">
        <f>IF(B806&gt;$AJ$2,0,HLOOKUP(C806,'Real assumptions'!$B$5:$L$8,4,TRUE))</f>
        <v>3.7900000000000003E-2</v>
      </c>
      <c r="K806">
        <f t="shared" si="576"/>
        <v>1</v>
      </c>
      <c r="L806">
        <f t="shared" si="604"/>
        <v>8.3333333333333329E-2</v>
      </c>
      <c r="M806">
        <f t="shared" si="571"/>
        <v>3.2145624959929453E-3</v>
      </c>
      <c r="N806">
        <f t="shared" si="572"/>
        <v>8.4069494390396203E-8</v>
      </c>
      <c r="O806" s="8">
        <f t="shared" si="588"/>
        <v>2.6068632310347109E-5</v>
      </c>
      <c r="P806">
        <f t="shared" si="589"/>
        <v>6.2766484331370012E-4</v>
      </c>
      <c r="Q806">
        <f t="shared" si="605"/>
        <v>0</v>
      </c>
      <c r="R806" s="89">
        <f t="shared" si="577"/>
        <v>5000</v>
      </c>
      <c r="S806">
        <f t="shared" si="578"/>
        <v>0.75</v>
      </c>
      <c r="U806">
        <f>O805*AV805*'Real assumptions'!$B$33/12+AX806*'Real assumptions'!$B$34</f>
        <v>6.1736942406578183E-4</v>
      </c>
      <c r="V806">
        <f>IF(P806=0,0,IF(E806&lt;=$C$7,$AN$5*O805,0))*'Real assumptions'!$D$28</f>
        <v>0</v>
      </c>
      <c r="X806" s="94">
        <f t="shared" si="590"/>
        <v>0</v>
      </c>
      <c r="Y806">
        <f t="shared" si="579"/>
        <v>24</v>
      </c>
      <c r="Z806">
        <f t="shared" si="606"/>
        <v>32</v>
      </c>
      <c r="AA806">
        <f t="shared" si="580"/>
        <v>32.75</v>
      </c>
      <c r="AB806">
        <f t="shared" si="591"/>
        <v>50.505050505050505</v>
      </c>
      <c r="AC806">
        <f t="shared" si="573"/>
        <v>1654.0404040404042</v>
      </c>
      <c r="AD806">
        <f t="shared" si="592"/>
        <v>80.505050505050505</v>
      </c>
      <c r="AE806">
        <f t="shared" si="593"/>
        <v>131.82702020202021</v>
      </c>
      <c r="AF806" s="94">
        <f t="shared" si="594"/>
        <v>3214.1325757575755</v>
      </c>
      <c r="AG806">
        <f t="shared" si="607"/>
        <v>2.7021050054764121E-4</v>
      </c>
      <c r="AH806">
        <f t="shared" si="595"/>
        <v>8.3788040314133116E-2</v>
      </c>
      <c r="AI806">
        <f>HLOOKUP(AW806,'Real assumptions'!$A$21:$AK$24,2,TRUE)</f>
        <v>0</v>
      </c>
      <c r="AJ806" s="123">
        <f t="shared" si="574"/>
        <v>0</v>
      </c>
      <c r="AK806" s="122">
        <f>(1+HLOOKUP(YEAR(A806),'Real assumptions'!$A$21:$AK$24,2,TRUE)/100)^(1/12)-1</f>
        <v>0</v>
      </c>
      <c r="AL806">
        <f t="shared" si="608"/>
        <v>6.1736942406578183E-4</v>
      </c>
      <c r="AM806">
        <f>('Real assumptions'!$B$33/12)*O805*AV805</f>
        <v>5.9434450593644726E-4</v>
      </c>
      <c r="AN806">
        <f t="shared" si="596"/>
        <v>8.3949703337722573E-2</v>
      </c>
      <c r="AO806">
        <f t="shared" si="575"/>
        <v>0</v>
      </c>
      <c r="AP806" s="121">
        <f t="shared" si="597"/>
        <v>0</v>
      </c>
      <c r="AQ806">
        <f t="shared" si="598"/>
        <v>0</v>
      </c>
      <c r="AR806">
        <v>0</v>
      </c>
      <c r="AS806">
        <f t="shared" si="581"/>
        <v>0</v>
      </c>
      <c r="AT806">
        <f t="shared" si="599"/>
        <v>0</v>
      </c>
      <c r="AU806">
        <f>IFERROR(HLOOKUP(B806,'Real assumptions'!$B$43:$AL$44,2,TRUE)*($W$3/$U$2),0)</f>
        <v>0</v>
      </c>
      <c r="AV806">
        <f>AV805*(1+'Real assumptions'!$B$35)^(1/12)</f>
        <v>2.2749469646843643</v>
      </c>
      <c r="AW806">
        <f t="shared" si="582"/>
        <v>2085</v>
      </c>
      <c r="AX806">
        <f t="shared" si="609"/>
        <v>8.4049478212265633E-2</v>
      </c>
      <c r="AY806">
        <f t="shared" si="610"/>
        <v>1.1007029379098276E-4</v>
      </c>
      <c r="AZ806">
        <f t="shared" si="583"/>
        <v>9.6870897387406923E-2</v>
      </c>
      <c r="BA806">
        <f t="shared" si="600"/>
        <v>2.7021050054764121E-4</v>
      </c>
      <c r="BB806">
        <f t="shared" si="601"/>
        <v>32.75</v>
      </c>
      <c r="BC806">
        <f t="shared" si="584"/>
        <v>19.649999999999999</v>
      </c>
      <c r="BD806">
        <f t="shared" si="602"/>
        <v>0</v>
      </c>
      <c r="BE806">
        <f t="shared" si="585"/>
        <v>24</v>
      </c>
      <c r="BF806">
        <f t="shared" si="611"/>
        <v>5000</v>
      </c>
      <c r="BU806"/>
      <c r="DW806" s="89"/>
      <c r="DX806" s="89"/>
      <c r="FD806"/>
      <c r="FE806"/>
    </row>
    <row r="807" spans="1:161" x14ac:dyDescent="0.25">
      <c r="A807" s="7">
        <f t="shared" si="603"/>
        <v>67662</v>
      </c>
      <c r="B807">
        <f t="shared" si="586"/>
        <v>796</v>
      </c>
      <c r="C807">
        <f t="shared" si="567"/>
        <v>66.25</v>
      </c>
      <c r="D807">
        <f t="shared" si="568"/>
        <v>0</v>
      </c>
      <c r="E807">
        <f t="shared" si="587"/>
        <v>118</v>
      </c>
      <c r="F807">
        <f>IF(C807&gt;=$T$2,0,VLOOKUP($E807,EKM_F05!$A$3:$C$128,2,TRUE))</f>
        <v>0</v>
      </c>
      <c r="G807">
        <f>F807*'Real assumptions'!$B$3</f>
        <v>0</v>
      </c>
      <c r="H807">
        <f t="shared" si="569"/>
        <v>0</v>
      </c>
      <c r="I807">
        <f t="shared" si="570"/>
        <v>0</v>
      </c>
      <c r="J807">
        <f>IF(B807&gt;$AJ$2,0,HLOOKUP(C807,'Real assumptions'!$B$5:$L$8,4,TRUE))</f>
        <v>3.7900000000000003E-2</v>
      </c>
      <c r="K807">
        <f t="shared" si="576"/>
        <v>1</v>
      </c>
      <c r="L807">
        <f t="shared" si="604"/>
        <v>8.3333333333333329E-2</v>
      </c>
      <c r="M807">
        <f t="shared" si="571"/>
        <v>3.2145624959929453E-3</v>
      </c>
      <c r="N807">
        <f t="shared" si="572"/>
        <v>8.379924774667175E-8</v>
      </c>
      <c r="O807" s="8">
        <f t="shared" si="588"/>
        <v>2.5984833062600437E-5</v>
      </c>
      <c r="P807">
        <f t="shared" si="589"/>
        <v>6.2564717544833057E-4</v>
      </c>
      <c r="Q807">
        <f t="shared" si="605"/>
        <v>0</v>
      </c>
      <c r="R807" s="89">
        <f t="shared" si="577"/>
        <v>5000</v>
      </c>
      <c r="S807">
        <f t="shared" si="578"/>
        <v>0.6666666666666714</v>
      </c>
      <c r="U807">
        <f>O806*AV806*'Real assumptions'!$B$33/12+AX807*'Real assumptions'!$B$34</f>
        <v>6.160309143097715E-4</v>
      </c>
      <c r="V807">
        <f>IF(P807=0,0,IF(E807&lt;=$C$7,$AN$5*O806,0))*'Real assumptions'!$D$28</f>
        <v>0</v>
      </c>
      <c r="X807" s="94">
        <f t="shared" si="590"/>
        <v>0</v>
      </c>
      <c r="Y807">
        <f t="shared" si="579"/>
        <v>24</v>
      </c>
      <c r="Z807">
        <f t="shared" si="606"/>
        <v>32</v>
      </c>
      <c r="AA807">
        <f t="shared" si="580"/>
        <v>32.666666666666671</v>
      </c>
      <c r="AB807">
        <f t="shared" si="591"/>
        <v>50.505050505050505</v>
      </c>
      <c r="AC807">
        <f t="shared" si="573"/>
        <v>1649.8316498316501</v>
      </c>
      <c r="AD807">
        <f t="shared" si="592"/>
        <v>80.505050505050505</v>
      </c>
      <c r="AE807">
        <f t="shared" si="593"/>
        <v>131.49158249158251</v>
      </c>
      <c r="AF807" s="94">
        <f t="shared" si="594"/>
        <v>3218.6767676767677</v>
      </c>
      <c r="AG807">
        <f t="shared" si="607"/>
        <v>2.6972269187100208E-4</v>
      </c>
      <c r="AH807">
        <f t="shared" si="595"/>
        <v>8.3636778490551178E-2</v>
      </c>
      <c r="AI807">
        <f>HLOOKUP(AW807,'Real assumptions'!$A$21:$AK$24,2,TRUE)</f>
        <v>0</v>
      </c>
      <c r="AJ807" s="123">
        <f t="shared" si="574"/>
        <v>0</v>
      </c>
      <c r="AK807" s="122">
        <f>(1+HLOOKUP(YEAR(A807),'Real assumptions'!$A$21:$AK$24,2,TRUE)/100)^(1/12)-1</f>
        <v>0</v>
      </c>
      <c r="AL807">
        <f t="shared" si="608"/>
        <v>6.160309143097715E-4</v>
      </c>
      <c r="AM807">
        <f>('Real assumptions'!$B$33/12)*O806*AV806</f>
        <v>5.930475594789691E-4</v>
      </c>
      <c r="AN807">
        <f t="shared" si="596"/>
        <v>8.3797656575271676E-2</v>
      </c>
      <c r="AO807">
        <f t="shared" si="575"/>
        <v>0</v>
      </c>
      <c r="AP807" s="121">
        <f t="shared" si="597"/>
        <v>0</v>
      </c>
      <c r="AQ807">
        <f t="shared" si="598"/>
        <v>0</v>
      </c>
      <c r="AR807">
        <v>0</v>
      </c>
      <c r="AS807">
        <f t="shared" si="581"/>
        <v>0</v>
      </c>
      <c r="AT807">
        <f t="shared" si="599"/>
        <v>0</v>
      </c>
      <c r="AU807">
        <f>IFERROR(HLOOKUP(B807,'Real assumptions'!$B$43:$AL$44,2,TRUE)*($W$3/$U$2),0)</f>
        <v>0</v>
      </c>
      <c r="AV807">
        <f>AV806*(1+'Real assumptions'!$B$35)^(1/12)</f>
        <v>2.2773032319366862</v>
      </c>
      <c r="AW807">
        <f t="shared" si="582"/>
        <v>2085</v>
      </c>
      <c r="AX807">
        <f t="shared" si="609"/>
        <v>8.389775678008575E-2</v>
      </c>
      <c r="AY807">
        <f t="shared" si="610"/>
        <v>1.0971646595263934E-4</v>
      </c>
      <c r="AZ807">
        <f t="shared" si="583"/>
        <v>9.6610790956674478E-2</v>
      </c>
      <c r="BA807">
        <f t="shared" si="600"/>
        <v>2.6972269187100208E-4</v>
      </c>
      <c r="BB807">
        <f t="shared" si="601"/>
        <v>32.666666666666671</v>
      </c>
      <c r="BC807">
        <f t="shared" si="584"/>
        <v>19.600000000000001</v>
      </c>
      <c r="BD807">
        <f t="shared" si="602"/>
        <v>0</v>
      </c>
      <c r="BE807">
        <f t="shared" si="585"/>
        <v>24</v>
      </c>
      <c r="BF807">
        <f t="shared" si="611"/>
        <v>5000</v>
      </c>
      <c r="BU807"/>
      <c r="DW807" s="89"/>
      <c r="DX807" s="89"/>
      <c r="FD807"/>
      <c r="FE807"/>
    </row>
    <row r="808" spans="1:161" x14ac:dyDescent="0.25">
      <c r="A808" s="7">
        <f t="shared" si="603"/>
        <v>67692</v>
      </c>
      <c r="B808">
        <f t="shared" si="586"/>
        <v>797</v>
      </c>
      <c r="C808">
        <f t="shared" si="567"/>
        <v>66.333333333333329</v>
      </c>
      <c r="D808">
        <f t="shared" si="568"/>
        <v>0</v>
      </c>
      <c r="E808">
        <f t="shared" si="587"/>
        <v>118</v>
      </c>
      <c r="F808">
        <f>IF(C808&gt;=$T$2,0,VLOOKUP($E808,EKM_F05!$A$3:$C$128,2,TRUE))</f>
        <v>0</v>
      </c>
      <c r="G808">
        <f>F808*'Real assumptions'!$B$3</f>
        <v>0</v>
      </c>
      <c r="H808">
        <f t="shared" si="569"/>
        <v>0</v>
      </c>
      <c r="I808">
        <f t="shared" si="570"/>
        <v>0</v>
      </c>
      <c r="J808">
        <f>IF(B808&gt;$AJ$2,0,HLOOKUP(C808,'Real assumptions'!$B$5:$L$8,4,TRUE))</f>
        <v>3.7900000000000003E-2</v>
      </c>
      <c r="K808">
        <f t="shared" si="576"/>
        <v>1</v>
      </c>
      <c r="L808">
        <f t="shared" si="604"/>
        <v>8.3333333333333329E-2</v>
      </c>
      <c r="M808">
        <f t="shared" si="571"/>
        <v>3.2145624959929453E-3</v>
      </c>
      <c r="N808">
        <f t="shared" si="572"/>
        <v>8.3529869827672867E-8</v>
      </c>
      <c r="O808" s="8">
        <f t="shared" si="588"/>
        <v>2.5901303192772763E-5</v>
      </c>
      <c r="P808">
        <f t="shared" si="589"/>
        <v>6.2363599350241054E-4</v>
      </c>
      <c r="Q808">
        <f t="shared" si="605"/>
        <v>0</v>
      </c>
      <c r="R808" s="89">
        <f t="shared" si="577"/>
        <v>5000</v>
      </c>
      <c r="S808">
        <f t="shared" si="578"/>
        <v>0.5833333333333286</v>
      </c>
      <c r="U808">
        <f>O807*AV807*'Real assumptions'!$B$33/12+AX808*'Real assumptions'!$B$34</f>
        <v>6.1469526396989765E-4</v>
      </c>
      <c r="V808">
        <f>IF(P808=0,0,IF(E808&lt;=$C$7,$AN$5*O807,0))*'Real assumptions'!$D$28</f>
        <v>0</v>
      </c>
      <c r="X808" s="94">
        <f t="shared" si="590"/>
        <v>0</v>
      </c>
      <c r="Y808">
        <f t="shared" si="579"/>
        <v>24</v>
      </c>
      <c r="Z808">
        <f t="shared" si="606"/>
        <v>32</v>
      </c>
      <c r="AA808">
        <f t="shared" si="580"/>
        <v>32.583333333333329</v>
      </c>
      <c r="AB808">
        <f t="shared" si="591"/>
        <v>50.505050505050505</v>
      </c>
      <c r="AC808">
        <f t="shared" si="573"/>
        <v>1645.6228956228954</v>
      </c>
      <c r="AD808">
        <f t="shared" si="592"/>
        <v>80.505050505050505</v>
      </c>
      <c r="AE808">
        <f t="shared" si="593"/>
        <v>131.15614478114475</v>
      </c>
      <c r="AF808" s="94">
        <f t="shared" si="594"/>
        <v>3223.2209595959603</v>
      </c>
      <c r="AG808">
        <f t="shared" si="607"/>
        <v>2.692352271808774E-4</v>
      </c>
      <c r="AH808">
        <f t="shared" si="595"/>
        <v>8.3485623331794934E-2</v>
      </c>
      <c r="AI808">
        <f>HLOOKUP(AW808,'Real assumptions'!$A$21:$AK$24,2,TRUE)</f>
        <v>0</v>
      </c>
      <c r="AJ808" s="123">
        <f t="shared" si="574"/>
        <v>0</v>
      </c>
      <c r="AK808" s="122">
        <f>(1+HLOOKUP(YEAR(A808),'Real assumptions'!$A$21:$AK$24,2,TRUE)/100)^(1/12)-1</f>
        <v>0</v>
      </c>
      <c r="AL808">
        <f t="shared" si="608"/>
        <v>6.1469526396989765E-4</v>
      </c>
      <c r="AM808">
        <f>('Real assumptions'!$B$33/12)*O807*AV807</f>
        <v>5.9175344314795235E-4</v>
      </c>
      <c r="AN808">
        <f t="shared" si="596"/>
        <v>8.3645719220083695E-2</v>
      </c>
      <c r="AO808">
        <f t="shared" si="575"/>
        <v>0</v>
      </c>
      <c r="AP808" s="121">
        <f t="shared" si="597"/>
        <v>0</v>
      </c>
      <c r="AQ808">
        <f t="shared" si="598"/>
        <v>0</v>
      </c>
      <c r="AR808">
        <v>0</v>
      </c>
      <c r="AS808">
        <f t="shared" si="581"/>
        <v>0</v>
      </c>
      <c r="AT808">
        <f t="shared" si="599"/>
        <v>0</v>
      </c>
      <c r="AU808">
        <f>IFERROR(HLOOKUP(B808,'Real assumptions'!$B$43:$AL$44,2,TRUE)*($W$3/$U$2),0)</f>
        <v>0</v>
      </c>
      <c r="AV808">
        <f>AV807*(1+'Real assumptions'!$B$35)^(1/12)</f>
        <v>2.2796619396834243</v>
      </c>
      <c r="AW808">
        <f t="shared" si="582"/>
        <v>2085</v>
      </c>
      <c r="AX808">
        <f t="shared" si="609"/>
        <v>8.3746142266067178E-2</v>
      </c>
      <c r="AY808">
        <f t="shared" si="610"/>
        <v>1.0936377551599509E-4</v>
      </c>
      <c r="AZ808">
        <f t="shared" si="583"/>
        <v>9.6350496459026116E-2</v>
      </c>
      <c r="BA808">
        <f t="shared" si="600"/>
        <v>2.692352271808774E-4</v>
      </c>
      <c r="BB808">
        <f t="shared" si="601"/>
        <v>32.583333333333329</v>
      </c>
      <c r="BC808">
        <f t="shared" si="584"/>
        <v>19.549999999999997</v>
      </c>
      <c r="BD808">
        <f t="shared" si="602"/>
        <v>0</v>
      </c>
      <c r="BE808">
        <f t="shared" si="585"/>
        <v>24</v>
      </c>
      <c r="BF808">
        <f t="shared" si="611"/>
        <v>5000</v>
      </c>
      <c r="BU808"/>
      <c r="DW808" s="89"/>
      <c r="DX808" s="89"/>
      <c r="FD808"/>
      <c r="FE808"/>
    </row>
    <row r="809" spans="1:161" x14ac:dyDescent="0.25">
      <c r="A809" s="7">
        <f t="shared" si="603"/>
        <v>67723</v>
      </c>
      <c r="B809">
        <f t="shared" si="586"/>
        <v>798</v>
      </c>
      <c r="C809">
        <f t="shared" si="567"/>
        <v>66.416666666666671</v>
      </c>
      <c r="D809">
        <f t="shared" si="568"/>
        <v>0</v>
      </c>
      <c r="E809">
        <f t="shared" si="587"/>
        <v>118</v>
      </c>
      <c r="F809">
        <f>IF(C809&gt;=$T$2,0,VLOOKUP($E809,EKM_F05!$A$3:$C$128,2,TRUE))</f>
        <v>0</v>
      </c>
      <c r="G809">
        <f>F809*'Real assumptions'!$B$3</f>
        <v>0</v>
      </c>
      <c r="H809">
        <f t="shared" si="569"/>
        <v>0</v>
      </c>
      <c r="I809">
        <f t="shared" si="570"/>
        <v>0</v>
      </c>
      <c r="J809">
        <f>IF(B809&gt;$AJ$2,0,HLOOKUP(C809,'Real assumptions'!$B$5:$L$8,4,TRUE))</f>
        <v>3.7900000000000003E-2</v>
      </c>
      <c r="K809">
        <f t="shared" si="576"/>
        <v>1</v>
      </c>
      <c r="L809">
        <f t="shared" si="604"/>
        <v>8.3333333333333329E-2</v>
      </c>
      <c r="M809">
        <f t="shared" si="571"/>
        <v>3.2145624959929453E-3</v>
      </c>
      <c r="N809">
        <f t="shared" si="572"/>
        <v>8.3261357840829653E-8</v>
      </c>
      <c r="O809" s="8">
        <f t="shared" si="588"/>
        <v>2.5818041834931934E-5</v>
      </c>
      <c r="P809">
        <f t="shared" si="589"/>
        <v>6.2163127662654631E-4</v>
      </c>
      <c r="Q809">
        <f t="shared" si="605"/>
        <v>0</v>
      </c>
      <c r="R809" s="89">
        <f t="shared" si="577"/>
        <v>5000</v>
      </c>
      <c r="S809">
        <f t="shared" si="578"/>
        <v>0.5</v>
      </c>
      <c r="U809">
        <f>O808*AV808*'Real assumptions'!$B$33/12+AX809*'Real assumptions'!$B$34</f>
        <v>6.1336246711159539E-4</v>
      </c>
      <c r="V809">
        <f>IF(P809=0,0,IF(E809&lt;=$C$7,$AN$5*O808,0))*'Real assumptions'!$D$28</f>
        <v>0</v>
      </c>
      <c r="X809" s="94">
        <f t="shared" si="590"/>
        <v>0</v>
      </c>
      <c r="Y809">
        <f t="shared" si="579"/>
        <v>24</v>
      </c>
      <c r="Z809">
        <f t="shared" si="606"/>
        <v>32</v>
      </c>
      <c r="AA809">
        <f t="shared" si="580"/>
        <v>32.5</v>
      </c>
      <c r="AB809">
        <f t="shared" si="591"/>
        <v>50.505050505050505</v>
      </c>
      <c r="AC809">
        <f t="shared" si="573"/>
        <v>1641.4141414141413</v>
      </c>
      <c r="AD809">
        <f t="shared" si="592"/>
        <v>80.505050505050505</v>
      </c>
      <c r="AE809">
        <f t="shared" si="593"/>
        <v>130.82070707070707</v>
      </c>
      <c r="AF809" s="94">
        <f t="shared" si="594"/>
        <v>3227.7651515151515</v>
      </c>
      <c r="AG809">
        <f t="shared" si="607"/>
        <v>2.6874810930646278E-4</v>
      </c>
      <c r="AH809">
        <f t="shared" si="595"/>
        <v>8.3334575715153597E-2</v>
      </c>
      <c r="AI809">
        <f>HLOOKUP(AW809,'Real assumptions'!$A$21:$AK$24,2,TRUE)</f>
        <v>0</v>
      </c>
      <c r="AJ809" s="123">
        <f t="shared" si="574"/>
        <v>0</v>
      </c>
      <c r="AK809" s="122">
        <f>(1+HLOOKUP(YEAR(A809),'Real assumptions'!$A$21:$AK$24,2,TRUE)/100)^(1/12)-1</f>
        <v>0</v>
      </c>
      <c r="AL809">
        <f t="shared" si="608"/>
        <v>6.1336246711159539E-4</v>
      </c>
      <c r="AM809">
        <f>('Real assumptions'!$B$33/12)*O808*AV808</f>
        <v>5.9046215076764819E-4</v>
      </c>
      <c r="AN809">
        <f t="shared" si="596"/>
        <v>8.3493892141309894E-2</v>
      </c>
      <c r="AO809">
        <f t="shared" si="575"/>
        <v>0</v>
      </c>
      <c r="AP809" s="121">
        <f t="shared" si="597"/>
        <v>0</v>
      </c>
      <c r="AQ809">
        <f t="shared" si="598"/>
        <v>0</v>
      </c>
      <c r="AR809">
        <v>0</v>
      </c>
      <c r="AS809">
        <f t="shared" si="581"/>
        <v>0</v>
      </c>
      <c r="AT809">
        <f t="shared" si="599"/>
        <v>0</v>
      </c>
      <c r="AU809">
        <f>IFERROR(HLOOKUP(B809,'Real assumptions'!$B$43:$AL$44,2,TRUE)*($W$3/$U$2),0)</f>
        <v>0</v>
      </c>
      <c r="AV809">
        <f>AV808*(1+'Real assumptions'!$B$35)^(1/12)</f>
        <v>2.2820230904523111</v>
      </c>
      <c r="AW809">
        <f t="shared" si="582"/>
        <v>2085</v>
      </c>
      <c r="AX809">
        <f t="shared" si="609"/>
        <v>8.3594635550619731E-2</v>
      </c>
      <c r="AY809">
        <f t="shared" si="610"/>
        <v>1.0901221882480118E-4</v>
      </c>
      <c r="AZ809">
        <f t="shared" si="583"/>
        <v>9.6090017159234611E-2</v>
      </c>
      <c r="BA809">
        <f t="shared" si="600"/>
        <v>2.6874810930646278E-4</v>
      </c>
      <c r="BB809">
        <f t="shared" si="601"/>
        <v>32.5</v>
      </c>
      <c r="BC809">
        <f t="shared" si="584"/>
        <v>19.5</v>
      </c>
      <c r="BD809">
        <f t="shared" si="602"/>
        <v>0</v>
      </c>
      <c r="BE809">
        <f t="shared" si="585"/>
        <v>24</v>
      </c>
      <c r="BF809">
        <f t="shared" si="611"/>
        <v>5000</v>
      </c>
      <c r="BU809"/>
      <c r="DW809" s="89"/>
      <c r="DX809" s="89"/>
      <c r="FD809"/>
      <c r="FE809"/>
    </row>
    <row r="810" spans="1:161" x14ac:dyDescent="0.25">
      <c r="A810" s="7">
        <f t="shared" si="603"/>
        <v>67753</v>
      </c>
      <c r="B810">
        <f t="shared" si="586"/>
        <v>799</v>
      </c>
      <c r="C810">
        <f t="shared" ref="C810:C873" si="612">(B810+11)/12-1</f>
        <v>66.5</v>
      </c>
      <c r="D810">
        <f t="shared" ref="D810:D873" si="613">IF(C810-INT(C810)=0,1,0)</f>
        <v>0</v>
      </c>
      <c r="E810">
        <f t="shared" si="587"/>
        <v>118</v>
      </c>
      <c r="F810">
        <f>IF(C810&gt;=$T$2,0,VLOOKUP($E810,EKM_F05!$A$3:$C$128,2,TRUE))</f>
        <v>0</v>
      </c>
      <c r="G810">
        <f>F810*'Real assumptions'!$B$3</f>
        <v>0</v>
      </c>
      <c r="H810">
        <f t="shared" ref="H810:H873" si="614">(1-(1-G810)^(1/12))</f>
        <v>0</v>
      </c>
      <c r="I810">
        <f t="shared" ref="I810:I873" si="615">H810*O809*(1-M810/2)</f>
        <v>0</v>
      </c>
      <c r="J810">
        <f>IF(B810&gt;$AJ$2,0,HLOOKUP(C810,'Real assumptions'!$B$5:$L$8,4,TRUE))</f>
        <v>3.7900000000000003E-2</v>
      </c>
      <c r="K810">
        <f t="shared" si="576"/>
        <v>1</v>
      </c>
      <c r="L810">
        <f t="shared" si="604"/>
        <v>8.3333333333333329E-2</v>
      </c>
      <c r="M810">
        <f t="shared" ref="M810:M873" si="616">(1-(1-J810)^L810)</f>
        <v>3.2145624959929453E-3</v>
      </c>
      <c r="N810">
        <f t="shared" ref="N810:N873" si="617">M810*O809*(1-H810/2)</f>
        <v>8.2993709002549078E-8</v>
      </c>
      <c r="O810" s="8">
        <f t="shared" si="588"/>
        <v>2.5735048125929386E-5</v>
      </c>
      <c r="P810">
        <f t="shared" si="589"/>
        <v>6.196330040383664E-4</v>
      </c>
      <c r="Q810">
        <f t="shared" si="605"/>
        <v>0</v>
      </c>
      <c r="R810" s="89">
        <f t="shared" si="577"/>
        <v>5000</v>
      </c>
      <c r="S810">
        <f t="shared" si="578"/>
        <v>0.4166666666666714</v>
      </c>
      <c r="U810">
        <f>O809*AV809*'Real assumptions'!$B$33/12+AX810*'Real assumptions'!$B$34</f>
        <v>6.1203251781192256E-4</v>
      </c>
      <c r="V810">
        <f>IF(P810=0,0,IF(E810&lt;=$C$7,$AN$5*O809,0))*'Real assumptions'!$D$28</f>
        <v>0</v>
      </c>
      <c r="X810" s="94">
        <f t="shared" si="590"/>
        <v>0</v>
      </c>
      <c r="Y810">
        <f t="shared" si="579"/>
        <v>24</v>
      </c>
      <c r="Z810">
        <f t="shared" si="606"/>
        <v>32</v>
      </c>
      <c r="AA810">
        <f t="shared" si="580"/>
        <v>32.416666666666671</v>
      </c>
      <c r="AB810">
        <f t="shared" si="591"/>
        <v>50.505050505050505</v>
      </c>
      <c r="AC810">
        <f t="shared" ref="AC810:AC873" si="618">AB810*AA810</f>
        <v>1637.2053872053875</v>
      </c>
      <c r="AD810">
        <f t="shared" si="592"/>
        <v>80.505050505050505</v>
      </c>
      <c r="AE810">
        <f t="shared" si="593"/>
        <v>130.48526936026937</v>
      </c>
      <c r="AF810" s="94">
        <f t="shared" si="594"/>
        <v>3232.3093434343432</v>
      </c>
      <c r="AG810">
        <f t="shared" si="607"/>
        <v>2.6826134105521033E-4</v>
      </c>
      <c r="AH810">
        <f t="shared" si="595"/>
        <v>8.3183636511174039E-2</v>
      </c>
      <c r="AI810">
        <f>HLOOKUP(AW810,'Real assumptions'!$A$21:$AK$24,2,TRUE)</f>
        <v>0</v>
      </c>
      <c r="AJ810" s="123">
        <f t="shared" ref="AJ810:AJ873" si="619">((1+AI810/100)^(1/12))-1</f>
        <v>0</v>
      </c>
      <c r="AK810" s="122">
        <f>(1+HLOOKUP(YEAR(A810),'Real assumptions'!$A$21:$AK$24,2,TRUE)/100)^(1/12)-1</f>
        <v>0</v>
      </c>
      <c r="AL810">
        <f t="shared" si="608"/>
        <v>6.1203251781192256E-4</v>
      </c>
      <c r="AM810">
        <f>('Real assumptions'!$B$33/12)*O809*AV809</f>
        <v>5.8917367617578422E-4</v>
      </c>
      <c r="AN810">
        <f t="shared" si="596"/>
        <v>8.3342176201380042E-2</v>
      </c>
      <c r="AO810">
        <f t="shared" ref="AO810:AO873" si="620">AN810*AJ810</f>
        <v>0</v>
      </c>
      <c r="AP810" s="121">
        <f t="shared" si="597"/>
        <v>0</v>
      </c>
      <c r="AQ810">
        <f t="shared" si="598"/>
        <v>0</v>
      </c>
      <c r="AR810">
        <v>0</v>
      </c>
      <c r="AS810">
        <f t="shared" si="581"/>
        <v>0</v>
      </c>
      <c r="AT810">
        <f t="shared" si="599"/>
        <v>0</v>
      </c>
      <c r="AU810">
        <f>IFERROR(HLOOKUP(B810,'Real assumptions'!$B$43:$AL$44,2,TRUE)*($W$3/$U$2),0)</f>
        <v>0</v>
      </c>
      <c r="AV810">
        <f>AV809*(1+'Real assumptions'!$B$35)^(1/12)</f>
        <v>2.2843866867736966</v>
      </c>
      <c r="AW810">
        <f t="shared" si="582"/>
        <v>2085</v>
      </c>
      <c r="AX810">
        <f t="shared" si="609"/>
        <v>8.3443237507388163E-2</v>
      </c>
      <c r="AY810">
        <f t="shared" si="610"/>
        <v>1.0866179223456201E-4</v>
      </c>
      <c r="AZ810">
        <f t="shared" si="583"/>
        <v>9.5829356304405852E-2</v>
      </c>
      <c r="BA810">
        <f t="shared" si="600"/>
        <v>2.6826134105521033E-4</v>
      </c>
      <c r="BB810">
        <f t="shared" si="601"/>
        <v>32.416666666666671</v>
      </c>
      <c r="BC810">
        <f t="shared" si="584"/>
        <v>19.450000000000003</v>
      </c>
      <c r="BD810">
        <f t="shared" si="602"/>
        <v>0</v>
      </c>
      <c r="BE810">
        <f t="shared" si="585"/>
        <v>24</v>
      </c>
      <c r="BF810">
        <f t="shared" si="611"/>
        <v>5000</v>
      </c>
      <c r="BU810"/>
      <c r="DW810" s="89"/>
      <c r="DX810" s="89"/>
      <c r="FD810"/>
      <c r="FE810"/>
    </row>
    <row r="811" spans="1:161" x14ac:dyDescent="0.25">
      <c r="A811" s="7">
        <f t="shared" si="603"/>
        <v>67784</v>
      </c>
      <c r="B811">
        <f t="shared" si="586"/>
        <v>800</v>
      </c>
      <c r="C811">
        <f t="shared" si="612"/>
        <v>66.583333333333329</v>
      </c>
      <c r="D811">
        <f t="shared" si="613"/>
        <v>0</v>
      </c>
      <c r="E811">
        <f t="shared" si="587"/>
        <v>118</v>
      </c>
      <c r="F811">
        <f>IF(C811&gt;=$T$2,0,VLOOKUP($E811,EKM_F05!$A$3:$C$128,2,TRUE))</f>
        <v>0</v>
      </c>
      <c r="G811">
        <f>F811*'Real assumptions'!$B$3</f>
        <v>0</v>
      </c>
      <c r="H811">
        <f t="shared" si="614"/>
        <v>0</v>
      </c>
      <c r="I811">
        <f t="shared" si="615"/>
        <v>0</v>
      </c>
      <c r="J811">
        <f>IF(B811&gt;$AJ$2,0,HLOOKUP(C811,'Real assumptions'!$B$5:$L$8,4,TRUE))</f>
        <v>3.7900000000000003E-2</v>
      </c>
      <c r="K811">
        <f t="shared" si="576"/>
        <v>1</v>
      </c>
      <c r="L811">
        <f t="shared" si="604"/>
        <v>8.3333333333333329E-2</v>
      </c>
      <c r="M811">
        <f t="shared" si="616"/>
        <v>3.2145624959929453E-3</v>
      </c>
      <c r="N811">
        <f t="shared" si="617"/>
        <v>8.2726920538186138E-8</v>
      </c>
      <c r="O811" s="8">
        <f t="shared" si="588"/>
        <v>2.5652321205391201E-5</v>
      </c>
      <c r="P811">
        <f t="shared" si="589"/>
        <v>6.1764115502230526E-4</v>
      </c>
      <c r="Q811">
        <f t="shared" si="605"/>
        <v>0</v>
      </c>
      <c r="R811" s="89">
        <f t="shared" si="577"/>
        <v>5000</v>
      </c>
      <c r="S811">
        <f t="shared" si="578"/>
        <v>0.3333333333333286</v>
      </c>
      <c r="U811">
        <f>O810*AV810*'Real assumptions'!$B$33/12+AX811*'Real assumptions'!$B$34</f>
        <v>6.107054101595397E-4</v>
      </c>
      <c r="V811">
        <f>IF(P811=0,0,IF(E811&lt;=$C$7,$AN$5*O810,0))*'Real assumptions'!$D$28</f>
        <v>0</v>
      </c>
      <c r="X811" s="94">
        <f t="shared" si="590"/>
        <v>0</v>
      </c>
      <c r="Y811">
        <f t="shared" si="579"/>
        <v>24</v>
      </c>
      <c r="Z811">
        <f t="shared" si="606"/>
        <v>32</v>
      </c>
      <c r="AA811">
        <f t="shared" si="580"/>
        <v>32.333333333333329</v>
      </c>
      <c r="AB811">
        <f t="shared" si="591"/>
        <v>50.505050505050505</v>
      </c>
      <c r="AC811">
        <f t="shared" si="618"/>
        <v>1632.9966329966328</v>
      </c>
      <c r="AD811">
        <f t="shared" si="592"/>
        <v>80.505050505050505</v>
      </c>
      <c r="AE811">
        <f t="shared" si="593"/>
        <v>130.14983164983161</v>
      </c>
      <c r="AF811" s="94">
        <f t="shared" si="594"/>
        <v>3236.8535353535358</v>
      </c>
      <c r="AG811">
        <f t="shared" si="607"/>
        <v>2.6777492521293884E-4</v>
      </c>
      <c r="AH811">
        <f t="shared" si="595"/>
        <v>8.3032806583694982E-2</v>
      </c>
      <c r="AI811">
        <f>HLOOKUP(AW811,'Real assumptions'!$A$21:$AK$24,2,TRUE)</f>
        <v>0</v>
      </c>
      <c r="AJ811" s="123">
        <f t="shared" si="619"/>
        <v>0</v>
      </c>
      <c r="AK811" s="122">
        <f>(1+HLOOKUP(YEAR(A811),'Real assumptions'!$A$21:$AK$24,2,TRUE)/100)^(1/12)-1</f>
        <v>0</v>
      </c>
      <c r="AL811">
        <f t="shared" si="608"/>
        <v>6.107054101595397E-4</v>
      </c>
      <c r="AM811">
        <f>('Real assumptions'!$B$33/12)*O810*AV810</f>
        <v>5.8788801322353463E-4</v>
      </c>
      <c r="AN811">
        <f t="shared" si="596"/>
        <v>8.3190572256036807E-2</v>
      </c>
      <c r="AO811">
        <f t="shared" si="620"/>
        <v>0</v>
      </c>
      <c r="AP811" s="121">
        <f t="shared" si="597"/>
        <v>0</v>
      </c>
      <c r="AQ811">
        <f t="shared" si="598"/>
        <v>0</v>
      </c>
      <c r="AR811">
        <v>0</v>
      </c>
      <c r="AS811">
        <f t="shared" si="581"/>
        <v>0</v>
      </c>
      <c r="AT811">
        <f t="shared" si="599"/>
        <v>0</v>
      </c>
      <c r="AU811">
        <f>IFERROR(HLOOKUP(B811,'Real assumptions'!$B$43:$AL$44,2,TRUE)*($W$3/$U$2),0)</f>
        <v>0</v>
      </c>
      <c r="AV811">
        <f>AV810*(1+'Real assumptions'!$B$35)^(1/12)</f>
        <v>2.2867527311805524</v>
      </c>
      <c r="AW811">
        <f t="shared" si="582"/>
        <v>2085</v>
      </c>
      <c r="AX811">
        <f t="shared" si="609"/>
        <v>8.3291949003286542E-2</v>
      </c>
      <c r="AY811">
        <f t="shared" si="610"/>
        <v>1.083124921124974E-4</v>
      </c>
      <c r="AZ811">
        <f t="shared" si="583"/>
        <v>9.5568517124055688E-2</v>
      </c>
      <c r="BA811">
        <f t="shared" si="600"/>
        <v>2.6777492521293884E-4</v>
      </c>
      <c r="BB811">
        <f t="shared" si="601"/>
        <v>32.333333333333329</v>
      </c>
      <c r="BC811">
        <f t="shared" si="584"/>
        <v>19.399999999999999</v>
      </c>
      <c r="BD811">
        <f t="shared" si="602"/>
        <v>0</v>
      </c>
      <c r="BE811">
        <f t="shared" si="585"/>
        <v>24</v>
      </c>
      <c r="BF811">
        <f t="shared" si="611"/>
        <v>5000</v>
      </c>
      <c r="BU811"/>
      <c r="DW811" s="89"/>
      <c r="DX811" s="89"/>
      <c r="FD811"/>
      <c r="FE811"/>
    </row>
    <row r="812" spans="1:161" x14ac:dyDescent="0.25">
      <c r="A812" s="7">
        <f t="shared" si="603"/>
        <v>67815</v>
      </c>
      <c r="B812">
        <f t="shared" si="586"/>
        <v>801</v>
      </c>
      <c r="C812">
        <f t="shared" si="612"/>
        <v>66.666666666666671</v>
      </c>
      <c r="D812">
        <f t="shared" si="613"/>
        <v>0</v>
      </c>
      <c r="E812">
        <f t="shared" si="587"/>
        <v>118</v>
      </c>
      <c r="F812">
        <f>IF(C812&gt;=$T$2,0,VLOOKUP($E812,EKM_F05!$A$3:$C$128,2,TRUE))</f>
        <v>0</v>
      </c>
      <c r="G812">
        <f>F812*'Real assumptions'!$B$3</f>
        <v>0</v>
      </c>
      <c r="H812">
        <f t="shared" si="614"/>
        <v>0</v>
      </c>
      <c r="I812">
        <f t="shared" si="615"/>
        <v>0</v>
      </c>
      <c r="J812">
        <f>IF(B812&gt;$AJ$2,0,HLOOKUP(C812,'Real assumptions'!$B$5:$L$8,4,TRUE))</f>
        <v>3.7900000000000003E-2</v>
      </c>
      <c r="K812">
        <f t="shared" si="576"/>
        <v>1</v>
      </c>
      <c r="L812">
        <f t="shared" si="604"/>
        <v>8.3333333333333329E-2</v>
      </c>
      <c r="M812">
        <f t="shared" si="616"/>
        <v>3.2145624959929453E-3</v>
      </c>
      <c r="N812">
        <f t="shared" si="617"/>
        <v>8.24609896820151E-8</v>
      </c>
      <c r="O812" s="8">
        <f t="shared" si="588"/>
        <v>2.5569860215709186E-5</v>
      </c>
      <c r="P812">
        <f t="shared" si="589"/>
        <v>6.1565570892938883E-4</v>
      </c>
      <c r="Q812">
        <f t="shared" si="605"/>
        <v>0</v>
      </c>
      <c r="R812" s="89">
        <f t="shared" si="577"/>
        <v>5000</v>
      </c>
      <c r="S812">
        <f t="shared" si="578"/>
        <v>0.25</v>
      </c>
      <c r="U812">
        <f>O811*AV811*'Real assumptions'!$B$33/12+AX812*'Real assumptions'!$B$34</f>
        <v>6.0938113825469132E-4</v>
      </c>
      <c r="V812">
        <f>IF(P812=0,0,IF(E812&lt;=$C$7,$AN$5*O811,0))*'Real assumptions'!$D$28</f>
        <v>0</v>
      </c>
      <c r="X812" s="94">
        <f t="shared" si="590"/>
        <v>0</v>
      </c>
      <c r="Y812">
        <f t="shared" si="579"/>
        <v>24</v>
      </c>
      <c r="Z812">
        <f t="shared" si="606"/>
        <v>32</v>
      </c>
      <c r="AA812">
        <f t="shared" si="580"/>
        <v>32.25</v>
      </c>
      <c r="AB812">
        <f t="shared" si="591"/>
        <v>50.505050505050505</v>
      </c>
      <c r="AC812">
        <f t="shared" si="618"/>
        <v>1628.7878787878788</v>
      </c>
      <c r="AD812">
        <f t="shared" si="592"/>
        <v>80.505050505050505</v>
      </c>
      <c r="AE812">
        <f t="shared" si="593"/>
        <v>129.81439393939394</v>
      </c>
      <c r="AF812" s="94">
        <f t="shared" si="594"/>
        <v>3241.397727272727</v>
      </c>
      <c r="AG812">
        <f t="shared" si="607"/>
        <v>2.6728886454394356E-4</v>
      </c>
      <c r="AH812">
        <f t="shared" si="595"/>
        <v>8.2882086789881071E-2</v>
      </c>
      <c r="AI812">
        <f>HLOOKUP(AW812,'Real assumptions'!$A$21:$AK$24,2,TRUE)</f>
        <v>0</v>
      </c>
      <c r="AJ812" s="123">
        <f t="shared" si="619"/>
        <v>0</v>
      </c>
      <c r="AK812" s="122">
        <f>(1+HLOOKUP(YEAR(A812),'Real assumptions'!$A$21:$AK$24,2,TRUE)/100)^(1/12)-1</f>
        <v>0</v>
      </c>
      <c r="AL812">
        <f t="shared" si="608"/>
        <v>6.0938113825469132E-4</v>
      </c>
      <c r="AM812">
        <f>('Real assumptions'!$B$33/12)*O811*AV811</f>
        <v>5.8660515577549127E-4</v>
      </c>
      <c r="AN812">
        <f t="shared" si="596"/>
        <v>8.3039081154369684E-2</v>
      </c>
      <c r="AO812">
        <f t="shared" si="620"/>
        <v>0</v>
      </c>
      <c r="AP812" s="121">
        <f t="shared" si="597"/>
        <v>0</v>
      </c>
      <c r="AQ812">
        <f t="shared" si="598"/>
        <v>0</v>
      </c>
      <c r="AR812">
        <v>0</v>
      </c>
      <c r="AS812">
        <f t="shared" si="581"/>
        <v>0</v>
      </c>
      <c r="AT812">
        <f t="shared" si="599"/>
        <v>0</v>
      </c>
      <c r="AU812">
        <f>IFERROR(HLOOKUP(B812,'Real assumptions'!$B$43:$AL$44,2,TRUE)*($W$3/$U$2),0)</f>
        <v>0</v>
      </c>
      <c r="AV812">
        <f>AV811*(1+'Real assumptions'!$B$35)^(1/12)</f>
        <v>2.2891212262084735</v>
      </c>
      <c r="AW812">
        <f t="shared" si="582"/>
        <v>2085</v>
      </c>
      <c r="AX812">
        <f t="shared" si="609"/>
        <v>8.3140770898532487E-2</v>
      </c>
      <c r="AY812">
        <f t="shared" si="610"/>
        <v>1.0796431483750505E-4</v>
      </c>
      <c r="AZ812">
        <f t="shared" si="583"/>
        <v>9.530750283018645E-2</v>
      </c>
      <c r="BA812">
        <f t="shared" si="600"/>
        <v>2.6728886454394356E-4</v>
      </c>
      <c r="BB812">
        <f t="shared" si="601"/>
        <v>32.25</v>
      </c>
      <c r="BC812">
        <f t="shared" si="584"/>
        <v>19.350000000000001</v>
      </c>
      <c r="BD812">
        <f t="shared" si="602"/>
        <v>0</v>
      </c>
      <c r="BE812">
        <f t="shared" si="585"/>
        <v>24</v>
      </c>
      <c r="BF812">
        <f t="shared" si="611"/>
        <v>5000</v>
      </c>
      <c r="BU812"/>
      <c r="DW812" s="89"/>
      <c r="DX812" s="89"/>
      <c r="FD812"/>
      <c r="FE812"/>
    </row>
    <row r="813" spans="1:161" x14ac:dyDescent="0.25">
      <c r="A813" s="7">
        <f t="shared" si="603"/>
        <v>67845</v>
      </c>
      <c r="B813">
        <f t="shared" si="586"/>
        <v>802</v>
      </c>
      <c r="C813">
        <f t="shared" si="612"/>
        <v>66.75</v>
      </c>
      <c r="D813">
        <f t="shared" si="613"/>
        <v>0</v>
      </c>
      <c r="E813">
        <f t="shared" si="587"/>
        <v>118</v>
      </c>
      <c r="F813">
        <f>IF(C813&gt;=$T$2,0,VLOOKUP($E813,EKM_F05!$A$3:$C$128,2,TRUE))</f>
        <v>0</v>
      </c>
      <c r="G813">
        <f>F813*'Real assumptions'!$B$3</f>
        <v>0</v>
      </c>
      <c r="H813">
        <f t="shared" si="614"/>
        <v>0</v>
      </c>
      <c r="I813">
        <f t="shared" si="615"/>
        <v>0</v>
      </c>
      <c r="J813">
        <f>IF(B813&gt;$AJ$2,0,HLOOKUP(C813,'Real assumptions'!$B$5:$L$8,4,TRUE))</f>
        <v>3.7900000000000003E-2</v>
      </c>
      <c r="K813">
        <f t="shared" si="576"/>
        <v>1</v>
      </c>
      <c r="L813">
        <f t="shared" si="604"/>
        <v>8.3333333333333329E-2</v>
      </c>
      <c r="M813">
        <f t="shared" si="616"/>
        <v>3.2145624959929453E-3</v>
      </c>
      <c r="N813">
        <f t="shared" si="617"/>
        <v>8.2195913677200835E-8</v>
      </c>
      <c r="O813" s="8">
        <f t="shared" si="588"/>
        <v>2.5487664302031984E-5</v>
      </c>
      <c r="P813">
        <f t="shared" si="589"/>
        <v>6.1367664517702049E-4</v>
      </c>
      <c r="Q813">
        <f t="shared" si="605"/>
        <v>0</v>
      </c>
      <c r="R813" s="89">
        <f t="shared" si="577"/>
        <v>5000</v>
      </c>
      <c r="S813">
        <f t="shared" si="578"/>
        <v>0.1666666666666714</v>
      </c>
      <c r="U813">
        <f>O812*AV812*'Real assumptions'!$B$33/12+AX813*'Real assumptions'!$B$34</f>
        <v>6.0805969620918491E-4</v>
      </c>
      <c r="V813">
        <f>IF(P813=0,0,IF(E813&lt;=$C$7,$AN$5*O812,0))*'Real assumptions'!$D$28</f>
        <v>0</v>
      </c>
      <c r="X813" s="94">
        <f t="shared" si="590"/>
        <v>0</v>
      </c>
      <c r="Y813">
        <f t="shared" si="579"/>
        <v>24</v>
      </c>
      <c r="Z813">
        <f t="shared" si="606"/>
        <v>32</v>
      </c>
      <c r="AA813">
        <f t="shared" si="580"/>
        <v>32.166666666666671</v>
      </c>
      <c r="AB813">
        <f t="shared" si="591"/>
        <v>50.505050505050505</v>
      </c>
      <c r="AC813">
        <f t="shared" si="618"/>
        <v>1624.5791245791247</v>
      </c>
      <c r="AD813">
        <f t="shared" si="592"/>
        <v>80.505050505050505</v>
      </c>
      <c r="AE813">
        <f t="shared" si="593"/>
        <v>129.47895622895624</v>
      </c>
      <c r="AF813" s="94">
        <f t="shared" si="594"/>
        <v>3245.9419191919192</v>
      </c>
      <c r="AG813">
        <f t="shared" si="607"/>
        <v>2.6680316179110658E-4</v>
      </c>
      <c r="AH813">
        <f t="shared" si="595"/>
        <v>8.2731477980257068E-2</v>
      </c>
      <c r="AI813">
        <f>HLOOKUP(AW813,'Real assumptions'!$A$21:$AK$24,2,TRUE)</f>
        <v>0</v>
      </c>
      <c r="AJ813" s="123">
        <f t="shared" si="619"/>
        <v>0</v>
      </c>
      <c r="AK813" s="122">
        <f>(1+HLOOKUP(YEAR(A813),'Real assumptions'!$A$21:$AK$24,2,TRUE)/100)^(1/12)-1</f>
        <v>0</v>
      </c>
      <c r="AL813">
        <f t="shared" si="608"/>
        <v>6.0805969620918491E-4</v>
      </c>
      <c r="AM813">
        <f>('Real assumptions'!$B$33/12)*O812*AV812</f>
        <v>5.853250977096348E-4</v>
      </c>
      <c r="AN813">
        <f t="shared" si="596"/>
        <v>8.2887703738848906E-2</v>
      </c>
      <c r="AO813">
        <f t="shared" si="620"/>
        <v>0</v>
      </c>
      <c r="AP813" s="121">
        <f t="shared" si="597"/>
        <v>0</v>
      </c>
      <c r="AQ813">
        <f t="shared" si="598"/>
        <v>0</v>
      </c>
      <c r="AR813">
        <v>0</v>
      </c>
      <c r="AS813">
        <f t="shared" si="581"/>
        <v>0</v>
      </c>
      <c r="AT813">
        <f t="shared" si="599"/>
        <v>0</v>
      </c>
      <c r="AU813">
        <f>IFERROR(HLOOKUP(B813,'Real assumptions'!$B$43:$AL$44,2,TRUE)*($W$3/$U$2),0)</f>
        <v>0</v>
      </c>
      <c r="AV813">
        <f>AV812*(1+'Real assumptions'!$B$35)^(1/12)</f>
        <v>2.2914921743956804</v>
      </c>
      <c r="AW813">
        <f t="shared" si="582"/>
        <v>2085</v>
      </c>
      <c r="AX813">
        <f t="shared" si="609"/>
        <v>8.2989704046681198E-2</v>
      </c>
      <c r="AY813">
        <f t="shared" si="610"/>
        <v>1.0761725680012283E-4</v>
      </c>
      <c r="AZ813">
        <f t="shared" si="583"/>
        <v>9.504631661736318E-2</v>
      </c>
      <c r="BA813">
        <f t="shared" si="600"/>
        <v>2.6680316179110658E-4</v>
      </c>
      <c r="BB813">
        <f t="shared" si="601"/>
        <v>32.166666666666671</v>
      </c>
      <c r="BC813">
        <f t="shared" si="584"/>
        <v>19.300000000000004</v>
      </c>
      <c r="BD813">
        <f t="shared" si="602"/>
        <v>0</v>
      </c>
      <c r="BE813">
        <f t="shared" si="585"/>
        <v>24</v>
      </c>
      <c r="BF813">
        <f t="shared" si="611"/>
        <v>5000</v>
      </c>
      <c r="BU813"/>
      <c r="DW813" s="89"/>
      <c r="DX813" s="89"/>
      <c r="FD813"/>
      <c r="FE813"/>
    </row>
    <row r="814" spans="1:161" x14ac:dyDescent="0.25">
      <c r="A814" s="7">
        <f t="shared" si="603"/>
        <v>67876</v>
      </c>
      <c r="B814">
        <f t="shared" si="586"/>
        <v>803</v>
      </c>
      <c r="C814">
        <f t="shared" si="612"/>
        <v>66.833333333333329</v>
      </c>
      <c r="D814">
        <f t="shared" si="613"/>
        <v>0</v>
      </c>
      <c r="E814">
        <f t="shared" si="587"/>
        <v>118</v>
      </c>
      <c r="F814">
        <f>IF(C814&gt;=$T$2,0,VLOOKUP($E814,EKM_F05!$A$3:$C$128,2,TRUE))</f>
        <v>0</v>
      </c>
      <c r="G814">
        <f>F814*'Real assumptions'!$B$3</f>
        <v>0</v>
      </c>
      <c r="H814">
        <f t="shared" si="614"/>
        <v>0</v>
      </c>
      <c r="I814">
        <f t="shared" si="615"/>
        <v>0</v>
      </c>
      <c r="J814">
        <f>IF(B814&gt;$AJ$2,0,HLOOKUP(C814,'Real assumptions'!$B$5:$L$8,4,TRUE))</f>
        <v>3.7900000000000003E-2</v>
      </c>
      <c r="K814">
        <f t="shared" si="576"/>
        <v>1</v>
      </c>
      <c r="L814">
        <f t="shared" si="604"/>
        <v>8.3333333333333329E-2</v>
      </c>
      <c r="M814">
        <f t="shared" si="616"/>
        <v>3.2145624959929453E-3</v>
      </c>
      <c r="N814">
        <f t="shared" si="617"/>
        <v>8.1931689775770231E-8</v>
      </c>
      <c r="O814" s="8">
        <f t="shared" si="588"/>
        <v>2.5405732612256215E-5</v>
      </c>
      <c r="P814">
        <f t="shared" si="589"/>
        <v>6.1170394324876762E-4</v>
      </c>
      <c r="Q814">
        <f t="shared" si="605"/>
        <v>0</v>
      </c>
      <c r="R814" s="89">
        <f t="shared" si="577"/>
        <v>5000</v>
      </c>
      <c r="S814">
        <f t="shared" si="578"/>
        <v>8.3333333333328596E-2</v>
      </c>
      <c r="U814">
        <f>O813*AV813*'Real assumptions'!$B$33/12+AX814*'Real assumptions'!$B$34</f>
        <v>6.0674107814637061E-4</v>
      </c>
      <c r="V814">
        <f>IF(P814=0,0,IF(E814&lt;=$C$7,$AN$5*O813,0))*'Real assumptions'!$D$28</f>
        <v>0</v>
      </c>
      <c r="X814" s="94">
        <f t="shared" si="590"/>
        <v>0</v>
      </c>
      <c r="Y814">
        <f t="shared" si="579"/>
        <v>24</v>
      </c>
      <c r="Z814">
        <f t="shared" si="606"/>
        <v>32</v>
      </c>
      <c r="AA814">
        <f t="shared" si="580"/>
        <v>32.083333333333329</v>
      </c>
      <c r="AB814">
        <f t="shared" si="591"/>
        <v>50.505050505050505</v>
      </c>
      <c r="AC814">
        <f t="shared" si="618"/>
        <v>1620.3703703703702</v>
      </c>
      <c r="AD814">
        <f t="shared" si="592"/>
        <v>80.505050505050505</v>
      </c>
      <c r="AE814">
        <f t="shared" si="593"/>
        <v>129.1435185185185</v>
      </c>
      <c r="AF814" s="94">
        <f t="shared" si="594"/>
        <v>3250.4861111111109</v>
      </c>
      <c r="AG814">
        <f t="shared" si="607"/>
        <v>2.6631781967600537E-4</v>
      </c>
      <c r="AH814">
        <f t="shared" si="595"/>
        <v>8.2580980998741421E-2</v>
      </c>
      <c r="AI814">
        <f>HLOOKUP(AW814,'Real assumptions'!$A$21:$AK$24,2,TRUE)</f>
        <v>0</v>
      </c>
      <c r="AJ814" s="123">
        <f t="shared" si="619"/>
        <v>0</v>
      </c>
      <c r="AK814" s="122">
        <f>(1+HLOOKUP(YEAR(A814),'Real assumptions'!$A$21:$AK$24,2,TRUE)/100)^(1/12)-1</f>
        <v>0</v>
      </c>
      <c r="AL814">
        <f t="shared" si="608"/>
        <v>6.0674107814637061E-4</v>
      </c>
      <c r="AM814">
        <f>('Real assumptions'!$B$33/12)*O813*AV813</f>
        <v>5.8404783291730433E-4</v>
      </c>
      <c r="AN814">
        <f t="shared" si="596"/>
        <v>8.2736440845359457E-2</v>
      </c>
      <c r="AO814">
        <f t="shared" si="620"/>
        <v>0</v>
      </c>
      <c r="AP814" s="121">
        <f t="shared" si="597"/>
        <v>0</v>
      </c>
      <c r="AQ814">
        <f t="shared" si="598"/>
        <v>0</v>
      </c>
      <c r="AR814">
        <v>0</v>
      </c>
      <c r="AS814">
        <f t="shared" si="581"/>
        <v>0</v>
      </c>
      <c r="AT814">
        <f t="shared" si="599"/>
        <v>0</v>
      </c>
      <c r="AU814">
        <f>IFERROR(HLOOKUP(B814,'Real assumptions'!$B$43:$AL$44,2,TRUE)*($W$3/$U$2),0)</f>
        <v>0</v>
      </c>
      <c r="AV814">
        <f>AV813*(1+'Real assumptions'!$B$35)^(1/12)</f>
        <v>2.2938655782830231</v>
      </c>
      <c r="AW814">
        <f t="shared" si="582"/>
        <v>2085</v>
      </c>
      <c r="AX814">
        <f t="shared" si="609"/>
        <v>8.2838749294659564E-2</v>
      </c>
      <c r="AY814">
        <f t="shared" si="610"/>
        <v>1.0727131440249151E-4</v>
      </c>
      <c r="AZ814">
        <f t="shared" si="583"/>
        <v>9.478496166278956E-2</v>
      </c>
      <c r="BA814">
        <f t="shared" si="600"/>
        <v>2.6631781967600537E-4</v>
      </c>
      <c r="BB814">
        <f t="shared" si="601"/>
        <v>32.083333333333329</v>
      </c>
      <c r="BC814">
        <f t="shared" si="584"/>
        <v>19.249999999999996</v>
      </c>
      <c r="BD814">
        <f t="shared" si="602"/>
        <v>0</v>
      </c>
      <c r="BE814">
        <f t="shared" si="585"/>
        <v>24</v>
      </c>
      <c r="BF814">
        <f t="shared" si="611"/>
        <v>5000</v>
      </c>
      <c r="BU814"/>
      <c r="DW814" s="89"/>
      <c r="DX814" s="89"/>
      <c r="FD814"/>
      <c r="FE814"/>
    </row>
    <row r="815" spans="1:161" x14ac:dyDescent="0.25">
      <c r="A815" s="7">
        <f t="shared" si="603"/>
        <v>67906</v>
      </c>
      <c r="B815">
        <f t="shared" si="586"/>
        <v>804</v>
      </c>
      <c r="C815">
        <f t="shared" si="612"/>
        <v>66.916666666666671</v>
      </c>
      <c r="D815">
        <f t="shared" si="613"/>
        <v>0</v>
      </c>
      <c r="E815">
        <f t="shared" si="587"/>
        <v>118</v>
      </c>
      <c r="F815">
        <f>IF(C815&gt;=$T$2,0,VLOOKUP($E815,EKM_F05!$A$3:$C$128,2,TRUE))</f>
        <v>0</v>
      </c>
      <c r="G815">
        <f>F815*'Real assumptions'!$B$3</f>
        <v>0</v>
      </c>
      <c r="H815">
        <f t="shared" si="614"/>
        <v>0</v>
      </c>
      <c r="I815">
        <f t="shared" si="615"/>
        <v>0</v>
      </c>
      <c r="J815">
        <f>IF(B815&gt;$AJ$2,0,HLOOKUP(C815,'Real assumptions'!$B$5:$L$8,4,TRUE))</f>
        <v>3.7900000000000003E-2</v>
      </c>
      <c r="K815">
        <f t="shared" si="576"/>
        <v>1</v>
      </c>
      <c r="L815">
        <f t="shared" si="604"/>
        <v>8.3333333333333329E-2</v>
      </c>
      <c r="M815">
        <f t="shared" si="616"/>
        <v>3.2145624959929453E-3</v>
      </c>
      <c r="N815">
        <f t="shared" si="617"/>
        <v>8.1668315238583709E-8</v>
      </c>
      <c r="O815" s="8">
        <f t="shared" si="588"/>
        <v>2.5324064297017631E-5</v>
      </c>
      <c r="P815">
        <f t="shared" si="589"/>
        <v>6.0973758269414918E-4</v>
      </c>
      <c r="Q815">
        <f t="shared" si="605"/>
        <v>0</v>
      </c>
      <c r="R815" s="89">
        <f t="shared" si="577"/>
        <v>5000</v>
      </c>
      <c r="S815">
        <f t="shared" si="578"/>
        <v>1</v>
      </c>
      <c r="U815">
        <f>O814*AV814*'Real assumptions'!$B$33/12+AX815*'Real assumptions'!$B$34</f>
        <v>6.0542527820112298E-4</v>
      </c>
      <c r="V815">
        <f>IF(P815=0,0,IF(E815&lt;=$C$7,$AN$5*O814,0))*'Real assumptions'!$D$28</f>
        <v>0</v>
      </c>
      <c r="X815" s="94">
        <f t="shared" si="590"/>
        <v>0</v>
      </c>
      <c r="Y815">
        <f t="shared" si="579"/>
        <v>24</v>
      </c>
      <c r="Z815">
        <f t="shared" si="606"/>
        <v>32</v>
      </c>
      <c r="AA815">
        <f t="shared" si="580"/>
        <v>32</v>
      </c>
      <c r="AB815">
        <f t="shared" si="591"/>
        <v>50.505050505050505</v>
      </c>
      <c r="AC815">
        <f t="shared" si="618"/>
        <v>1616.1616161616162</v>
      </c>
      <c r="AD815">
        <f t="shared" si="592"/>
        <v>80.505050505050505</v>
      </c>
      <c r="AE815">
        <f t="shared" si="593"/>
        <v>128.8080808080808</v>
      </c>
      <c r="AF815" s="94">
        <f t="shared" si="594"/>
        <v>3255.030303030303</v>
      </c>
      <c r="AG815">
        <f t="shared" si="607"/>
        <v>2.6583284089902145E-4</v>
      </c>
      <c r="AH815">
        <f t="shared" si="595"/>
        <v>8.2430596682680171E-2</v>
      </c>
      <c r="AI815">
        <f>HLOOKUP(AW815,'Real assumptions'!$A$21:$AK$24,2,TRUE)</f>
        <v>0</v>
      </c>
      <c r="AJ815" s="123">
        <f t="shared" si="619"/>
        <v>0</v>
      </c>
      <c r="AK815" s="122">
        <f>(1+HLOOKUP(YEAR(A815),'Real assumptions'!$A$21:$AK$24,2,TRUE)/100)^(1/12)-1</f>
        <v>0</v>
      </c>
      <c r="AL815">
        <f t="shared" si="608"/>
        <v>6.0542527820112298E-4</v>
      </c>
      <c r="AM815">
        <f>('Real assumptions'!$B$33/12)*O814*AV814</f>
        <v>5.8277335530316956E-4</v>
      </c>
      <c r="AN815">
        <f t="shared" si="596"/>
        <v>8.2585293303234455E-2</v>
      </c>
      <c r="AO815">
        <f t="shared" si="620"/>
        <v>0</v>
      </c>
      <c r="AP815" s="121">
        <f t="shared" si="597"/>
        <v>0</v>
      </c>
      <c r="AQ815">
        <f t="shared" si="598"/>
        <v>0</v>
      </c>
      <c r="AR815">
        <v>0</v>
      </c>
      <c r="AS815">
        <f t="shared" si="581"/>
        <v>0</v>
      </c>
      <c r="AT815">
        <f t="shared" si="599"/>
        <v>0</v>
      </c>
      <c r="AU815">
        <f>IFERROR(HLOOKUP(B815,'Real assumptions'!$B$43:$AL$44,2,TRUE)*($W$3/$U$2),0)</f>
        <v>0</v>
      </c>
      <c r="AV815">
        <f>AV814*(1+'Real assumptions'!$B$35)^(1/12)</f>
        <v>2.2962414404139833</v>
      </c>
      <c r="AW815">
        <f t="shared" si="582"/>
        <v>2085</v>
      </c>
      <c r="AX815">
        <f t="shared" si="609"/>
        <v>8.2687907482799736E-2</v>
      </c>
      <c r="AY815">
        <f t="shared" si="610"/>
        <v>1.0692648405831739E-4</v>
      </c>
      <c r="AZ815">
        <f t="shared" si="583"/>
        <v>9.452344112638357E-2</v>
      </c>
      <c r="BA815">
        <f t="shared" si="600"/>
        <v>2.6583284089902145E-4</v>
      </c>
      <c r="BB815">
        <f t="shared" si="601"/>
        <v>32</v>
      </c>
      <c r="BC815">
        <f t="shared" si="584"/>
        <v>19.2</v>
      </c>
      <c r="BD815">
        <f t="shared" si="602"/>
        <v>0</v>
      </c>
      <c r="BE815">
        <f t="shared" si="585"/>
        <v>24</v>
      </c>
      <c r="BF815">
        <f t="shared" si="611"/>
        <v>5000</v>
      </c>
      <c r="BU815"/>
      <c r="DW815" s="89"/>
      <c r="DX815" s="89"/>
      <c r="FD815"/>
      <c r="FE815"/>
    </row>
    <row r="816" spans="1:161" x14ac:dyDescent="0.25">
      <c r="A816" s="7">
        <f t="shared" si="603"/>
        <v>67937</v>
      </c>
      <c r="B816">
        <f t="shared" si="586"/>
        <v>805</v>
      </c>
      <c r="C816">
        <f t="shared" si="612"/>
        <v>67</v>
      </c>
      <c r="D816">
        <f t="shared" si="613"/>
        <v>1</v>
      </c>
      <c r="E816">
        <f t="shared" si="587"/>
        <v>119</v>
      </c>
      <c r="F816">
        <f>IF(C816&gt;=$T$2,0,VLOOKUP($E816,EKM_F05!$A$3:$C$128,2,TRUE))</f>
        <v>0</v>
      </c>
      <c r="G816">
        <f>F816*'Real assumptions'!$B$3</f>
        <v>0</v>
      </c>
      <c r="H816">
        <f t="shared" si="614"/>
        <v>0</v>
      </c>
      <c r="I816">
        <f t="shared" si="615"/>
        <v>0</v>
      </c>
      <c r="J816">
        <f>IF(B816&gt;$AJ$2,0,HLOOKUP(C816,'Real assumptions'!$B$5:$L$8,4,TRUE))</f>
        <v>3.7900000000000003E-2</v>
      </c>
      <c r="K816">
        <f t="shared" si="576"/>
        <v>1</v>
      </c>
      <c r="L816">
        <f t="shared" si="604"/>
        <v>8.3333333333333329E-2</v>
      </c>
      <c r="M816">
        <f t="shared" si="616"/>
        <v>3.2145624959929453E-3</v>
      </c>
      <c r="N816">
        <f t="shared" si="617"/>
        <v>8.1405787335306823E-8</v>
      </c>
      <c r="O816" s="8">
        <f t="shared" si="588"/>
        <v>2.5242658509682323E-5</v>
      </c>
      <c r="P816">
        <f t="shared" si="589"/>
        <v>6.077775431284232E-4</v>
      </c>
      <c r="Q816">
        <f t="shared" si="605"/>
        <v>0</v>
      </c>
      <c r="R816" s="89">
        <f t="shared" si="577"/>
        <v>5000</v>
      </c>
      <c r="S816">
        <f t="shared" si="578"/>
        <v>0.9166666666666714</v>
      </c>
      <c r="U816">
        <f>O815*AV815*'Real assumptions'!$B$33/12+AX816*'Real assumptions'!$B$34</f>
        <v>6.0411229051981954E-4</v>
      </c>
      <c r="V816">
        <f>IF(P816=0,0,IF(E816&lt;=$C$7,$AN$5*O815,0))*'Real assumptions'!$D$28</f>
        <v>0</v>
      </c>
      <c r="X816" s="94">
        <f t="shared" si="590"/>
        <v>0</v>
      </c>
      <c r="Y816">
        <f t="shared" si="579"/>
        <v>24</v>
      </c>
      <c r="Z816">
        <f t="shared" si="606"/>
        <v>32</v>
      </c>
      <c r="AA816">
        <f t="shared" si="580"/>
        <v>31.916666666666671</v>
      </c>
      <c r="AB816">
        <f t="shared" si="591"/>
        <v>50.505050505050505</v>
      </c>
      <c r="AC816">
        <f t="shared" si="618"/>
        <v>1611.9528619528621</v>
      </c>
      <c r="AD816">
        <f t="shared" si="592"/>
        <v>80.505050505050505</v>
      </c>
      <c r="AE816">
        <f t="shared" si="593"/>
        <v>128.4726430976431</v>
      </c>
      <c r="AF816" s="94">
        <f t="shared" si="594"/>
        <v>3259.5744949494951</v>
      </c>
      <c r="AG816">
        <f t="shared" si="607"/>
        <v>2.6534822813944873E-4</v>
      </c>
      <c r="AH816">
        <f t="shared" si="595"/>
        <v>8.2280325862880338E-2</v>
      </c>
      <c r="AI816">
        <f>HLOOKUP(AW816,'Real assumptions'!$A$21:$AK$24,2,TRUE)</f>
        <v>0</v>
      </c>
      <c r="AJ816" s="123">
        <f t="shared" si="619"/>
        <v>0</v>
      </c>
      <c r="AK816" s="122">
        <f>(1+HLOOKUP(YEAR(A816),'Real assumptions'!$A$21:$AK$24,2,TRUE)/100)^(1/12)-1</f>
        <v>0</v>
      </c>
      <c r="AL816">
        <f t="shared" si="608"/>
        <v>6.0411229051981954E-4</v>
      </c>
      <c r="AM816">
        <f>('Real assumptions'!$B$33/12)*O815*AV815</f>
        <v>5.8150165878520087E-4</v>
      </c>
      <c r="AN816">
        <f t="shared" si="596"/>
        <v>8.2434261935288772E-2</v>
      </c>
      <c r="AO816">
        <f t="shared" si="620"/>
        <v>0</v>
      </c>
      <c r="AP816" s="121">
        <f t="shared" si="597"/>
        <v>0</v>
      </c>
      <c r="AQ816">
        <f t="shared" si="598"/>
        <v>0</v>
      </c>
      <c r="AR816">
        <v>0</v>
      </c>
      <c r="AS816">
        <f t="shared" si="581"/>
        <v>0</v>
      </c>
      <c r="AT816">
        <f t="shared" si="599"/>
        <v>0</v>
      </c>
      <c r="AU816">
        <f>IFERROR(HLOOKUP(B816,'Real assumptions'!$B$43:$AL$44,2,TRUE)*($W$3/$U$2),0)</f>
        <v>0</v>
      </c>
      <c r="AV816">
        <f>AV815*(1+'Real assumptions'!$B$35)^(1/12)</f>
        <v>2.2986197633346772</v>
      </c>
      <c r="AW816">
        <f t="shared" si="582"/>
        <v>2085</v>
      </c>
      <c r="AX816">
        <f t="shared" si="609"/>
        <v>8.2537179444873002E-2</v>
      </c>
      <c r="AY816">
        <f t="shared" si="610"/>
        <v>1.0658276219283514E-4</v>
      </c>
      <c r="AZ816">
        <f t="shared" si="583"/>
        <v>9.426175815085272E-2</v>
      </c>
      <c r="BA816">
        <f t="shared" si="600"/>
        <v>2.6534822813944873E-4</v>
      </c>
      <c r="BB816">
        <f t="shared" si="601"/>
        <v>31.916666666666671</v>
      </c>
      <c r="BC816">
        <f t="shared" si="584"/>
        <v>19.150000000000002</v>
      </c>
      <c r="BD816">
        <f t="shared" si="602"/>
        <v>0</v>
      </c>
      <c r="BE816">
        <f t="shared" si="585"/>
        <v>24</v>
      </c>
      <c r="BF816">
        <f t="shared" si="611"/>
        <v>5000</v>
      </c>
      <c r="BU816"/>
      <c r="DW816" s="89"/>
      <c r="DX816" s="89"/>
      <c r="FD816"/>
      <c r="FE816"/>
    </row>
    <row r="817" spans="1:161" x14ac:dyDescent="0.25">
      <c r="A817" s="7">
        <f t="shared" si="603"/>
        <v>67968</v>
      </c>
      <c r="B817">
        <f t="shared" si="586"/>
        <v>806</v>
      </c>
      <c r="C817">
        <f t="shared" si="612"/>
        <v>67.083333333333329</v>
      </c>
      <c r="D817">
        <f t="shared" si="613"/>
        <v>0</v>
      </c>
      <c r="E817">
        <f t="shared" si="587"/>
        <v>119</v>
      </c>
      <c r="F817">
        <f>IF(C817&gt;=$T$2,0,VLOOKUP($E817,EKM_F05!$A$3:$C$128,2,TRUE))</f>
        <v>0</v>
      </c>
      <c r="G817">
        <f>F817*'Real assumptions'!$B$3</f>
        <v>0</v>
      </c>
      <c r="H817">
        <f t="shared" si="614"/>
        <v>0</v>
      </c>
      <c r="I817">
        <f t="shared" si="615"/>
        <v>0</v>
      </c>
      <c r="J817">
        <f>IF(B817&gt;$AJ$2,0,HLOOKUP(C817,'Real assumptions'!$B$5:$L$8,4,TRUE))</f>
        <v>3.7900000000000003E-2</v>
      </c>
      <c r="K817">
        <f t="shared" si="576"/>
        <v>1</v>
      </c>
      <c r="L817">
        <f t="shared" si="604"/>
        <v>8.3333333333333329E-2</v>
      </c>
      <c r="M817">
        <f t="shared" si="616"/>
        <v>3.2145624959929453E-3</v>
      </c>
      <c r="N817">
        <f t="shared" si="617"/>
        <v>8.1144103344381975E-8</v>
      </c>
      <c r="O817" s="8">
        <f t="shared" si="588"/>
        <v>2.5161514406337942E-5</v>
      </c>
      <c r="P817">
        <f t="shared" si="589"/>
        <v>6.058238042323757E-4</v>
      </c>
      <c r="Q817">
        <f t="shared" si="605"/>
        <v>0</v>
      </c>
      <c r="R817" s="89">
        <f t="shared" si="577"/>
        <v>5000</v>
      </c>
      <c r="S817">
        <f t="shared" si="578"/>
        <v>0.8333333333333286</v>
      </c>
      <c r="U817">
        <f>O816*AV816*'Real assumptions'!$B$33/12+AX817*'Real assumptions'!$B$34</f>
        <v>6.0280210926032187E-4</v>
      </c>
      <c r="V817">
        <f>IF(P817=0,0,IF(E817&lt;=$C$7,$AN$5*O816,0))*'Real assumptions'!$D$28</f>
        <v>0</v>
      </c>
      <c r="X817" s="94">
        <f t="shared" si="590"/>
        <v>0</v>
      </c>
      <c r="Y817">
        <f t="shared" si="579"/>
        <v>24</v>
      </c>
      <c r="Z817">
        <f t="shared" si="606"/>
        <v>31</v>
      </c>
      <c r="AA817">
        <f t="shared" si="580"/>
        <v>31.833333333333329</v>
      </c>
      <c r="AB817">
        <f t="shared" si="591"/>
        <v>50.505050505050505</v>
      </c>
      <c r="AC817">
        <f t="shared" si="618"/>
        <v>1607.7441077441076</v>
      </c>
      <c r="AD817">
        <f t="shared" si="592"/>
        <v>80.505050505050505</v>
      </c>
      <c r="AE817">
        <f t="shared" si="593"/>
        <v>128.13720538720537</v>
      </c>
      <c r="AF817" s="94">
        <f t="shared" si="594"/>
        <v>3264.1186868686868</v>
      </c>
      <c r="AG817">
        <f t="shared" si="607"/>
        <v>2.6486398405560111E-4</v>
      </c>
      <c r="AH817">
        <f t="shared" si="595"/>
        <v>8.2130169363643354E-2</v>
      </c>
      <c r="AI817">
        <f>HLOOKUP(AW817,'Real assumptions'!$A$21:$AK$24,2,TRUE)</f>
        <v>0</v>
      </c>
      <c r="AJ817" s="123">
        <f t="shared" si="619"/>
        <v>0</v>
      </c>
      <c r="AK817" s="122">
        <f>(1+HLOOKUP(YEAR(A817),'Real assumptions'!$A$21:$AK$24,2,TRUE)/100)^(1/12)-1</f>
        <v>0</v>
      </c>
      <c r="AL817">
        <f t="shared" si="608"/>
        <v>6.0280210926032187E-4</v>
      </c>
      <c r="AM817">
        <f>('Real assumptions'!$B$33/12)*O816*AV816</f>
        <v>5.8023273729464057E-4</v>
      </c>
      <c r="AN817">
        <f t="shared" si="596"/>
        <v>8.2283347557852396E-2</v>
      </c>
      <c r="AO817">
        <f t="shared" si="620"/>
        <v>0</v>
      </c>
      <c r="AP817" s="121">
        <f t="shared" si="597"/>
        <v>0</v>
      </c>
      <c r="AQ817">
        <f t="shared" si="598"/>
        <v>0</v>
      </c>
      <c r="AR817">
        <v>0</v>
      </c>
      <c r="AS817">
        <f t="shared" si="581"/>
        <v>0</v>
      </c>
      <c r="AT817">
        <f t="shared" si="599"/>
        <v>0</v>
      </c>
      <c r="AU817">
        <f>IFERROR(HLOOKUP(B817,'Real assumptions'!$B$43:$AL$44,2,TRUE)*($W$3/$U$2),0)</f>
        <v>0</v>
      </c>
      <c r="AV817">
        <f>AV816*(1+'Real assumptions'!$B$35)^(1/12)</f>
        <v>2.3010005495938581</v>
      </c>
      <c r="AW817">
        <f t="shared" si="582"/>
        <v>2086</v>
      </c>
      <c r="AX817">
        <f t="shared" si="609"/>
        <v>8.2386566008123108E-2</v>
      </c>
      <c r="AY817">
        <f t="shared" si="610"/>
        <v>1.0624014524277072E-4</v>
      </c>
      <c r="AZ817">
        <f t="shared" si="583"/>
        <v>9.3999915861769173E-2</v>
      </c>
      <c r="BA817">
        <f t="shared" si="600"/>
        <v>2.6486398405560111E-4</v>
      </c>
      <c r="BB817">
        <f t="shared" si="601"/>
        <v>31.833333333333329</v>
      </c>
      <c r="BC817">
        <f t="shared" si="584"/>
        <v>19.099999999999994</v>
      </c>
      <c r="BD817">
        <f t="shared" si="602"/>
        <v>0</v>
      </c>
      <c r="BE817">
        <f t="shared" si="585"/>
        <v>24</v>
      </c>
      <c r="BF817">
        <f t="shared" si="611"/>
        <v>5000</v>
      </c>
      <c r="BU817"/>
      <c r="DW817" s="89"/>
      <c r="DX817" s="89"/>
      <c r="FD817"/>
      <c r="FE817"/>
    </row>
    <row r="818" spans="1:161" x14ac:dyDescent="0.25">
      <c r="A818" s="7">
        <f t="shared" si="603"/>
        <v>67996</v>
      </c>
      <c r="B818">
        <f t="shared" si="586"/>
        <v>807</v>
      </c>
      <c r="C818">
        <f t="shared" si="612"/>
        <v>67.166666666666671</v>
      </c>
      <c r="D818">
        <f t="shared" si="613"/>
        <v>0</v>
      </c>
      <c r="E818">
        <f t="shared" si="587"/>
        <v>119</v>
      </c>
      <c r="F818">
        <f>IF(C818&gt;=$T$2,0,VLOOKUP($E818,EKM_F05!$A$3:$C$128,2,TRUE))</f>
        <v>0</v>
      </c>
      <c r="G818">
        <f>F818*'Real assumptions'!$B$3</f>
        <v>0</v>
      </c>
      <c r="H818">
        <f t="shared" si="614"/>
        <v>0</v>
      </c>
      <c r="I818">
        <f t="shared" si="615"/>
        <v>0</v>
      </c>
      <c r="J818">
        <f>IF(B818&gt;$AJ$2,0,HLOOKUP(C818,'Real assumptions'!$B$5:$L$8,4,TRUE))</f>
        <v>3.7900000000000003E-2</v>
      </c>
      <c r="K818">
        <f t="shared" si="576"/>
        <v>1</v>
      </c>
      <c r="L818">
        <f t="shared" si="604"/>
        <v>8.3333333333333329E-2</v>
      </c>
      <c r="M818">
        <f t="shared" si="616"/>
        <v>3.2145624959929453E-3</v>
      </c>
      <c r="N818">
        <f t="shared" si="617"/>
        <v>8.0883260553000151E-8</v>
      </c>
      <c r="O818" s="8">
        <f t="shared" si="588"/>
        <v>2.5080631145784941E-5</v>
      </c>
      <c r="P818">
        <f t="shared" si="589"/>
        <v>6.0387634575211058E-4</v>
      </c>
      <c r="Q818">
        <f t="shared" si="605"/>
        <v>0</v>
      </c>
      <c r="R818" s="89">
        <f t="shared" si="577"/>
        <v>5000</v>
      </c>
      <c r="S818">
        <f t="shared" si="578"/>
        <v>0.75</v>
      </c>
      <c r="U818">
        <f>O817*AV817*'Real assumptions'!$B$33/12+AX818*'Real assumptions'!$B$34</f>
        <v>6.0149472859195527E-4</v>
      </c>
      <c r="V818">
        <f>IF(P818=0,0,IF(E818&lt;=$C$7,$AN$5*O817,0))*'Real assumptions'!$D$28</f>
        <v>0</v>
      </c>
      <c r="X818" s="94">
        <f t="shared" si="590"/>
        <v>0</v>
      </c>
      <c r="Y818">
        <f t="shared" si="579"/>
        <v>24</v>
      </c>
      <c r="Z818">
        <f t="shared" si="606"/>
        <v>31</v>
      </c>
      <c r="AA818">
        <f t="shared" si="580"/>
        <v>31.75</v>
      </c>
      <c r="AB818">
        <f t="shared" si="591"/>
        <v>50.505050505050505</v>
      </c>
      <c r="AC818">
        <f t="shared" si="618"/>
        <v>1603.5353535353536</v>
      </c>
      <c r="AD818">
        <f t="shared" si="592"/>
        <v>80.505050505050505</v>
      </c>
      <c r="AE818">
        <f t="shared" si="593"/>
        <v>127.80176767676767</v>
      </c>
      <c r="AF818" s="94">
        <f t="shared" si="594"/>
        <v>3268.662878787879</v>
      </c>
      <c r="AG818">
        <f t="shared" si="607"/>
        <v>2.6438011128491958E-4</v>
      </c>
      <c r="AH818">
        <f t="shared" si="595"/>
        <v>8.1980128002798344E-2</v>
      </c>
      <c r="AI818">
        <f>HLOOKUP(AW818,'Real assumptions'!$A$21:$AK$24,2,TRUE)</f>
        <v>0</v>
      </c>
      <c r="AJ818" s="123">
        <f t="shared" si="619"/>
        <v>0</v>
      </c>
      <c r="AK818" s="122">
        <f>(1+HLOOKUP(YEAR(A818),'Real assumptions'!$A$21:$AK$24,2,TRUE)/100)^(1/12)-1</f>
        <v>0</v>
      </c>
      <c r="AL818">
        <f t="shared" si="608"/>
        <v>6.0149472859195527E-4</v>
      </c>
      <c r="AM818">
        <f>('Real assumptions'!$B$33/12)*O817*AV817</f>
        <v>5.7896658477597383E-4</v>
      </c>
      <c r="AN818">
        <f t="shared" si="596"/>
        <v>8.2132550980803506E-2</v>
      </c>
      <c r="AO818">
        <f t="shared" si="620"/>
        <v>0</v>
      </c>
      <c r="AP818" s="121">
        <f t="shared" si="597"/>
        <v>0</v>
      </c>
      <c r="AQ818">
        <f t="shared" si="598"/>
        <v>0</v>
      </c>
      <c r="AR818">
        <v>0</v>
      </c>
      <c r="AS818">
        <f t="shared" si="581"/>
        <v>0</v>
      </c>
      <c r="AT818">
        <f t="shared" si="599"/>
        <v>0</v>
      </c>
      <c r="AU818">
        <f>IFERROR(HLOOKUP(B818,'Real assumptions'!$B$43:$AL$44,2,TRUE)*($W$3/$U$2),0)</f>
        <v>0</v>
      </c>
      <c r="AV818">
        <f>AV817*(1+'Real assumptions'!$B$35)^(1/12)</f>
        <v>2.3033838017429189</v>
      </c>
      <c r="AW818">
        <f t="shared" si="582"/>
        <v>2086</v>
      </c>
      <c r="AX818">
        <f t="shared" si="609"/>
        <v>8.2236067993299661E-2</v>
      </c>
      <c r="AY818">
        <f t="shared" si="610"/>
        <v>1.0589862965630447E-4</v>
      </c>
      <c r="AZ818">
        <f t="shared" si="583"/>
        <v>9.3737917367644405E-2</v>
      </c>
      <c r="BA818">
        <f t="shared" si="600"/>
        <v>2.6438011128491958E-4</v>
      </c>
      <c r="BB818">
        <f t="shared" si="601"/>
        <v>31.75</v>
      </c>
      <c r="BC818">
        <f t="shared" si="584"/>
        <v>19.049999999999997</v>
      </c>
      <c r="BD818">
        <f t="shared" si="602"/>
        <v>0</v>
      </c>
      <c r="BE818">
        <f t="shared" si="585"/>
        <v>24</v>
      </c>
      <c r="BF818">
        <f t="shared" si="611"/>
        <v>5000</v>
      </c>
      <c r="BU818"/>
      <c r="DW818" s="89"/>
      <c r="DX818" s="89"/>
      <c r="FD818"/>
      <c r="FE818"/>
    </row>
    <row r="819" spans="1:161" x14ac:dyDescent="0.25">
      <c r="A819" s="7">
        <f t="shared" si="603"/>
        <v>68027</v>
      </c>
      <c r="B819">
        <f t="shared" si="586"/>
        <v>808</v>
      </c>
      <c r="C819">
        <f t="shared" si="612"/>
        <v>67.25</v>
      </c>
      <c r="D819">
        <f t="shared" si="613"/>
        <v>0</v>
      </c>
      <c r="E819">
        <f t="shared" si="587"/>
        <v>119</v>
      </c>
      <c r="F819">
        <f>IF(C819&gt;=$T$2,0,VLOOKUP($E819,EKM_F05!$A$3:$C$128,2,TRUE))</f>
        <v>0</v>
      </c>
      <c r="G819">
        <f>F819*'Real assumptions'!$B$3</f>
        <v>0</v>
      </c>
      <c r="H819">
        <f t="shared" si="614"/>
        <v>0</v>
      </c>
      <c r="I819">
        <f t="shared" si="615"/>
        <v>0</v>
      </c>
      <c r="J819">
        <f>IF(B819&gt;$AJ$2,0,HLOOKUP(C819,'Real assumptions'!$B$5:$L$8,4,TRUE))</f>
        <v>3.7900000000000003E-2</v>
      </c>
      <c r="K819">
        <f t="shared" si="576"/>
        <v>1</v>
      </c>
      <c r="L819">
        <f t="shared" si="604"/>
        <v>8.3333333333333329E-2</v>
      </c>
      <c r="M819">
        <f t="shared" si="616"/>
        <v>3.2145624959929453E-3</v>
      </c>
      <c r="N819">
        <f t="shared" si="617"/>
        <v>8.0623256257072841E-8</v>
      </c>
      <c r="O819" s="8">
        <f t="shared" si="588"/>
        <v>2.5000007889527869E-5</v>
      </c>
      <c r="P819">
        <f t="shared" si="589"/>
        <v>6.0193514749883861E-4</v>
      </c>
      <c r="Q819">
        <f t="shared" si="605"/>
        <v>0</v>
      </c>
      <c r="R819" s="89">
        <f t="shared" si="577"/>
        <v>5000</v>
      </c>
      <c r="S819">
        <f t="shared" si="578"/>
        <v>0.6666666666666714</v>
      </c>
      <c r="U819">
        <f>O818*AV818*'Real assumptions'!$B$33/12+AX819*'Real assumptions'!$B$34</f>
        <v>6.0019014269548879E-4</v>
      </c>
      <c r="V819">
        <f>IF(P819=0,0,IF(E819&lt;=$C$7,$AN$5*O818,0))*'Real assumptions'!$D$28</f>
        <v>0</v>
      </c>
      <c r="X819" s="94">
        <f t="shared" si="590"/>
        <v>0</v>
      </c>
      <c r="Y819">
        <f t="shared" si="579"/>
        <v>24</v>
      </c>
      <c r="Z819">
        <f t="shared" si="606"/>
        <v>31</v>
      </c>
      <c r="AA819">
        <f t="shared" si="580"/>
        <v>31.666666666666671</v>
      </c>
      <c r="AB819">
        <f t="shared" si="591"/>
        <v>50.505050505050505</v>
      </c>
      <c r="AC819">
        <f t="shared" si="618"/>
        <v>1599.3265993265995</v>
      </c>
      <c r="AD819">
        <f t="shared" si="592"/>
        <v>80.505050505050505</v>
      </c>
      <c r="AE819">
        <f t="shared" si="593"/>
        <v>127.46632996632998</v>
      </c>
      <c r="AF819" s="94">
        <f t="shared" si="594"/>
        <v>3273.2070707070707</v>
      </c>
      <c r="AG819">
        <f t="shared" si="607"/>
        <v>2.6389661244407891E-4</v>
      </c>
      <c r="AH819">
        <f t="shared" si="595"/>
        <v>8.1830202591735166E-2</v>
      </c>
      <c r="AI819">
        <f>HLOOKUP(AW819,'Real assumptions'!$A$21:$AK$24,2,TRUE)</f>
        <v>0</v>
      </c>
      <c r="AJ819" s="123">
        <f t="shared" si="619"/>
        <v>0</v>
      </c>
      <c r="AK819" s="122">
        <f>(1+HLOOKUP(YEAR(A819),'Real assumptions'!$A$21:$AK$24,2,TRUE)/100)^(1/12)-1</f>
        <v>0</v>
      </c>
      <c r="AL819">
        <f t="shared" si="608"/>
        <v>6.0019014269548879E-4</v>
      </c>
      <c r="AM819">
        <f>('Real assumptions'!$B$33/12)*O818*AV818</f>
        <v>5.7770319518689979E-4</v>
      </c>
      <c r="AN819">
        <f t="shared" si="596"/>
        <v>8.1981873007601694E-2</v>
      </c>
      <c r="AO819">
        <f t="shared" si="620"/>
        <v>0</v>
      </c>
      <c r="AP819" s="121">
        <f t="shared" si="597"/>
        <v>0</v>
      </c>
      <c r="AQ819">
        <f t="shared" si="598"/>
        <v>0</v>
      </c>
      <c r="AR819">
        <v>0</v>
      </c>
      <c r="AS819">
        <f t="shared" si="581"/>
        <v>0</v>
      </c>
      <c r="AT819">
        <f t="shared" si="599"/>
        <v>0</v>
      </c>
      <c r="AU819">
        <f>IFERROR(HLOOKUP(B819,'Real assumptions'!$B$43:$AL$44,2,TRUE)*($W$3/$U$2),0)</f>
        <v>0</v>
      </c>
      <c r="AV819">
        <f>AV818*(1+'Real assumptions'!$B$35)^(1/12)</f>
        <v>2.3057695223358947</v>
      </c>
      <c r="AW819">
        <f t="shared" si="582"/>
        <v>2086</v>
      </c>
      <c r="AX819">
        <f t="shared" si="609"/>
        <v>8.2085686214691381E-2</v>
      </c>
      <c r="AY819">
        <f t="shared" si="610"/>
        <v>1.0555821189303425E-4</v>
      </c>
      <c r="AZ819">
        <f t="shared" si="583"/>
        <v>9.3475765760003673E-2</v>
      </c>
      <c r="BA819">
        <f t="shared" si="600"/>
        <v>2.6389661244407891E-4</v>
      </c>
      <c r="BB819">
        <f t="shared" si="601"/>
        <v>31.666666666666671</v>
      </c>
      <c r="BC819">
        <f t="shared" si="584"/>
        <v>19</v>
      </c>
      <c r="BD819">
        <f t="shared" si="602"/>
        <v>0</v>
      </c>
      <c r="BE819">
        <f t="shared" si="585"/>
        <v>24</v>
      </c>
      <c r="BF819">
        <f t="shared" si="611"/>
        <v>5000</v>
      </c>
      <c r="BU819"/>
      <c r="DW819" s="89"/>
      <c r="DX819" s="89"/>
      <c r="FD819"/>
      <c r="FE819"/>
    </row>
    <row r="820" spans="1:161" x14ac:dyDescent="0.25">
      <c r="A820" s="7">
        <f t="shared" si="603"/>
        <v>68057</v>
      </c>
      <c r="B820">
        <f t="shared" si="586"/>
        <v>809</v>
      </c>
      <c r="C820">
        <f t="shared" si="612"/>
        <v>67.333333333333329</v>
      </c>
      <c r="D820">
        <f t="shared" si="613"/>
        <v>0</v>
      </c>
      <c r="E820">
        <f t="shared" si="587"/>
        <v>119</v>
      </c>
      <c r="F820">
        <f>IF(C820&gt;=$T$2,0,VLOOKUP($E820,EKM_F05!$A$3:$C$128,2,TRUE))</f>
        <v>0</v>
      </c>
      <c r="G820">
        <f>F820*'Real assumptions'!$B$3</f>
        <v>0</v>
      </c>
      <c r="H820">
        <f t="shared" si="614"/>
        <v>0</v>
      </c>
      <c r="I820">
        <f t="shared" si="615"/>
        <v>0</v>
      </c>
      <c r="J820">
        <f>IF(B820&gt;$AJ$2,0,HLOOKUP(C820,'Real assumptions'!$B$5:$L$8,4,TRUE))</f>
        <v>3.7900000000000003E-2</v>
      </c>
      <c r="K820">
        <f t="shared" si="576"/>
        <v>1</v>
      </c>
      <c r="L820">
        <f t="shared" si="604"/>
        <v>8.3333333333333329E-2</v>
      </c>
      <c r="M820">
        <f t="shared" si="616"/>
        <v>3.2145624959929453E-3</v>
      </c>
      <c r="N820">
        <f t="shared" si="617"/>
        <v>8.0364087761204027E-8</v>
      </c>
      <c r="O820" s="8">
        <f t="shared" si="588"/>
        <v>2.4919643801766665E-5</v>
      </c>
      <c r="P820">
        <f t="shared" si="589"/>
        <v>6.0000018934866885E-4</v>
      </c>
      <c r="Q820">
        <f t="shared" si="605"/>
        <v>0</v>
      </c>
      <c r="R820" s="89">
        <f t="shared" si="577"/>
        <v>5000</v>
      </c>
      <c r="S820">
        <f t="shared" si="578"/>
        <v>0.5833333333333286</v>
      </c>
      <c r="U820">
        <f>O819*AV819*'Real assumptions'!$B$33/12+AX820*'Real assumptions'!$B$34</f>
        <v>5.9888834576311627E-4</v>
      </c>
      <c r="V820">
        <f>IF(P820=0,0,IF(E820&lt;=$C$7,$AN$5*O819,0))*'Real assumptions'!$D$28</f>
        <v>0</v>
      </c>
      <c r="X820" s="94">
        <f t="shared" si="590"/>
        <v>0</v>
      </c>
      <c r="Y820">
        <f t="shared" si="579"/>
        <v>24</v>
      </c>
      <c r="Z820">
        <f t="shared" si="606"/>
        <v>31</v>
      </c>
      <c r="AA820">
        <f t="shared" si="580"/>
        <v>31.583333333333329</v>
      </c>
      <c r="AB820">
        <f t="shared" si="591"/>
        <v>50.505050505050505</v>
      </c>
      <c r="AC820">
        <f t="shared" si="618"/>
        <v>1595.1178451178448</v>
      </c>
      <c r="AD820">
        <f t="shared" si="592"/>
        <v>80.505050505050505</v>
      </c>
      <c r="AE820">
        <f t="shared" si="593"/>
        <v>127.13089225589223</v>
      </c>
      <c r="AF820" s="94">
        <f t="shared" si="594"/>
        <v>3277.7512626262628</v>
      </c>
      <c r="AG820">
        <f t="shared" si="607"/>
        <v>2.6341349012909431E-4</v>
      </c>
      <c r="AH820">
        <f t="shared" si="595"/>
        <v>8.1680393935437412E-2</v>
      </c>
      <c r="AI820">
        <f>HLOOKUP(AW820,'Real assumptions'!$A$21:$AK$24,2,TRUE)</f>
        <v>0</v>
      </c>
      <c r="AJ820" s="123">
        <f t="shared" si="619"/>
        <v>0</v>
      </c>
      <c r="AK820" s="122">
        <f>(1+HLOOKUP(YEAR(A820),'Real assumptions'!$A$21:$AK$24,2,TRUE)/100)^(1/12)-1</f>
        <v>0</v>
      </c>
      <c r="AL820">
        <f t="shared" si="608"/>
        <v>5.9888834576311627E-4</v>
      </c>
      <c r="AM820">
        <f>('Real assumptions'!$B$33/12)*O819*AV819</f>
        <v>5.7644256249830264E-4</v>
      </c>
      <c r="AN820">
        <f t="shared" si="596"/>
        <v>8.1831314435320712E-2</v>
      </c>
      <c r="AO820">
        <f t="shared" si="620"/>
        <v>0</v>
      </c>
      <c r="AP820" s="121">
        <f t="shared" si="597"/>
        <v>0</v>
      </c>
      <c r="AQ820">
        <f t="shared" si="598"/>
        <v>0</v>
      </c>
      <c r="AR820">
        <v>0</v>
      </c>
      <c r="AS820">
        <f t="shared" si="581"/>
        <v>0</v>
      </c>
      <c r="AT820">
        <f t="shared" si="599"/>
        <v>0</v>
      </c>
      <c r="AU820">
        <f>IFERROR(HLOOKUP(B820,'Real assumptions'!$B$43:$AL$44,2,TRUE)*($W$3/$U$2),0)</f>
        <v>0</v>
      </c>
      <c r="AV820">
        <f>AV819*(1+'Real assumptions'!$B$35)^(1/12)</f>
        <v>2.3081577139294671</v>
      </c>
      <c r="AW820">
        <f t="shared" si="582"/>
        <v>2086</v>
      </c>
      <c r="AX820">
        <f t="shared" si="609"/>
        <v>8.1935421480159101E-2</v>
      </c>
      <c r="AY820">
        <f t="shared" si="610"/>
        <v>1.0521888842393884E-4</v>
      </c>
      <c r="AZ820">
        <f t="shared" si="583"/>
        <v>9.3213464113460126E-2</v>
      </c>
      <c r="BA820">
        <f t="shared" si="600"/>
        <v>2.6341349012909431E-4</v>
      </c>
      <c r="BB820">
        <f t="shared" si="601"/>
        <v>31.583333333333329</v>
      </c>
      <c r="BC820">
        <f t="shared" si="584"/>
        <v>18.949999999999996</v>
      </c>
      <c r="BD820">
        <f t="shared" si="602"/>
        <v>0</v>
      </c>
      <c r="BE820">
        <f t="shared" si="585"/>
        <v>24</v>
      </c>
      <c r="BF820">
        <f t="shared" si="611"/>
        <v>5000</v>
      </c>
      <c r="BU820"/>
      <c r="DW820" s="89"/>
      <c r="DX820" s="89"/>
      <c r="FD820"/>
      <c r="FE820"/>
    </row>
    <row r="821" spans="1:161" x14ac:dyDescent="0.25">
      <c r="A821" s="7">
        <f t="shared" si="603"/>
        <v>68088</v>
      </c>
      <c r="B821">
        <f t="shared" si="586"/>
        <v>810</v>
      </c>
      <c r="C821">
        <f t="shared" si="612"/>
        <v>67.416666666666671</v>
      </c>
      <c r="D821">
        <f t="shared" si="613"/>
        <v>0</v>
      </c>
      <c r="E821">
        <f t="shared" si="587"/>
        <v>119</v>
      </c>
      <c r="F821">
        <f>IF(C821&gt;=$T$2,0,VLOOKUP($E821,EKM_F05!$A$3:$C$128,2,TRUE))</f>
        <v>0</v>
      </c>
      <c r="G821">
        <f>F821*'Real assumptions'!$B$3</f>
        <v>0</v>
      </c>
      <c r="H821">
        <f t="shared" si="614"/>
        <v>0</v>
      </c>
      <c r="I821">
        <f t="shared" si="615"/>
        <v>0</v>
      </c>
      <c r="J821">
        <f>IF(B821&gt;$AJ$2,0,HLOOKUP(C821,'Real assumptions'!$B$5:$L$8,4,TRUE))</f>
        <v>3.7900000000000003E-2</v>
      </c>
      <c r="K821">
        <f t="shared" si="576"/>
        <v>1</v>
      </c>
      <c r="L821">
        <f t="shared" si="604"/>
        <v>8.3333333333333329E-2</v>
      </c>
      <c r="M821">
        <f t="shared" si="616"/>
        <v>3.2145624959929453E-3</v>
      </c>
      <c r="N821">
        <f t="shared" si="617"/>
        <v>8.0105752378662178E-8</v>
      </c>
      <c r="O821" s="8">
        <f t="shared" si="588"/>
        <v>2.4839538049388003E-5</v>
      </c>
      <c r="P821">
        <f t="shared" si="589"/>
        <v>5.9807145124239993E-4</v>
      </c>
      <c r="Q821">
        <f t="shared" si="605"/>
        <v>0</v>
      </c>
      <c r="R821" s="89">
        <f t="shared" si="577"/>
        <v>5000</v>
      </c>
      <c r="S821">
        <f t="shared" si="578"/>
        <v>0.5</v>
      </c>
      <c r="U821">
        <f>O820*AV820*'Real assumptions'!$B$33/12+AX821*'Real assumptions'!$B$34</f>
        <v>5.9758933199843595E-4</v>
      </c>
      <c r="V821">
        <f>IF(P821=0,0,IF(E821&lt;=$C$7,$AN$5*O820,0))*'Real assumptions'!$D$28</f>
        <v>0</v>
      </c>
      <c r="X821" s="94">
        <f t="shared" si="590"/>
        <v>0</v>
      </c>
      <c r="Y821">
        <f t="shared" si="579"/>
        <v>24</v>
      </c>
      <c r="Z821">
        <f t="shared" si="606"/>
        <v>31</v>
      </c>
      <c r="AA821">
        <f t="shared" si="580"/>
        <v>31.5</v>
      </c>
      <c r="AB821">
        <f t="shared" si="591"/>
        <v>50.505050505050505</v>
      </c>
      <c r="AC821">
        <f t="shared" si="618"/>
        <v>1590.909090909091</v>
      </c>
      <c r="AD821">
        <f t="shared" si="592"/>
        <v>80.505050505050505</v>
      </c>
      <c r="AE821">
        <f t="shared" si="593"/>
        <v>126.79545454545455</v>
      </c>
      <c r="AF821" s="94">
        <f t="shared" si="594"/>
        <v>3282.2954545454545</v>
      </c>
      <c r="AG821">
        <f t="shared" si="607"/>
        <v>2.6293074691542662E-4</v>
      </c>
      <c r="AH821">
        <f t="shared" si="595"/>
        <v>8.1530702832515109E-2</v>
      </c>
      <c r="AI821">
        <f>HLOOKUP(AW821,'Real assumptions'!$A$21:$AK$24,2,TRUE)</f>
        <v>0</v>
      </c>
      <c r="AJ821" s="123">
        <f t="shared" si="619"/>
        <v>0</v>
      </c>
      <c r="AK821" s="122">
        <f>(1+HLOOKUP(YEAR(A821),'Real assumptions'!$A$21:$AK$24,2,TRUE)/100)^(1/12)-1</f>
        <v>0</v>
      </c>
      <c r="AL821">
        <f t="shared" si="608"/>
        <v>5.9758933199843595E-4</v>
      </c>
      <c r="AM821">
        <f>('Real assumptions'!$B$33/12)*O820*AV820</f>
        <v>5.751846806942236E-4</v>
      </c>
      <c r="AN821">
        <f t="shared" si="596"/>
        <v>8.168087605468137E-2</v>
      </c>
      <c r="AO821">
        <f t="shared" si="620"/>
        <v>0</v>
      </c>
      <c r="AP821" s="121">
        <f t="shared" si="597"/>
        <v>0</v>
      </c>
      <c r="AQ821">
        <f t="shared" si="598"/>
        <v>0</v>
      </c>
      <c r="AR821">
        <v>0</v>
      </c>
      <c r="AS821">
        <f t="shared" si="581"/>
        <v>0</v>
      </c>
      <c r="AT821">
        <f t="shared" si="599"/>
        <v>0</v>
      </c>
      <c r="AU821">
        <f>IFERROR(HLOOKUP(B821,'Real assumptions'!$B$43:$AL$44,2,TRUE)*($W$3/$U$2),0)</f>
        <v>0</v>
      </c>
      <c r="AV821">
        <f>AV820*(1+'Real assumptions'!$B$35)^(1/12)</f>
        <v>2.3105483790829648</v>
      </c>
      <c r="AW821">
        <f t="shared" si="582"/>
        <v>2086</v>
      </c>
      <c r="AX821">
        <f t="shared" si="609"/>
        <v>8.1785274591168758E-2</v>
      </c>
      <c r="AY821">
        <f t="shared" si="610"/>
        <v>1.0488065573134117E-4</v>
      </c>
      <c r="AZ821">
        <f t="shared" si="583"/>
        <v>9.2951015485788657E-2</v>
      </c>
      <c r="BA821">
        <f t="shared" si="600"/>
        <v>2.6293074691542662E-4</v>
      </c>
      <c r="BB821">
        <f t="shared" si="601"/>
        <v>31.5</v>
      </c>
      <c r="BC821">
        <f t="shared" si="584"/>
        <v>18.899999999999999</v>
      </c>
      <c r="BD821">
        <f t="shared" si="602"/>
        <v>0</v>
      </c>
      <c r="BE821">
        <f t="shared" si="585"/>
        <v>24</v>
      </c>
      <c r="BF821">
        <f t="shared" si="611"/>
        <v>5000</v>
      </c>
      <c r="BU821"/>
      <c r="DW821" s="89"/>
      <c r="DX821" s="89"/>
      <c r="FD821"/>
      <c r="FE821"/>
    </row>
    <row r="822" spans="1:161" x14ac:dyDescent="0.25">
      <c r="A822" s="7">
        <f t="shared" si="603"/>
        <v>68118</v>
      </c>
      <c r="B822">
        <f t="shared" si="586"/>
        <v>811</v>
      </c>
      <c r="C822">
        <f t="shared" si="612"/>
        <v>67.5</v>
      </c>
      <c r="D822">
        <f t="shared" si="613"/>
        <v>0</v>
      </c>
      <c r="E822">
        <f t="shared" si="587"/>
        <v>119</v>
      </c>
      <c r="F822">
        <f>IF(C822&gt;=$T$2,0,VLOOKUP($E822,EKM_F05!$A$3:$C$128,2,TRUE))</f>
        <v>0</v>
      </c>
      <c r="G822">
        <f>F822*'Real assumptions'!$B$3</f>
        <v>0</v>
      </c>
      <c r="H822">
        <f t="shared" si="614"/>
        <v>0</v>
      </c>
      <c r="I822">
        <f t="shared" si="615"/>
        <v>0</v>
      </c>
      <c r="J822">
        <f>IF(B822&gt;$AJ$2,0,HLOOKUP(C822,'Real assumptions'!$B$5:$L$8,4,TRUE))</f>
        <v>3.7900000000000003E-2</v>
      </c>
      <c r="K822">
        <f t="shared" si="576"/>
        <v>1</v>
      </c>
      <c r="L822">
        <f t="shared" si="604"/>
        <v>8.3333333333333329E-2</v>
      </c>
      <c r="M822">
        <f t="shared" si="616"/>
        <v>3.2145624959929453E-3</v>
      </c>
      <c r="N822">
        <f t="shared" si="617"/>
        <v>7.9848247431352439E-8</v>
      </c>
      <c r="O822" s="8">
        <f t="shared" si="588"/>
        <v>2.4759689801956652E-5</v>
      </c>
      <c r="P822">
        <f t="shared" si="589"/>
        <v>5.961489131853121E-4</v>
      </c>
      <c r="Q822">
        <f t="shared" si="605"/>
        <v>0</v>
      </c>
      <c r="R822" s="89">
        <f t="shared" si="577"/>
        <v>5000</v>
      </c>
      <c r="S822">
        <f t="shared" si="578"/>
        <v>0.4166666666666714</v>
      </c>
      <c r="U822">
        <f>O821*AV821*'Real assumptions'!$B$33/12+AX822*'Real assumptions'!$B$34</f>
        <v>5.9629309561643081E-4</v>
      </c>
      <c r="V822">
        <f>IF(P822=0,0,IF(E822&lt;=$C$7,$AN$5*O821,0))*'Real assumptions'!$D$28</f>
        <v>0</v>
      </c>
      <c r="X822" s="94">
        <f t="shared" si="590"/>
        <v>0</v>
      </c>
      <c r="Y822">
        <f t="shared" si="579"/>
        <v>24</v>
      </c>
      <c r="Z822">
        <f t="shared" si="606"/>
        <v>31</v>
      </c>
      <c r="AA822">
        <f t="shared" si="580"/>
        <v>31.416666666666671</v>
      </c>
      <c r="AB822">
        <f t="shared" si="591"/>
        <v>50.505050505050505</v>
      </c>
      <c r="AC822">
        <f t="shared" si="618"/>
        <v>1586.7003367003369</v>
      </c>
      <c r="AD822">
        <f t="shared" si="592"/>
        <v>80.505050505050505</v>
      </c>
      <c r="AE822">
        <f t="shared" si="593"/>
        <v>126.46001683501684</v>
      </c>
      <c r="AF822" s="94">
        <f t="shared" si="594"/>
        <v>3286.8396464646462</v>
      </c>
      <c r="AG822">
        <f t="shared" si="607"/>
        <v>2.6244838535808803E-4</v>
      </c>
      <c r="AH822">
        <f t="shared" si="595"/>
        <v>8.1381130075237507E-2</v>
      </c>
      <c r="AI822">
        <f>HLOOKUP(AW822,'Real assumptions'!$A$21:$AK$24,2,TRUE)</f>
        <v>0</v>
      </c>
      <c r="AJ822" s="123">
        <f t="shared" si="619"/>
        <v>0</v>
      </c>
      <c r="AK822" s="122">
        <f>(1+HLOOKUP(YEAR(A822),'Real assumptions'!$A$21:$AK$24,2,TRUE)/100)^(1/12)-1</f>
        <v>0</v>
      </c>
      <c r="AL822">
        <f t="shared" si="608"/>
        <v>5.9629309561643081E-4</v>
      </c>
      <c r="AM822">
        <f>('Real assumptions'!$B$33/12)*O821*AV821</f>
        <v>5.7392954377183088E-4</v>
      </c>
      <c r="AN822">
        <f t="shared" si="596"/>
        <v>8.153055865008399E-2</v>
      </c>
      <c r="AO822">
        <f t="shared" si="620"/>
        <v>0</v>
      </c>
      <c r="AP822" s="121">
        <f t="shared" si="597"/>
        <v>0</v>
      </c>
      <c r="AQ822">
        <f t="shared" si="598"/>
        <v>0</v>
      </c>
      <c r="AR822">
        <v>0</v>
      </c>
      <c r="AS822">
        <f t="shared" si="581"/>
        <v>0</v>
      </c>
      <c r="AT822">
        <f t="shared" si="599"/>
        <v>0</v>
      </c>
      <c r="AU822">
        <f>IFERROR(HLOOKUP(B822,'Real assumptions'!$B$43:$AL$44,2,TRUE)*($W$3/$U$2),0)</f>
        <v>0</v>
      </c>
      <c r="AV822">
        <f>AV821*(1+'Real assumptions'!$B$35)^(1/12)</f>
        <v>2.3129415203583679</v>
      </c>
      <c r="AW822">
        <f t="shared" si="582"/>
        <v>2086</v>
      </c>
      <c r="AX822">
        <f t="shared" si="609"/>
        <v>8.1635246342823986E-2</v>
      </c>
      <c r="AY822">
        <f t="shared" si="610"/>
        <v>1.0454351030887206E-4</v>
      </c>
      <c r="AZ822">
        <f t="shared" si="583"/>
        <v>9.2688422917999447E-2</v>
      </c>
      <c r="BA822">
        <f t="shared" si="600"/>
        <v>2.6244838535808803E-4</v>
      </c>
      <c r="BB822">
        <f t="shared" si="601"/>
        <v>31.416666666666671</v>
      </c>
      <c r="BC822">
        <f t="shared" si="584"/>
        <v>18.850000000000001</v>
      </c>
      <c r="BD822">
        <f t="shared" si="602"/>
        <v>0</v>
      </c>
      <c r="BE822">
        <f t="shared" si="585"/>
        <v>24</v>
      </c>
      <c r="BF822">
        <f t="shared" si="611"/>
        <v>5000</v>
      </c>
      <c r="BU822"/>
      <c r="DW822" s="89"/>
      <c r="DX822" s="89"/>
      <c r="FD822"/>
      <c r="FE822"/>
    </row>
    <row r="823" spans="1:161" x14ac:dyDescent="0.25">
      <c r="A823" s="7">
        <f t="shared" si="603"/>
        <v>68149</v>
      </c>
      <c r="B823">
        <f t="shared" si="586"/>
        <v>812</v>
      </c>
      <c r="C823">
        <f t="shared" si="612"/>
        <v>67.583333333333329</v>
      </c>
      <c r="D823">
        <f t="shared" si="613"/>
        <v>0</v>
      </c>
      <c r="E823">
        <f t="shared" si="587"/>
        <v>119</v>
      </c>
      <c r="F823">
        <f>IF(C823&gt;=$T$2,0,VLOOKUP($E823,EKM_F05!$A$3:$C$128,2,TRUE))</f>
        <v>0</v>
      </c>
      <c r="G823">
        <f>F823*'Real assumptions'!$B$3</f>
        <v>0</v>
      </c>
      <c r="H823">
        <f t="shared" si="614"/>
        <v>0</v>
      </c>
      <c r="I823">
        <f t="shared" si="615"/>
        <v>0</v>
      </c>
      <c r="J823">
        <f>IF(B823&gt;$AJ$2,0,HLOOKUP(C823,'Real assumptions'!$B$5:$L$8,4,TRUE))</f>
        <v>3.7900000000000003E-2</v>
      </c>
      <c r="K823">
        <f t="shared" si="576"/>
        <v>1</v>
      </c>
      <c r="L823">
        <f t="shared" si="604"/>
        <v>8.3333333333333329E-2</v>
      </c>
      <c r="M823">
        <f t="shared" si="616"/>
        <v>3.2145624959929453E-3</v>
      </c>
      <c r="N823">
        <f t="shared" si="617"/>
        <v>7.9591570249788842E-8</v>
      </c>
      <c r="O823" s="8">
        <f t="shared" si="588"/>
        <v>2.4680098231706865E-5</v>
      </c>
      <c r="P823">
        <f t="shared" si="589"/>
        <v>5.9423255524695962E-4</v>
      </c>
      <c r="Q823">
        <f t="shared" si="605"/>
        <v>0</v>
      </c>
      <c r="R823" s="89">
        <f t="shared" si="577"/>
        <v>5000</v>
      </c>
      <c r="S823">
        <f t="shared" si="578"/>
        <v>0.3333333333333286</v>
      </c>
      <c r="U823">
        <f>O822*AV822*'Real assumptions'!$B$33/12+AX823*'Real assumptions'!$B$34</f>
        <v>5.949996308434489E-4</v>
      </c>
      <c r="V823">
        <f>IF(P823=0,0,IF(E823&lt;=$C$7,$AN$5*O822,0))*'Real assumptions'!$D$28</f>
        <v>0</v>
      </c>
      <c r="X823" s="94">
        <f t="shared" si="590"/>
        <v>0</v>
      </c>
      <c r="Y823">
        <f t="shared" si="579"/>
        <v>24</v>
      </c>
      <c r="Z823">
        <f t="shared" si="606"/>
        <v>31</v>
      </c>
      <c r="AA823">
        <f t="shared" si="580"/>
        <v>31.333333333333329</v>
      </c>
      <c r="AB823">
        <f t="shared" si="591"/>
        <v>50.505050505050505</v>
      </c>
      <c r="AC823">
        <f t="shared" si="618"/>
        <v>1582.4915824915822</v>
      </c>
      <c r="AD823">
        <f t="shared" si="592"/>
        <v>80.505050505050505</v>
      </c>
      <c r="AE823">
        <f t="shared" si="593"/>
        <v>126.1245791245791</v>
      </c>
      <c r="AF823" s="94">
        <f t="shared" si="594"/>
        <v>3291.3838383838383</v>
      </c>
      <c r="AG823">
        <f t="shared" si="607"/>
        <v>2.6196640799174692E-4</v>
      </c>
      <c r="AH823">
        <f t="shared" si="595"/>
        <v>8.1231676449565526E-2</v>
      </c>
      <c r="AI823">
        <f>HLOOKUP(AW823,'Real assumptions'!$A$21:$AK$24,2,TRUE)</f>
        <v>0</v>
      </c>
      <c r="AJ823" s="123">
        <f t="shared" si="619"/>
        <v>0</v>
      </c>
      <c r="AK823" s="122">
        <f>(1+HLOOKUP(YEAR(A823),'Real assumptions'!$A$21:$AK$24,2,TRUE)/100)^(1/12)-1</f>
        <v>0</v>
      </c>
      <c r="AL823">
        <f t="shared" si="608"/>
        <v>5.949996308434489E-4</v>
      </c>
      <c r="AM823">
        <f>('Real assumptions'!$B$33/12)*O822*AV822</f>
        <v>5.72677145741392E-4</v>
      </c>
      <c r="AN823">
        <f t="shared" si="596"/>
        <v>8.138036299964102E-2</v>
      </c>
      <c r="AO823">
        <f t="shared" si="620"/>
        <v>0</v>
      </c>
      <c r="AP823" s="121">
        <f t="shared" si="597"/>
        <v>0</v>
      </c>
      <c r="AQ823">
        <f t="shared" si="598"/>
        <v>0</v>
      </c>
      <c r="AR823">
        <v>0</v>
      </c>
      <c r="AS823">
        <f t="shared" si="581"/>
        <v>0</v>
      </c>
      <c r="AT823">
        <f t="shared" si="599"/>
        <v>0</v>
      </c>
      <c r="AU823">
        <f>IFERROR(HLOOKUP(B823,'Real assumptions'!$B$43:$AL$44,2,TRUE)*($W$3/$U$2),0)</f>
        <v>0</v>
      </c>
      <c r="AV823">
        <f>AV822*(1+'Real assumptions'!$B$35)^(1/12)</f>
        <v>2.3153371403203096</v>
      </c>
      <c r="AW823">
        <f t="shared" si="582"/>
        <v>2086</v>
      </c>
      <c r="AX823">
        <f t="shared" si="609"/>
        <v>8.1485337523898943E-2</v>
      </c>
      <c r="AY823">
        <f t="shared" si="610"/>
        <v>1.0420744866143372E-4</v>
      </c>
      <c r="AZ823">
        <f t="shared" si="583"/>
        <v>9.2425689434411221E-2</v>
      </c>
      <c r="BA823">
        <f t="shared" si="600"/>
        <v>2.6196640799174692E-4</v>
      </c>
      <c r="BB823">
        <f t="shared" si="601"/>
        <v>31.333333333333329</v>
      </c>
      <c r="BC823">
        <f t="shared" si="584"/>
        <v>18.799999999999997</v>
      </c>
      <c r="BD823">
        <f t="shared" si="602"/>
        <v>0</v>
      </c>
      <c r="BE823">
        <f t="shared" si="585"/>
        <v>24</v>
      </c>
      <c r="BF823">
        <f t="shared" si="611"/>
        <v>5000</v>
      </c>
      <c r="BU823"/>
      <c r="DW823" s="89"/>
      <c r="DX823" s="89"/>
      <c r="FD823"/>
      <c r="FE823"/>
    </row>
    <row r="824" spans="1:161" x14ac:dyDescent="0.25">
      <c r="A824" s="7">
        <f t="shared" si="603"/>
        <v>68180</v>
      </c>
      <c r="B824">
        <f t="shared" si="586"/>
        <v>813</v>
      </c>
      <c r="C824">
        <f t="shared" si="612"/>
        <v>67.666666666666671</v>
      </c>
      <c r="D824">
        <f t="shared" si="613"/>
        <v>0</v>
      </c>
      <c r="E824">
        <f t="shared" si="587"/>
        <v>119</v>
      </c>
      <c r="F824">
        <f>IF(C824&gt;=$T$2,0,VLOOKUP($E824,EKM_F05!$A$3:$C$128,2,TRUE))</f>
        <v>0</v>
      </c>
      <c r="G824">
        <f>F824*'Real assumptions'!$B$3</f>
        <v>0</v>
      </c>
      <c r="H824">
        <f t="shared" si="614"/>
        <v>0</v>
      </c>
      <c r="I824">
        <f t="shared" si="615"/>
        <v>0</v>
      </c>
      <c r="J824">
        <f>IF(B824&gt;$AJ$2,0,HLOOKUP(C824,'Real assumptions'!$B$5:$L$8,4,TRUE))</f>
        <v>3.7900000000000003E-2</v>
      </c>
      <c r="K824">
        <f t="shared" si="576"/>
        <v>1</v>
      </c>
      <c r="L824">
        <f t="shared" si="604"/>
        <v>8.3333333333333329E-2</v>
      </c>
      <c r="M824">
        <f t="shared" si="616"/>
        <v>3.2145624959929453E-3</v>
      </c>
      <c r="N824">
        <f t="shared" si="617"/>
        <v>7.9335718173066697E-8</v>
      </c>
      <c r="O824" s="8">
        <f t="shared" si="588"/>
        <v>2.4600762513533798E-5</v>
      </c>
      <c r="P824">
        <f t="shared" si="589"/>
        <v>5.9232235756096472E-4</v>
      </c>
      <c r="Q824">
        <f t="shared" si="605"/>
        <v>0</v>
      </c>
      <c r="R824" s="89">
        <f t="shared" si="577"/>
        <v>5000</v>
      </c>
      <c r="S824">
        <f t="shared" si="578"/>
        <v>0.25</v>
      </c>
      <c r="U824">
        <f>O823*AV823*'Real assumptions'!$B$33/12+AX824*'Real assumptions'!$B$34</f>
        <v>5.9370893191718402E-4</v>
      </c>
      <c r="V824">
        <f>IF(P824=0,0,IF(E824&lt;=$C$7,$AN$5*O823,0))*'Real assumptions'!$D$28</f>
        <v>0</v>
      </c>
      <c r="X824" s="94">
        <f t="shared" si="590"/>
        <v>0</v>
      </c>
      <c r="Y824">
        <f t="shared" si="579"/>
        <v>24</v>
      </c>
      <c r="Z824">
        <f t="shared" si="606"/>
        <v>31</v>
      </c>
      <c r="AA824">
        <f t="shared" si="580"/>
        <v>31.25</v>
      </c>
      <c r="AB824">
        <f t="shared" si="591"/>
        <v>50.505050505050505</v>
      </c>
      <c r="AC824">
        <f t="shared" si="618"/>
        <v>1578.2828282828282</v>
      </c>
      <c r="AD824">
        <f t="shared" si="592"/>
        <v>80.505050505050505</v>
      </c>
      <c r="AE824">
        <f t="shared" si="593"/>
        <v>125.78914141414141</v>
      </c>
      <c r="AF824" s="94">
        <f t="shared" si="594"/>
        <v>3295.9280303030305</v>
      </c>
      <c r="AG824">
        <f t="shared" si="607"/>
        <v>2.6148481733083206E-4</v>
      </c>
      <c r="AH824">
        <f t="shared" si="595"/>
        <v>8.1082342735184082E-2</v>
      </c>
      <c r="AI824">
        <f>HLOOKUP(AW824,'Real assumptions'!$A$21:$AK$24,2,TRUE)</f>
        <v>0</v>
      </c>
      <c r="AJ824" s="123">
        <f t="shared" si="619"/>
        <v>0</v>
      </c>
      <c r="AK824" s="122">
        <f>(1+HLOOKUP(YEAR(A824),'Real assumptions'!$A$21:$AK$24,2,TRUE)/100)^(1/12)-1</f>
        <v>0</v>
      </c>
      <c r="AL824">
        <f t="shared" si="608"/>
        <v>5.9370893191718402E-4</v>
      </c>
      <c r="AM824">
        <f>('Real assumptions'!$B$33/12)*O823*AV823</f>
        <v>5.7142748062624508E-4</v>
      </c>
      <c r="AN824">
        <f t="shared" si="596"/>
        <v>8.1230289875209305E-2</v>
      </c>
      <c r="AO824">
        <f t="shared" si="620"/>
        <v>0</v>
      </c>
      <c r="AP824" s="121">
        <f t="shared" si="597"/>
        <v>0</v>
      </c>
      <c r="AQ824">
        <f t="shared" si="598"/>
        <v>0</v>
      </c>
      <c r="AR824">
        <v>0</v>
      </c>
      <c r="AS824">
        <f t="shared" si="581"/>
        <v>0</v>
      </c>
      <c r="AT824">
        <f t="shared" si="599"/>
        <v>0</v>
      </c>
      <c r="AU824">
        <f>IFERROR(HLOOKUP(B824,'Real assumptions'!$B$43:$AL$44,2,TRUE)*($W$3/$U$2),0)</f>
        <v>0</v>
      </c>
      <c r="AV824">
        <f>AV823*(1+'Real assumptions'!$B$35)^(1/12)</f>
        <v>2.3177352415360795</v>
      </c>
      <c r="AW824">
        <f t="shared" si="582"/>
        <v>2086</v>
      </c>
      <c r="AX824">
        <f t="shared" si="609"/>
        <v>8.1335548916870684E-2</v>
      </c>
      <c r="AY824">
        <f t="shared" si="610"/>
        <v>1.0387246730516357E-4</v>
      </c>
      <c r="AZ824">
        <f t="shared" si="583"/>
        <v>9.2162818042724165E-2</v>
      </c>
      <c r="BA824">
        <f t="shared" si="600"/>
        <v>2.6148481733083206E-4</v>
      </c>
      <c r="BB824">
        <f t="shared" si="601"/>
        <v>31.25</v>
      </c>
      <c r="BC824">
        <f t="shared" si="584"/>
        <v>18.75</v>
      </c>
      <c r="BD824">
        <f t="shared" si="602"/>
        <v>0</v>
      </c>
      <c r="BE824">
        <f t="shared" si="585"/>
        <v>24</v>
      </c>
      <c r="BF824">
        <f t="shared" si="611"/>
        <v>5000</v>
      </c>
      <c r="BU824"/>
      <c r="DW824" s="89"/>
      <c r="DX824" s="89"/>
      <c r="FD824"/>
      <c r="FE824"/>
    </row>
    <row r="825" spans="1:161" x14ac:dyDescent="0.25">
      <c r="A825" s="7">
        <f t="shared" si="603"/>
        <v>68210</v>
      </c>
      <c r="B825">
        <f t="shared" si="586"/>
        <v>814</v>
      </c>
      <c r="C825">
        <f t="shared" si="612"/>
        <v>67.75</v>
      </c>
      <c r="D825">
        <f t="shared" si="613"/>
        <v>0</v>
      </c>
      <c r="E825">
        <f t="shared" si="587"/>
        <v>119</v>
      </c>
      <c r="F825">
        <f>IF(C825&gt;=$T$2,0,VLOOKUP($E825,EKM_F05!$A$3:$C$128,2,TRUE))</f>
        <v>0</v>
      </c>
      <c r="G825">
        <f>F825*'Real assumptions'!$B$3</f>
        <v>0</v>
      </c>
      <c r="H825">
        <f t="shared" si="614"/>
        <v>0</v>
      </c>
      <c r="I825">
        <f t="shared" si="615"/>
        <v>0</v>
      </c>
      <c r="J825">
        <f>IF(B825&gt;$AJ$2,0,HLOOKUP(C825,'Real assumptions'!$B$5:$L$8,4,TRUE))</f>
        <v>3.7900000000000003E-2</v>
      </c>
      <c r="K825">
        <f t="shared" si="576"/>
        <v>1</v>
      </c>
      <c r="L825">
        <f t="shared" si="604"/>
        <v>8.3333333333333329E-2</v>
      </c>
      <c r="M825">
        <f t="shared" si="616"/>
        <v>3.2145624959929453E-3</v>
      </c>
      <c r="N825">
        <f t="shared" si="617"/>
        <v>7.9080688548834891E-8</v>
      </c>
      <c r="O825" s="8">
        <f t="shared" si="588"/>
        <v>2.4521681824984965E-5</v>
      </c>
      <c r="P825">
        <f t="shared" si="589"/>
        <v>5.9041830032481113E-4</v>
      </c>
      <c r="Q825">
        <f t="shared" si="605"/>
        <v>0</v>
      </c>
      <c r="R825" s="89">
        <f t="shared" si="577"/>
        <v>5000</v>
      </c>
      <c r="S825">
        <f t="shared" si="578"/>
        <v>0.1666666666666714</v>
      </c>
      <c r="U825">
        <f>O824*AV824*'Real assumptions'!$B$33/12+AX825*'Real assumptions'!$B$34</f>
        <v>5.9242099308665509E-4</v>
      </c>
      <c r="V825">
        <f>IF(P825=0,0,IF(E825&lt;=$C$7,$AN$5*O824,0))*'Real assumptions'!$D$28</f>
        <v>0</v>
      </c>
      <c r="X825" s="94">
        <f t="shared" si="590"/>
        <v>0</v>
      </c>
      <c r="Y825">
        <f t="shared" si="579"/>
        <v>24</v>
      </c>
      <c r="Z825">
        <f t="shared" si="606"/>
        <v>31</v>
      </c>
      <c r="AA825">
        <f t="shared" si="580"/>
        <v>31.166666666666671</v>
      </c>
      <c r="AB825">
        <f t="shared" si="591"/>
        <v>50.505050505050505</v>
      </c>
      <c r="AC825">
        <f t="shared" si="618"/>
        <v>1574.0740740740744</v>
      </c>
      <c r="AD825">
        <f t="shared" si="592"/>
        <v>80.505050505050505</v>
      </c>
      <c r="AE825">
        <f t="shared" si="593"/>
        <v>125.45370370370372</v>
      </c>
      <c r="AF825" s="94">
        <f t="shared" si="594"/>
        <v>3300.4722222222217</v>
      </c>
      <c r="AG825">
        <f t="shared" si="607"/>
        <v>2.6100361586963648E-4</v>
      </c>
      <c r="AH825">
        <f t="shared" si="595"/>
        <v>8.0933129705534387E-2</v>
      </c>
      <c r="AI825">
        <f>HLOOKUP(AW825,'Real assumptions'!$A$21:$AK$24,2,TRUE)</f>
        <v>0</v>
      </c>
      <c r="AJ825" s="123">
        <f t="shared" si="619"/>
        <v>0</v>
      </c>
      <c r="AK825" s="122">
        <f>(1+HLOOKUP(YEAR(A825),'Real assumptions'!$A$21:$AK$24,2,TRUE)/100)^(1/12)-1</f>
        <v>0</v>
      </c>
      <c r="AL825">
        <f t="shared" si="608"/>
        <v>5.9242099308665509E-4</v>
      </c>
      <c r="AM825">
        <f>('Real assumptions'!$B$33/12)*O824*AV824</f>
        <v>5.701805424627699E-4</v>
      </c>
      <c r="AN825">
        <f t="shared" si="596"/>
        <v>8.1080340042422247E-2</v>
      </c>
      <c r="AO825">
        <f t="shared" si="620"/>
        <v>0</v>
      </c>
      <c r="AP825" s="121">
        <f t="shared" si="597"/>
        <v>0</v>
      </c>
      <c r="AQ825">
        <f t="shared" si="598"/>
        <v>0</v>
      </c>
      <c r="AR825">
        <v>0</v>
      </c>
      <c r="AS825">
        <f t="shared" si="581"/>
        <v>0</v>
      </c>
      <c r="AT825">
        <f t="shared" si="599"/>
        <v>0</v>
      </c>
      <c r="AU825">
        <f>IFERROR(HLOOKUP(B825,'Real assumptions'!$B$43:$AL$44,2,TRUE)*($W$3/$U$2),0)</f>
        <v>0</v>
      </c>
      <c r="AV825">
        <f>AV824*(1+'Real assumptions'!$B$35)^(1/12)</f>
        <v>2.3201358265756262</v>
      </c>
      <c r="AW825">
        <f t="shared" si="582"/>
        <v>2086</v>
      </c>
      <c r="AX825">
        <f t="shared" si="609"/>
        <v>8.1185881297951484E-2</v>
      </c>
      <c r="AY825">
        <f t="shared" si="610"/>
        <v>1.0353856276739814E-4</v>
      </c>
      <c r="AZ825">
        <f t="shared" si="583"/>
        <v>9.1899811734092687E-2</v>
      </c>
      <c r="BA825">
        <f t="shared" si="600"/>
        <v>2.6100361586963648E-4</v>
      </c>
      <c r="BB825">
        <f t="shared" si="601"/>
        <v>31.166666666666671</v>
      </c>
      <c r="BC825">
        <f t="shared" si="584"/>
        <v>18.700000000000003</v>
      </c>
      <c r="BD825">
        <f t="shared" si="602"/>
        <v>0</v>
      </c>
      <c r="BE825">
        <f t="shared" si="585"/>
        <v>24</v>
      </c>
      <c r="BF825">
        <f t="shared" si="611"/>
        <v>5000</v>
      </c>
      <c r="BU825"/>
      <c r="DW825" s="89"/>
      <c r="DX825" s="89"/>
      <c r="FD825"/>
      <c r="FE825"/>
    </row>
    <row r="826" spans="1:161" x14ac:dyDescent="0.25">
      <c r="A826" s="7">
        <f t="shared" si="603"/>
        <v>68241</v>
      </c>
      <c r="B826">
        <f t="shared" si="586"/>
        <v>815</v>
      </c>
      <c r="C826">
        <f t="shared" si="612"/>
        <v>67.833333333333329</v>
      </c>
      <c r="D826">
        <f t="shared" si="613"/>
        <v>0</v>
      </c>
      <c r="E826">
        <f t="shared" si="587"/>
        <v>119</v>
      </c>
      <c r="F826">
        <f>IF(C826&gt;=$T$2,0,VLOOKUP($E826,EKM_F05!$A$3:$C$128,2,TRUE))</f>
        <v>0</v>
      </c>
      <c r="G826">
        <f>F826*'Real assumptions'!$B$3</f>
        <v>0</v>
      </c>
      <c r="H826">
        <f t="shared" si="614"/>
        <v>0</v>
      </c>
      <c r="I826">
        <f t="shared" si="615"/>
        <v>0</v>
      </c>
      <c r="J826">
        <f>IF(B826&gt;$AJ$2,0,HLOOKUP(C826,'Real assumptions'!$B$5:$L$8,4,TRUE))</f>
        <v>3.7900000000000003E-2</v>
      </c>
      <c r="K826">
        <f t="shared" si="576"/>
        <v>1</v>
      </c>
      <c r="L826">
        <f t="shared" si="604"/>
        <v>8.3333333333333329E-2</v>
      </c>
      <c r="M826">
        <f t="shared" si="616"/>
        <v>3.2145624959929453E-3</v>
      </c>
      <c r="N826">
        <f t="shared" si="617"/>
        <v>7.8826478733268515E-8</v>
      </c>
      <c r="O826" s="8">
        <f t="shared" si="588"/>
        <v>2.4442855346251696E-5</v>
      </c>
      <c r="P826">
        <f t="shared" si="589"/>
        <v>5.8852036379963921E-4</v>
      </c>
      <c r="Q826">
        <f t="shared" si="605"/>
        <v>0</v>
      </c>
      <c r="R826" s="89">
        <f t="shared" si="577"/>
        <v>5000</v>
      </c>
      <c r="S826">
        <f t="shared" si="578"/>
        <v>8.3333333333328596E-2</v>
      </c>
      <c r="U826">
        <f>O825*AV825*'Real assumptions'!$B$33/12+AX826*'Real assumptions'!$B$34</f>
        <v>5.9113580861218753E-4</v>
      </c>
      <c r="V826">
        <f>IF(P826=0,0,IF(E826&lt;=$C$7,$AN$5*O825,0))*'Real assumptions'!$D$28</f>
        <v>0</v>
      </c>
      <c r="X826" s="94">
        <f t="shared" si="590"/>
        <v>0</v>
      </c>
      <c r="Y826">
        <f t="shared" si="579"/>
        <v>24</v>
      </c>
      <c r="Z826">
        <f t="shared" si="606"/>
        <v>31</v>
      </c>
      <c r="AA826">
        <f t="shared" si="580"/>
        <v>31.083333333333329</v>
      </c>
      <c r="AB826">
        <f t="shared" si="591"/>
        <v>50.505050505050505</v>
      </c>
      <c r="AC826">
        <f t="shared" si="618"/>
        <v>1569.8653198653196</v>
      </c>
      <c r="AD826">
        <f t="shared" si="592"/>
        <v>80.505050505050505</v>
      </c>
      <c r="AE826">
        <f t="shared" si="593"/>
        <v>125.11826599326596</v>
      </c>
      <c r="AF826" s="94">
        <f t="shared" si="594"/>
        <v>3305.0164141414143</v>
      </c>
      <c r="AG826">
        <f t="shared" si="607"/>
        <v>2.6052280608242158E-4</v>
      </c>
      <c r="AH826">
        <f t="shared" si="595"/>
        <v>8.0784038127846083E-2</v>
      </c>
      <c r="AI826">
        <f>HLOOKUP(AW826,'Real assumptions'!$A$21:$AK$24,2,TRUE)</f>
        <v>0</v>
      </c>
      <c r="AJ826" s="123">
        <f t="shared" si="619"/>
        <v>0</v>
      </c>
      <c r="AK826" s="122">
        <f>(1+HLOOKUP(YEAR(A826),'Real assumptions'!$A$21:$AK$24,2,TRUE)/100)^(1/12)-1</f>
        <v>0</v>
      </c>
      <c r="AL826">
        <f t="shared" si="608"/>
        <v>5.9113580861218753E-4</v>
      </c>
      <c r="AM826">
        <f>('Real assumptions'!$B$33/12)*O825*AV825</f>
        <v>5.6893632530036003E-4</v>
      </c>
      <c r="AN826">
        <f t="shared" si="596"/>
        <v>8.0930514260721842E-2</v>
      </c>
      <c r="AO826">
        <f t="shared" si="620"/>
        <v>0</v>
      </c>
      <c r="AP826" s="121">
        <f t="shared" si="597"/>
        <v>0</v>
      </c>
      <c r="AQ826">
        <f t="shared" si="598"/>
        <v>0</v>
      </c>
      <c r="AR826">
        <v>0</v>
      </c>
      <c r="AS826">
        <f t="shared" si="581"/>
        <v>0</v>
      </c>
      <c r="AT826">
        <f t="shared" si="599"/>
        <v>0</v>
      </c>
      <c r="AU826">
        <f>IFERROR(HLOOKUP(B826,'Real assumptions'!$B$43:$AL$44,2,TRUE)*($W$3/$U$2),0)</f>
        <v>0</v>
      </c>
      <c r="AV826">
        <f>AV825*(1+'Real assumptions'!$B$35)^(1/12)</f>
        <v>2.3225388980115609</v>
      </c>
      <c r="AW826">
        <f t="shared" si="582"/>
        <v>2086</v>
      </c>
      <c r="AX826">
        <f t="shared" si="609"/>
        <v>8.1036335437121021E-2</v>
      </c>
      <c r="AY826">
        <f t="shared" si="610"/>
        <v>1.0320573158663705E-4</v>
      </c>
      <c r="AZ826">
        <f t="shared" si="583"/>
        <v>9.163667348319772E-2</v>
      </c>
      <c r="BA826">
        <f t="shared" si="600"/>
        <v>2.6052280608242158E-4</v>
      </c>
      <c r="BB826">
        <f t="shared" si="601"/>
        <v>31.083333333333329</v>
      </c>
      <c r="BC826">
        <f t="shared" si="584"/>
        <v>18.649999999999999</v>
      </c>
      <c r="BD826">
        <f t="shared" si="602"/>
        <v>0</v>
      </c>
      <c r="BE826">
        <f t="shared" si="585"/>
        <v>24</v>
      </c>
      <c r="BF826">
        <f t="shared" si="611"/>
        <v>5000</v>
      </c>
      <c r="BU826"/>
      <c r="DW826" s="89"/>
      <c r="DX826" s="89"/>
      <c r="FD826"/>
      <c r="FE826"/>
    </row>
    <row r="827" spans="1:161" x14ac:dyDescent="0.25">
      <c r="A827" s="7">
        <f t="shared" si="603"/>
        <v>68271</v>
      </c>
      <c r="B827">
        <f t="shared" si="586"/>
        <v>816</v>
      </c>
      <c r="C827">
        <f t="shared" si="612"/>
        <v>67.916666666666671</v>
      </c>
      <c r="D827">
        <f t="shared" si="613"/>
        <v>0</v>
      </c>
      <c r="E827">
        <f t="shared" si="587"/>
        <v>119</v>
      </c>
      <c r="F827">
        <f>IF(C827&gt;=$T$2,0,VLOOKUP($E827,EKM_F05!$A$3:$C$128,2,TRUE))</f>
        <v>0</v>
      </c>
      <c r="G827">
        <f>F827*'Real assumptions'!$B$3</f>
        <v>0</v>
      </c>
      <c r="H827">
        <f t="shared" si="614"/>
        <v>0</v>
      </c>
      <c r="I827">
        <f t="shared" si="615"/>
        <v>0</v>
      </c>
      <c r="J827">
        <f>IF(B827&gt;$AJ$2,0,HLOOKUP(C827,'Real assumptions'!$B$5:$L$8,4,TRUE))</f>
        <v>3.7900000000000003E-2</v>
      </c>
      <c r="K827">
        <f t="shared" si="576"/>
        <v>1</v>
      </c>
      <c r="L827">
        <f t="shared" si="604"/>
        <v>8.3333333333333329E-2</v>
      </c>
      <c r="M827">
        <f t="shared" si="616"/>
        <v>3.2145624959929453E-3</v>
      </c>
      <c r="N827">
        <f t="shared" si="617"/>
        <v>7.8573086091041357E-8</v>
      </c>
      <c r="O827" s="8">
        <f t="shared" si="588"/>
        <v>2.4364282260160654E-5</v>
      </c>
      <c r="P827">
        <f t="shared" si="589"/>
        <v>5.8662852831004074E-4</v>
      </c>
      <c r="Q827">
        <f t="shared" si="605"/>
        <v>0</v>
      </c>
      <c r="R827" s="89">
        <f t="shared" si="577"/>
        <v>5000</v>
      </c>
      <c r="S827">
        <f t="shared" si="578"/>
        <v>1</v>
      </c>
      <c r="U827">
        <f>O826*AV826*'Real assumptions'!$B$33/12+AX827*'Real assumptions'!$B$34</f>
        <v>5.8985337276539352E-4</v>
      </c>
      <c r="V827">
        <f>IF(P827=0,0,IF(E827&lt;=$C$7,$AN$5*O826,0))*'Real assumptions'!$D$28</f>
        <v>0</v>
      </c>
      <c r="X827" s="94">
        <f t="shared" si="590"/>
        <v>0</v>
      </c>
      <c r="Y827">
        <f t="shared" si="579"/>
        <v>24</v>
      </c>
      <c r="Z827">
        <f t="shared" si="606"/>
        <v>31</v>
      </c>
      <c r="AA827">
        <f t="shared" si="580"/>
        <v>31</v>
      </c>
      <c r="AB827">
        <f t="shared" si="591"/>
        <v>50.505050505050505</v>
      </c>
      <c r="AC827">
        <f t="shared" si="618"/>
        <v>1565.6565656565656</v>
      </c>
      <c r="AD827">
        <f t="shared" si="592"/>
        <v>80.505050505050505</v>
      </c>
      <c r="AE827">
        <f t="shared" si="593"/>
        <v>124.78282828282828</v>
      </c>
      <c r="AF827" s="94">
        <f t="shared" si="594"/>
        <v>3309.5606060606065</v>
      </c>
      <c r="AG827">
        <f t="shared" si="607"/>
        <v>2.6004239042351902E-4</v>
      </c>
      <c r="AH827">
        <f t="shared" si="595"/>
        <v>8.0635068763168977E-2</v>
      </c>
      <c r="AI827">
        <f>HLOOKUP(AW827,'Real assumptions'!$A$21:$AK$24,2,TRUE)</f>
        <v>0</v>
      </c>
      <c r="AJ827" s="123">
        <f t="shared" si="619"/>
        <v>0</v>
      </c>
      <c r="AK827" s="122">
        <f>(1+HLOOKUP(YEAR(A827),'Real assumptions'!$A$21:$AK$24,2,TRUE)/100)^(1/12)-1</f>
        <v>0</v>
      </c>
      <c r="AL827">
        <f t="shared" si="608"/>
        <v>5.8985337276539352E-4</v>
      </c>
      <c r="AM827">
        <f>('Real assumptions'!$B$33/12)*O826*AV826</f>
        <v>5.6769482320139398E-4</v>
      </c>
      <c r="AN827">
        <f t="shared" si="596"/>
        <v>8.0780813283390734E-2</v>
      </c>
      <c r="AO827">
        <f t="shared" si="620"/>
        <v>0</v>
      </c>
      <c r="AP827" s="121">
        <f t="shared" si="597"/>
        <v>0</v>
      </c>
      <c r="AQ827">
        <f t="shared" si="598"/>
        <v>0</v>
      </c>
      <c r="AR827">
        <v>0</v>
      </c>
      <c r="AS827">
        <f t="shared" si="581"/>
        <v>0</v>
      </c>
      <c r="AT827">
        <f t="shared" si="599"/>
        <v>0</v>
      </c>
      <c r="AU827">
        <f>IFERROR(HLOOKUP(B827,'Real assumptions'!$B$43:$AL$44,2,TRUE)*($W$3/$U$2),0)</f>
        <v>0</v>
      </c>
      <c r="AV827">
        <f>AV826*(1+'Real assumptions'!$B$35)^(1/12)</f>
        <v>2.3249444584191581</v>
      </c>
      <c r="AW827">
        <f t="shared" si="582"/>
        <v>2086</v>
      </c>
      <c r="AX827">
        <f t="shared" si="609"/>
        <v>8.0886912098158584E-2</v>
      </c>
      <c r="AY827">
        <f t="shared" si="610"/>
        <v>1.0287397031250713E-4</v>
      </c>
      <c r="AZ827">
        <f t="shared" si="583"/>
        <v>9.1373406248318856E-2</v>
      </c>
      <c r="BA827">
        <f t="shared" si="600"/>
        <v>2.6004239042351902E-4</v>
      </c>
      <c r="BB827">
        <f t="shared" si="601"/>
        <v>31</v>
      </c>
      <c r="BC827">
        <f t="shared" si="584"/>
        <v>18.600000000000001</v>
      </c>
      <c r="BD827">
        <f t="shared" si="602"/>
        <v>0</v>
      </c>
      <c r="BE827">
        <f t="shared" si="585"/>
        <v>24</v>
      </c>
      <c r="BF827">
        <f t="shared" si="611"/>
        <v>5000</v>
      </c>
      <c r="BU827"/>
      <c r="DW827" s="89"/>
      <c r="DX827" s="89"/>
      <c r="FD827"/>
      <c r="FE827"/>
    </row>
    <row r="828" spans="1:161" x14ac:dyDescent="0.25">
      <c r="A828" s="7">
        <f t="shared" si="603"/>
        <v>68302</v>
      </c>
      <c r="B828">
        <f t="shared" si="586"/>
        <v>817</v>
      </c>
      <c r="C828">
        <f t="shared" si="612"/>
        <v>68</v>
      </c>
      <c r="D828">
        <f t="shared" si="613"/>
        <v>1</v>
      </c>
      <c r="E828">
        <f t="shared" si="587"/>
        <v>120</v>
      </c>
      <c r="F828">
        <f>IF(C828&gt;=$T$2,0,VLOOKUP($E828,EKM_F05!$A$3:$C$128,2,TRUE))</f>
        <v>0</v>
      </c>
      <c r="G828">
        <f>F828*'Real assumptions'!$B$3</f>
        <v>0</v>
      </c>
      <c r="H828">
        <f t="shared" si="614"/>
        <v>0</v>
      </c>
      <c r="I828">
        <f t="shared" si="615"/>
        <v>0</v>
      </c>
      <c r="J828">
        <f>IF(B828&gt;$AJ$2,0,HLOOKUP(C828,'Real assumptions'!$B$5:$L$8,4,TRUE))</f>
        <v>3.7900000000000003E-2</v>
      </c>
      <c r="K828">
        <f t="shared" si="576"/>
        <v>1</v>
      </c>
      <c r="L828">
        <f t="shared" si="604"/>
        <v>8.3333333333333329E-2</v>
      </c>
      <c r="M828">
        <f t="shared" si="616"/>
        <v>3.2145624959929453E-3</v>
      </c>
      <c r="N828">
        <f t="shared" si="617"/>
        <v>7.8320507995298668E-8</v>
      </c>
      <c r="O828" s="8">
        <f t="shared" si="588"/>
        <v>2.4285961752165356E-5</v>
      </c>
      <c r="P828">
        <f t="shared" si="589"/>
        <v>5.8474277424385573E-4</v>
      </c>
      <c r="Q828">
        <f t="shared" si="605"/>
        <v>0</v>
      </c>
      <c r="R828" s="89">
        <f t="shared" si="577"/>
        <v>5000</v>
      </c>
      <c r="S828">
        <f t="shared" si="578"/>
        <v>0.9166666666666714</v>
      </c>
      <c r="U828">
        <f>O827*AV827*'Real assumptions'!$B$33/12+AX828*'Real assumptions'!$B$34</f>
        <v>5.8857367982915153E-4</v>
      </c>
      <c r="V828">
        <f>IF(P828=0,0,IF(E828&lt;=$C$7,$AN$5*O827,0))*'Real assumptions'!$D$28</f>
        <v>0</v>
      </c>
      <c r="X828" s="94">
        <f t="shared" si="590"/>
        <v>0</v>
      </c>
      <c r="Y828">
        <f t="shared" si="579"/>
        <v>24</v>
      </c>
      <c r="Z828">
        <f t="shared" si="606"/>
        <v>31</v>
      </c>
      <c r="AA828">
        <f t="shared" si="580"/>
        <v>30.916666666666671</v>
      </c>
      <c r="AB828">
        <f t="shared" si="591"/>
        <v>50.505050505050505</v>
      </c>
      <c r="AC828">
        <f t="shared" si="618"/>
        <v>1561.4478114478118</v>
      </c>
      <c r="AD828">
        <f t="shared" si="592"/>
        <v>80.505050505050505</v>
      </c>
      <c r="AE828">
        <f t="shared" si="593"/>
        <v>124.44739057239059</v>
      </c>
      <c r="AF828" s="94">
        <f t="shared" si="594"/>
        <v>3314.1047979797977</v>
      </c>
      <c r="AG828">
        <f t="shared" si="607"/>
        <v>2.5956237132743442E-4</v>
      </c>
      <c r="AH828">
        <f t="shared" si="595"/>
        <v>8.0486222366405055E-2</v>
      </c>
      <c r="AI828">
        <f>HLOOKUP(AW828,'Real assumptions'!$A$21:$AK$24,2,TRUE)</f>
        <v>0</v>
      </c>
      <c r="AJ828" s="123">
        <f t="shared" si="619"/>
        <v>0</v>
      </c>
      <c r="AK828" s="122">
        <f>(1+HLOOKUP(YEAR(A828),'Real assumptions'!$A$21:$AK$24,2,TRUE)/100)^(1/12)-1</f>
        <v>0</v>
      </c>
      <c r="AL828">
        <f t="shared" si="608"/>
        <v>5.8857367982915153E-4</v>
      </c>
      <c r="AM828">
        <f>('Real assumptions'!$B$33/12)*O827*AV827</f>
        <v>5.6645603024120712E-4</v>
      </c>
      <c r="AN828">
        <f t="shared" si="596"/>
        <v>8.0631237857583693E-2</v>
      </c>
      <c r="AO828">
        <f t="shared" si="620"/>
        <v>0</v>
      </c>
      <c r="AP828" s="121">
        <f t="shared" si="597"/>
        <v>0</v>
      </c>
      <c r="AQ828">
        <f t="shared" si="598"/>
        <v>0</v>
      </c>
      <c r="AR828">
        <v>0</v>
      </c>
      <c r="AS828">
        <f t="shared" si="581"/>
        <v>0</v>
      </c>
      <c r="AT828">
        <f t="shared" si="599"/>
        <v>0</v>
      </c>
      <c r="AU828">
        <f>IFERROR(HLOOKUP(B828,'Real assumptions'!$B$43:$AL$44,2,TRUE)*($W$3/$U$2),0)</f>
        <v>0</v>
      </c>
      <c r="AV828">
        <f>AV827*(1+'Real assumptions'!$B$35)^(1/12)</f>
        <v>2.3273525103763606</v>
      </c>
      <c r="AW828">
        <f t="shared" si="582"/>
        <v>2086</v>
      </c>
      <c r="AX828">
        <f t="shared" si="609"/>
        <v>8.0737612038674703E-2</v>
      </c>
      <c r="AY828">
        <f t="shared" si="610"/>
        <v>1.0254327550572666E-4</v>
      </c>
      <c r="AZ828">
        <f t="shared" si="583"/>
        <v>9.111001297140614E-2</v>
      </c>
      <c r="BA828">
        <f t="shared" si="600"/>
        <v>2.5956237132743442E-4</v>
      </c>
      <c r="BB828">
        <f t="shared" si="601"/>
        <v>30.916666666666671</v>
      </c>
      <c r="BC828">
        <f t="shared" si="584"/>
        <v>18.550000000000004</v>
      </c>
      <c r="BD828">
        <f t="shared" si="602"/>
        <v>0</v>
      </c>
      <c r="BE828">
        <f t="shared" si="585"/>
        <v>24</v>
      </c>
      <c r="BF828">
        <f t="shared" si="611"/>
        <v>5000</v>
      </c>
      <c r="BU828"/>
      <c r="DW828" s="89"/>
      <c r="DX828" s="89"/>
      <c r="FD828"/>
      <c r="FE828"/>
    </row>
    <row r="829" spans="1:161" x14ac:dyDescent="0.25">
      <c r="A829" s="7">
        <f t="shared" si="603"/>
        <v>68333</v>
      </c>
      <c r="B829">
        <f t="shared" si="586"/>
        <v>818</v>
      </c>
      <c r="C829">
        <f t="shared" si="612"/>
        <v>68.083333333333329</v>
      </c>
      <c r="D829">
        <f t="shared" si="613"/>
        <v>0</v>
      </c>
      <c r="E829">
        <f t="shared" si="587"/>
        <v>120</v>
      </c>
      <c r="F829">
        <f>IF(C829&gt;=$T$2,0,VLOOKUP($E829,EKM_F05!$A$3:$C$128,2,TRUE))</f>
        <v>0</v>
      </c>
      <c r="G829">
        <f>F829*'Real assumptions'!$B$3</f>
        <v>0</v>
      </c>
      <c r="H829">
        <f t="shared" si="614"/>
        <v>0</v>
      </c>
      <c r="I829">
        <f t="shared" si="615"/>
        <v>0</v>
      </c>
      <c r="J829">
        <f>IF(B829&gt;$AJ$2,0,HLOOKUP(C829,'Real assumptions'!$B$5:$L$8,4,TRUE))</f>
        <v>3.7900000000000003E-2</v>
      </c>
      <c r="K829">
        <f t="shared" si="576"/>
        <v>1</v>
      </c>
      <c r="L829">
        <f t="shared" si="604"/>
        <v>8.3333333333333329E-2</v>
      </c>
      <c r="M829">
        <f t="shared" si="616"/>
        <v>3.2145624959929453E-3</v>
      </c>
      <c r="N829">
        <f t="shared" si="617"/>
        <v>7.8068741827629867E-8</v>
      </c>
      <c r="O829" s="8">
        <f t="shared" si="588"/>
        <v>2.4207893010337725E-5</v>
      </c>
      <c r="P829">
        <f t="shared" si="589"/>
        <v>5.8286308205196861E-4</v>
      </c>
      <c r="Q829">
        <f t="shared" si="605"/>
        <v>0</v>
      </c>
      <c r="R829" s="89">
        <f t="shared" si="577"/>
        <v>5000</v>
      </c>
      <c r="S829">
        <f t="shared" si="578"/>
        <v>0.8333333333333286</v>
      </c>
      <c r="U829">
        <f>O828*AV828*'Real assumptions'!$B$33/12+AX829*'Real assumptions'!$B$34</f>
        <v>5.8729672409758794E-4</v>
      </c>
      <c r="V829">
        <f>IF(P829=0,0,IF(E829&lt;=$C$7,$AN$5*O828,0))*'Real assumptions'!$D$28</f>
        <v>0</v>
      </c>
      <c r="X829" s="94">
        <f t="shared" si="590"/>
        <v>0</v>
      </c>
      <c r="Y829">
        <f t="shared" si="579"/>
        <v>24</v>
      </c>
      <c r="Z829">
        <f t="shared" si="606"/>
        <v>30</v>
      </c>
      <c r="AA829">
        <f t="shared" si="580"/>
        <v>30.833333333333329</v>
      </c>
      <c r="AB829">
        <f t="shared" si="591"/>
        <v>50.505050505050505</v>
      </c>
      <c r="AC829">
        <f t="shared" si="618"/>
        <v>1557.239057239057</v>
      </c>
      <c r="AD829">
        <f t="shared" si="592"/>
        <v>80.505050505050505</v>
      </c>
      <c r="AE829">
        <f t="shared" si="593"/>
        <v>124.11195286195284</v>
      </c>
      <c r="AF829" s="94">
        <f t="shared" si="594"/>
        <v>3318.6489898989903</v>
      </c>
      <c r="AG829">
        <f t="shared" si="607"/>
        <v>2.5908275120894888E-4</v>
      </c>
      <c r="AH829">
        <f t="shared" si="595"/>
        <v>8.0337499686340116E-2</v>
      </c>
      <c r="AI829">
        <f>HLOOKUP(AW829,'Real assumptions'!$A$21:$AK$24,2,TRUE)</f>
        <v>0</v>
      </c>
      <c r="AJ829" s="123">
        <f t="shared" si="619"/>
        <v>0</v>
      </c>
      <c r="AK829" s="122">
        <f>(1+HLOOKUP(YEAR(A829),'Real assumptions'!$A$21:$AK$24,2,TRUE)/100)^(1/12)-1</f>
        <v>0</v>
      </c>
      <c r="AL829">
        <f t="shared" si="608"/>
        <v>5.8729672409758794E-4</v>
      </c>
      <c r="AM829">
        <f>('Real assumptions'!$B$33/12)*O828*AV828</f>
        <v>5.6521994050806319E-4</v>
      </c>
      <c r="AN829">
        <f t="shared" si="596"/>
        <v>8.0481788724359432E-2</v>
      </c>
      <c r="AO829">
        <f t="shared" si="620"/>
        <v>0</v>
      </c>
      <c r="AP829" s="121">
        <f t="shared" si="597"/>
        <v>0</v>
      </c>
      <c r="AQ829">
        <f t="shared" si="598"/>
        <v>0</v>
      </c>
      <c r="AR829">
        <v>0</v>
      </c>
      <c r="AS829">
        <f t="shared" si="581"/>
        <v>0</v>
      </c>
      <c r="AT829">
        <f t="shared" si="599"/>
        <v>0</v>
      </c>
      <c r="AU829">
        <f>IFERROR(HLOOKUP(B829,'Real assumptions'!$B$43:$AL$44,2,TRUE)*($W$3/$U$2),0)</f>
        <v>0</v>
      </c>
      <c r="AV829">
        <f>AV828*(1+'Real assumptions'!$B$35)^(1/12)</f>
        <v>2.329763056463781</v>
      </c>
      <c r="AW829">
        <f t="shared" si="582"/>
        <v>2087</v>
      </c>
      <c r="AX829">
        <f t="shared" si="609"/>
        <v>8.0588436010143122E-2</v>
      </c>
      <c r="AY829">
        <f t="shared" si="610"/>
        <v>1.0221364373806968E-4</v>
      </c>
      <c r="AZ829">
        <f t="shared" si="583"/>
        <v>9.0846496578151567E-2</v>
      </c>
      <c r="BA829">
        <f t="shared" si="600"/>
        <v>2.5908275120894888E-4</v>
      </c>
      <c r="BB829">
        <f t="shared" si="601"/>
        <v>30.833333333333329</v>
      </c>
      <c r="BC829">
        <f t="shared" si="584"/>
        <v>18.499999999999996</v>
      </c>
      <c r="BD829">
        <f t="shared" si="602"/>
        <v>0</v>
      </c>
      <c r="BE829">
        <f t="shared" si="585"/>
        <v>24</v>
      </c>
      <c r="BF829">
        <f t="shared" si="611"/>
        <v>5000</v>
      </c>
      <c r="BU829"/>
      <c r="DW829" s="89"/>
      <c r="DX829" s="89"/>
      <c r="FD829"/>
      <c r="FE829"/>
    </row>
    <row r="830" spans="1:161" x14ac:dyDescent="0.25">
      <c r="A830" s="7">
        <f t="shared" si="603"/>
        <v>68361</v>
      </c>
      <c r="B830">
        <f t="shared" si="586"/>
        <v>819</v>
      </c>
      <c r="C830">
        <f t="shared" si="612"/>
        <v>68.166666666666671</v>
      </c>
      <c r="D830">
        <f t="shared" si="613"/>
        <v>0</v>
      </c>
      <c r="E830">
        <f t="shared" si="587"/>
        <v>120</v>
      </c>
      <c r="F830">
        <f>IF(C830&gt;=$T$2,0,VLOOKUP($E830,EKM_F05!$A$3:$C$128,2,TRUE))</f>
        <v>0</v>
      </c>
      <c r="G830">
        <f>F830*'Real assumptions'!$B$3</f>
        <v>0</v>
      </c>
      <c r="H830">
        <f t="shared" si="614"/>
        <v>0</v>
      </c>
      <c r="I830">
        <f t="shared" si="615"/>
        <v>0</v>
      </c>
      <c r="J830">
        <f>IF(B830&gt;$AJ$2,0,HLOOKUP(C830,'Real assumptions'!$B$5:$L$8,4,TRUE))</f>
        <v>3.7900000000000003E-2</v>
      </c>
      <c r="K830">
        <f t="shared" si="576"/>
        <v>1</v>
      </c>
      <c r="L830">
        <f t="shared" si="604"/>
        <v>8.3333333333333329E-2</v>
      </c>
      <c r="M830">
        <f t="shared" si="616"/>
        <v>3.2145624959929453E-3</v>
      </c>
      <c r="N830">
        <f t="shared" si="617"/>
        <v>7.7817784978041415E-8</v>
      </c>
      <c r="O830" s="8">
        <f t="shared" si="588"/>
        <v>2.4130075225359685E-5</v>
      </c>
      <c r="P830">
        <f t="shared" si="589"/>
        <v>5.8098943224810544E-4</v>
      </c>
      <c r="Q830">
        <f t="shared" si="605"/>
        <v>0</v>
      </c>
      <c r="R830" s="89">
        <f t="shared" si="577"/>
        <v>5000</v>
      </c>
      <c r="S830">
        <f t="shared" si="578"/>
        <v>0.75</v>
      </c>
      <c r="U830">
        <f>O829*AV829*'Real assumptions'!$B$33/12+AX830*'Real assumptions'!$B$34</f>
        <v>5.8602249987605641E-4</v>
      </c>
      <c r="V830">
        <f>IF(P830=0,0,IF(E830&lt;=$C$7,$AN$5*O829,0))*'Real assumptions'!$D$28</f>
        <v>0</v>
      </c>
      <c r="X830" s="94">
        <f t="shared" si="590"/>
        <v>0</v>
      </c>
      <c r="Y830">
        <f t="shared" si="579"/>
        <v>24</v>
      </c>
      <c r="Z830">
        <f t="shared" si="606"/>
        <v>30</v>
      </c>
      <c r="AA830">
        <f t="shared" si="580"/>
        <v>30.75</v>
      </c>
      <c r="AB830">
        <f t="shared" si="591"/>
        <v>50.505050505050505</v>
      </c>
      <c r="AC830">
        <f t="shared" si="618"/>
        <v>1553.030303030303</v>
      </c>
      <c r="AD830">
        <f t="shared" si="592"/>
        <v>80.505050505050505</v>
      </c>
      <c r="AE830">
        <f t="shared" si="593"/>
        <v>123.77651515151514</v>
      </c>
      <c r="AF830" s="94">
        <f t="shared" si="594"/>
        <v>3323.193181818182</v>
      </c>
      <c r="AG830">
        <f t="shared" si="607"/>
        <v>2.5860353246322059E-4</v>
      </c>
      <c r="AH830">
        <f t="shared" si="595"/>
        <v>8.018890146567513E-2</v>
      </c>
      <c r="AI830">
        <f>HLOOKUP(AW830,'Real assumptions'!$A$21:$AK$24,2,TRUE)</f>
        <v>0</v>
      </c>
      <c r="AJ830" s="123">
        <f t="shared" si="619"/>
        <v>0</v>
      </c>
      <c r="AK830" s="122">
        <f>(1+HLOOKUP(YEAR(A830),'Real assumptions'!$A$21:$AK$24,2,TRUE)/100)^(1/12)-1</f>
        <v>0</v>
      </c>
      <c r="AL830">
        <f t="shared" si="608"/>
        <v>5.8602249987605641E-4</v>
      </c>
      <c r="AM830">
        <f>('Real assumptions'!$B$33/12)*O829*AV829</f>
        <v>5.6398654810312619E-4</v>
      </c>
      <c r="AN830">
        <f t="shared" si="596"/>
        <v>8.0332466618712156E-2</v>
      </c>
      <c r="AO830">
        <f t="shared" si="620"/>
        <v>0</v>
      </c>
      <c r="AP830" s="121">
        <f t="shared" si="597"/>
        <v>0</v>
      </c>
      <c r="AQ830">
        <f t="shared" si="598"/>
        <v>0</v>
      </c>
      <c r="AR830">
        <v>0</v>
      </c>
      <c r="AS830">
        <f t="shared" si="581"/>
        <v>0</v>
      </c>
      <c r="AT830">
        <f t="shared" si="599"/>
        <v>0</v>
      </c>
      <c r="AU830">
        <f>IFERROR(HLOOKUP(B830,'Real assumptions'!$B$43:$AL$44,2,TRUE)*($W$3/$U$2),0)</f>
        <v>0</v>
      </c>
      <c r="AV830">
        <f>AV829*(1+'Real assumptions'!$B$35)^(1/12)</f>
        <v>2.3321760992647049</v>
      </c>
      <c r="AW830">
        <f t="shared" si="582"/>
        <v>2087</v>
      </c>
      <c r="AX830">
        <f t="shared" si="609"/>
        <v>8.0439384757932442E-2</v>
      </c>
      <c r="AY830">
        <f t="shared" si="610"/>
        <v>1.0188507159233048E-4</v>
      </c>
      <c r="AZ830">
        <f t="shared" si="583"/>
        <v>9.0582859978060384E-2</v>
      </c>
      <c r="BA830">
        <f t="shared" si="600"/>
        <v>2.5860353246322059E-4</v>
      </c>
      <c r="BB830">
        <f t="shared" si="601"/>
        <v>30.75</v>
      </c>
      <c r="BC830">
        <f t="shared" si="584"/>
        <v>18.45</v>
      </c>
      <c r="BD830">
        <f t="shared" si="602"/>
        <v>0</v>
      </c>
      <c r="BE830">
        <f t="shared" si="585"/>
        <v>24</v>
      </c>
      <c r="BF830">
        <f t="shared" si="611"/>
        <v>5000</v>
      </c>
      <c r="BU830"/>
      <c r="DW830" s="89"/>
      <c r="DX830" s="89"/>
      <c r="FD830"/>
      <c r="FE830"/>
    </row>
    <row r="831" spans="1:161" x14ac:dyDescent="0.25">
      <c r="A831" s="7">
        <f t="shared" si="603"/>
        <v>68392</v>
      </c>
      <c r="B831">
        <f t="shared" si="586"/>
        <v>820</v>
      </c>
      <c r="C831">
        <f t="shared" si="612"/>
        <v>68.25</v>
      </c>
      <c r="D831">
        <f t="shared" si="613"/>
        <v>0</v>
      </c>
      <c r="E831">
        <f t="shared" si="587"/>
        <v>120</v>
      </c>
      <c r="F831">
        <f>IF(C831&gt;=$T$2,0,VLOOKUP($E831,EKM_F05!$A$3:$C$128,2,TRUE))</f>
        <v>0</v>
      </c>
      <c r="G831">
        <f>F831*'Real assumptions'!$B$3</f>
        <v>0</v>
      </c>
      <c r="H831">
        <f t="shared" si="614"/>
        <v>0</v>
      </c>
      <c r="I831">
        <f t="shared" si="615"/>
        <v>0</v>
      </c>
      <c r="J831">
        <f>IF(B831&gt;$AJ$2,0,HLOOKUP(C831,'Real assumptions'!$B$5:$L$8,4,TRUE))</f>
        <v>3.7900000000000003E-2</v>
      </c>
      <c r="K831">
        <f t="shared" si="576"/>
        <v>1</v>
      </c>
      <c r="L831">
        <f t="shared" si="604"/>
        <v>8.3333333333333329E-2</v>
      </c>
      <c r="M831">
        <f t="shared" si="616"/>
        <v>3.2145624959929453E-3</v>
      </c>
      <c r="N831">
        <f t="shared" si="617"/>
        <v>7.7567634844929757E-8</v>
      </c>
      <c r="O831" s="8">
        <f t="shared" si="588"/>
        <v>2.4052507590514755E-5</v>
      </c>
      <c r="P831">
        <f t="shared" si="589"/>
        <v>5.7912180540863241E-4</v>
      </c>
      <c r="Q831">
        <f t="shared" si="605"/>
        <v>0</v>
      </c>
      <c r="R831" s="89">
        <f t="shared" si="577"/>
        <v>5000</v>
      </c>
      <c r="S831">
        <f t="shared" si="578"/>
        <v>0.6666666666666714</v>
      </c>
      <c r="U831">
        <f>O830*AV830*'Real assumptions'!$B$33/12+AX831*'Real assumptions'!$B$34</f>
        <v>5.8475100148111937E-4</v>
      </c>
      <c r="V831">
        <f>IF(P831=0,0,IF(E831&lt;=$C$7,$AN$5*O830,0))*'Real assumptions'!$D$28</f>
        <v>0</v>
      </c>
      <c r="X831" s="94">
        <f t="shared" si="590"/>
        <v>0</v>
      </c>
      <c r="Y831">
        <f t="shared" si="579"/>
        <v>24</v>
      </c>
      <c r="Z831">
        <f t="shared" si="606"/>
        <v>30</v>
      </c>
      <c r="AA831">
        <f t="shared" si="580"/>
        <v>30.666666666666671</v>
      </c>
      <c r="AB831">
        <f t="shared" si="591"/>
        <v>50.505050505050505</v>
      </c>
      <c r="AC831">
        <f t="shared" si="618"/>
        <v>1548.821548821549</v>
      </c>
      <c r="AD831">
        <f t="shared" si="592"/>
        <v>80.505050505050505</v>
      </c>
      <c r="AE831">
        <f t="shared" si="593"/>
        <v>123.44107744107745</v>
      </c>
      <c r="AF831" s="94">
        <f t="shared" si="594"/>
        <v>3327.7373737373732</v>
      </c>
      <c r="AG831">
        <f t="shared" si="607"/>
        <v>2.5812471746588611E-4</v>
      </c>
      <c r="AH831">
        <f t="shared" si="595"/>
        <v>8.0040428441057812E-2</v>
      </c>
      <c r="AI831">
        <f>HLOOKUP(AW831,'Real assumptions'!$A$21:$AK$24,2,TRUE)</f>
        <v>0</v>
      </c>
      <c r="AJ831" s="123">
        <f t="shared" si="619"/>
        <v>0</v>
      </c>
      <c r="AK831" s="122">
        <f>(1+HLOOKUP(YEAR(A831),'Real assumptions'!$A$21:$AK$24,2,TRUE)/100)^(1/12)-1</f>
        <v>0</v>
      </c>
      <c r="AL831">
        <f t="shared" si="608"/>
        <v>5.8475100148111937E-4</v>
      </c>
      <c r="AM831">
        <f>('Real assumptions'!$B$33/12)*O830*AV830</f>
        <v>5.6275584714043242E-4</v>
      </c>
      <c r="AN831">
        <f t="shared" si="596"/>
        <v>8.0183272269602646E-2</v>
      </c>
      <c r="AO831">
        <f t="shared" si="620"/>
        <v>0</v>
      </c>
      <c r="AP831" s="121">
        <f t="shared" si="597"/>
        <v>0</v>
      </c>
      <c r="AQ831">
        <f t="shared" si="598"/>
        <v>0</v>
      </c>
      <c r="AR831">
        <v>0</v>
      </c>
      <c r="AS831">
        <f t="shared" si="581"/>
        <v>0</v>
      </c>
      <c r="AT831">
        <f t="shared" si="599"/>
        <v>0</v>
      </c>
      <c r="AU831">
        <f>IFERROR(HLOOKUP(B831,'Real assumptions'!$B$43:$AL$44,2,TRUE)*($W$3/$U$2),0)</f>
        <v>0</v>
      </c>
      <c r="AV831">
        <f>AV830*(1+'Real assumptions'!$B$35)^(1/12)</f>
        <v>2.3345916413650931</v>
      </c>
      <c r="AW831">
        <f t="shared" si="582"/>
        <v>2087</v>
      </c>
      <c r="AX831">
        <f t="shared" si="609"/>
        <v>8.0290459021337413E-2</v>
      </c>
      <c r="AY831">
        <f t="shared" si="610"/>
        <v>1.0155755566228823E-4</v>
      </c>
      <c r="AZ831">
        <f t="shared" si="583"/>
        <v>9.0319106064522009E-2</v>
      </c>
      <c r="BA831">
        <f t="shared" si="600"/>
        <v>2.5812471746588611E-4</v>
      </c>
      <c r="BB831">
        <f t="shared" si="601"/>
        <v>30.666666666666671</v>
      </c>
      <c r="BC831">
        <f t="shared" si="584"/>
        <v>18.400000000000002</v>
      </c>
      <c r="BD831">
        <f t="shared" si="602"/>
        <v>0</v>
      </c>
      <c r="BE831">
        <f t="shared" si="585"/>
        <v>24</v>
      </c>
      <c r="BF831">
        <f t="shared" si="611"/>
        <v>5000</v>
      </c>
      <c r="BU831"/>
      <c r="DW831" s="89"/>
      <c r="DX831" s="89"/>
      <c r="FD831"/>
      <c r="FE831"/>
    </row>
    <row r="832" spans="1:161" x14ac:dyDescent="0.25">
      <c r="A832" s="7">
        <f t="shared" si="603"/>
        <v>68422</v>
      </c>
      <c r="B832">
        <f t="shared" si="586"/>
        <v>821</v>
      </c>
      <c r="C832">
        <f t="shared" si="612"/>
        <v>68.333333333333329</v>
      </c>
      <c r="D832">
        <f t="shared" si="613"/>
        <v>0</v>
      </c>
      <c r="E832">
        <f t="shared" si="587"/>
        <v>120</v>
      </c>
      <c r="F832">
        <f>IF(C832&gt;=$T$2,0,VLOOKUP($E832,EKM_F05!$A$3:$C$128,2,TRUE))</f>
        <v>0</v>
      </c>
      <c r="G832">
        <f>F832*'Real assumptions'!$B$3</f>
        <v>0</v>
      </c>
      <c r="H832">
        <f t="shared" si="614"/>
        <v>0</v>
      </c>
      <c r="I832">
        <f t="shared" si="615"/>
        <v>0</v>
      </c>
      <c r="J832">
        <f>IF(B832&gt;$AJ$2,0,HLOOKUP(C832,'Real assumptions'!$B$5:$L$8,4,TRUE))</f>
        <v>3.7900000000000003E-2</v>
      </c>
      <c r="K832">
        <f t="shared" si="576"/>
        <v>1</v>
      </c>
      <c r="L832">
        <f t="shared" si="604"/>
        <v>8.3333333333333329E-2</v>
      </c>
      <c r="M832">
        <f t="shared" si="616"/>
        <v>3.2145624959929453E-3</v>
      </c>
      <c r="N832">
        <f t="shared" si="617"/>
        <v>7.731828883505437E-8</v>
      </c>
      <c r="O832" s="8">
        <f t="shared" si="588"/>
        <v>2.3975189301679702E-5</v>
      </c>
      <c r="P832">
        <f t="shared" si="589"/>
        <v>5.7726018217235415E-4</v>
      </c>
      <c r="Q832">
        <f t="shared" si="605"/>
        <v>0</v>
      </c>
      <c r="R832" s="89">
        <f t="shared" si="577"/>
        <v>5000</v>
      </c>
      <c r="S832">
        <f t="shared" si="578"/>
        <v>0.5833333333333286</v>
      </c>
      <c r="U832">
        <f>O831*AV831*'Real assumptions'!$B$33/12+AX832*'Real assumptions'!$B$34</f>
        <v>5.8348222324052749E-4</v>
      </c>
      <c r="V832">
        <f>IF(P832=0,0,IF(E832&lt;=$C$7,$AN$5*O831,0))*'Real assumptions'!$D$28</f>
        <v>0</v>
      </c>
      <c r="X832" s="94">
        <f t="shared" si="590"/>
        <v>0</v>
      </c>
      <c r="Y832">
        <f t="shared" si="579"/>
        <v>24</v>
      </c>
      <c r="Z832">
        <f t="shared" si="606"/>
        <v>30</v>
      </c>
      <c r="AA832">
        <f t="shared" si="580"/>
        <v>30.583333333333329</v>
      </c>
      <c r="AB832">
        <f t="shared" si="591"/>
        <v>50.505050505050505</v>
      </c>
      <c r="AC832">
        <f t="shared" si="618"/>
        <v>1544.6127946127945</v>
      </c>
      <c r="AD832">
        <f t="shared" si="592"/>
        <v>80.505050505050505</v>
      </c>
      <c r="AE832">
        <f t="shared" si="593"/>
        <v>123.10563973063971</v>
      </c>
      <c r="AF832" s="94">
        <f t="shared" si="594"/>
        <v>3332.2815656565658</v>
      </c>
      <c r="AG832">
        <f t="shared" si="607"/>
        <v>2.5764630857316154E-4</v>
      </c>
      <c r="AH832">
        <f t="shared" si="595"/>
        <v>7.9892081343113791E-2</v>
      </c>
      <c r="AI832">
        <f>HLOOKUP(AW832,'Real assumptions'!$A$21:$AK$24,2,TRUE)</f>
        <v>0</v>
      </c>
      <c r="AJ832" s="123">
        <f t="shared" si="619"/>
        <v>0</v>
      </c>
      <c r="AK832" s="122">
        <f>(1+HLOOKUP(YEAR(A832),'Real assumptions'!$A$21:$AK$24,2,TRUE)/100)^(1/12)-1</f>
        <v>0</v>
      </c>
      <c r="AL832">
        <f t="shared" si="608"/>
        <v>5.8348222324052749E-4</v>
      </c>
      <c r="AM832">
        <f>('Real assumptions'!$B$33/12)*O831*AV831</f>
        <v>5.6152783174686206E-4</v>
      </c>
      <c r="AN832">
        <f t="shared" si="596"/>
        <v>8.0034206399989635E-2</v>
      </c>
      <c r="AO832">
        <f t="shared" si="620"/>
        <v>0</v>
      </c>
      <c r="AP832" s="121">
        <f t="shared" si="597"/>
        <v>0</v>
      </c>
      <c r="AQ832">
        <f t="shared" si="598"/>
        <v>0</v>
      </c>
      <c r="AR832">
        <v>0</v>
      </c>
      <c r="AS832">
        <f t="shared" si="581"/>
        <v>0</v>
      </c>
      <c r="AT832">
        <f t="shared" si="599"/>
        <v>0</v>
      </c>
      <c r="AU832">
        <f>IFERROR(HLOOKUP(B832,'Real assumptions'!$B$43:$AL$44,2,TRUE)*($W$3/$U$2),0)</f>
        <v>0</v>
      </c>
      <c r="AV832">
        <f>AV831*(1+'Real assumptions'!$B$35)^(1/12)</f>
        <v>2.3370096853535851</v>
      </c>
      <c r="AW832">
        <f t="shared" si="582"/>
        <v>2087</v>
      </c>
      <c r="AX832">
        <f t="shared" si="609"/>
        <v>8.0141659533610479E-2</v>
      </c>
      <c r="AY832">
        <f t="shared" si="610"/>
        <v>1.0123109255267152E-4</v>
      </c>
      <c r="AZ832">
        <f t="shared" si="583"/>
        <v>9.0055237714880665E-2</v>
      </c>
      <c r="BA832">
        <f t="shared" si="600"/>
        <v>2.5764630857316154E-4</v>
      </c>
      <c r="BB832">
        <f t="shared" si="601"/>
        <v>30.583333333333329</v>
      </c>
      <c r="BC832">
        <f t="shared" si="584"/>
        <v>18.349999999999994</v>
      </c>
      <c r="BD832">
        <f t="shared" si="602"/>
        <v>0</v>
      </c>
      <c r="BE832">
        <f t="shared" si="585"/>
        <v>24</v>
      </c>
      <c r="BF832">
        <f t="shared" si="611"/>
        <v>5000</v>
      </c>
      <c r="BU832"/>
      <c r="DW832" s="89"/>
      <c r="DX832" s="89"/>
      <c r="FD832"/>
      <c r="FE832"/>
    </row>
    <row r="833" spans="1:161" x14ac:dyDescent="0.25">
      <c r="A833" s="7">
        <f t="shared" si="603"/>
        <v>68453</v>
      </c>
      <c r="B833">
        <f t="shared" si="586"/>
        <v>822</v>
      </c>
      <c r="C833">
        <f t="shared" si="612"/>
        <v>68.416666666666671</v>
      </c>
      <c r="D833">
        <f t="shared" si="613"/>
        <v>0</v>
      </c>
      <c r="E833">
        <f t="shared" si="587"/>
        <v>120</v>
      </c>
      <c r="F833">
        <f>IF(C833&gt;=$T$2,0,VLOOKUP($E833,EKM_F05!$A$3:$C$128,2,TRUE))</f>
        <v>0</v>
      </c>
      <c r="G833">
        <f>F833*'Real assumptions'!$B$3</f>
        <v>0</v>
      </c>
      <c r="H833">
        <f t="shared" si="614"/>
        <v>0</v>
      </c>
      <c r="I833">
        <f t="shared" si="615"/>
        <v>0</v>
      </c>
      <c r="J833">
        <f>IF(B833&gt;$AJ$2,0,HLOOKUP(C833,'Real assumptions'!$B$5:$L$8,4,TRUE))</f>
        <v>3.7900000000000003E-2</v>
      </c>
      <c r="K833">
        <f t="shared" si="576"/>
        <v>1</v>
      </c>
      <c r="L833">
        <f t="shared" si="604"/>
        <v>8.3333333333333329E-2</v>
      </c>
      <c r="M833">
        <f t="shared" si="616"/>
        <v>3.2145624959929453E-3</v>
      </c>
      <c r="N833">
        <f t="shared" si="617"/>
        <v>7.7069744363510859E-8</v>
      </c>
      <c r="O833" s="8">
        <f t="shared" si="588"/>
        <v>2.3898119557316193E-5</v>
      </c>
      <c r="P833">
        <f t="shared" si="589"/>
        <v>5.7540454324031282E-4</v>
      </c>
      <c r="Q833">
        <f t="shared" si="605"/>
        <v>0</v>
      </c>
      <c r="R833" s="89">
        <f t="shared" si="577"/>
        <v>5000</v>
      </c>
      <c r="S833">
        <f t="shared" si="578"/>
        <v>0.5</v>
      </c>
      <c r="U833">
        <f>O832*AV832*'Real assumptions'!$B$33/12+AX833*'Real assumptions'!$B$34</f>
        <v>5.8221615949320096E-4</v>
      </c>
      <c r="V833">
        <f>IF(P833=0,0,IF(E833&lt;=$C$7,$AN$5*O832,0))*'Real assumptions'!$D$28</f>
        <v>0</v>
      </c>
      <c r="X833" s="94">
        <f t="shared" si="590"/>
        <v>0</v>
      </c>
      <c r="Y833">
        <f t="shared" si="579"/>
        <v>24</v>
      </c>
      <c r="Z833">
        <f t="shared" si="606"/>
        <v>30</v>
      </c>
      <c r="AA833">
        <f t="shared" si="580"/>
        <v>30.5</v>
      </c>
      <c r="AB833">
        <f t="shared" si="591"/>
        <v>50.505050505050505</v>
      </c>
      <c r="AC833">
        <f t="shared" si="618"/>
        <v>1540.4040404040404</v>
      </c>
      <c r="AD833">
        <f t="shared" si="592"/>
        <v>80.505050505050505</v>
      </c>
      <c r="AE833">
        <f t="shared" si="593"/>
        <v>122.77020202020202</v>
      </c>
      <c r="AF833" s="94">
        <f t="shared" si="594"/>
        <v>3336.8257575757575</v>
      </c>
      <c r="AG833">
        <f t="shared" si="607"/>
        <v>2.5716830812194208E-4</v>
      </c>
      <c r="AH833">
        <f t="shared" si="595"/>
        <v>7.9743860896477628E-2</v>
      </c>
      <c r="AI833">
        <f>HLOOKUP(AW833,'Real assumptions'!$A$21:$AK$24,2,TRUE)</f>
        <v>0</v>
      </c>
      <c r="AJ833" s="123">
        <f t="shared" si="619"/>
        <v>0</v>
      </c>
      <c r="AK833" s="122">
        <f>(1+HLOOKUP(YEAR(A833),'Real assumptions'!$A$21:$AK$24,2,TRUE)/100)^(1/12)-1</f>
        <v>0</v>
      </c>
      <c r="AL833">
        <f t="shared" si="608"/>
        <v>5.8221615949320096E-4</v>
      </c>
      <c r="AM833">
        <f>('Real assumptions'!$B$33/12)*O832*AV832</f>
        <v>5.6030249606211125E-4</v>
      </c>
      <c r="AN833">
        <f t="shared" si="596"/>
        <v>7.98852697268609E-2</v>
      </c>
      <c r="AO833">
        <f t="shared" si="620"/>
        <v>0</v>
      </c>
      <c r="AP833" s="121">
        <f t="shared" si="597"/>
        <v>0</v>
      </c>
      <c r="AQ833">
        <f t="shared" si="598"/>
        <v>0</v>
      </c>
      <c r="AR833">
        <v>0</v>
      </c>
      <c r="AS833">
        <f t="shared" si="581"/>
        <v>0</v>
      </c>
      <c r="AT833">
        <f t="shared" si="599"/>
        <v>0</v>
      </c>
      <c r="AU833">
        <f>IFERROR(HLOOKUP(B833,'Real assumptions'!$B$43:$AL$44,2,TRUE)*($W$3/$U$2),0)</f>
        <v>0</v>
      </c>
      <c r="AV833">
        <f>AV832*(1+'Real assumptions'!$B$35)^(1/12)</f>
        <v>2.3394302338215014</v>
      </c>
      <c r="AW833">
        <f t="shared" si="582"/>
        <v>2087</v>
      </c>
      <c r="AX833">
        <f t="shared" si="609"/>
        <v>7.9992987021992909E-2</v>
      </c>
      <c r="AY833">
        <f t="shared" si="610"/>
        <v>1.0090567887912332E-4</v>
      </c>
      <c r="AZ833">
        <f t="shared" si="583"/>
        <v>8.9791257790505827E-2</v>
      </c>
      <c r="BA833">
        <f t="shared" si="600"/>
        <v>2.5716830812194208E-4</v>
      </c>
      <c r="BB833">
        <f t="shared" si="601"/>
        <v>30.5</v>
      </c>
      <c r="BC833">
        <f t="shared" si="584"/>
        <v>18.299999999999997</v>
      </c>
      <c r="BD833">
        <f t="shared" si="602"/>
        <v>0</v>
      </c>
      <c r="BE833">
        <f t="shared" si="585"/>
        <v>24</v>
      </c>
      <c r="BF833">
        <f t="shared" si="611"/>
        <v>5000</v>
      </c>
      <c r="BU833"/>
      <c r="DW833" s="89"/>
      <c r="DX833" s="89"/>
      <c r="FD833"/>
      <c r="FE833"/>
    </row>
    <row r="834" spans="1:161" x14ac:dyDescent="0.25">
      <c r="A834" s="7">
        <f t="shared" si="603"/>
        <v>68483</v>
      </c>
      <c r="B834">
        <f t="shared" si="586"/>
        <v>823</v>
      </c>
      <c r="C834">
        <f t="shared" si="612"/>
        <v>68.5</v>
      </c>
      <c r="D834">
        <f t="shared" si="613"/>
        <v>0</v>
      </c>
      <c r="E834">
        <f t="shared" si="587"/>
        <v>120</v>
      </c>
      <c r="F834">
        <f>IF(C834&gt;=$T$2,0,VLOOKUP($E834,EKM_F05!$A$3:$C$128,2,TRUE))</f>
        <v>0</v>
      </c>
      <c r="G834">
        <f>F834*'Real assumptions'!$B$3</f>
        <v>0</v>
      </c>
      <c r="H834">
        <f t="shared" si="614"/>
        <v>0</v>
      </c>
      <c r="I834">
        <f t="shared" si="615"/>
        <v>0</v>
      </c>
      <c r="J834">
        <f>IF(B834&gt;$AJ$2,0,HLOOKUP(C834,'Real assumptions'!$B$5:$L$8,4,TRUE))</f>
        <v>3.7900000000000003E-2</v>
      </c>
      <c r="K834">
        <f t="shared" si="576"/>
        <v>1</v>
      </c>
      <c r="L834">
        <f t="shared" si="604"/>
        <v>8.3333333333333329E-2</v>
      </c>
      <c r="M834">
        <f t="shared" si="616"/>
        <v>3.2145624959929453E-3</v>
      </c>
      <c r="N834">
        <f t="shared" si="617"/>
        <v>7.6821998853704156E-8</v>
      </c>
      <c r="O834" s="8">
        <f t="shared" si="588"/>
        <v>2.382129755846249E-5</v>
      </c>
      <c r="P834">
        <f t="shared" si="589"/>
        <v>5.7355486937558865E-4</v>
      </c>
      <c r="Q834">
        <f t="shared" si="605"/>
        <v>0</v>
      </c>
      <c r="R834" s="89">
        <f t="shared" si="577"/>
        <v>5000</v>
      </c>
      <c r="S834">
        <f t="shared" si="578"/>
        <v>0.4166666666666714</v>
      </c>
      <c r="U834">
        <f>O833*AV833*'Real assumptions'!$B$33/12+AX834*'Real assumptions'!$B$34</f>
        <v>5.8095280458920996E-4</v>
      </c>
      <c r="V834">
        <f>IF(P834=0,0,IF(E834&lt;=$C$7,$AN$5*O833,0))*'Real assumptions'!$D$28</f>
        <v>0</v>
      </c>
      <c r="X834" s="94">
        <f t="shared" si="590"/>
        <v>0</v>
      </c>
      <c r="Y834">
        <f t="shared" si="579"/>
        <v>24</v>
      </c>
      <c r="Z834">
        <f t="shared" si="606"/>
        <v>30</v>
      </c>
      <c r="AA834">
        <f t="shared" si="580"/>
        <v>30.416666666666671</v>
      </c>
      <c r="AB834">
        <f t="shared" si="591"/>
        <v>50.505050505050505</v>
      </c>
      <c r="AC834">
        <f t="shared" si="618"/>
        <v>1536.1952861952864</v>
      </c>
      <c r="AD834">
        <f t="shared" si="592"/>
        <v>80.505050505050505</v>
      </c>
      <c r="AE834">
        <f t="shared" si="593"/>
        <v>122.43476430976432</v>
      </c>
      <c r="AF834" s="94">
        <f t="shared" si="594"/>
        <v>3341.3699494949492</v>
      </c>
      <c r="AG834">
        <f t="shared" si="607"/>
        <v>2.5669071842990249E-4</v>
      </c>
      <c r="AH834">
        <f t="shared" si="595"/>
        <v>7.959576781982397E-2</v>
      </c>
      <c r="AI834">
        <f>HLOOKUP(AW834,'Real assumptions'!$A$21:$AK$24,2,TRUE)</f>
        <v>0</v>
      </c>
      <c r="AJ834" s="123">
        <f t="shared" si="619"/>
        <v>0</v>
      </c>
      <c r="AK834" s="122">
        <f>(1+HLOOKUP(YEAR(A834),'Real assumptions'!$A$21:$AK$24,2,TRUE)/100)^(1/12)-1</f>
        <v>0</v>
      </c>
      <c r="AL834">
        <f t="shared" si="608"/>
        <v>5.8095280458920996E-4</v>
      </c>
      <c r="AM834">
        <f>('Real assumptions'!$B$33/12)*O833*AV833</f>
        <v>5.5907983423866413E-4</v>
      </c>
      <c r="AN834">
        <f t="shared" si="596"/>
        <v>7.9736462961264007E-2</v>
      </c>
      <c r="AO834">
        <f t="shared" si="620"/>
        <v>0</v>
      </c>
      <c r="AP834" s="121">
        <f t="shared" si="597"/>
        <v>0</v>
      </c>
      <c r="AQ834">
        <f t="shared" si="598"/>
        <v>0</v>
      </c>
      <c r="AR834">
        <v>0</v>
      </c>
      <c r="AS834">
        <f t="shared" si="581"/>
        <v>0</v>
      </c>
      <c r="AT834">
        <f t="shared" si="599"/>
        <v>0</v>
      </c>
      <c r="AU834">
        <f>IFERROR(HLOOKUP(B834,'Real assumptions'!$B$43:$AL$44,2,TRUE)*($W$3/$U$2),0)</f>
        <v>0</v>
      </c>
      <c r="AV834">
        <f>AV833*(1+'Real assumptions'!$B$35)^(1/12)</f>
        <v>2.341853289362847</v>
      </c>
      <c r="AW834">
        <f t="shared" si="582"/>
        <v>2087</v>
      </c>
      <c r="AX834">
        <f t="shared" si="609"/>
        <v>7.9844442207745794E-2</v>
      </c>
      <c r="AY834">
        <f t="shared" si="610"/>
        <v>1.0058131126816579E-4</v>
      </c>
      <c r="AZ834">
        <f t="shared" si="583"/>
        <v>8.9527169136862303E-2</v>
      </c>
      <c r="BA834">
        <f t="shared" si="600"/>
        <v>2.5669071842990249E-4</v>
      </c>
      <c r="BB834">
        <f t="shared" si="601"/>
        <v>30.416666666666671</v>
      </c>
      <c r="BC834">
        <f t="shared" si="584"/>
        <v>18.25</v>
      </c>
      <c r="BD834">
        <f t="shared" si="602"/>
        <v>0</v>
      </c>
      <c r="BE834">
        <f t="shared" si="585"/>
        <v>24</v>
      </c>
      <c r="BF834">
        <f t="shared" si="611"/>
        <v>5000</v>
      </c>
      <c r="BU834"/>
      <c r="DW834" s="89"/>
      <c r="DX834" s="89"/>
      <c r="FD834"/>
      <c r="FE834"/>
    </row>
    <row r="835" spans="1:161" x14ac:dyDescent="0.25">
      <c r="A835" s="7">
        <f t="shared" si="603"/>
        <v>68514</v>
      </c>
      <c r="B835">
        <f t="shared" si="586"/>
        <v>824</v>
      </c>
      <c r="C835">
        <f t="shared" si="612"/>
        <v>68.583333333333329</v>
      </c>
      <c r="D835">
        <f t="shared" si="613"/>
        <v>0</v>
      </c>
      <c r="E835">
        <f t="shared" si="587"/>
        <v>120</v>
      </c>
      <c r="F835">
        <f>IF(C835&gt;=$T$2,0,VLOOKUP($E835,EKM_F05!$A$3:$C$128,2,TRUE))</f>
        <v>0</v>
      </c>
      <c r="G835">
        <f>F835*'Real assumptions'!$B$3</f>
        <v>0</v>
      </c>
      <c r="H835">
        <f t="shared" si="614"/>
        <v>0</v>
      </c>
      <c r="I835">
        <f t="shared" si="615"/>
        <v>0</v>
      </c>
      <c r="J835">
        <f>IF(B835&gt;$AJ$2,0,HLOOKUP(C835,'Real assumptions'!$B$5:$L$8,4,TRUE))</f>
        <v>3.7900000000000003E-2</v>
      </c>
      <c r="K835">
        <f t="shared" si="576"/>
        <v>1</v>
      </c>
      <c r="L835">
        <f t="shared" si="604"/>
        <v>8.3333333333333329E-2</v>
      </c>
      <c r="M835">
        <f t="shared" si="616"/>
        <v>3.2145624959929453E-3</v>
      </c>
      <c r="N835">
        <f t="shared" si="617"/>
        <v>7.657504973732184E-8</v>
      </c>
      <c r="O835" s="8">
        <f t="shared" si="588"/>
        <v>2.3744722508725169E-5</v>
      </c>
      <c r="P835">
        <f t="shared" si="589"/>
        <v>5.7171114140309976E-4</v>
      </c>
      <c r="Q835">
        <f t="shared" si="605"/>
        <v>0</v>
      </c>
      <c r="R835" s="89">
        <f t="shared" si="577"/>
        <v>5000</v>
      </c>
      <c r="S835">
        <f t="shared" si="578"/>
        <v>0.3333333333333286</v>
      </c>
      <c r="U835">
        <f>O834*AV834*'Real assumptions'!$B$33/12+AX835*'Real assumptions'!$B$34</f>
        <v>5.796921528897546E-4</v>
      </c>
      <c r="V835">
        <f>IF(P835=0,0,IF(E835&lt;=$C$7,$AN$5*O834,0))*'Real assumptions'!$D$28</f>
        <v>0</v>
      </c>
      <c r="X835" s="94">
        <f t="shared" si="590"/>
        <v>0</v>
      </c>
      <c r="Y835">
        <f t="shared" si="579"/>
        <v>24</v>
      </c>
      <c r="Z835">
        <f t="shared" si="606"/>
        <v>30</v>
      </c>
      <c r="AA835">
        <f t="shared" si="580"/>
        <v>30.333333333333329</v>
      </c>
      <c r="AB835">
        <f t="shared" si="591"/>
        <v>50.505050505050505</v>
      </c>
      <c r="AC835">
        <f t="shared" si="618"/>
        <v>1531.9865319865316</v>
      </c>
      <c r="AD835">
        <f t="shared" si="592"/>
        <v>80.505050505050505</v>
      </c>
      <c r="AE835">
        <f t="shared" si="593"/>
        <v>122.09932659932657</v>
      </c>
      <c r="AF835" s="94">
        <f t="shared" si="594"/>
        <v>3345.9141414141418</v>
      </c>
      <c r="AG835">
        <f t="shared" si="607"/>
        <v>2.5621354179559643E-4</v>
      </c>
      <c r="AH835">
        <f t="shared" si="595"/>
        <v>7.9447802825898223E-2</v>
      </c>
      <c r="AI835">
        <f>HLOOKUP(AW835,'Real assumptions'!$A$21:$AK$24,2,TRUE)</f>
        <v>0</v>
      </c>
      <c r="AJ835" s="123">
        <f t="shared" si="619"/>
        <v>0</v>
      </c>
      <c r="AK835" s="122">
        <f>(1+HLOOKUP(YEAR(A835),'Real assumptions'!$A$21:$AK$24,2,TRUE)/100)^(1/12)-1</f>
        <v>0</v>
      </c>
      <c r="AL835">
        <f t="shared" si="608"/>
        <v>5.796921528897546E-4</v>
      </c>
      <c r="AM835">
        <f>('Real assumptions'!$B$33/12)*O834*AV834</f>
        <v>5.578598404417654E-4</v>
      </c>
      <c r="AN835">
        <f t="shared" si="596"/>
        <v>7.9587786808337321E-2</v>
      </c>
      <c r="AO835">
        <f t="shared" si="620"/>
        <v>0</v>
      </c>
      <c r="AP835" s="121">
        <f t="shared" si="597"/>
        <v>0</v>
      </c>
      <c r="AQ835">
        <f t="shared" si="598"/>
        <v>0</v>
      </c>
      <c r="AR835">
        <v>0</v>
      </c>
      <c r="AS835">
        <f t="shared" si="581"/>
        <v>0</v>
      </c>
      <c r="AT835">
        <f t="shared" si="599"/>
        <v>0</v>
      </c>
      <c r="AU835">
        <f>IFERROR(HLOOKUP(B835,'Real assumptions'!$B$43:$AL$44,2,TRUE)*($W$3/$U$2),0)</f>
        <v>0</v>
      </c>
      <c r="AV835">
        <f>AV834*(1+'Real assumptions'!$B$35)^(1/12)</f>
        <v>2.3442788545743127</v>
      </c>
      <c r="AW835">
        <f t="shared" si="582"/>
        <v>2087</v>
      </c>
      <c r="AX835">
        <f t="shared" si="609"/>
        <v>7.9696025806181139E-2</v>
      </c>
      <c r="AY835">
        <f t="shared" si="610"/>
        <v>1.0025798635716535E-4</v>
      </c>
      <c r="AZ835">
        <f t="shared" si="583"/>
        <v>8.9262974583580054E-2</v>
      </c>
      <c r="BA835">
        <f t="shared" si="600"/>
        <v>2.5621354179559643E-4</v>
      </c>
      <c r="BB835">
        <f t="shared" si="601"/>
        <v>30.333333333333329</v>
      </c>
      <c r="BC835">
        <f t="shared" si="584"/>
        <v>18.199999999999996</v>
      </c>
      <c r="BD835">
        <f t="shared" si="602"/>
        <v>0</v>
      </c>
      <c r="BE835">
        <f t="shared" si="585"/>
        <v>24</v>
      </c>
      <c r="BF835">
        <f t="shared" si="611"/>
        <v>5000</v>
      </c>
      <c r="BU835"/>
      <c r="DW835" s="89"/>
      <c r="DX835" s="89"/>
      <c r="FD835"/>
      <c r="FE835"/>
    </row>
    <row r="836" spans="1:161" x14ac:dyDescent="0.25">
      <c r="A836" s="7">
        <f t="shared" si="603"/>
        <v>68545</v>
      </c>
      <c r="B836">
        <f t="shared" si="586"/>
        <v>825</v>
      </c>
      <c r="C836">
        <f t="shared" si="612"/>
        <v>68.666666666666671</v>
      </c>
      <c r="D836">
        <f t="shared" si="613"/>
        <v>0</v>
      </c>
      <c r="E836">
        <f t="shared" si="587"/>
        <v>120</v>
      </c>
      <c r="F836">
        <f>IF(C836&gt;=$T$2,0,VLOOKUP($E836,EKM_F05!$A$3:$C$128,2,TRUE))</f>
        <v>0</v>
      </c>
      <c r="G836">
        <f>F836*'Real assumptions'!$B$3</f>
        <v>0</v>
      </c>
      <c r="H836">
        <f t="shared" si="614"/>
        <v>0</v>
      </c>
      <c r="I836">
        <f t="shared" si="615"/>
        <v>0</v>
      </c>
      <c r="J836">
        <f>IF(B836&gt;$AJ$2,0,HLOOKUP(C836,'Real assumptions'!$B$5:$L$8,4,TRUE))</f>
        <v>3.7900000000000003E-2</v>
      </c>
      <c r="K836">
        <f t="shared" si="576"/>
        <v>1</v>
      </c>
      <c r="L836">
        <f t="shared" si="604"/>
        <v>8.3333333333333329E-2</v>
      </c>
      <c r="M836">
        <f t="shared" si="616"/>
        <v>3.2145624959929453E-3</v>
      </c>
      <c r="N836">
        <f t="shared" si="617"/>
        <v>7.6328894454307452E-8</v>
      </c>
      <c r="O836" s="8">
        <f t="shared" si="588"/>
        <v>2.3668393614270861E-5</v>
      </c>
      <c r="P836">
        <f t="shared" si="589"/>
        <v>5.6987334020940409E-4</v>
      </c>
      <c r="Q836">
        <f t="shared" si="605"/>
        <v>0</v>
      </c>
      <c r="R836" s="89">
        <f t="shared" si="577"/>
        <v>5000</v>
      </c>
      <c r="S836">
        <f t="shared" si="578"/>
        <v>0.25</v>
      </c>
      <c r="U836">
        <f>O835*AV835*'Real assumptions'!$B$33/12+AX836*'Real assumptions'!$B$34</f>
        <v>5.7843419876714658E-4</v>
      </c>
      <c r="V836">
        <f>IF(P836=0,0,IF(E836&lt;=$C$7,$AN$5*O835,0))*'Real assumptions'!$D$28</f>
        <v>0</v>
      </c>
      <c r="X836" s="94">
        <f t="shared" si="590"/>
        <v>0</v>
      </c>
      <c r="Y836">
        <f t="shared" si="579"/>
        <v>24</v>
      </c>
      <c r="Z836">
        <f t="shared" si="606"/>
        <v>30</v>
      </c>
      <c r="AA836">
        <f t="shared" si="580"/>
        <v>30.25</v>
      </c>
      <c r="AB836">
        <f t="shared" si="591"/>
        <v>50.505050505050505</v>
      </c>
      <c r="AC836">
        <f t="shared" si="618"/>
        <v>1527.7777777777778</v>
      </c>
      <c r="AD836">
        <f t="shared" si="592"/>
        <v>80.505050505050505</v>
      </c>
      <c r="AE836">
        <f t="shared" si="593"/>
        <v>121.76388888888889</v>
      </c>
      <c r="AF836" s="94">
        <f t="shared" si="594"/>
        <v>3350.4583333333335</v>
      </c>
      <c r="AG836">
        <f t="shared" si="607"/>
        <v>2.5573678049855484E-4</v>
      </c>
      <c r="AH836">
        <f t="shared" si="595"/>
        <v>7.9299966621547258E-2</v>
      </c>
      <c r="AI836">
        <f>HLOOKUP(AW836,'Real assumptions'!$A$21:$AK$24,2,TRUE)</f>
        <v>0</v>
      </c>
      <c r="AJ836" s="123">
        <f t="shared" si="619"/>
        <v>0</v>
      </c>
      <c r="AK836" s="122">
        <f>(1+HLOOKUP(YEAR(A836),'Real assumptions'!$A$21:$AK$24,2,TRUE)/100)^(1/12)-1</f>
        <v>0</v>
      </c>
      <c r="AL836">
        <f t="shared" si="608"/>
        <v>5.7843419876714658E-4</v>
      </c>
      <c r="AM836">
        <f>('Real assumptions'!$B$33/12)*O835*AV835</f>
        <v>5.5664250884939143E-4</v>
      </c>
      <c r="AN836">
        <f t="shared" si="596"/>
        <v>7.9439241967340479E-2</v>
      </c>
      <c r="AO836">
        <f t="shared" si="620"/>
        <v>0</v>
      </c>
      <c r="AP836" s="121">
        <f t="shared" si="597"/>
        <v>0</v>
      </c>
      <c r="AQ836">
        <f t="shared" si="598"/>
        <v>0</v>
      </c>
      <c r="AR836">
        <v>0</v>
      </c>
      <c r="AS836">
        <f t="shared" si="581"/>
        <v>0</v>
      </c>
      <c r="AT836">
        <f t="shared" si="599"/>
        <v>0</v>
      </c>
      <c r="AU836">
        <f>IFERROR(HLOOKUP(B836,'Real assumptions'!$B$43:$AL$44,2,TRUE)*($W$3/$U$2),0)</f>
        <v>0</v>
      </c>
      <c r="AV836">
        <f>AV835*(1+'Real assumptions'!$B$35)^(1/12)</f>
        <v>2.3467069320552798</v>
      </c>
      <c r="AW836">
        <f t="shared" si="582"/>
        <v>2087</v>
      </c>
      <c r="AX836">
        <f t="shared" si="609"/>
        <v>7.9547738526692516E-2</v>
      </c>
      <c r="AY836">
        <f t="shared" si="610"/>
        <v>9.9935700794297848E-5</v>
      </c>
      <c r="AZ836">
        <f t="shared" si="583"/>
        <v>8.899867694452375E-2</v>
      </c>
      <c r="BA836">
        <f t="shared" si="600"/>
        <v>2.5573678049855484E-4</v>
      </c>
      <c r="BB836">
        <f t="shared" si="601"/>
        <v>30.25</v>
      </c>
      <c r="BC836">
        <f t="shared" si="584"/>
        <v>18.149999999999999</v>
      </c>
      <c r="BD836">
        <f t="shared" si="602"/>
        <v>0</v>
      </c>
      <c r="BE836">
        <f t="shared" si="585"/>
        <v>24</v>
      </c>
      <c r="BF836">
        <f t="shared" si="611"/>
        <v>5000</v>
      </c>
      <c r="BU836"/>
      <c r="DW836" s="89"/>
      <c r="DX836" s="89"/>
      <c r="FD836"/>
      <c r="FE836"/>
    </row>
    <row r="837" spans="1:161" x14ac:dyDescent="0.25">
      <c r="A837" s="7">
        <f t="shared" si="603"/>
        <v>68575</v>
      </c>
      <c r="B837">
        <f t="shared" si="586"/>
        <v>826</v>
      </c>
      <c r="C837">
        <f t="shared" si="612"/>
        <v>68.75</v>
      </c>
      <c r="D837">
        <f t="shared" si="613"/>
        <v>0</v>
      </c>
      <c r="E837">
        <f t="shared" si="587"/>
        <v>120</v>
      </c>
      <c r="F837">
        <f>IF(C837&gt;=$T$2,0,VLOOKUP($E837,EKM_F05!$A$3:$C$128,2,TRUE))</f>
        <v>0</v>
      </c>
      <c r="G837">
        <f>F837*'Real assumptions'!$B$3</f>
        <v>0</v>
      </c>
      <c r="H837">
        <f t="shared" si="614"/>
        <v>0</v>
      </c>
      <c r="I837">
        <f t="shared" si="615"/>
        <v>0</v>
      </c>
      <c r="J837">
        <f>IF(B837&gt;$AJ$2,0,HLOOKUP(C837,'Real assumptions'!$B$5:$L$8,4,TRUE))</f>
        <v>3.7900000000000003E-2</v>
      </c>
      <c r="K837">
        <f t="shared" si="576"/>
        <v>1</v>
      </c>
      <c r="L837">
        <f t="shared" si="604"/>
        <v>8.3333333333333329E-2</v>
      </c>
      <c r="M837">
        <f t="shared" si="616"/>
        <v>3.2145624959929453E-3</v>
      </c>
      <c r="N837">
        <f t="shared" si="617"/>
        <v>7.6083530452834028E-8</v>
      </c>
      <c r="O837" s="8">
        <f t="shared" si="588"/>
        <v>2.3592310083818029E-5</v>
      </c>
      <c r="P837">
        <f t="shared" si="589"/>
        <v>5.6804144674250066E-4</v>
      </c>
      <c r="Q837">
        <f t="shared" si="605"/>
        <v>0</v>
      </c>
      <c r="R837" s="89">
        <f t="shared" si="577"/>
        <v>5000</v>
      </c>
      <c r="S837">
        <f t="shared" si="578"/>
        <v>0.1666666666666714</v>
      </c>
      <c r="U837">
        <f>O836*AV836*'Real assumptions'!$B$33/12+AX837*'Real assumptions'!$B$34</f>
        <v>5.7717893660478843E-4</v>
      </c>
      <c r="V837">
        <f>IF(P837=0,0,IF(E837&lt;=$C$7,$AN$5*O836,0))*'Real assumptions'!$D$28</f>
        <v>0</v>
      </c>
      <c r="X837" s="94">
        <f t="shared" si="590"/>
        <v>0</v>
      </c>
      <c r="Y837">
        <f t="shared" si="579"/>
        <v>24</v>
      </c>
      <c r="Z837">
        <f t="shared" si="606"/>
        <v>30</v>
      </c>
      <c r="AA837">
        <f t="shared" si="580"/>
        <v>30.166666666666671</v>
      </c>
      <c r="AB837">
        <f t="shared" si="591"/>
        <v>50.505050505050505</v>
      </c>
      <c r="AC837">
        <f t="shared" si="618"/>
        <v>1523.5690235690238</v>
      </c>
      <c r="AD837">
        <f t="shared" si="592"/>
        <v>80.505050505050505</v>
      </c>
      <c r="AE837">
        <f t="shared" si="593"/>
        <v>121.4284511784512</v>
      </c>
      <c r="AF837" s="94">
        <f t="shared" si="594"/>
        <v>3355.0025252525252</v>
      </c>
      <c r="AG837">
        <f t="shared" si="607"/>
        <v>2.5526043679938555E-4</v>
      </c>
      <c r="AH837">
        <f t="shared" si="595"/>
        <v>7.91522599077501E-2</v>
      </c>
      <c r="AI837">
        <f>HLOOKUP(AW837,'Real assumptions'!$A$21:$AK$24,2,TRUE)</f>
        <v>0</v>
      </c>
      <c r="AJ837" s="123">
        <f t="shared" si="619"/>
        <v>0</v>
      </c>
      <c r="AK837" s="122">
        <f>(1+HLOOKUP(YEAR(A837),'Real assumptions'!$A$21:$AK$24,2,TRUE)/100)^(1/12)-1</f>
        <v>0</v>
      </c>
      <c r="AL837">
        <f t="shared" si="608"/>
        <v>5.7717893660478843E-4</v>
      </c>
      <c r="AM837">
        <f>('Real assumptions'!$B$33/12)*O836*AV836</f>
        <v>5.5542783365222347E-4</v>
      </c>
      <c r="AN837">
        <f t="shared" si="596"/>
        <v>7.9290829131684962E-2</v>
      </c>
      <c r="AO837">
        <f t="shared" si="620"/>
        <v>0</v>
      </c>
      <c r="AP837" s="121">
        <f t="shared" si="597"/>
        <v>0</v>
      </c>
      <c r="AQ837">
        <f t="shared" si="598"/>
        <v>0</v>
      </c>
      <c r="AR837">
        <v>0</v>
      </c>
      <c r="AS837">
        <f t="shared" si="581"/>
        <v>0</v>
      </c>
      <c r="AT837">
        <f t="shared" si="599"/>
        <v>0</v>
      </c>
      <c r="AU837">
        <f>IFERROR(HLOOKUP(B837,'Real assumptions'!$B$43:$AL$44,2,TRUE)*($W$3/$U$2),0)</f>
        <v>0</v>
      </c>
      <c r="AV837">
        <f>AV836*(1+'Real assumptions'!$B$35)^(1/12)</f>
        <v>2.349137524407821</v>
      </c>
      <c r="AW837">
        <f t="shared" si="582"/>
        <v>2087</v>
      </c>
      <c r="AX837">
        <f t="shared" si="609"/>
        <v>7.9399581072785774E-2</v>
      </c>
      <c r="AY837">
        <f t="shared" si="610"/>
        <v>9.9614451238513716E-5</v>
      </c>
      <c r="AZ837">
        <f t="shared" si="583"/>
        <v>8.8734279017862072E-2</v>
      </c>
      <c r="BA837">
        <f t="shared" si="600"/>
        <v>2.5526043679938555E-4</v>
      </c>
      <c r="BB837">
        <f t="shared" si="601"/>
        <v>30.166666666666671</v>
      </c>
      <c r="BC837">
        <f t="shared" si="584"/>
        <v>18.100000000000001</v>
      </c>
      <c r="BD837">
        <f t="shared" si="602"/>
        <v>0</v>
      </c>
      <c r="BE837">
        <f t="shared" si="585"/>
        <v>24</v>
      </c>
      <c r="BF837">
        <f t="shared" si="611"/>
        <v>5000</v>
      </c>
      <c r="BU837"/>
      <c r="DW837" s="89"/>
      <c r="DX837" s="89"/>
      <c r="FD837"/>
      <c r="FE837"/>
    </row>
    <row r="838" spans="1:161" x14ac:dyDescent="0.25">
      <c r="A838" s="7">
        <f t="shared" si="603"/>
        <v>68606</v>
      </c>
      <c r="B838">
        <f t="shared" si="586"/>
        <v>827</v>
      </c>
      <c r="C838">
        <f t="shared" si="612"/>
        <v>68.833333333333329</v>
      </c>
      <c r="D838">
        <f t="shared" si="613"/>
        <v>0</v>
      </c>
      <c r="E838">
        <f t="shared" si="587"/>
        <v>120</v>
      </c>
      <c r="F838">
        <f>IF(C838&gt;=$T$2,0,VLOOKUP($E838,EKM_F05!$A$3:$C$128,2,TRUE))</f>
        <v>0</v>
      </c>
      <c r="G838">
        <f>F838*'Real assumptions'!$B$3</f>
        <v>0</v>
      </c>
      <c r="H838">
        <f t="shared" si="614"/>
        <v>0</v>
      </c>
      <c r="I838">
        <f t="shared" si="615"/>
        <v>0</v>
      </c>
      <c r="J838">
        <f>IF(B838&gt;$AJ$2,0,HLOOKUP(C838,'Real assumptions'!$B$5:$L$8,4,TRUE))</f>
        <v>3.7900000000000003E-2</v>
      </c>
      <c r="K838">
        <f t="shared" si="576"/>
        <v>1</v>
      </c>
      <c r="L838">
        <f t="shared" si="604"/>
        <v>8.3333333333333329E-2</v>
      </c>
      <c r="M838">
        <f t="shared" si="616"/>
        <v>3.2145624959929453E-3</v>
      </c>
      <c r="N838">
        <f t="shared" si="617"/>
        <v>7.5838955189277616E-8</v>
      </c>
      <c r="O838" s="8">
        <f t="shared" si="588"/>
        <v>2.3516471128628751E-5</v>
      </c>
      <c r="P838">
        <f t="shared" si="589"/>
        <v>5.6621544201163271E-4</v>
      </c>
      <c r="Q838">
        <f t="shared" si="605"/>
        <v>0</v>
      </c>
      <c r="R838" s="89">
        <f t="shared" si="577"/>
        <v>5000</v>
      </c>
      <c r="S838">
        <f t="shared" si="578"/>
        <v>8.3333333333328596E-2</v>
      </c>
      <c r="U838">
        <f>O837*AV837*'Real assumptions'!$B$33/12+AX838*'Real assumptions'!$B$34</f>
        <v>5.7592636079715565E-4</v>
      </c>
      <c r="V838">
        <f>IF(P838=0,0,IF(E838&lt;=$C$7,$AN$5*O837,0))*'Real assumptions'!$D$28</f>
        <v>0</v>
      </c>
      <c r="X838" s="94">
        <f t="shared" si="590"/>
        <v>0</v>
      </c>
      <c r="Y838">
        <f t="shared" si="579"/>
        <v>24</v>
      </c>
      <c r="Z838">
        <f t="shared" si="606"/>
        <v>30</v>
      </c>
      <c r="AA838">
        <f t="shared" si="580"/>
        <v>30.083333333333329</v>
      </c>
      <c r="AB838">
        <f t="shared" si="591"/>
        <v>50.505050505050505</v>
      </c>
      <c r="AC838">
        <f t="shared" si="618"/>
        <v>1519.3602693602691</v>
      </c>
      <c r="AD838">
        <f t="shared" si="592"/>
        <v>80.505050505050505</v>
      </c>
      <c r="AE838">
        <f t="shared" si="593"/>
        <v>121.09301346801344</v>
      </c>
      <c r="AF838" s="94">
        <f t="shared" si="594"/>
        <v>3359.5467171717178</v>
      </c>
      <c r="AG838">
        <f t="shared" si="607"/>
        <v>2.5478451293987062E-4</v>
      </c>
      <c r="AH838">
        <f t="shared" si="595"/>
        <v>7.9004683379648208E-2</v>
      </c>
      <c r="AI838">
        <f>HLOOKUP(AW838,'Real assumptions'!$A$21:$AK$24,2,TRUE)</f>
        <v>0</v>
      </c>
      <c r="AJ838" s="123">
        <f t="shared" si="619"/>
        <v>0</v>
      </c>
      <c r="AK838" s="122">
        <f>(1+HLOOKUP(YEAR(A838),'Real assumptions'!$A$21:$AK$24,2,TRUE)/100)^(1/12)-1</f>
        <v>0</v>
      </c>
      <c r="AL838">
        <f t="shared" si="608"/>
        <v>5.7592636079715565E-4</v>
      </c>
      <c r="AM838">
        <f>('Real assumptions'!$B$33/12)*O837*AV837</f>
        <v>5.542158090536195E-4</v>
      </c>
      <c r="AN838">
        <f t="shared" si="596"/>
        <v>7.914254898896457E-2</v>
      </c>
      <c r="AO838">
        <f t="shared" si="620"/>
        <v>0</v>
      </c>
      <c r="AP838" s="121">
        <f t="shared" si="597"/>
        <v>0</v>
      </c>
      <c r="AQ838">
        <f t="shared" si="598"/>
        <v>0</v>
      </c>
      <c r="AR838">
        <v>0</v>
      </c>
      <c r="AS838">
        <f t="shared" si="581"/>
        <v>0</v>
      </c>
      <c r="AT838">
        <f t="shared" si="599"/>
        <v>0</v>
      </c>
      <c r="AU838">
        <f>IFERROR(HLOOKUP(B838,'Real assumptions'!$B$43:$AL$44,2,TRUE)*($W$3/$U$2),0)</f>
        <v>0</v>
      </c>
      <c r="AV838">
        <f>AV837*(1+'Real assumptions'!$B$35)^(1/12)</f>
        <v>2.3515706342367046</v>
      </c>
      <c r="AW838">
        <f t="shared" si="582"/>
        <v>2087</v>
      </c>
      <c r="AX838">
        <f t="shared" si="609"/>
        <v>7.9251554142109604E-2</v>
      </c>
      <c r="AY838">
        <f t="shared" si="610"/>
        <v>9.9294234359503485E-5</v>
      </c>
      <c r="AZ838">
        <f t="shared" si="583"/>
        <v>8.8469783586136677E-2</v>
      </c>
      <c r="BA838">
        <f t="shared" si="600"/>
        <v>2.5478451293987062E-4</v>
      </c>
      <c r="BB838">
        <f t="shared" si="601"/>
        <v>30.083333333333329</v>
      </c>
      <c r="BC838">
        <f t="shared" si="584"/>
        <v>18.049999999999997</v>
      </c>
      <c r="BD838">
        <f t="shared" si="602"/>
        <v>0</v>
      </c>
      <c r="BE838">
        <f t="shared" si="585"/>
        <v>24</v>
      </c>
      <c r="BF838">
        <f t="shared" si="611"/>
        <v>5000</v>
      </c>
      <c r="BU838"/>
      <c r="DW838" s="89"/>
      <c r="DX838" s="89"/>
      <c r="FD838"/>
      <c r="FE838"/>
    </row>
    <row r="839" spans="1:161" x14ac:dyDescent="0.25">
      <c r="A839" s="7">
        <f t="shared" si="603"/>
        <v>68636</v>
      </c>
      <c r="B839">
        <f t="shared" si="586"/>
        <v>828</v>
      </c>
      <c r="C839">
        <f t="shared" si="612"/>
        <v>68.916666666666671</v>
      </c>
      <c r="D839">
        <f t="shared" si="613"/>
        <v>0</v>
      </c>
      <c r="E839">
        <f t="shared" si="587"/>
        <v>120</v>
      </c>
      <c r="F839">
        <f>IF(C839&gt;=$T$2,0,VLOOKUP($E839,EKM_F05!$A$3:$C$128,2,TRUE))</f>
        <v>0</v>
      </c>
      <c r="G839">
        <f>F839*'Real assumptions'!$B$3</f>
        <v>0</v>
      </c>
      <c r="H839">
        <f t="shared" si="614"/>
        <v>0</v>
      </c>
      <c r="I839">
        <f t="shared" si="615"/>
        <v>0</v>
      </c>
      <c r="J839">
        <f>IF(B839&gt;$AJ$2,0,HLOOKUP(C839,'Real assumptions'!$B$5:$L$8,4,TRUE))</f>
        <v>3.7900000000000003E-2</v>
      </c>
      <c r="K839">
        <f t="shared" si="576"/>
        <v>1</v>
      </c>
      <c r="L839">
        <f t="shared" si="604"/>
        <v>8.3333333333333329E-2</v>
      </c>
      <c r="M839">
        <f t="shared" si="616"/>
        <v>3.2145624959929453E-3</v>
      </c>
      <c r="N839">
        <f t="shared" si="617"/>
        <v>7.5595166128190869E-8</v>
      </c>
      <c r="O839" s="8">
        <f t="shared" si="588"/>
        <v>2.3440875962500559E-5</v>
      </c>
      <c r="P839">
        <f t="shared" si="589"/>
        <v>5.6439530708709E-4</v>
      </c>
      <c r="Q839">
        <f t="shared" si="605"/>
        <v>0</v>
      </c>
      <c r="R839" s="89">
        <f t="shared" si="577"/>
        <v>5000</v>
      </c>
      <c r="S839">
        <f t="shared" si="578"/>
        <v>1</v>
      </c>
      <c r="U839">
        <f>O838*AV838*'Real assumptions'!$B$33/12+AX839*'Real assumptions'!$B$34</f>
        <v>5.7467646574977608E-4</v>
      </c>
      <c r="V839">
        <f>IF(P839=0,0,IF(E839&lt;=$C$7,$AN$5*O838,0))*'Real assumptions'!$D$28</f>
        <v>0</v>
      </c>
      <c r="X839" s="94">
        <f t="shared" si="590"/>
        <v>0</v>
      </c>
      <c r="Y839">
        <f t="shared" si="579"/>
        <v>24</v>
      </c>
      <c r="Z839">
        <f t="shared" si="606"/>
        <v>30</v>
      </c>
      <c r="AA839">
        <f t="shared" si="580"/>
        <v>30</v>
      </c>
      <c r="AB839">
        <f t="shared" si="591"/>
        <v>50.505050505050505</v>
      </c>
      <c r="AC839">
        <f t="shared" si="618"/>
        <v>1515.1515151515152</v>
      </c>
      <c r="AD839">
        <f t="shared" si="592"/>
        <v>80.505050505050505</v>
      </c>
      <c r="AE839">
        <f t="shared" si="593"/>
        <v>120.75757575757575</v>
      </c>
      <c r="AF839" s="94">
        <f t="shared" si="594"/>
        <v>3364.090909090909</v>
      </c>
      <c r="AG839">
        <f t="shared" si="607"/>
        <v>2.5430901114306394E-4</v>
      </c>
      <c r="AH839">
        <f t="shared" si="595"/>
        <v>7.8857237726575741E-2</v>
      </c>
      <c r="AI839">
        <f>HLOOKUP(AW839,'Real assumptions'!$A$21:$AK$24,2,TRUE)</f>
        <v>0</v>
      </c>
      <c r="AJ839" s="123">
        <f t="shared" si="619"/>
        <v>0</v>
      </c>
      <c r="AK839" s="122">
        <f>(1+HLOOKUP(YEAR(A839),'Real assumptions'!$A$21:$AK$24,2,TRUE)/100)^(1/12)-1</f>
        <v>0</v>
      </c>
      <c r="AL839">
        <f t="shared" si="608"/>
        <v>5.7467646574977608E-4</v>
      </c>
      <c r="AM839">
        <f>('Real assumptions'!$B$33/12)*O838*AV838</f>
        <v>5.5300642926958666E-4</v>
      </c>
      <c r="AN839">
        <f t="shared" si="596"/>
        <v>7.8994402220985513E-2</v>
      </c>
      <c r="AO839">
        <f t="shared" si="620"/>
        <v>0</v>
      </c>
      <c r="AP839" s="121">
        <f t="shared" si="597"/>
        <v>0</v>
      </c>
      <c r="AQ839">
        <f t="shared" si="598"/>
        <v>0</v>
      </c>
      <c r="AR839">
        <v>0</v>
      </c>
      <c r="AS839">
        <f t="shared" si="581"/>
        <v>0</v>
      </c>
      <c r="AT839">
        <f t="shared" si="599"/>
        <v>0</v>
      </c>
      <c r="AU839">
        <f>IFERROR(HLOOKUP(B839,'Real assumptions'!$B$43:$AL$44,2,TRUE)*($W$3/$U$2),0)</f>
        <v>0</v>
      </c>
      <c r="AV839">
        <f>AV838*(1+'Real assumptions'!$B$35)^(1/12)</f>
        <v>2.3540062641493971</v>
      </c>
      <c r="AW839">
        <f t="shared" si="582"/>
        <v>2087</v>
      </c>
      <c r="AX839">
        <f t="shared" si="609"/>
        <v>7.9103658426485868E-2</v>
      </c>
      <c r="AY839">
        <f t="shared" si="610"/>
        <v>9.8975046837663082E-5</v>
      </c>
      <c r="AZ839">
        <f t="shared" si="583"/>
        <v>8.8205193416330915E-2</v>
      </c>
      <c r="BA839">
        <f t="shared" si="600"/>
        <v>2.5430901114306394E-4</v>
      </c>
      <c r="BB839">
        <f t="shared" si="601"/>
        <v>30</v>
      </c>
      <c r="BC839">
        <f t="shared" si="584"/>
        <v>18</v>
      </c>
      <c r="BD839">
        <f t="shared" si="602"/>
        <v>0</v>
      </c>
      <c r="BE839">
        <f t="shared" si="585"/>
        <v>24</v>
      </c>
      <c r="BF839">
        <f t="shared" si="611"/>
        <v>5000</v>
      </c>
      <c r="BU839"/>
      <c r="DW839" s="89"/>
      <c r="DX839" s="89"/>
      <c r="FD839"/>
      <c r="FE839"/>
    </row>
    <row r="840" spans="1:161" x14ac:dyDescent="0.25">
      <c r="A840" s="7">
        <f t="shared" si="603"/>
        <v>68667</v>
      </c>
      <c r="B840">
        <f t="shared" si="586"/>
        <v>829</v>
      </c>
      <c r="C840">
        <f t="shared" si="612"/>
        <v>69</v>
      </c>
      <c r="D840">
        <f t="shared" si="613"/>
        <v>1</v>
      </c>
      <c r="E840">
        <f t="shared" si="587"/>
        <v>121</v>
      </c>
      <c r="F840">
        <f>IF(C840&gt;=$T$2,0,VLOOKUP($E840,EKM_F05!$A$3:$C$128,2,TRUE))</f>
        <v>0</v>
      </c>
      <c r="G840">
        <f>F840*'Real assumptions'!$B$3</f>
        <v>0</v>
      </c>
      <c r="H840">
        <f t="shared" si="614"/>
        <v>0</v>
      </c>
      <c r="I840">
        <f t="shared" si="615"/>
        <v>0</v>
      </c>
      <c r="J840">
        <f>IF(B840&gt;$AJ$2,0,HLOOKUP(C840,'Real assumptions'!$B$5:$L$8,4,TRUE))</f>
        <v>3.7900000000000003E-2</v>
      </c>
      <c r="K840">
        <f t="shared" si="576"/>
        <v>1</v>
      </c>
      <c r="L840">
        <f t="shared" si="604"/>
        <v>8.3333333333333329E-2</v>
      </c>
      <c r="M840">
        <f t="shared" si="616"/>
        <v>3.2145624959929453E-3</v>
      </c>
      <c r="N840">
        <f t="shared" si="617"/>
        <v>7.5352160742276832E-8</v>
      </c>
      <c r="O840" s="8">
        <f t="shared" si="588"/>
        <v>2.3365523801758282E-5</v>
      </c>
      <c r="P840">
        <f t="shared" si="589"/>
        <v>5.6258102310001337E-4</v>
      </c>
      <c r="Q840">
        <f t="shared" si="605"/>
        <v>0</v>
      </c>
      <c r="R840" s="89">
        <f t="shared" si="577"/>
        <v>5000</v>
      </c>
      <c r="S840">
        <f t="shared" si="578"/>
        <v>0.9166666666666714</v>
      </c>
      <c r="U840">
        <f>O839*AV839*'Real assumptions'!$B$33/12+AX840*'Real assumptions'!$B$34</f>
        <v>5.734292458792115E-4</v>
      </c>
      <c r="V840">
        <f>IF(P840=0,0,IF(E840&lt;=$C$7,$AN$5*O839,0))*'Real assumptions'!$D$28</f>
        <v>0</v>
      </c>
      <c r="X840" s="94">
        <f t="shared" si="590"/>
        <v>0</v>
      </c>
      <c r="Y840">
        <f t="shared" si="579"/>
        <v>24</v>
      </c>
      <c r="Z840">
        <f t="shared" si="606"/>
        <v>30</v>
      </c>
      <c r="AA840">
        <f t="shared" si="580"/>
        <v>29.916666666666671</v>
      </c>
      <c r="AB840">
        <f t="shared" si="591"/>
        <v>50.505050505050505</v>
      </c>
      <c r="AC840">
        <f t="shared" si="618"/>
        <v>1510.9427609427612</v>
      </c>
      <c r="AD840">
        <f t="shared" si="592"/>
        <v>80.505050505050505</v>
      </c>
      <c r="AE840">
        <f t="shared" si="593"/>
        <v>120.42213804713806</v>
      </c>
      <c r="AF840" s="94">
        <f t="shared" si="594"/>
        <v>3368.6351010101007</v>
      </c>
      <c r="AG840">
        <f t="shared" si="607"/>
        <v>2.5383393361338904E-4</v>
      </c>
      <c r="AH840">
        <f t="shared" si="595"/>
        <v>7.8709923632089923E-2</v>
      </c>
      <c r="AI840">
        <f>HLOOKUP(AW840,'Real assumptions'!$A$21:$AK$24,2,TRUE)</f>
        <v>0</v>
      </c>
      <c r="AJ840" s="123">
        <f t="shared" si="619"/>
        <v>0</v>
      </c>
      <c r="AK840" s="122">
        <f>(1+HLOOKUP(YEAR(A840),'Real assumptions'!$A$21:$AK$24,2,TRUE)/100)^(1/12)-1</f>
        <v>0</v>
      </c>
      <c r="AL840">
        <f t="shared" si="608"/>
        <v>5.734292458792115E-4</v>
      </c>
      <c r="AM840">
        <f>('Real assumptions'!$B$33/12)*O839*AV839</f>
        <v>5.517996885287535E-4</v>
      </c>
      <c r="AN840">
        <f t="shared" si="596"/>
        <v>7.8846389503796549E-2</v>
      </c>
      <c r="AO840">
        <f t="shared" si="620"/>
        <v>0</v>
      </c>
      <c r="AP840" s="121">
        <f t="shared" si="597"/>
        <v>0</v>
      </c>
      <c r="AQ840">
        <f t="shared" si="598"/>
        <v>0</v>
      </c>
      <c r="AR840">
        <v>0</v>
      </c>
      <c r="AS840">
        <f t="shared" si="581"/>
        <v>0</v>
      </c>
      <c r="AT840">
        <f t="shared" si="599"/>
        <v>0</v>
      </c>
      <c r="AU840">
        <f>IFERROR(HLOOKUP(B840,'Real assumptions'!$B$43:$AL$44,2,TRUE)*($W$3/$U$2),0)</f>
        <v>0</v>
      </c>
      <c r="AV840">
        <f>AV839*(1+'Real assumptions'!$B$35)^(1/12)</f>
        <v>2.356444416756065</v>
      </c>
      <c r="AW840">
        <f t="shared" si="582"/>
        <v>2087</v>
      </c>
      <c r="AX840">
        <f t="shared" si="609"/>
        <v>7.8955894611939803E-2</v>
      </c>
      <c r="AY840">
        <f t="shared" si="610"/>
        <v>9.8656885364059585E-5</v>
      </c>
      <c r="AZ840">
        <f t="shared" si="583"/>
        <v>8.7940511259938334E-2</v>
      </c>
      <c r="BA840">
        <f t="shared" si="600"/>
        <v>2.5383393361338904E-4</v>
      </c>
      <c r="BB840">
        <f t="shared" si="601"/>
        <v>29.916666666666671</v>
      </c>
      <c r="BC840">
        <f t="shared" si="584"/>
        <v>17.950000000000003</v>
      </c>
      <c r="BD840">
        <f t="shared" si="602"/>
        <v>0</v>
      </c>
      <c r="BE840">
        <f t="shared" si="585"/>
        <v>24</v>
      </c>
      <c r="BF840">
        <f t="shared" si="611"/>
        <v>5000</v>
      </c>
      <c r="BU840"/>
      <c r="DW840" s="89"/>
      <c r="DX840" s="89"/>
      <c r="FD840"/>
      <c r="FE840"/>
    </row>
    <row r="841" spans="1:161" x14ac:dyDescent="0.25">
      <c r="A841" s="7">
        <f t="shared" si="603"/>
        <v>68698</v>
      </c>
      <c r="B841">
        <f t="shared" si="586"/>
        <v>830</v>
      </c>
      <c r="C841">
        <f t="shared" si="612"/>
        <v>69.083333333333329</v>
      </c>
      <c r="D841">
        <f t="shared" si="613"/>
        <v>0</v>
      </c>
      <c r="E841">
        <f t="shared" si="587"/>
        <v>121</v>
      </c>
      <c r="F841">
        <f>IF(C841&gt;=$T$2,0,VLOOKUP($E841,EKM_F05!$A$3:$C$128,2,TRUE))</f>
        <v>0</v>
      </c>
      <c r="G841">
        <f>F841*'Real assumptions'!$B$3</f>
        <v>0</v>
      </c>
      <c r="H841">
        <f t="shared" si="614"/>
        <v>0</v>
      </c>
      <c r="I841">
        <f t="shared" si="615"/>
        <v>0</v>
      </c>
      <c r="J841">
        <f>IF(B841&gt;$AJ$2,0,HLOOKUP(C841,'Real assumptions'!$B$5:$L$8,4,TRUE))</f>
        <v>3.7900000000000003E-2</v>
      </c>
      <c r="K841">
        <f t="shared" si="576"/>
        <v>1</v>
      </c>
      <c r="L841">
        <f t="shared" si="604"/>
        <v>8.3333333333333329E-2</v>
      </c>
      <c r="M841">
        <f t="shared" si="616"/>
        <v>3.2145624959929453E-3</v>
      </c>
      <c r="N841">
        <f t="shared" si="617"/>
        <v>7.5109936512362681E-8</v>
      </c>
      <c r="O841" s="8">
        <f t="shared" si="588"/>
        <v>2.329041386524592E-5</v>
      </c>
      <c r="P841">
        <f t="shared" si="589"/>
        <v>5.607725712421988E-4</v>
      </c>
      <c r="Q841">
        <f t="shared" si="605"/>
        <v>0</v>
      </c>
      <c r="R841" s="89">
        <f t="shared" si="577"/>
        <v>5000</v>
      </c>
      <c r="S841">
        <f t="shared" si="578"/>
        <v>0.8333333333333286</v>
      </c>
      <c r="U841">
        <f>O840*AV840*'Real assumptions'!$B$33/12+AX841*'Real assumptions'!$B$34</f>
        <v>5.7218469561303809E-4</v>
      </c>
      <c r="V841">
        <f>IF(P841=0,0,IF(E841&lt;=$C$7,$AN$5*O840,0))*'Real assumptions'!$D$28</f>
        <v>0</v>
      </c>
      <c r="X841" s="94">
        <f t="shared" si="590"/>
        <v>0</v>
      </c>
      <c r="Y841">
        <f t="shared" si="579"/>
        <v>24</v>
      </c>
      <c r="Z841">
        <f t="shared" si="606"/>
        <v>29</v>
      </c>
      <c r="AA841">
        <f t="shared" si="580"/>
        <v>29.833333333333329</v>
      </c>
      <c r="AB841">
        <f t="shared" si="591"/>
        <v>50.505050505050505</v>
      </c>
      <c r="AC841">
        <f t="shared" si="618"/>
        <v>1506.7340067340065</v>
      </c>
      <c r="AD841">
        <f t="shared" si="592"/>
        <v>80.505050505050505</v>
      </c>
      <c r="AE841">
        <f t="shared" si="593"/>
        <v>120.08670033670032</v>
      </c>
      <c r="AF841" s="94">
        <f t="shared" si="594"/>
        <v>3373.1792929292933</v>
      </c>
      <c r="AG841">
        <f t="shared" si="607"/>
        <v>2.5335928253673564E-4</v>
      </c>
      <c r="AH841">
        <f t="shared" si="595"/>
        <v>7.8562741774000841E-2</v>
      </c>
      <c r="AI841">
        <f>HLOOKUP(AW841,'Real assumptions'!$A$21:$AK$24,2,TRUE)</f>
        <v>0</v>
      </c>
      <c r="AJ841" s="123">
        <f t="shared" si="619"/>
        <v>0</v>
      </c>
      <c r="AK841" s="122">
        <f>(1+HLOOKUP(YEAR(A841),'Real assumptions'!$A$21:$AK$24,2,TRUE)/100)^(1/12)-1</f>
        <v>0</v>
      </c>
      <c r="AL841">
        <f t="shared" si="608"/>
        <v>5.7218469561303809E-4</v>
      </c>
      <c r="AM841">
        <f>('Real assumptions'!$B$33/12)*O840*AV840</f>
        <v>5.5059558107234245E-4</v>
      </c>
      <c r="AN841">
        <f t="shared" si="596"/>
        <v>7.8698511507719074E-2</v>
      </c>
      <c r="AO841">
        <f t="shared" si="620"/>
        <v>0</v>
      </c>
      <c r="AP841" s="121">
        <f t="shared" si="597"/>
        <v>0</v>
      </c>
      <c r="AQ841">
        <f t="shared" si="598"/>
        <v>0</v>
      </c>
      <c r="AR841">
        <v>0</v>
      </c>
      <c r="AS841">
        <f t="shared" si="581"/>
        <v>0</v>
      </c>
      <c r="AT841">
        <f t="shared" si="599"/>
        <v>0</v>
      </c>
      <c r="AU841">
        <f>IFERROR(HLOOKUP(B841,'Real assumptions'!$B$43:$AL$44,2,TRUE)*($W$3/$U$2),0)</f>
        <v>0</v>
      </c>
      <c r="AV841">
        <f>AV840*(1+'Real assumptions'!$B$35)^(1/12)</f>
        <v>2.3588850946695783</v>
      </c>
      <c r="AW841">
        <f t="shared" si="582"/>
        <v>2088</v>
      </c>
      <c r="AX841">
        <f t="shared" si="609"/>
        <v>7.8808263378730314E-2</v>
      </c>
      <c r="AY841">
        <f t="shared" si="610"/>
        <v>9.8339746640396802E-5</v>
      </c>
      <c r="AZ841">
        <f t="shared" si="583"/>
        <v>8.7675739853030746E-2</v>
      </c>
      <c r="BA841">
        <f t="shared" si="600"/>
        <v>2.5335928253673564E-4</v>
      </c>
      <c r="BB841">
        <f t="shared" si="601"/>
        <v>29.833333333333329</v>
      </c>
      <c r="BC841">
        <f t="shared" si="584"/>
        <v>17.899999999999999</v>
      </c>
      <c r="BD841">
        <f t="shared" si="602"/>
        <v>0</v>
      </c>
      <c r="BE841">
        <f t="shared" si="585"/>
        <v>24</v>
      </c>
      <c r="BF841">
        <f t="shared" si="611"/>
        <v>5000</v>
      </c>
      <c r="BU841"/>
      <c r="DW841" s="89"/>
      <c r="DX841" s="89"/>
      <c r="FD841"/>
      <c r="FE841"/>
    </row>
    <row r="842" spans="1:161" x14ac:dyDescent="0.25">
      <c r="A842" s="7">
        <f t="shared" si="603"/>
        <v>68727</v>
      </c>
      <c r="B842">
        <f t="shared" si="586"/>
        <v>831</v>
      </c>
      <c r="C842">
        <f t="shared" si="612"/>
        <v>69.166666666666671</v>
      </c>
      <c r="D842">
        <f t="shared" si="613"/>
        <v>0</v>
      </c>
      <c r="E842">
        <f t="shared" si="587"/>
        <v>121</v>
      </c>
      <c r="F842">
        <f>IF(C842&gt;=$T$2,0,VLOOKUP($E842,EKM_F05!$A$3:$C$128,2,TRUE))</f>
        <v>0</v>
      </c>
      <c r="G842">
        <f>F842*'Real assumptions'!$B$3</f>
        <v>0</v>
      </c>
      <c r="H842">
        <f t="shared" si="614"/>
        <v>0</v>
      </c>
      <c r="I842">
        <f t="shared" si="615"/>
        <v>0</v>
      </c>
      <c r="J842">
        <f>IF(B842&gt;$AJ$2,0,HLOOKUP(C842,'Real assumptions'!$B$5:$L$8,4,TRUE))</f>
        <v>3.7900000000000003E-2</v>
      </c>
      <c r="K842">
        <f t="shared" si="576"/>
        <v>1</v>
      </c>
      <c r="L842">
        <f t="shared" si="604"/>
        <v>8.3333333333333329E-2</v>
      </c>
      <c r="M842">
        <f t="shared" si="616"/>
        <v>3.2145624959929453E-3</v>
      </c>
      <c r="N842">
        <f t="shared" si="617"/>
        <v>7.4868490927373622E-8</v>
      </c>
      <c r="O842" s="8">
        <f t="shared" si="588"/>
        <v>2.3215545374318545E-5</v>
      </c>
      <c r="P842">
        <f t="shared" si="589"/>
        <v>5.5896993276590204E-4</v>
      </c>
      <c r="Q842">
        <f t="shared" si="605"/>
        <v>0</v>
      </c>
      <c r="R842" s="89">
        <f t="shared" si="577"/>
        <v>5000</v>
      </c>
      <c r="S842">
        <f t="shared" si="578"/>
        <v>0.75</v>
      </c>
      <c r="U842">
        <f>O841*AV841*'Real assumptions'!$B$33/12+AX842*'Real assumptions'!$B$34</f>
        <v>5.7094280938982649E-4</v>
      </c>
      <c r="V842">
        <f>IF(P842=0,0,IF(E842&lt;=$C$7,$AN$5*O841,0))*'Real assumptions'!$D$28</f>
        <v>0</v>
      </c>
      <c r="X842" s="94">
        <f t="shared" si="590"/>
        <v>0</v>
      </c>
      <c r="Y842">
        <f t="shared" si="579"/>
        <v>24</v>
      </c>
      <c r="Z842">
        <f t="shared" si="606"/>
        <v>29</v>
      </c>
      <c r="AA842">
        <f t="shared" si="580"/>
        <v>29.75</v>
      </c>
      <c r="AB842">
        <f t="shared" si="591"/>
        <v>50.505050505050505</v>
      </c>
      <c r="AC842">
        <f t="shared" si="618"/>
        <v>1502.5252525252524</v>
      </c>
      <c r="AD842">
        <f t="shared" si="592"/>
        <v>80.505050505050505</v>
      </c>
      <c r="AE842">
        <f t="shared" si="593"/>
        <v>119.75126262626262</v>
      </c>
      <c r="AF842" s="94">
        <f t="shared" si="594"/>
        <v>3377.7234848484845</v>
      </c>
      <c r="AG842">
        <f t="shared" si="607"/>
        <v>2.5288506008055555E-4</v>
      </c>
      <c r="AH842">
        <f t="shared" si="595"/>
        <v>7.8415692824401348E-2</v>
      </c>
      <c r="AI842">
        <f>HLOOKUP(AW842,'Real assumptions'!$A$21:$AK$24,2,TRUE)</f>
        <v>0</v>
      </c>
      <c r="AJ842" s="123">
        <f t="shared" si="619"/>
        <v>0</v>
      </c>
      <c r="AK842" s="122">
        <f>(1+HLOOKUP(YEAR(A842),'Real assumptions'!$A$21:$AK$24,2,TRUE)/100)^(1/12)-1</f>
        <v>0</v>
      </c>
      <c r="AL842">
        <f t="shared" si="608"/>
        <v>5.7094280938982649E-4</v>
      </c>
      <c r="AM842">
        <f>('Real assumptions'!$B$33/12)*O841*AV841</f>
        <v>5.4939410115414282E-4</v>
      </c>
      <c r="AN842">
        <f t="shared" si="596"/>
        <v>7.8550768897376916E-2</v>
      </c>
      <c r="AO842">
        <f t="shared" si="620"/>
        <v>0</v>
      </c>
      <c r="AP842" s="121">
        <f t="shared" si="597"/>
        <v>0</v>
      </c>
      <c r="AQ842">
        <f t="shared" si="598"/>
        <v>0</v>
      </c>
      <c r="AR842">
        <v>0</v>
      </c>
      <c r="AS842">
        <f t="shared" si="581"/>
        <v>0</v>
      </c>
      <c r="AT842">
        <f t="shared" si="599"/>
        <v>0</v>
      </c>
      <c r="AU842">
        <f>IFERROR(HLOOKUP(B842,'Real assumptions'!$B$43:$AL$44,2,TRUE)*($W$3/$U$2),0)</f>
        <v>0</v>
      </c>
      <c r="AV842">
        <f>AV841*(1+'Real assumptions'!$B$35)^(1/12)</f>
        <v>2.3613283005055137</v>
      </c>
      <c r="AW842">
        <f t="shared" si="582"/>
        <v>2088</v>
      </c>
      <c r="AX842">
        <f t="shared" si="609"/>
        <v>7.8660765401379826E-2</v>
      </c>
      <c r="AY842">
        <f t="shared" si="610"/>
        <v>9.802362737898113E-5</v>
      </c>
      <c r="AZ842">
        <f t="shared" si="583"/>
        <v>8.7410881916326261E-2</v>
      </c>
      <c r="BA842">
        <f t="shared" si="600"/>
        <v>2.5288506008055555E-4</v>
      </c>
      <c r="BB842">
        <f t="shared" si="601"/>
        <v>29.75</v>
      </c>
      <c r="BC842">
        <f t="shared" si="584"/>
        <v>17.850000000000001</v>
      </c>
      <c r="BD842">
        <f t="shared" si="602"/>
        <v>0</v>
      </c>
      <c r="BE842">
        <f t="shared" si="585"/>
        <v>24</v>
      </c>
      <c r="BF842">
        <f t="shared" si="611"/>
        <v>5000</v>
      </c>
      <c r="BU842"/>
      <c r="DW842" s="89"/>
      <c r="DX842" s="89"/>
      <c r="FD842"/>
      <c r="FE842"/>
    </row>
    <row r="843" spans="1:161" x14ac:dyDescent="0.25">
      <c r="A843" s="7">
        <f t="shared" si="603"/>
        <v>68758</v>
      </c>
      <c r="B843">
        <f t="shared" si="586"/>
        <v>832</v>
      </c>
      <c r="C843">
        <f t="shared" si="612"/>
        <v>69.25</v>
      </c>
      <c r="D843">
        <f t="shared" si="613"/>
        <v>0</v>
      </c>
      <c r="E843">
        <f t="shared" si="587"/>
        <v>121</v>
      </c>
      <c r="F843">
        <f>IF(C843&gt;=$T$2,0,VLOOKUP($E843,EKM_F05!$A$3:$C$128,2,TRUE))</f>
        <v>0</v>
      </c>
      <c r="G843">
        <f>F843*'Real assumptions'!$B$3</f>
        <v>0</v>
      </c>
      <c r="H843">
        <f t="shared" si="614"/>
        <v>0</v>
      </c>
      <c r="I843">
        <f t="shared" si="615"/>
        <v>0</v>
      </c>
      <c r="J843">
        <f>IF(B843&gt;$AJ$2,0,HLOOKUP(C843,'Real assumptions'!$B$5:$L$8,4,TRUE))</f>
        <v>3.7900000000000003E-2</v>
      </c>
      <c r="K843">
        <f t="shared" si="576"/>
        <v>1</v>
      </c>
      <c r="L843">
        <f t="shared" si="604"/>
        <v>8.3333333333333329E-2</v>
      </c>
      <c r="M843">
        <f t="shared" si="616"/>
        <v>3.2145624959929453E-3</v>
      </c>
      <c r="N843">
        <f t="shared" si="617"/>
        <v>7.4627821484306901E-8</v>
      </c>
      <c r="O843" s="8">
        <f t="shared" si="588"/>
        <v>2.3140917552834238E-5</v>
      </c>
      <c r="P843">
        <f t="shared" si="589"/>
        <v>5.571730889836451E-4</v>
      </c>
      <c r="Q843">
        <f t="shared" si="605"/>
        <v>0</v>
      </c>
      <c r="R843" s="89">
        <f t="shared" si="577"/>
        <v>5000</v>
      </c>
      <c r="S843">
        <f t="shared" si="578"/>
        <v>0.6666666666666714</v>
      </c>
      <c r="U843">
        <f>O842*AV842*'Real assumptions'!$B$33/12+AX843*'Real assumptions'!$B$34</f>
        <v>5.697035816591235E-4</v>
      </c>
      <c r="V843">
        <f>IF(P843=0,0,IF(E843&lt;=$C$7,$AN$5*O842,0))*'Real assumptions'!$D$28</f>
        <v>0</v>
      </c>
      <c r="X843" s="94">
        <f t="shared" si="590"/>
        <v>0</v>
      </c>
      <c r="Y843">
        <f t="shared" si="579"/>
        <v>24</v>
      </c>
      <c r="Z843">
        <f t="shared" si="606"/>
        <v>29</v>
      </c>
      <c r="AA843">
        <f t="shared" si="580"/>
        <v>29.666666666666671</v>
      </c>
      <c r="AB843">
        <f t="shared" si="591"/>
        <v>50.505050505050505</v>
      </c>
      <c r="AC843">
        <f t="shared" si="618"/>
        <v>1498.3164983164986</v>
      </c>
      <c r="AD843">
        <f t="shared" si="592"/>
        <v>80.505050505050505</v>
      </c>
      <c r="AE843">
        <f t="shared" si="593"/>
        <v>119.41582491582493</v>
      </c>
      <c r="AF843" s="94">
        <f t="shared" si="594"/>
        <v>3382.2676767676762</v>
      </c>
      <c r="AG843">
        <f t="shared" si="607"/>
        <v>2.5241126839395958E-4</v>
      </c>
      <c r="AH843">
        <f t="shared" si="595"/>
        <v>7.8268777449697E-2</v>
      </c>
      <c r="AI843">
        <f>HLOOKUP(AW843,'Real assumptions'!$A$21:$AK$24,2,TRUE)</f>
        <v>0</v>
      </c>
      <c r="AJ843" s="123">
        <f t="shared" si="619"/>
        <v>0</v>
      </c>
      <c r="AK843" s="122">
        <f>(1+HLOOKUP(YEAR(A843),'Real assumptions'!$A$21:$AK$24,2,TRUE)/100)^(1/12)-1</f>
        <v>0</v>
      </c>
      <c r="AL843">
        <f t="shared" si="608"/>
        <v>5.697035816591235E-4</v>
      </c>
      <c r="AM843">
        <f>('Real assumptions'!$B$33/12)*O842*AV842</f>
        <v>5.4819524304048251E-4</v>
      </c>
      <c r="AN843">
        <f t="shared" si="596"/>
        <v>7.8403162331725867E-2</v>
      </c>
      <c r="AO843">
        <f t="shared" si="620"/>
        <v>0</v>
      </c>
      <c r="AP843" s="121">
        <f t="shared" si="597"/>
        <v>0</v>
      </c>
      <c r="AQ843">
        <f t="shared" si="598"/>
        <v>0</v>
      </c>
      <c r="AR843">
        <v>0</v>
      </c>
      <c r="AS843">
        <f t="shared" si="581"/>
        <v>0</v>
      </c>
      <c r="AT843">
        <f t="shared" si="599"/>
        <v>0</v>
      </c>
      <c r="AU843">
        <f>IFERROR(HLOOKUP(B843,'Real assumptions'!$B$43:$AL$44,2,TRUE)*($W$3/$U$2),0)</f>
        <v>0</v>
      </c>
      <c r="AV843">
        <f>AV842*(1+'Real assumptions'!$B$35)^(1/12)</f>
        <v>2.3637740368821567</v>
      </c>
      <c r="AW843">
        <f t="shared" si="582"/>
        <v>2088</v>
      </c>
      <c r="AX843">
        <f t="shared" si="609"/>
        <v>7.8513401348704034E-2</v>
      </c>
      <c r="AY843">
        <f t="shared" si="610"/>
        <v>9.7708524302687468E-5</v>
      </c>
      <c r="AZ843">
        <f t="shared" si="583"/>
        <v>8.7145940155256826E-2</v>
      </c>
      <c r="BA843">
        <f t="shared" si="600"/>
        <v>2.5241126839395958E-4</v>
      </c>
      <c r="BB843">
        <f t="shared" si="601"/>
        <v>29.666666666666671</v>
      </c>
      <c r="BC843">
        <f t="shared" si="584"/>
        <v>17.800000000000004</v>
      </c>
      <c r="BD843">
        <f t="shared" si="602"/>
        <v>0</v>
      </c>
      <c r="BE843">
        <f t="shared" si="585"/>
        <v>24</v>
      </c>
      <c r="BF843">
        <f t="shared" si="611"/>
        <v>5000</v>
      </c>
      <c r="BU843"/>
      <c r="DW843" s="89"/>
      <c r="DX843" s="89"/>
      <c r="FD843"/>
      <c r="FE843"/>
    </row>
    <row r="844" spans="1:161" x14ac:dyDescent="0.25">
      <c r="A844" s="7">
        <f t="shared" si="603"/>
        <v>68788</v>
      </c>
      <c r="B844">
        <f t="shared" si="586"/>
        <v>833</v>
      </c>
      <c r="C844">
        <f t="shared" si="612"/>
        <v>69.333333333333329</v>
      </c>
      <c r="D844">
        <f t="shared" si="613"/>
        <v>0</v>
      </c>
      <c r="E844">
        <f t="shared" si="587"/>
        <v>121</v>
      </c>
      <c r="F844">
        <f>IF(C844&gt;=$T$2,0,VLOOKUP($E844,EKM_F05!$A$3:$C$128,2,TRUE))</f>
        <v>0</v>
      </c>
      <c r="G844">
        <f>F844*'Real assumptions'!$B$3</f>
        <v>0</v>
      </c>
      <c r="H844">
        <f t="shared" si="614"/>
        <v>0</v>
      </c>
      <c r="I844">
        <f t="shared" si="615"/>
        <v>0</v>
      </c>
      <c r="J844">
        <f>IF(B844&gt;$AJ$2,0,HLOOKUP(C844,'Real assumptions'!$B$5:$L$8,4,TRUE))</f>
        <v>3.7900000000000003E-2</v>
      </c>
      <c r="K844">
        <f t="shared" ref="K844:K907" si="621">IF(B844&gt;$AJ$2,0,IF(($U$2*(B844+11))/12-INT(($U$2*(B844+11))/12)=0,1,0))</f>
        <v>1</v>
      </c>
      <c r="L844">
        <f t="shared" si="604"/>
        <v>8.3333333333333329E-2</v>
      </c>
      <c r="M844">
        <f t="shared" si="616"/>
        <v>3.2145624959929453E-3</v>
      </c>
      <c r="N844">
        <f t="shared" si="617"/>
        <v>7.4387925688205783E-8</v>
      </c>
      <c r="O844" s="8">
        <f t="shared" si="588"/>
        <v>2.3066529627146033E-5</v>
      </c>
      <c r="P844">
        <f t="shared" si="589"/>
        <v>5.5538202126802173E-4</v>
      </c>
      <c r="Q844">
        <f t="shared" si="605"/>
        <v>0</v>
      </c>
      <c r="R844" s="89">
        <f t="shared" ref="R844:R907" si="622">$AI$2</f>
        <v>5000</v>
      </c>
      <c r="S844">
        <f t="shared" ref="S844:S907" si="623">INT(B844/12)+1-B844/12</f>
        <v>0.5833333333333286</v>
      </c>
      <c r="U844">
        <f>O843*AV843*'Real assumptions'!$B$33/12+AX844*'Real assumptions'!$B$34</f>
        <v>5.684670068814324E-4</v>
      </c>
      <c r="V844">
        <f>IF(P844=0,0,IF(E844&lt;=$C$7,$AN$5*O843,0))*'Real assumptions'!$D$28</f>
        <v>0</v>
      </c>
      <c r="X844" s="94">
        <f t="shared" si="590"/>
        <v>0</v>
      </c>
      <c r="Y844">
        <f t="shared" ref="Y844:Y907" si="624">IF(P844=0,0,$AN$5)</f>
        <v>24</v>
      </c>
      <c r="Z844">
        <f t="shared" si="606"/>
        <v>29</v>
      </c>
      <c r="AA844">
        <f t="shared" ref="AA844:AA907" si="625">99-(B844/12)</f>
        <v>29.583333333333329</v>
      </c>
      <c r="AB844">
        <f t="shared" si="591"/>
        <v>50.505050505050505</v>
      </c>
      <c r="AC844">
        <f t="shared" si="618"/>
        <v>1494.1077441077439</v>
      </c>
      <c r="AD844">
        <f t="shared" si="592"/>
        <v>80.505050505050505</v>
      </c>
      <c r="AE844">
        <f t="shared" si="593"/>
        <v>119.08038720538718</v>
      </c>
      <c r="AF844" s="94">
        <f t="shared" si="594"/>
        <v>3386.8118686868688</v>
      </c>
      <c r="AG844">
        <f t="shared" si="607"/>
        <v>2.5193790960781218E-4</v>
      </c>
      <c r="AH844">
        <f t="shared" si="595"/>
        <v>7.8121996310635475E-2</v>
      </c>
      <c r="AI844">
        <f>HLOOKUP(AW844,'Real assumptions'!$A$21:$AK$24,2,TRUE)</f>
        <v>0</v>
      </c>
      <c r="AJ844" s="123">
        <f t="shared" si="619"/>
        <v>0</v>
      </c>
      <c r="AK844" s="122">
        <f>(1+HLOOKUP(YEAR(A844),'Real assumptions'!$A$21:$AK$24,2,TRUE)/100)^(1/12)-1</f>
        <v>0</v>
      </c>
      <c r="AL844">
        <f t="shared" si="608"/>
        <v>5.684670068814324E-4</v>
      </c>
      <c r="AM844">
        <f>('Real assumptions'!$B$33/12)*O843*AV843</f>
        <v>5.4699900101020142E-4</v>
      </c>
      <c r="AN844">
        <f t="shared" si="596"/>
        <v>7.8255692464083593E-2</v>
      </c>
      <c r="AO844">
        <f t="shared" si="620"/>
        <v>0</v>
      </c>
      <c r="AP844" s="121">
        <f t="shared" si="597"/>
        <v>0</v>
      </c>
      <c r="AQ844">
        <f t="shared" si="598"/>
        <v>0</v>
      </c>
      <c r="AR844">
        <v>0</v>
      </c>
      <c r="AS844">
        <f t="shared" ref="AS844:AS907" si="626">IF(B844&gt;$B$12,IF(B844&lt;=$AJ$2,AT844,0),0)</f>
        <v>0</v>
      </c>
      <c r="AT844">
        <f t="shared" si="599"/>
        <v>0</v>
      </c>
      <c r="AU844">
        <f>IFERROR(HLOOKUP(B844,'Real assumptions'!$B$43:$AL$44,2,TRUE)*($W$3/$U$2),0)</f>
        <v>0</v>
      </c>
      <c r="AV844">
        <f>AV843*(1+'Real assumptions'!$B$35)^(1/12)</f>
        <v>2.366222306420505</v>
      </c>
      <c r="AW844">
        <f t="shared" ref="AW844:AW907" si="627">YEAR(A844)</f>
        <v>2088</v>
      </c>
      <c r="AX844">
        <f t="shared" si="609"/>
        <v>7.8366171883841929E-2</v>
      </c>
      <c r="AY844">
        <f t="shared" si="610"/>
        <v>9.7394434144925233E-5</v>
      </c>
      <c r="AZ844">
        <f t="shared" ref="AZ844:AZ907" si="628">(AZ845+BA845-P845+U845+AQ845)/((1+AJ845))</f>
        <v>8.6880917260035606E-2</v>
      </c>
      <c r="BA844">
        <f t="shared" si="600"/>
        <v>2.5193790960781218E-4</v>
      </c>
      <c r="BB844">
        <f t="shared" si="601"/>
        <v>29.583333333333329</v>
      </c>
      <c r="BC844">
        <f t="shared" ref="BC844:BC907" si="629">$AQ$5*BB844+IF($W$3=0,0,$AP$5*AA844)</f>
        <v>17.749999999999996</v>
      </c>
      <c r="BD844">
        <f t="shared" si="602"/>
        <v>0</v>
      </c>
      <c r="BE844">
        <f t="shared" ref="BE844:BE907" si="630">IF(B844=1,$AR$5,IF(P844=0,0,$W$3/$U$2))</f>
        <v>24</v>
      </c>
      <c r="BF844">
        <f t="shared" si="611"/>
        <v>5000</v>
      </c>
      <c r="BU844"/>
      <c r="DW844" s="89"/>
      <c r="DX844" s="89"/>
      <c r="FD844"/>
      <c r="FE844"/>
    </row>
    <row r="845" spans="1:161" x14ac:dyDescent="0.25">
      <c r="A845" s="7">
        <f t="shared" si="603"/>
        <v>68819</v>
      </c>
      <c r="B845">
        <f t="shared" ref="B845:B908" si="631">B844+1</f>
        <v>834</v>
      </c>
      <c r="C845">
        <f t="shared" si="612"/>
        <v>69.416666666666671</v>
      </c>
      <c r="D845">
        <f t="shared" si="613"/>
        <v>0</v>
      </c>
      <c r="E845">
        <f t="shared" ref="E845:E908" si="632">$C$2+INT($C845)</f>
        <v>121</v>
      </c>
      <c r="F845">
        <f>IF(C845&gt;=$T$2,0,VLOOKUP($E845,EKM_F05!$A$3:$C$128,2,TRUE))</f>
        <v>0</v>
      </c>
      <c r="G845">
        <f>F845*'Real assumptions'!$B$3</f>
        <v>0</v>
      </c>
      <c r="H845">
        <f t="shared" si="614"/>
        <v>0</v>
      </c>
      <c r="I845">
        <f t="shared" si="615"/>
        <v>0</v>
      </c>
      <c r="J845">
        <f>IF(B845&gt;$AJ$2,0,HLOOKUP(C845,'Real assumptions'!$B$5:$L$8,4,TRUE))</f>
        <v>3.7900000000000003E-2</v>
      </c>
      <c r="K845">
        <f t="shared" si="621"/>
        <v>1</v>
      </c>
      <c r="L845">
        <f t="shared" si="604"/>
        <v>8.3333333333333329E-2</v>
      </c>
      <c r="M845">
        <f t="shared" si="616"/>
        <v>3.2145624959929453E-3</v>
      </c>
      <c r="N845">
        <f t="shared" si="617"/>
        <v>7.414880105213377E-8</v>
      </c>
      <c r="O845" s="8">
        <f t="shared" ref="O845:O908" si="633">IF(E846&gt;$C$5,0,IF(B845&gt;$AJ$2,0,O844-I845-N845))</f>
        <v>2.2992380826093899E-5</v>
      </c>
      <c r="P845">
        <f t="shared" ref="P845:P908" si="634">IF($U$2=0,0,$W$3/$U$2*K845*O844)</f>
        <v>5.5359671105150473E-4</v>
      </c>
      <c r="Q845">
        <f t="shared" si="605"/>
        <v>0</v>
      </c>
      <c r="R845" s="89">
        <f t="shared" si="622"/>
        <v>5000</v>
      </c>
      <c r="S845">
        <f t="shared" si="623"/>
        <v>0.5</v>
      </c>
      <c r="U845">
        <f>O844*AV844*'Real assumptions'!$B$33/12+AX845*'Real assumptions'!$B$34</f>
        <v>5.6723307952819403E-4</v>
      </c>
      <c r="V845">
        <f>IF(P845=0,0,IF(E845&lt;=$C$7,$AN$5*O844,0))*'Real assumptions'!$D$28</f>
        <v>0</v>
      </c>
      <c r="X845" s="94">
        <f t="shared" ref="X845:X908" si="635">IF($U$2=12,0,IF($AM$2&lt;&gt;0,0,X844+Y845-($AN$5*($U$2/12))))</f>
        <v>0</v>
      </c>
      <c r="Y845">
        <f t="shared" si="624"/>
        <v>24</v>
      </c>
      <c r="Z845">
        <f t="shared" si="606"/>
        <v>29</v>
      </c>
      <c r="AA845">
        <f t="shared" si="625"/>
        <v>29.5</v>
      </c>
      <c r="AB845">
        <f t="shared" ref="AB845:AB908" si="636">IF($AM$2&lt;&gt;0,0,R845/99)</f>
        <v>50.505050505050505</v>
      </c>
      <c r="AC845">
        <f t="shared" si="618"/>
        <v>1489.8989898989898</v>
      </c>
      <c r="AD845">
        <f t="shared" ref="AD845:AD908" si="637">IF($AM$2&lt;&gt;0,0,AB845+$Q$4*$AI$2+$Q$5*$AI$2)</f>
        <v>80.505050505050505</v>
      </c>
      <c r="AE845">
        <f t="shared" ref="AE845:AE908" si="638">MIN($C$6*AD845*AA845,$AI$2-AC845+BD845)</f>
        <v>118.74494949494949</v>
      </c>
      <c r="AF845" s="94">
        <f t="shared" ref="AF845:AF908" si="639">MAX(($AI$2+$Y$2-AC845-AE845+X845+BD845),0)</f>
        <v>3391.3560606060605</v>
      </c>
      <c r="AG845">
        <f t="shared" si="607"/>
        <v>2.5146498583482687E-4</v>
      </c>
      <c r="AH845">
        <f t="shared" ref="AH845:AH908" si="640">AF845*O845</f>
        <v>7.7975350062336121E-2</v>
      </c>
      <c r="AI845">
        <f>HLOOKUP(AW845,'Real assumptions'!$A$21:$AK$24,2,TRUE)</f>
        <v>0</v>
      </c>
      <c r="AJ845" s="123">
        <f t="shared" si="619"/>
        <v>0</v>
      </c>
      <c r="AK845" s="122">
        <f>(1+HLOOKUP(YEAR(A845),'Real assumptions'!$A$21:$AK$24,2,TRUE)/100)^(1/12)-1</f>
        <v>0</v>
      </c>
      <c r="AL845">
        <f t="shared" si="608"/>
        <v>5.6723307952819403E-4</v>
      </c>
      <c r="AM845">
        <f>('Real assumptions'!$B$33/12)*O844*AV844</f>
        <v>5.4580536935462404E-4</v>
      </c>
      <c r="AN845">
        <f t="shared" ref="AN845:AN908" si="641">AP844+P845+AH844-V845-AL845</f>
        <v>7.8108359942158784E-2</v>
      </c>
      <c r="AO845">
        <f t="shared" si="620"/>
        <v>0</v>
      </c>
      <c r="AP845" s="121">
        <f t="shared" ref="AP845:AP908" si="642">IF(MONTH(A845)=12,0,AP844+AO845)</f>
        <v>0</v>
      </c>
      <c r="AQ845">
        <f t="shared" ref="AQ845:AQ908" si="643">IF(P845=0,0,AR845+AS845)</f>
        <v>0</v>
      </c>
      <c r="AR845">
        <v>0</v>
      </c>
      <c r="AS845">
        <f t="shared" si="626"/>
        <v>0</v>
      </c>
      <c r="AT845">
        <f t="shared" ref="AT845:AT908" si="644">IF(OR(B845&lt;=$B$12,B845&gt;$AJ$2),0,AU845*O844)</f>
        <v>0</v>
      </c>
      <c r="AU845">
        <f>IFERROR(HLOOKUP(B845,'Real assumptions'!$B$43:$AL$44,2,TRUE)*($W$3/$U$2),0)</f>
        <v>0</v>
      </c>
      <c r="AV845">
        <f>AV844*(1+'Real assumptions'!$B$35)^(1/12)</f>
        <v>2.3686731117442705</v>
      </c>
      <c r="AW845">
        <f t="shared" si="627"/>
        <v>2088</v>
      </c>
      <c r="AX845">
        <f t="shared" si="609"/>
        <v>7.8219077664285083E-2</v>
      </c>
      <c r="AY845">
        <f t="shared" si="610"/>
        <v>9.7081353649604502E-5</v>
      </c>
      <c r="AZ845">
        <f t="shared" si="628"/>
        <v>8.6615815905724092E-2</v>
      </c>
      <c r="BA845">
        <f t="shared" ref="BA845:BA908" si="645">AG845+V845+Q845</f>
        <v>2.5146498583482687E-4</v>
      </c>
      <c r="BB845">
        <f t="shared" ref="BB845:BB908" si="646">Z846+IF(S845=1,0,S845)</f>
        <v>29.5</v>
      </c>
      <c r="BC845">
        <f t="shared" si="629"/>
        <v>17.7</v>
      </c>
      <c r="BD845">
        <f t="shared" ref="BD845:BD908" si="647">(BC845/100)*($AI$2+$Y$2)-AA845*(AD845-AB845)</f>
        <v>0</v>
      </c>
      <c r="BE845">
        <f t="shared" si="630"/>
        <v>24</v>
      </c>
      <c r="BF845">
        <f t="shared" si="611"/>
        <v>5000</v>
      </c>
      <c r="BU845"/>
      <c r="DW845" s="89"/>
      <c r="DX845" s="89"/>
      <c r="FD845"/>
      <c r="FE845"/>
    </row>
    <row r="846" spans="1:161" x14ac:dyDescent="0.25">
      <c r="A846" s="7">
        <f t="shared" ref="A846:A909" si="648">DATE(YEAR(A845),MONTH(A845)+2,1)-1</f>
        <v>68849</v>
      </c>
      <c r="B846">
        <f t="shared" si="631"/>
        <v>835</v>
      </c>
      <c r="C846">
        <f t="shared" si="612"/>
        <v>69.5</v>
      </c>
      <c r="D846">
        <f t="shared" si="613"/>
        <v>0</v>
      </c>
      <c r="E846">
        <f t="shared" si="632"/>
        <v>121</v>
      </c>
      <c r="F846">
        <f>IF(C846&gt;=$T$2,0,VLOOKUP($E846,EKM_F05!$A$3:$C$128,2,TRUE))</f>
        <v>0</v>
      </c>
      <c r="G846">
        <f>F846*'Real assumptions'!$B$3</f>
        <v>0</v>
      </c>
      <c r="H846">
        <f t="shared" si="614"/>
        <v>0</v>
      </c>
      <c r="I846">
        <f t="shared" si="615"/>
        <v>0</v>
      </c>
      <c r="J846">
        <f>IF(B846&gt;$AJ$2,0,HLOOKUP(C846,'Real assumptions'!$B$5:$L$8,4,TRUE))</f>
        <v>3.7900000000000003E-2</v>
      </c>
      <c r="K846">
        <f t="shared" si="621"/>
        <v>1</v>
      </c>
      <c r="L846">
        <f t="shared" ref="L846:L909" si="649">IF(B846&gt;$AJ$2,0,1/12)</f>
        <v>8.3333333333333329E-2</v>
      </c>
      <c r="M846">
        <f t="shared" si="616"/>
        <v>3.2145624959929453E-3</v>
      </c>
      <c r="N846">
        <f t="shared" si="617"/>
        <v>7.3910445097148741E-8</v>
      </c>
      <c r="O846" s="8">
        <f t="shared" si="633"/>
        <v>2.291847038099675E-5</v>
      </c>
      <c r="P846">
        <f t="shared" si="634"/>
        <v>5.5181713982625357E-4</v>
      </c>
      <c r="Q846">
        <f t="shared" ref="Q846:Q909" si="650">BF846*I846</f>
        <v>0</v>
      </c>
      <c r="R846" s="89">
        <f t="shared" si="622"/>
        <v>5000</v>
      </c>
      <c r="S846">
        <f t="shared" si="623"/>
        <v>0.4166666666666714</v>
      </c>
      <c r="U846">
        <f>O845*AV845*'Real assumptions'!$B$33/12+AX846*'Real assumptions'!$B$34</f>
        <v>5.6600179408176714E-4</v>
      </c>
      <c r="V846">
        <f>IF(P846=0,0,IF(E846&lt;=$C$7,$AN$5*O845,0))*'Real assumptions'!$D$28</f>
        <v>0</v>
      </c>
      <c r="X846" s="94">
        <f t="shared" si="635"/>
        <v>0</v>
      </c>
      <c r="Y846">
        <f t="shared" si="624"/>
        <v>24</v>
      </c>
      <c r="Z846">
        <f t="shared" ref="Z846:Z909" si="651">IF(S844=1,Z845-1,Z845)</f>
        <v>29</v>
      </c>
      <c r="AA846">
        <f t="shared" si="625"/>
        <v>29.416666666666671</v>
      </c>
      <c r="AB846">
        <f t="shared" si="636"/>
        <v>50.505050505050505</v>
      </c>
      <c r="AC846">
        <f t="shared" si="618"/>
        <v>1485.690235690236</v>
      </c>
      <c r="AD846">
        <f t="shared" si="637"/>
        <v>80.505050505050505</v>
      </c>
      <c r="AE846">
        <f t="shared" si="638"/>
        <v>118.40951178451179</v>
      </c>
      <c r="AF846" s="94">
        <f t="shared" si="639"/>
        <v>3395.9002525252522</v>
      </c>
      <c r="AG846">
        <f t="shared" ref="AG846:AG909" si="652">IF(B846&lt;=$C$8,0,AF846*N846)</f>
        <v>2.5099249916966118E-4</v>
      </c>
      <c r="AH846">
        <f t="shared" si="640"/>
        <v>7.7828839354319376E-2</v>
      </c>
      <c r="AI846">
        <f>HLOOKUP(AW846,'Real assumptions'!$A$21:$AK$24,2,TRUE)</f>
        <v>0</v>
      </c>
      <c r="AJ846" s="123">
        <f t="shared" si="619"/>
        <v>0</v>
      </c>
      <c r="AK846" s="122">
        <f>(1+HLOOKUP(YEAR(A846),'Real assumptions'!$A$21:$AK$24,2,TRUE)/100)^(1/12)-1</f>
        <v>0</v>
      </c>
      <c r="AL846">
        <f t="shared" ref="AL846:AL909" si="653">AQ846+U846</f>
        <v>5.6600179408176714E-4</v>
      </c>
      <c r="AM846">
        <f>('Real assumptions'!$B$33/12)*O845*AV845</f>
        <v>5.446143423775314E-4</v>
      </c>
      <c r="AN846">
        <f t="shared" si="641"/>
        <v>7.796116540808061E-2</v>
      </c>
      <c r="AO846">
        <f t="shared" si="620"/>
        <v>0</v>
      </c>
      <c r="AP846" s="121">
        <f t="shared" si="642"/>
        <v>0</v>
      </c>
      <c r="AQ846">
        <f t="shared" si="643"/>
        <v>0</v>
      </c>
      <c r="AR846">
        <v>0</v>
      </c>
      <c r="AS846">
        <f t="shared" si="626"/>
        <v>0</v>
      </c>
      <c r="AT846">
        <f t="shared" si="644"/>
        <v>0</v>
      </c>
      <c r="AU846">
        <f>IFERROR(HLOOKUP(B846,'Real assumptions'!$B$43:$AL$44,2,TRUE)*($W$3/$U$2),0)</f>
        <v>0</v>
      </c>
      <c r="AV846">
        <f>AV845*(1+'Real assumptions'!$B$35)^(1/12)</f>
        <v>2.371126455479883</v>
      </c>
      <c r="AW846">
        <f t="shared" si="627"/>
        <v>2088</v>
      </c>
      <c r="AX846">
        <f t="shared" ref="AX846:AX909" si="654">MAX(0,AH845+AP845-V846+AY846)</f>
        <v>7.807211934190722E-2</v>
      </c>
      <c r="AY846">
        <f t="shared" ref="AY846:AY909" si="655">IF(P846=0,0,(AB846/$U$2)*O845)</f>
        <v>9.6769279571102266E-5</v>
      </c>
      <c r="AZ846">
        <f t="shared" si="628"/>
        <v>8.6350638752298925E-2</v>
      </c>
      <c r="BA846">
        <f t="shared" si="645"/>
        <v>2.5099249916966118E-4</v>
      </c>
      <c r="BB846">
        <f t="shared" si="646"/>
        <v>29.416666666666671</v>
      </c>
      <c r="BC846">
        <f t="shared" si="629"/>
        <v>17.650000000000002</v>
      </c>
      <c r="BD846">
        <f t="shared" si="647"/>
        <v>0</v>
      </c>
      <c r="BE846">
        <f t="shared" si="630"/>
        <v>24</v>
      </c>
      <c r="BF846">
        <f t="shared" ref="BF846:BF909" si="656">((IF(B846&lt;13,BF845+BE846,$AI$2+$Y$2)))</f>
        <v>5000</v>
      </c>
      <c r="BU846"/>
      <c r="DW846" s="89"/>
      <c r="DX846" s="89"/>
      <c r="FD846"/>
      <c r="FE846"/>
    </row>
    <row r="847" spans="1:161" x14ac:dyDescent="0.25">
      <c r="A847" s="7">
        <f t="shared" si="648"/>
        <v>68880</v>
      </c>
      <c r="B847">
        <f t="shared" si="631"/>
        <v>836</v>
      </c>
      <c r="C847">
        <f t="shared" si="612"/>
        <v>69.583333333333329</v>
      </c>
      <c r="D847">
        <f t="shared" si="613"/>
        <v>0</v>
      </c>
      <c r="E847">
        <f t="shared" si="632"/>
        <v>121</v>
      </c>
      <c r="F847">
        <f>IF(C847&gt;=$T$2,0,VLOOKUP($E847,EKM_F05!$A$3:$C$128,2,TRUE))</f>
        <v>0</v>
      </c>
      <c r="G847">
        <f>F847*'Real assumptions'!$B$3</f>
        <v>0</v>
      </c>
      <c r="H847">
        <f t="shared" si="614"/>
        <v>0</v>
      </c>
      <c r="I847">
        <f t="shared" si="615"/>
        <v>0</v>
      </c>
      <c r="J847">
        <f>IF(B847&gt;$AJ$2,0,HLOOKUP(C847,'Real assumptions'!$B$5:$L$8,4,TRUE))</f>
        <v>3.7900000000000003E-2</v>
      </c>
      <c r="K847">
        <f t="shared" si="621"/>
        <v>1</v>
      </c>
      <c r="L847">
        <f t="shared" si="649"/>
        <v>8.3333333333333329E-2</v>
      </c>
      <c r="M847">
        <f t="shared" si="616"/>
        <v>3.2145624959929453E-3</v>
      </c>
      <c r="N847">
        <f t="shared" si="617"/>
        <v>7.3672855352277301E-8</v>
      </c>
      <c r="O847" s="8">
        <f t="shared" si="633"/>
        <v>2.2844797525644473E-5</v>
      </c>
      <c r="P847">
        <f t="shared" si="634"/>
        <v>5.5004328914392197E-4</v>
      </c>
      <c r="Q847">
        <f t="shared" si="650"/>
        <v>0</v>
      </c>
      <c r="R847" s="89">
        <f t="shared" si="622"/>
        <v>5000</v>
      </c>
      <c r="S847">
        <f t="shared" si="623"/>
        <v>0.3333333333333286</v>
      </c>
      <c r="U847">
        <f>O846*AV846*'Real assumptions'!$B$33/12+AX847*'Real assumptions'!$B$34</f>
        <v>5.6477314503540954E-4</v>
      </c>
      <c r="V847">
        <f>IF(P847=0,0,IF(E847&lt;=$C$7,$AN$5*O846,0))*'Real assumptions'!$D$28</f>
        <v>0</v>
      </c>
      <c r="X847" s="94">
        <f t="shared" si="635"/>
        <v>0</v>
      </c>
      <c r="Y847">
        <f t="shared" si="624"/>
        <v>24</v>
      </c>
      <c r="Z847">
        <f t="shared" si="651"/>
        <v>29</v>
      </c>
      <c r="AA847">
        <f t="shared" si="625"/>
        <v>29.333333333333329</v>
      </c>
      <c r="AB847">
        <f t="shared" si="636"/>
        <v>50.505050505050505</v>
      </c>
      <c r="AC847">
        <f t="shared" si="618"/>
        <v>1481.4814814814813</v>
      </c>
      <c r="AD847">
        <f t="shared" si="637"/>
        <v>80.505050505050505</v>
      </c>
      <c r="AE847">
        <f t="shared" si="638"/>
        <v>118.07407407407405</v>
      </c>
      <c r="AF847" s="94">
        <f t="shared" si="639"/>
        <v>3400.4444444444448</v>
      </c>
      <c r="AG847">
        <f t="shared" si="652"/>
        <v>2.5052045168901053E-4</v>
      </c>
      <c r="AH847">
        <f t="shared" si="640"/>
        <v>7.7682464830535952E-2</v>
      </c>
      <c r="AI847">
        <f>HLOOKUP(AW847,'Real assumptions'!$A$21:$AK$24,2,TRUE)</f>
        <v>0</v>
      </c>
      <c r="AJ847" s="123">
        <f t="shared" si="619"/>
        <v>0</v>
      </c>
      <c r="AK847" s="122">
        <f>(1+HLOOKUP(YEAR(A847),'Real assumptions'!$A$21:$AK$24,2,TRUE)/100)^(1/12)-1</f>
        <v>0</v>
      </c>
      <c r="AL847">
        <f t="shared" si="653"/>
        <v>5.6477314503540954E-4</v>
      </c>
      <c r="AM847">
        <f>('Real assumptions'!$B$33/12)*O846*AV846</f>
        <v>5.4342591439513507E-4</v>
      </c>
      <c r="AN847">
        <f t="shared" si="641"/>
        <v>7.7814109498427889E-2</v>
      </c>
      <c r="AO847">
        <f t="shared" si="620"/>
        <v>0</v>
      </c>
      <c r="AP847" s="121">
        <f t="shared" si="642"/>
        <v>0</v>
      </c>
      <c r="AQ847">
        <f t="shared" si="643"/>
        <v>0</v>
      </c>
      <c r="AR847">
        <v>0</v>
      </c>
      <c r="AS847">
        <f t="shared" si="626"/>
        <v>0</v>
      </c>
      <c r="AT847">
        <f t="shared" si="644"/>
        <v>0</v>
      </c>
      <c r="AU847">
        <f>IFERROR(HLOOKUP(B847,'Real assumptions'!$B$43:$AL$44,2,TRUE)*($W$3/$U$2),0)</f>
        <v>0</v>
      </c>
      <c r="AV847">
        <f>AV846*(1+'Real assumptions'!$B$35)^(1/12)</f>
        <v>2.3735823402564922</v>
      </c>
      <c r="AW847">
        <f t="shared" si="627"/>
        <v>2088</v>
      </c>
      <c r="AX847">
        <f t="shared" si="654"/>
        <v>7.7925297562993601E-2</v>
      </c>
      <c r="AY847">
        <f t="shared" si="655"/>
        <v>9.6458208674228739E-5</v>
      </c>
      <c r="AZ847">
        <f t="shared" si="628"/>
        <v>8.6085388444718428E-2</v>
      </c>
      <c r="BA847">
        <f t="shared" si="645"/>
        <v>2.5052045168901053E-4</v>
      </c>
      <c r="BB847">
        <f t="shared" si="646"/>
        <v>29.333333333333329</v>
      </c>
      <c r="BC847">
        <f t="shared" si="629"/>
        <v>17.599999999999994</v>
      </c>
      <c r="BD847">
        <f t="shared" si="647"/>
        <v>0</v>
      </c>
      <c r="BE847">
        <f t="shared" si="630"/>
        <v>24</v>
      </c>
      <c r="BF847">
        <f t="shared" si="656"/>
        <v>5000</v>
      </c>
      <c r="BU847"/>
      <c r="DW847" s="89"/>
      <c r="DX847" s="89"/>
      <c r="FD847"/>
      <c r="FE847"/>
    </row>
    <row r="848" spans="1:161" x14ac:dyDescent="0.25">
      <c r="A848" s="7">
        <f t="shared" si="648"/>
        <v>68911</v>
      </c>
      <c r="B848">
        <f t="shared" si="631"/>
        <v>837</v>
      </c>
      <c r="C848">
        <f t="shared" si="612"/>
        <v>69.666666666666671</v>
      </c>
      <c r="D848">
        <f t="shared" si="613"/>
        <v>0</v>
      </c>
      <c r="E848">
        <f t="shared" si="632"/>
        <v>121</v>
      </c>
      <c r="F848">
        <f>IF(C848&gt;=$T$2,0,VLOOKUP($E848,EKM_F05!$A$3:$C$128,2,TRUE))</f>
        <v>0</v>
      </c>
      <c r="G848">
        <f>F848*'Real assumptions'!$B$3</f>
        <v>0</v>
      </c>
      <c r="H848">
        <f t="shared" si="614"/>
        <v>0</v>
      </c>
      <c r="I848">
        <f t="shared" si="615"/>
        <v>0</v>
      </c>
      <c r="J848">
        <f>IF(B848&gt;$AJ$2,0,HLOOKUP(C848,'Real assumptions'!$B$5:$L$8,4,TRUE))</f>
        <v>3.7900000000000003E-2</v>
      </c>
      <c r="K848">
        <f t="shared" si="621"/>
        <v>1</v>
      </c>
      <c r="L848">
        <f t="shared" si="649"/>
        <v>8.3333333333333329E-2</v>
      </c>
      <c r="M848">
        <f t="shared" si="616"/>
        <v>3.2145624959929453E-3</v>
      </c>
      <c r="N848">
        <f t="shared" si="617"/>
        <v>7.3436029354489161E-8</v>
      </c>
      <c r="O848" s="8">
        <f t="shared" si="633"/>
        <v>2.2771361496289984E-5</v>
      </c>
      <c r="P848">
        <f t="shared" si="634"/>
        <v>5.4827514061546738E-4</v>
      </c>
      <c r="Q848">
        <f t="shared" si="650"/>
        <v>0</v>
      </c>
      <c r="R848" s="89">
        <f t="shared" si="622"/>
        <v>5000</v>
      </c>
      <c r="S848">
        <f t="shared" si="623"/>
        <v>0.25</v>
      </c>
      <c r="U848">
        <f>O847*AV847*'Real assumptions'!$B$33/12+AX848*'Real assumptions'!$B$34</f>
        <v>5.635471268932591E-4</v>
      </c>
      <c r="V848">
        <f>IF(P848=0,0,IF(E848&lt;=$C$7,$AN$5*O847,0))*'Real assumptions'!$D$28</f>
        <v>0</v>
      </c>
      <c r="X848" s="94">
        <f t="shared" si="635"/>
        <v>0</v>
      </c>
      <c r="Y848">
        <f t="shared" si="624"/>
        <v>24</v>
      </c>
      <c r="Z848">
        <f t="shared" si="651"/>
        <v>29</v>
      </c>
      <c r="AA848">
        <f t="shared" si="625"/>
        <v>29.25</v>
      </c>
      <c r="AB848">
        <f t="shared" si="636"/>
        <v>50.505050505050505</v>
      </c>
      <c r="AC848">
        <f t="shared" si="618"/>
        <v>1477.2727272727273</v>
      </c>
      <c r="AD848">
        <f t="shared" si="637"/>
        <v>80.505050505050505</v>
      </c>
      <c r="AE848">
        <f t="shared" si="638"/>
        <v>117.73863636363636</v>
      </c>
      <c r="AF848" s="94">
        <f t="shared" si="639"/>
        <v>3404.9886363636365</v>
      </c>
      <c r="AG848">
        <f t="shared" si="652"/>
        <v>2.5004884545170203E-4</v>
      </c>
      <c r="AH848">
        <f t="shared" si="640"/>
        <v>7.7536227129395854E-2</v>
      </c>
      <c r="AI848">
        <f>HLOOKUP(AW848,'Real assumptions'!$A$21:$AK$24,2,TRUE)</f>
        <v>0</v>
      </c>
      <c r="AJ848" s="123">
        <f t="shared" si="619"/>
        <v>0</v>
      </c>
      <c r="AK848" s="122">
        <f>(1+HLOOKUP(YEAR(A848),'Real assumptions'!$A$21:$AK$24,2,TRUE)/100)^(1/12)-1</f>
        <v>0</v>
      </c>
      <c r="AL848">
        <f t="shared" si="653"/>
        <v>5.635471268932591E-4</v>
      </c>
      <c r="AM848">
        <f>('Real assumptions'!$B$33/12)*O847*AV847</f>
        <v>5.4224007973604929E-4</v>
      </c>
      <c r="AN848">
        <f t="shared" si="641"/>
        <v>7.7667192844258159E-2</v>
      </c>
      <c r="AO848">
        <f t="shared" si="620"/>
        <v>0</v>
      </c>
      <c r="AP848" s="121">
        <f t="shared" si="642"/>
        <v>0</v>
      </c>
      <c r="AQ848">
        <f t="shared" si="643"/>
        <v>0</v>
      </c>
      <c r="AR848">
        <v>0</v>
      </c>
      <c r="AS848">
        <f t="shared" si="626"/>
        <v>0</v>
      </c>
      <c r="AT848">
        <f t="shared" si="644"/>
        <v>0</v>
      </c>
      <c r="AU848">
        <f>IFERROR(HLOOKUP(B848,'Real assumptions'!$B$43:$AL$44,2,TRUE)*($W$3/$U$2),0)</f>
        <v>0</v>
      </c>
      <c r="AV848">
        <f>AV847*(1+'Real assumptions'!$B$35)^(1/12)</f>
        <v>2.376040768705971</v>
      </c>
      <c r="AW848">
        <f t="shared" si="627"/>
        <v>2088</v>
      </c>
      <c r="AX848">
        <f t="shared" si="654"/>
        <v>7.7778612968270142E-2</v>
      </c>
      <c r="AY848">
        <f t="shared" si="655"/>
        <v>9.6148137734193898E-5</v>
      </c>
      <c r="AZ848">
        <f t="shared" si="628"/>
        <v>8.5820067612988937E-2</v>
      </c>
      <c r="BA848">
        <f t="shared" si="645"/>
        <v>2.5004884545170203E-4</v>
      </c>
      <c r="BB848">
        <f t="shared" si="646"/>
        <v>29.25</v>
      </c>
      <c r="BC848">
        <f t="shared" si="629"/>
        <v>17.549999999999997</v>
      </c>
      <c r="BD848">
        <f t="shared" si="647"/>
        <v>0</v>
      </c>
      <c r="BE848">
        <f t="shared" si="630"/>
        <v>24</v>
      </c>
      <c r="BF848">
        <f t="shared" si="656"/>
        <v>5000</v>
      </c>
      <c r="BU848"/>
      <c r="DW848" s="89"/>
      <c r="DX848" s="89"/>
      <c r="FD848"/>
      <c r="FE848"/>
    </row>
    <row r="849" spans="1:161" x14ac:dyDescent="0.25">
      <c r="A849" s="7">
        <f t="shared" si="648"/>
        <v>68941</v>
      </c>
      <c r="B849">
        <f t="shared" si="631"/>
        <v>838</v>
      </c>
      <c r="C849">
        <f t="shared" si="612"/>
        <v>69.75</v>
      </c>
      <c r="D849">
        <f t="shared" si="613"/>
        <v>0</v>
      </c>
      <c r="E849">
        <f t="shared" si="632"/>
        <v>121</v>
      </c>
      <c r="F849">
        <f>IF(C849&gt;=$T$2,0,VLOOKUP($E849,EKM_F05!$A$3:$C$128,2,TRUE))</f>
        <v>0</v>
      </c>
      <c r="G849">
        <f>F849*'Real assumptions'!$B$3</f>
        <v>0</v>
      </c>
      <c r="H849">
        <f t="shared" si="614"/>
        <v>0</v>
      </c>
      <c r="I849">
        <f t="shared" si="615"/>
        <v>0</v>
      </c>
      <c r="J849">
        <f>IF(B849&gt;$AJ$2,0,HLOOKUP(C849,'Real assumptions'!$B$5:$L$8,4,TRUE))</f>
        <v>3.7900000000000003E-2</v>
      </c>
      <c r="K849">
        <f t="shared" si="621"/>
        <v>1</v>
      </c>
      <c r="L849">
        <f t="shared" si="649"/>
        <v>8.3333333333333329E-2</v>
      </c>
      <c r="M849">
        <f t="shared" si="616"/>
        <v>3.2145624959929453E-3</v>
      </c>
      <c r="N849">
        <f t="shared" si="617"/>
        <v>7.3199964648671578E-8</v>
      </c>
      <c r="O849" s="8">
        <f t="shared" si="633"/>
        <v>2.2698161531641312E-5</v>
      </c>
      <c r="P849">
        <f t="shared" si="634"/>
        <v>5.4651267591095966E-4</v>
      </c>
      <c r="Q849">
        <f t="shared" si="650"/>
        <v>0</v>
      </c>
      <c r="R849" s="89">
        <f t="shared" si="622"/>
        <v>5000</v>
      </c>
      <c r="S849">
        <f t="shared" si="623"/>
        <v>0.1666666666666714</v>
      </c>
      <c r="U849">
        <f>O848*AV848*'Real assumptions'!$B$33/12+AX849*'Real assumptions'!$B$34</f>
        <v>5.6232373417031416E-4</v>
      </c>
      <c r="V849">
        <f>IF(P849=0,0,IF(E849&lt;=$C$7,$AN$5*O848,0))*'Real assumptions'!$D$28</f>
        <v>0</v>
      </c>
      <c r="X849" s="94">
        <f t="shared" si="635"/>
        <v>0</v>
      </c>
      <c r="Y849">
        <f t="shared" si="624"/>
        <v>24</v>
      </c>
      <c r="Z849">
        <f t="shared" si="651"/>
        <v>29</v>
      </c>
      <c r="AA849">
        <f t="shared" si="625"/>
        <v>29.166666666666671</v>
      </c>
      <c r="AB849">
        <f t="shared" si="636"/>
        <v>50.505050505050505</v>
      </c>
      <c r="AC849">
        <f t="shared" si="618"/>
        <v>1473.0639730639732</v>
      </c>
      <c r="AD849">
        <f t="shared" si="637"/>
        <v>80.505050505050505</v>
      </c>
      <c r="AE849">
        <f t="shared" si="638"/>
        <v>117.40319865319867</v>
      </c>
      <c r="AF849" s="94">
        <f t="shared" si="639"/>
        <v>3409.5328282828282</v>
      </c>
      <c r="AG849">
        <f t="shared" si="652"/>
        <v>2.4957768249878824E-4</v>
      </c>
      <c r="AH849">
        <f t="shared" si="640"/>
        <v>7.7390126883797497E-2</v>
      </c>
      <c r="AI849">
        <f>HLOOKUP(AW849,'Real assumptions'!$A$21:$AK$24,2,TRUE)</f>
        <v>0</v>
      </c>
      <c r="AJ849" s="123">
        <f t="shared" si="619"/>
        <v>0</v>
      </c>
      <c r="AK849" s="122">
        <f>(1+HLOOKUP(YEAR(A849),'Real assumptions'!$A$21:$AK$24,2,TRUE)/100)^(1/12)-1</f>
        <v>0</v>
      </c>
      <c r="AL849">
        <f t="shared" si="653"/>
        <v>5.6232373417031416E-4</v>
      </c>
      <c r="AM849">
        <f>('Real assumptions'!$B$33/12)*O848*AV848</f>
        <v>5.4105683274126401E-4</v>
      </c>
      <c r="AN849">
        <f t="shared" si="641"/>
        <v>7.7520416071136508E-2</v>
      </c>
      <c r="AO849">
        <f t="shared" si="620"/>
        <v>0</v>
      </c>
      <c r="AP849" s="121">
        <f t="shared" si="642"/>
        <v>0</v>
      </c>
      <c r="AQ849">
        <f t="shared" si="643"/>
        <v>0</v>
      </c>
      <c r="AR849">
        <v>0</v>
      </c>
      <c r="AS849">
        <f t="shared" si="626"/>
        <v>0</v>
      </c>
      <c r="AT849">
        <f t="shared" si="644"/>
        <v>0</v>
      </c>
      <c r="AU849">
        <f>IFERROR(HLOOKUP(B849,'Real assumptions'!$B$43:$AL$44,2,TRUE)*($W$3/$U$2),0)</f>
        <v>0</v>
      </c>
      <c r="AV849">
        <f>AV848*(1+'Real assumptions'!$B$35)^(1/12)</f>
        <v>2.3785017434629192</v>
      </c>
      <c r="AW849">
        <f t="shared" si="627"/>
        <v>2088</v>
      </c>
      <c r="AX849">
        <f t="shared" si="654"/>
        <v>7.7632066192932433E-2</v>
      </c>
      <c r="AY849">
        <f t="shared" si="655"/>
        <v>9.5839063536573994E-5</v>
      </c>
      <c r="AZ849">
        <f t="shared" si="628"/>
        <v>8.5554678872230797E-2</v>
      </c>
      <c r="BA849">
        <f t="shared" si="645"/>
        <v>2.4957768249878824E-4</v>
      </c>
      <c r="BB849">
        <f t="shared" si="646"/>
        <v>29.166666666666671</v>
      </c>
      <c r="BC849">
        <f t="shared" si="629"/>
        <v>17.5</v>
      </c>
      <c r="BD849">
        <f t="shared" si="647"/>
        <v>0</v>
      </c>
      <c r="BE849">
        <f t="shared" si="630"/>
        <v>24</v>
      </c>
      <c r="BF849">
        <f t="shared" si="656"/>
        <v>5000</v>
      </c>
      <c r="BU849"/>
      <c r="DW849" s="89"/>
      <c r="DX849" s="89"/>
      <c r="FD849"/>
      <c r="FE849"/>
    </row>
    <row r="850" spans="1:161" x14ac:dyDescent="0.25">
      <c r="A850" s="7">
        <f t="shared" si="648"/>
        <v>68972</v>
      </c>
      <c r="B850">
        <f t="shared" si="631"/>
        <v>839</v>
      </c>
      <c r="C850">
        <f t="shared" si="612"/>
        <v>69.833333333333329</v>
      </c>
      <c r="D850">
        <f t="shared" si="613"/>
        <v>0</v>
      </c>
      <c r="E850">
        <f t="shared" si="632"/>
        <v>121</v>
      </c>
      <c r="F850">
        <f>IF(C850&gt;=$T$2,0,VLOOKUP($E850,EKM_F05!$A$3:$C$128,2,TRUE))</f>
        <v>0</v>
      </c>
      <c r="G850">
        <f>F850*'Real assumptions'!$B$3</f>
        <v>0</v>
      </c>
      <c r="H850">
        <f t="shared" si="614"/>
        <v>0</v>
      </c>
      <c r="I850">
        <f t="shared" si="615"/>
        <v>0</v>
      </c>
      <c r="J850">
        <f>IF(B850&gt;$AJ$2,0,HLOOKUP(C850,'Real assumptions'!$B$5:$L$8,4,TRUE))</f>
        <v>3.7900000000000003E-2</v>
      </c>
      <c r="K850">
        <f t="shared" si="621"/>
        <v>1</v>
      </c>
      <c r="L850">
        <f t="shared" si="649"/>
        <v>8.3333333333333329E-2</v>
      </c>
      <c r="M850">
        <f t="shared" si="616"/>
        <v>3.2145624959929453E-3</v>
      </c>
      <c r="N850">
        <f t="shared" si="617"/>
        <v>7.2964658787603946E-8</v>
      </c>
      <c r="O850" s="8">
        <f t="shared" si="633"/>
        <v>2.2625196872853707E-5</v>
      </c>
      <c r="P850">
        <f t="shared" si="634"/>
        <v>5.447558767593915E-4</v>
      </c>
      <c r="Q850">
        <f t="shared" si="650"/>
        <v>0</v>
      </c>
      <c r="R850" s="89">
        <f t="shared" si="622"/>
        <v>5000</v>
      </c>
      <c r="S850">
        <f t="shared" si="623"/>
        <v>8.3333333333328596E-2</v>
      </c>
      <c r="U850">
        <f>O849*AV849*'Real assumptions'!$B$33/12+AX850*'Real assumptions'!$B$34</f>
        <v>5.6110296139241529E-4</v>
      </c>
      <c r="V850">
        <f>IF(P850=0,0,IF(E850&lt;=$C$7,$AN$5*O849,0))*'Real assumptions'!$D$28</f>
        <v>0</v>
      </c>
      <c r="X850" s="94">
        <f t="shared" si="635"/>
        <v>0</v>
      </c>
      <c r="Y850">
        <f t="shared" si="624"/>
        <v>24</v>
      </c>
      <c r="Z850">
        <f t="shared" si="651"/>
        <v>29</v>
      </c>
      <c r="AA850">
        <f t="shared" si="625"/>
        <v>29.083333333333329</v>
      </c>
      <c r="AB850">
        <f t="shared" si="636"/>
        <v>50.505050505050505</v>
      </c>
      <c r="AC850">
        <f t="shared" si="618"/>
        <v>1468.8552188552187</v>
      </c>
      <c r="AD850">
        <f t="shared" si="637"/>
        <v>80.505050505050505</v>
      </c>
      <c r="AE850">
        <f t="shared" si="638"/>
        <v>117.06776094276091</v>
      </c>
      <c r="AF850" s="94">
        <f t="shared" si="639"/>
        <v>3414.0770202020208</v>
      </c>
      <c r="AG850">
        <f t="shared" si="652"/>
        <v>2.491069648536401E-4</v>
      </c>
      <c r="AH850">
        <f t="shared" si="640"/>
        <v>7.7244164721156458E-2</v>
      </c>
      <c r="AI850">
        <f>HLOOKUP(AW850,'Real assumptions'!$A$21:$AK$24,2,TRUE)</f>
        <v>0</v>
      </c>
      <c r="AJ850" s="123">
        <f t="shared" si="619"/>
        <v>0</v>
      </c>
      <c r="AK850" s="122">
        <f>(1+HLOOKUP(YEAR(A850),'Real assumptions'!$A$21:$AK$24,2,TRUE)/100)^(1/12)-1</f>
        <v>0</v>
      </c>
      <c r="AL850">
        <f t="shared" si="653"/>
        <v>5.6110296139241529E-4</v>
      </c>
      <c r="AM850">
        <f>('Real assumptions'!$B$33/12)*O849*AV849</f>
        <v>5.3987616776411825E-4</v>
      </c>
      <c r="AN850">
        <f t="shared" si="641"/>
        <v>7.7373779799164474E-2</v>
      </c>
      <c r="AO850">
        <f t="shared" si="620"/>
        <v>0</v>
      </c>
      <c r="AP850" s="121">
        <f t="shared" si="642"/>
        <v>0</v>
      </c>
      <c r="AQ850">
        <f t="shared" si="643"/>
        <v>0</v>
      </c>
      <c r="AR850">
        <v>0</v>
      </c>
      <c r="AS850">
        <f t="shared" si="626"/>
        <v>0</v>
      </c>
      <c r="AT850">
        <f t="shared" si="644"/>
        <v>0</v>
      </c>
      <c r="AU850">
        <f>IFERROR(HLOOKUP(B850,'Real assumptions'!$B$43:$AL$44,2,TRUE)*($W$3/$U$2),0)</f>
        <v>0</v>
      </c>
      <c r="AV850">
        <f>AV849*(1+'Real assumptions'!$B$35)^(1/12)</f>
        <v>2.3809652671646639</v>
      </c>
      <c r="AW850">
        <f t="shared" si="627"/>
        <v>2088</v>
      </c>
      <c r="AX850">
        <f t="shared" si="654"/>
        <v>7.7485657866674773E-2</v>
      </c>
      <c r="AY850">
        <f t="shared" si="655"/>
        <v>9.5530982877278239E-5</v>
      </c>
      <c r="AZ850">
        <f t="shared" si="628"/>
        <v>8.5289224822744134E-2</v>
      </c>
      <c r="BA850">
        <f t="shared" si="645"/>
        <v>2.491069648536401E-4</v>
      </c>
      <c r="BB850">
        <f t="shared" si="646"/>
        <v>29.083333333333329</v>
      </c>
      <c r="BC850">
        <f t="shared" si="629"/>
        <v>17.449999999999996</v>
      </c>
      <c r="BD850">
        <f t="shared" si="647"/>
        <v>0</v>
      </c>
      <c r="BE850">
        <f t="shared" si="630"/>
        <v>24</v>
      </c>
      <c r="BF850">
        <f t="shared" si="656"/>
        <v>5000</v>
      </c>
      <c r="BU850"/>
      <c r="DW850" s="89"/>
      <c r="DX850" s="89"/>
      <c r="FD850"/>
      <c r="FE850"/>
    </row>
    <row r="851" spans="1:161" x14ac:dyDescent="0.25">
      <c r="A851" s="7">
        <f t="shared" si="648"/>
        <v>69002</v>
      </c>
      <c r="B851">
        <f t="shared" si="631"/>
        <v>840</v>
      </c>
      <c r="C851">
        <f t="shared" si="612"/>
        <v>69.916666666666671</v>
      </c>
      <c r="D851">
        <f t="shared" si="613"/>
        <v>0</v>
      </c>
      <c r="E851">
        <f t="shared" si="632"/>
        <v>121</v>
      </c>
      <c r="F851">
        <f>IF(C851&gt;=$T$2,0,VLOOKUP($E851,EKM_F05!$A$3:$C$128,2,TRUE))</f>
        <v>0</v>
      </c>
      <c r="G851">
        <f>F851*'Real assumptions'!$B$3</f>
        <v>0</v>
      </c>
      <c r="H851">
        <f t="shared" si="614"/>
        <v>0</v>
      </c>
      <c r="I851">
        <f t="shared" si="615"/>
        <v>0</v>
      </c>
      <c r="J851">
        <f>IF(B851&gt;$AJ$2,0,HLOOKUP(C851,'Real assumptions'!$B$5:$L$8,4,TRUE))</f>
        <v>3.7900000000000003E-2</v>
      </c>
      <c r="K851">
        <f t="shared" si="621"/>
        <v>1</v>
      </c>
      <c r="L851">
        <f t="shared" si="649"/>
        <v>8.3333333333333329E-2</v>
      </c>
      <c r="M851">
        <f t="shared" si="616"/>
        <v>3.2145624959929453E-3</v>
      </c>
      <c r="N851">
        <f t="shared" si="617"/>
        <v>7.2730109331932388E-8</v>
      </c>
      <c r="O851" s="8">
        <f t="shared" si="633"/>
        <v>2.2552466763521775E-5</v>
      </c>
      <c r="P851">
        <f t="shared" si="634"/>
        <v>5.4300472494848897E-4</v>
      </c>
      <c r="Q851">
        <f t="shared" si="650"/>
        <v>0</v>
      </c>
      <c r="R851" s="89">
        <f t="shared" si="622"/>
        <v>5000</v>
      </c>
      <c r="S851">
        <f t="shared" si="623"/>
        <v>1</v>
      </c>
      <c r="U851">
        <f>O850*AV850*'Real assumptions'!$B$33/12+AX851*'Real assumptions'!$B$34</f>
        <v>5.5988480309622534E-4</v>
      </c>
      <c r="V851">
        <f>IF(P851=0,0,IF(E851&lt;=$C$7,$AN$5*O850,0))*'Real assumptions'!$D$28</f>
        <v>0</v>
      </c>
      <c r="X851" s="94">
        <f t="shared" si="635"/>
        <v>0</v>
      </c>
      <c r="Y851">
        <f t="shared" si="624"/>
        <v>24</v>
      </c>
      <c r="Z851">
        <f t="shared" si="651"/>
        <v>29</v>
      </c>
      <c r="AA851">
        <f t="shared" si="625"/>
        <v>29</v>
      </c>
      <c r="AB851">
        <f t="shared" si="636"/>
        <v>50.505050505050505</v>
      </c>
      <c r="AC851">
        <f t="shared" si="618"/>
        <v>1464.6464646464647</v>
      </c>
      <c r="AD851">
        <f t="shared" si="637"/>
        <v>80.505050505050505</v>
      </c>
      <c r="AE851">
        <f t="shared" si="638"/>
        <v>116.73232323232322</v>
      </c>
      <c r="AF851" s="94">
        <f t="shared" si="639"/>
        <v>3418.621212121212</v>
      </c>
      <c r="AG851">
        <f t="shared" si="652"/>
        <v>2.48636694522039E-4</v>
      </c>
      <c r="AH851">
        <f t="shared" si="640"/>
        <v>7.7098341263434164E-2</v>
      </c>
      <c r="AI851">
        <f>HLOOKUP(AW851,'Real assumptions'!$A$21:$AK$24,2,TRUE)</f>
        <v>0</v>
      </c>
      <c r="AJ851" s="123">
        <f t="shared" si="619"/>
        <v>0</v>
      </c>
      <c r="AK851" s="122">
        <f>(1+HLOOKUP(YEAR(A851),'Real assumptions'!$A$21:$AK$24,2,TRUE)/100)^(1/12)-1</f>
        <v>0</v>
      </c>
      <c r="AL851">
        <f t="shared" si="653"/>
        <v>5.5988480309622534E-4</v>
      </c>
      <c r="AM851">
        <f>('Real assumptions'!$B$33/12)*O850*AV850</f>
        <v>5.3869807917027244E-4</v>
      </c>
      <c r="AN851">
        <f t="shared" si="641"/>
        <v>7.7227284643008723E-2</v>
      </c>
      <c r="AO851">
        <f t="shared" si="620"/>
        <v>0</v>
      </c>
      <c r="AP851" s="121">
        <f t="shared" si="642"/>
        <v>0</v>
      </c>
      <c r="AQ851">
        <f t="shared" si="643"/>
        <v>0</v>
      </c>
      <c r="AR851">
        <v>0</v>
      </c>
      <c r="AS851">
        <f t="shared" si="626"/>
        <v>0</v>
      </c>
      <c r="AT851">
        <f t="shared" si="644"/>
        <v>0</v>
      </c>
      <c r="AU851">
        <f>IFERROR(HLOOKUP(B851,'Real assumptions'!$B$43:$AL$44,2,TRUE)*($W$3/$U$2),0)</f>
        <v>0</v>
      </c>
      <c r="AV851">
        <f>AV850*(1+'Real assumptions'!$B$35)^(1/12)</f>
        <v>2.383431342451265</v>
      </c>
      <c r="AW851">
        <f t="shared" si="627"/>
        <v>2088</v>
      </c>
      <c r="AX851">
        <f t="shared" si="654"/>
        <v>7.7339388613718973E-2</v>
      </c>
      <c r="AY851">
        <f t="shared" si="655"/>
        <v>9.522389256251559E-5</v>
      </c>
      <c r="AZ851">
        <f t="shared" si="628"/>
        <v>8.5023708050074365E-2</v>
      </c>
      <c r="BA851">
        <f t="shared" si="645"/>
        <v>2.48636694522039E-4</v>
      </c>
      <c r="BB851">
        <f t="shared" si="646"/>
        <v>29</v>
      </c>
      <c r="BC851">
        <f t="shared" si="629"/>
        <v>17.399999999999999</v>
      </c>
      <c r="BD851">
        <f t="shared" si="647"/>
        <v>0</v>
      </c>
      <c r="BE851">
        <f t="shared" si="630"/>
        <v>24</v>
      </c>
      <c r="BF851">
        <f t="shared" si="656"/>
        <v>5000</v>
      </c>
      <c r="BU851"/>
      <c r="DW851" s="89"/>
      <c r="DX851" s="89"/>
      <c r="FD851"/>
      <c r="FE851"/>
    </row>
    <row r="852" spans="1:161" x14ac:dyDescent="0.25">
      <c r="A852" s="7">
        <f t="shared" si="648"/>
        <v>69033</v>
      </c>
      <c r="B852">
        <f t="shared" si="631"/>
        <v>841</v>
      </c>
      <c r="C852">
        <f t="shared" si="612"/>
        <v>70</v>
      </c>
      <c r="D852">
        <f t="shared" si="613"/>
        <v>1</v>
      </c>
      <c r="E852">
        <f t="shared" si="632"/>
        <v>122</v>
      </c>
      <c r="F852">
        <f>IF(C852&gt;=$T$2,0,VLOOKUP($E852,EKM_F05!$A$3:$C$128,2,TRUE))</f>
        <v>0</v>
      </c>
      <c r="G852">
        <f>F852*'Real assumptions'!$B$3</f>
        <v>0</v>
      </c>
      <c r="H852">
        <f t="shared" si="614"/>
        <v>0</v>
      </c>
      <c r="I852">
        <f t="shared" si="615"/>
        <v>0</v>
      </c>
      <c r="J852">
        <f>IF(B852&gt;$AJ$2,0,HLOOKUP(C852,'Real assumptions'!$B$5:$L$8,4,TRUE))</f>
        <v>3.7900000000000003E-2</v>
      </c>
      <c r="K852">
        <f t="shared" si="621"/>
        <v>1</v>
      </c>
      <c r="L852">
        <f t="shared" si="649"/>
        <v>8.3333333333333329E-2</v>
      </c>
      <c r="M852">
        <f t="shared" si="616"/>
        <v>3.2145624959929453E-3</v>
      </c>
      <c r="N852">
        <f t="shared" si="617"/>
        <v>7.2496313850144496E-8</v>
      </c>
      <c r="O852" s="8">
        <f t="shared" si="633"/>
        <v>2.2479970449671631E-5</v>
      </c>
      <c r="P852">
        <f t="shared" si="634"/>
        <v>5.4125920232452258E-4</v>
      </c>
      <c r="Q852">
        <f t="shared" si="650"/>
        <v>0</v>
      </c>
      <c r="R852" s="89">
        <f t="shared" si="622"/>
        <v>5000</v>
      </c>
      <c r="S852">
        <f t="shared" si="623"/>
        <v>0.9166666666666714</v>
      </c>
      <c r="U852">
        <f>O851*AV851*'Real assumptions'!$B$33/12+AX852*'Real assumptions'!$B$34</f>
        <v>5.5866925382921104E-4</v>
      </c>
      <c r="V852">
        <f>IF(P852=0,0,IF(E852&lt;=$C$7,$AN$5*O851,0))*'Real assumptions'!$D$28</f>
        <v>0</v>
      </c>
      <c r="X852" s="94">
        <f t="shared" si="635"/>
        <v>0</v>
      </c>
      <c r="Y852">
        <f t="shared" si="624"/>
        <v>24</v>
      </c>
      <c r="Z852">
        <f t="shared" si="651"/>
        <v>29</v>
      </c>
      <c r="AA852">
        <f t="shared" si="625"/>
        <v>28.916666666666671</v>
      </c>
      <c r="AB852">
        <f t="shared" si="636"/>
        <v>50.505050505050505</v>
      </c>
      <c r="AC852">
        <f t="shared" si="618"/>
        <v>1460.4377104377106</v>
      </c>
      <c r="AD852">
        <f t="shared" si="637"/>
        <v>80.505050505050505</v>
      </c>
      <c r="AE852">
        <f t="shared" si="638"/>
        <v>116.39688552188554</v>
      </c>
      <c r="AF852" s="94">
        <f t="shared" si="639"/>
        <v>3423.1654040404037</v>
      </c>
      <c r="AG852">
        <f t="shared" si="652"/>
        <v>2.481668734922698E-4</v>
      </c>
      <c r="AH852">
        <f t="shared" si="640"/>
        <v>7.6952657127166521E-2</v>
      </c>
      <c r="AI852">
        <f>HLOOKUP(AW852,'Real assumptions'!$A$21:$AK$24,2,TRUE)</f>
        <v>0</v>
      </c>
      <c r="AJ852" s="123">
        <f t="shared" si="619"/>
        <v>0</v>
      </c>
      <c r="AK852" s="122">
        <f>(1+HLOOKUP(YEAR(A852),'Real assumptions'!$A$21:$AK$24,2,TRUE)/100)^(1/12)-1</f>
        <v>0</v>
      </c>
      <c r="AL852">
        <f t="shared" si="653"/>
        <v>5.5866925382921104E-4</v>
      </c>
      <c r="AM852">
        <f>('Real assumptions'!$B$33/12)*O851*AV851</f>
        <v>5.3752256133768241E-4</v>
      </c>
      <c r="AN852">
        <f t="shared" si="641"/>
        <v>7.7080931211929479E-2</v>
      </c>
      <c r="AO852">
        <f t="shared" si="620"/>
        <v>0</v>
      </c>
      <c r="AP852" s="121">
        <f t="shared" si="642"/>
        <v>0</v>
      </c>
      <c r="AQ852">
        <f t="shared" si="643"/>
        <v>0</v>
      </c>
      <c r="AR852">
        <v>0</v>
      </c>
      <c r="AS852">
        <f t="shared" si="626"/>
        <v>0</v>
      </c>
      <c r="AT852">
        <f t="shared" si="644"/>
        <v>0</v>
      </c>
      <c r="AU852">
        <f>IFERROR(HLOOKUP(B852,'Real assumptions'!$B$43:$AL$44,2,TRUE)*($W$3/$U$2),0)</f>
        <v>0</v>
      </c>
      <c r="AV852">
        <f>AV851*(1+'Real assumptions'!$B$35)^(1/12)</f>
        <v>2.3858999719655158</v>
      </c>
      <c r="AW852">
        <f t="shared" si="627"/>
        <v>2088</v>
      </c>
      <c r="AX852">
        <f t="shared" si="654"/>
        <v>7.7193259052842925E-2</v>
      </c>
      <c r="AY852">
        <f t="shared" si="655"/>
        <v>9.4917789408761679E-5</v>
      </c>
      <c r="AZ852">
        <f t="shared" si="628"/>
        <v>8.4758131125077407E-2</v>
      </c>
      <c r="BA852">
        <f t="shared" si="645"/>
        <v>2.481668734922698E-4</v>
      </c>
      <c r="BB852">
        <f t="shared" si="646"/>
        <v>28.916666666666671</v>
      </c>
      <c r="BC852">
        <f t="shared" si="629"/>
        <v>17.350000000000001</v>
      </c>
      <c r="BD852">
        <f t="shared" si="647"/>
        <v>0</v>
      </c>
      <c r="BE852">
        <f t="shared" si="630"/>
        <v>24</v>
      </c>
      <c r="BF852">
        <f t="shared" si="656"/>
        <v>5000</v>
      </c>
      <c r="BU852"/>
      <c r="DW852" s="89"/>
      <c r="DX852" s="89"/>
      <c r="FD852"/>
      <c r="FE852"/>
    </row>
    <row r="853" spans="1:161" x14ac:dyDescent="0.25">
      <c r="A853" s="7">
        <f t="shared" si="648"/>
        <v>69064</v>
      </c>
      <c r="B853">
        <f t="shared" si="631"/>
        <v>842</v>
      </c>
      <c r="C853">
        <f t="shared" si="612"/>
        <v>70.083333333333329</v>
      </c>
      <c r="D853">
        <f t="shared" si="613"/>
        <v>0</v>
      </c>
      <c r="E853">
        <f t="shared" si="632"/>
        <v>122</v>
      </c>
      <c r="F853">
        <f>IF(C853&gt;=$T$2,0,VLOOKUP($E853,EKM_F05!$A$3:$C$128,2,TRUE))</f>
        <v>0</v>
      </c>
      <c r="G853">
        <f>F853*'Real assumptions'!$B$3</f>
        <v>0</v>
      </c>
      <c r="H853">
        <f t="shared" si="614"/>
        <v>0</v>
      </c>
      <c r="I853">
        <f t="shared" si="615"/>
        <v>0</v>
      </c>
      <c r="J853">
        <f>IF(B853&gt;$AJ$2,0,HLOOKUP(C853,'Real assumptions'!$B$5:$L$8,4,TRUE))</f>
        <v>3.7900000000000003E-2</v>
      </c>
      <c r="K853">
        <f t="shared" si="621"/>
        <v>1</v>
      </c>
      <c r="L853">
        <f t="shared" si="649"/>
        <v>8.3333333333333329E-2</v>
      </c>
      <c r="M853">
        <f t="shared" si="616"/>
        <v>3.2145624959929453E-3</v>
      </c>
      <c r="N853">
        <f t="shared" si="617"/>
        <v>7.2263269918544087E-8</v>
      </c>
      <c r="O853" s="8">
        <f t="shared" si="633"/>
        <v>2.2407707179753088E-5</v>
      </c>
      <c r="P853">
        <f t="shared" si="634"/>
        <v>5.3951929079211914E-4</v>
      </c>
      <c r="Q853">
        <f t="shared" si="650"/>
        <v>0</v>
      </c>
      <c r="R853" s="89">
        <f t="shared" si="622"/>
        <v>5000</v>
      </c>
      <c r="S853">
        <f t="shared" si="623"/>
        <v>0.8333333333333286</v>
      </c>
      <c r="U853">
        <f>O852*AV852*'Real assumptions'!$B$33/12+AX853*'Real assumptions'!$B$34</f>
        <v>5.5745630814962345E-4</v>
      </c>
      <c r="V853">
        <f>IF(P853=0,0,IF(E853&lt;=$C$7,$AN$5*O852,0))*'Real assumptions'!$D$28</f>
        <v>0</v>
      </c>
      <c r="X853" s="94">
        <f t="shared" si="635"/>
        <v>0</v>
      </c>
      <c r="Y853">
        <f t="shared" si="624"/>
        <v>24</v>
      </c>
      <c r="Z853">
        <f t="shared" si="651"/>
        <v>28</v>
      </c>
      <c r="AA853">
        <f t="shared" si="625"/>
        <v>28.833333333333329</v>
      </c>
      <c r="AB853">
        <f t="shared" si="636"/>
        <v>50.505050505050505</v>
      </c>
      <c r="AC853">
        <f t="shared" si="618"/>
        <v>1456.2289562289559</v>
      </c>
      <c r="AD853">
        <f t="shared" si="637"/>
        <v>80.505050505050505</v>
      </c>
      <c r="AE853">
        <f t="shared" si="638"/>
        <v>116.06144781144779</v>
      </c>
      <c r="AF853" s="94">
        <f t="shared" si="639"/>
        <v>3427.7095959595963</v>
      </c>
      <c r="AG853">
        <f t="shared" si="652"/>
        <v>2.4769750373521203E-4</v>
      </c>
      <c r="AH853">
        <f t="shared" si="640"/>
        <v>7.6807112923492404E-2</v>
      </c>
      <c r="AI853">
        <f>HLOOKUP(AW853,'Real assumptions'!$A$21:$AK$24,2,TRUE)</f>
        <v>0</v>
      </c>
      <c r="AJ853" s="123">
        <f t="shared" si="619"/>
        <v>0</v>
      </c>
      <c r="AK853" s="122">
        <f>(1+HLOOKUP(YEAR(A853),'Real assumptions'!$A$21:$AK$24,2,TRUE)/100)^(1/12)-1</f>
        <v>0</v>
      </c>
      <c r="AL853">
        <f t="shared" si="653"/>
        <v>5.5745630814962345E-4</v>
      </c>
      <c r="AM853">
        <f>('Real assumptions'!$B$33/12)*O852*AV852</f>
        <v>5.3634960865657163E-4</v>
      </c>
      <c r="AN853">
        <f t="shared" si="641"/>
        <v>7.6934720109809007E-2</v>
      </c>
      <c r="AO853">
        <f t="shared" si="620"/>
        <v>0</v>
      </c>
      <c r="AP853" s="121">
        <f t="shared" si="642"/>
        <v>0</v>
      </c>
      <c r="AQ853">
        <f t="shared" si="643"/>
        <v>0</v>
      </c>
      <c r="AR853">
        <v>0</v>
      </c>
      <c r="AS853">
        <f t="shared" si="626"/>
        <v>0</v>
      </c>
      <c r="AT853">
        <f t="shared" si="644"/>
        <v>0</v>
      </c>
      <c r="AU853">
        <f>IFERROR(HLOOKUP(B853,'Real assumptions'!$B$43:$AL$44,2,TRUE)*($W$3/$U$2),0)</f>
        <v>0</v>
      </c>
      <c r="AV853">
        <f>AV852*(1+'Real assumptions'!$B$35)^(1/12)</f>
        <v>2.3883711583529479</v>
      </c>
      <c r="AW853">
        <f t="shared" si="627"/>
        <v>2089</v>
      </c>
      <c r="AX853">
        <f t="shared" si="654"/>
        <v>7.7047269797409251E-2</v>
      </c>
      <c r="AY853">
        <f t="shared" si="655"/>
        <v>9.4612670242725708E-5</v>
      </c>
      <c r="AZ853">
        <f t="shared" si="628"/>
        <v>8.4492496603984682E-2</v>
      </c>
      <c r="BA853">
        <f t="shared" si="645"/>
        <v>2.4769750373521203E-4</v>
      </c>
      <c r="BB853">
        <f t="shared" si="646"/>
        <v>28.833333333333329</v>
      </c>
      <c r="BC853">
        <f t="shared" si="629"/>
        <v>17.299999999999997</v>
      </c>
      <c r="BD853">
        <f t="shared" si="647"/>
        <v>0</v>
      </c>
      <c r="BE853">
        <f t="shared" si="630"/>
        <v>24</v>
      </c>
      <c r="BF853">
        <f t="shared" si="656"/>
        <v>5000</v>
      </c>
      <c r="BU853"/>
      <c r="DW853" s="89"/>
      <c r="DX853" s="89"/>
      <c r="FD853"/>
      <c r="FE853"/>
    </row>
    <row r="854" spans="1:161" x14ac:dyDescent="0.25">
      <c r="A854" s="7">
        <f t="shared" si="648"/>
        <v>69092</v>
      </c>
      <c r="B854">
        <f t="shared" si="631"/>
        <v>843</v>
      </c>
      <c r="C854">
        <f t="shared" si="612"/>
        <v>70.166666666666671</v>
      </c>
      <c r="D854">
        <f t="shared" si="613"/>
        <v>0</v>
      </c>
      <c r="E854">
        <f t="shared" si="632"/>
        <v>122</v>
      </c>
      <c r="F854">
        <f>IF(C854&gt;=$T$2,0,VLOOKUP($E854,EKM_F05!$A$3:$C$128,2,TRUE))</f>
        <v>0</v>
      </c>
      <c r="G854">
        <f>F854*'Real assumptions'!$B$3</f>
        <v>0</v>
      </c>
      <c r="H854">
        <f t="shared" si="614"/>
        <v>0</v>
      </c>
      <c r="I854">
        <f t="shared" si="615"/>
        <v>0</v>
      </c>
      <c r="J854">
        <f>IF(B854&gt;$AJ$2,0,HLOOKUP(C854,'Real assumptions'!$B$5:$L$8,4,TRUE))</f>
        <v>3.7900000000000003E-2</v>
      </c>
      <c r="K854">
        <f t="shared" si="621"/>
        <v>1</v>
      </c>
      <c r="L854">
        <f t="shared" si="649"/>
        <v>8.3333333333333329E-2</v>
      </c>
      <c r="M854">
        <f t="shared" si="616"/>
        <v>3.2145624959929453E-3</v>
      </c>
      <c r="N854">
        <f t="shared" si="617"/>
        <v>7.2030975121226131E-8</v>
      </c>
      <c r="O854" s="8">
        <f t="shared" si="633"/>
        <v>2.2335676204631862E-5</v>
      </c>
      <c r="P854">
        <f t="shared" si="634"/>
        <v>5.3778497231407412E-4</v>
      </c>
      <c r="Q854">
        <f t="shared" si="650"/>
        <v>0</v>
      </c>
      <c r="R854" s="89">
        <f t="shared" si="622"/>
        <v>5000</v>
      </c>
      <c r="S854">
        <f t="shared" si="623"/>
        <v>0.75</v>
      </c>
      <c r="U854">
        <f>O853*AV853*'Real assumptions'!$B$33/12+AX854*'Real assumptions'!$B$34</f>
        <v>5.5624596062647975E-4</v>
      </c>
      <c r="V854">
        <f>IF(P854=0,0,IF(E854&lt;=$C$7,$AN$5*O853,0))*'Real assumptions'!$D$28</f>
        <v>0</v>
      </c>
      <c r="X854" s="94">
        <f t="shared" si="635"/>
        <v>0</v>
      </c>
      <c r="Y854">
        <f t="shared" si="624"/>
        <v>24</v>
      </c>
      <c r="Z854">
        <f t="shared" si="651"/>
        <v>28</v>
      </c>
      <c r="AA854">
        <f t="shared" si="625"/>
        <v>28.75</v>
      </c>
      <c r="AB854">
        <f t="shared" si="636"/>
        <v>50.505050505050505</v>
      </c>
      <c r="AC854">
        <f t="shared" si="618"/>
        <v>1452.0202020202021</v>
      </c>
      <c r="AD854">
        <f t="shared" si="637"/>
        <v>80.505050505050505</v>
      </c>
      <c r="AE854">
        <f t="shared" si="638"/>
        <v>115.72601010101009</v>
      </c>
      <c r="AF854" s="94">
        <f t="shared" si="639"/>
        <v>3432.2537878787875</v>
      </c>
      <c r="AG854">
        <f t="shared" si="652"/>
        <v>2.4722858720443107E-4</v>
      </c>
      <c r="AH854">
        <f t="shared" si="640"/>
        <v>7.6661709258181804E-2</v>
      </c>
      <c r="AI854">
        <f>HLOOKUP(AW854,'Real assumptions'!$A$21:$AK$24,2,TRUE)</f>
        <v>0</v>
      </c>
      <c r="AJ854" s="123">
        <f t="shared" si="619"/>
        <v>0</v>
      </c>
      <c r="AK854" s="122">
        <f>(1+HLOOKUP(YEAR(A854),'Real assumptions'!$A$21:$AK$24,2,TRUE)/100)^(1/12)-1</f>
        <v>0</v>
      </c>
      <c r="AL854">
        <f t="shared" si="653"/>
        <v>5.5624596062647975E-4</v>
      </c>
      <c r="AM854">
        <f>('Real assumptions'!$B$33/12)*O853*AV853</f>
        <v>5.3517921552940551E-4</v>
      </c>
      <c r="AN854">
        <f t="shared" si="641"/>
        <v>7.6788651935180002E-2</v>
      </c>
      <c r="AO854">
        <f t="shared" si="620"/>
        <v>0</v>
      </c>
      <c r="AP854" s="121">
        <f t="shared" si="642"/>
        <v>0</v>
      </c>
      <c r="AQ854">
        <f t="shared" si="643"/>
        <v>0</v>
      </c>
      <c r="AR854">
        <v>0</v>
      </c>
      <c r="AS854">
        <f t="shared" si="626"/>
        <v>0</v>
      </c>
      <c r="AT854">
        <f t="shared" si="644"/>
        <v>0</v>
      </c>
      <c r="AU854">
        <f>IFERROR(HLOOKUP(B854,'Real assumptions'!$B$43:$AL$44,2,TRUE)*($W$3/$U$2),0)</f>
        <v>0</v>
      </c>
      <c r="AV854">
        <f>AV853*(1+'Real assumptions'!$B$35)^(1/12)</f>
        <v>2.3908449042618325</v>
      </c>
      <c r="AW854">
        <f t="shared" si="627"/>
        <v>2089</v>
      </c>
      <c r="AX854">
        <f t="shared" si="654"/>
        <v>7.690142145539372E-2</v>
      </c>
      <c r="AY854">
        <f t="shared" si="655"/>
        <v>9.4308531901317701E-5</v>
      </c>
      <c r="AZ854">
        <f t="shared" si="628"/>
        <v>8.4226807028467854E-2</v>
      </c>
      <c r="BA854">
        <f t="shared" si="645"/>
        <v>2.4722858720443107E-4</v>
      </c>
      <c r="BB854">
        <f t="shared" si="646"/>
        <v>28.75</v>
      </c>
      <c r="BC854">
        <f t="shared" si="629"/>
        <v>17.25</v>
      </c>
      <c r="BD854">
        <f t="shared" si="647"/>
        <v>0</v>
      </c>
      <c r="BE854">
        <f t="shared" si="630"/>
        <v>24</v>
      </c>
      <c r="BF854">
        <f t="shared" si="656"/>
        <v>5000</v>
      </c>
      <c r="BU854"/>
      <c r="DW854" s="89"/>
      <c r="DX854" s="89"/>
      <c r="FD854"/>
      <c r="FE854"/>
    </row>
    <row r="855" spans="1:161" x14ac:dyDescent="0.25">
      <c r="A855" s="7">
        <f t="shared" si="648"/>
        <v>69123</v>
      </c>
      <c r="B855">
        <f t="shared" si="631"/>
        <v>844</v>
      </c>
      <c r="C855">
        <f t="shared" si="612"/>
        <v>70.25</v>
      </c>
      <c r="D855">
        <f t="shared" si="613"/>
        <v>0</v>
      </c>
      <c r="E855">
        <f t="shared" si="632"/>
        <v>122</v>
      </c>
      <c r="F855">
        <f>IF(C855&gt;=$T$2,0,VLOOKUP($E855,EKM_F05!$A$3:$C$128,2,TRUE))</f>
        <v>0</v>
      </c>
      <c r="G855">
        <f>F855*'Real assumptions'!$B$3</f>
        <v>0</v>
      </c>
      <c r="H855">
        <f t="shared" si="614"/>
        <v>0</v>
      </c>
      <c r="I855">
        <f t="shared" si="615"/>
        <v>0</v>
      </c>
      <c r="J855">
        <f>IF(B855&gt;$AJ$2,0,HLOOKUP(C855,'Real assumptions'!$B$5:$L$8,4,TRUE))</f>
        <v>3.7900000000000003E-2</v>
      </c>
      <c r="K855">
        <f t="shared" si="621"/>
        <v>1</v>
      </c>
      <c r="L855">
        <f t="shared" si="649"/>
        <v>8.3333333333333329E-2</v>
      </c>
      <c r="M855">
        <f t="shared" si="616"/>
        <v>3.2145624959929453E-3</v>
      </c>
      <c r="N855">
        <f t="shared" si="617"/>
        <v>7.1799427050051634E-8</v>
      </c>
      <c r="O855" s="8">
        <f t="shared" si="633"/>
        <v>2.2263876777581812E-5</v>
      </c>
      <c r="P855">
        <f t="shared" si="634"/>
        <v>5.3605622891116469E-4</v>
      </c>
      <c r="Q855">
        <f t="shared" si="650"/>
        <v>0</v>
      </c>
      <c r="R855" s="89">
        <f t="shared" si="622"/>
        <v>5000</v>
      </c>
      <c r="S855">
        <f t="shared" si="623"/>
        <v>0.6666666666666714</v>
      </c>
      <c r="U855">
        <f>O854*AV854*'Real assumptions'!$B$33/12+AX855*'Real assumptions'!$B$34</f>
        <v>5.550382058395431E-4</v>
      </c>
      <c r="V855">
        <f>IF(P855=0,0,IF(E855&lt;=$C$7,$AN$5*O854,0))*'Real assumptions'!$D$28</f>
        <v>0</v>
      </c>
      <c r="X855" s="94">
        <f t="shared" si="635"/>
        <v>0</v>
      </c>
      <c r="Y855">
        <f t="shared" si="624"/>
        <v>24</v>
      </c>
      <c r="Z855">
        <f t="shared" si="651"/>
        <v>28</v>
      </c>
      <c r="AA855">
        <f t="shared" si="625"/>
        <v>28.666666666666671</v>
      </c>
      <c r="AB855">
        <f t="shared" si="636"/>
        <v>50.505050505050505</v>
      </c>
      <c r="AC855">
        <f t="shared" si="618"/>
        <v>1447.811447811448</v>
      </c>
      <c r="AD855">
        <f t="shared" si="637"/>
        <v>80.505050505050505</v>
      </c>
      <c r="AE855">
        <f t="shared" si="638"/>
        <v>115.3905723905724</v>
      </c>
      <c r="AF855" s="94">
        <f t="shared" si="639"/>
        <v>3436.7979797979797</v>
      </c>
      <c r="AG855">
        <f t="shared" si="652"/>
        <v>2.4676012583626985E-4</v>
      </c>
      <c r="AH855">
        <f t="shared" si="640"/>
        <v>7.6516446731664328E-2</v>
      </c>
      <c r="AI855">
        <f>HLOOKUP(AW855,'Real assumptions'!$A$21:$AK$24,2,TRUE)</f>
        <v>0</v>
      </c>
      <c r="AJ855" s="123">
        <f t="shared" si="619"/>
        <v>0</v>
      </c>
      <c r="AK855" s="122">
        <f>(1+HLOOKUP(YEAR(A855),'Real assumptions'!$A$21:$AK$24,2,TRUE)/100)^(1/12)-1</f>
        <v>0</v>
      </c>
      <c r="AL855">
        <f t="shared" si="653"/>
        <v>5.550382058395431E-4</v>
      </c>
      <c r="AM855">
        <f>('Real assumptions'!$B$33/12)*O854*AV854</f>
        <v>5.3401137637086355E-4</v>
      </c>
      <c r="AN855">
        <f t="shared" si="641"/>
        <v>7.6642727281253417E-2</v>
      </c>
      <c r="AO855">
        <f t="shared" si="620"/>
        <v>0</v>
      </c>
      <c r="AP855" s="121">
        <f t="shared" si="642"/>
        <v>0</v>
      </c>
      <c r="AQ855">
        <f t="shared" si="643"/>
        <v>0</v>
      </c>
      <c r="AR855">
        <v>0</v>
      </c>
      <c r="AS855">
        <f t="shared" si="626"/>
        <v>0</v>
      </c>
      <c r="AT855">
        <f t="shared" si="644"/>
        <v>0</v>
      </c>
      <c r="AU855">
        <f>IFERROR(HLOOKUP(B855,'Real assumptions'!$B$43:$AL$44,2,TRUE)*($W$3/$U$2),0)</f>
        <v>0</v>
      </c>
      <c r="AV855">
        <f>AV854*(1+'Real assumptions'!$B$35)^(1/12)</f>
        <v>2.3933212123431837</v>
      </c>
      <c r="AW855">
        <f t="shared" si="627"/>
        <v>2089</v>
      </c>
      <c r="AX855">
        <f t="shared" si="654"/>
        <v>7.6755714629413413E-2</v>
      </c>
      <c r="AY855">
        <f t="shared" si="655"/>
        <v>9.4005371231615576E-5</v>
      </c>
      <c r="AZ855">
        <f t="shared" si="628"/>
        <v>8.3961064925703197E-2</v>
      </c>
      <c r="BA855">
        <f t="shared" si="645"/>
        <v>2.4676012583626985E-4</v>
      </c>
      <c r="BB855">
        <f t="shared" si="646"/>
        <v>28.666666666666671</v>
      </c>
      <c r="BC855">
        <f t="shared" si="629"/>
        <v>17.200000000000003</v>
      </c>
      <c r="BD855">
        <f t="shared" si="647"/>
        <v>0</v>
      </c>
      <c r="BE855">
        <f t="shared" si="630"/>
        <v>24</v>
      </c>
      <c r="BF855">
        <f t="shared" si="656"/>
        <v>5000</v>
      </c>
      <c r="BU855"/>
      <c r="DW855" s="89"/>
      <c r="DX855" s="89"/>
      <c r="FD855"/>
      <c r="FE855"/>
    </row>
    <row r="856" spans="1:161" x14ac:dyDescent="0.25">
      <c r="A856" s="7">
        <f t="shared" si="648"/>
        <v>69153</v>
      </c>
      <c r="B856">
        <f t="shared" si="631"/>
        <v>845</v>
      </c>
      <c r="C856">
        <f t="shared" si="612"/>
        <v>70.333333333333329</v>
      </c>
      <c r="D856">
        <f t="shared" si="613"/>
        <v>0</v>
      </c>
      <c r="E856">
        <f t="shared" si="632"/>
        <v>122</v>
      </c>
      <c r="F856">
        <f>IF(C856&gt;=$T$2,0,VLOOKUP($E856,EKM_F05!$A$3:$C$128,2,TRUE))</f>
        <v>0</v>
      </c>
      <c r="G856">
        <f>F856*'Real assumptions'!$B$3</f>
        <v>0</v>
      </c>
      <c r="H856">
        <f t="shared" si="614"/>
        <v>0</v>
      </c>
      <c r="I856">
        <f t="shared" si="615"/>
        <v>0</v>
      </c>
      <c r="J856">
        <f>IF(B856&gt;$AJ$2,0,HLOOKUP(C856,'Real assumptions'!$B$5:$L$8,4,TRUE))</f>
        <v>3.7900000000000003E-2</v>
      </c>
      <c r="K856">
        <f t="shared" si="621"/>
        <v>1</v>
      </c>
      <c r="L856">
        <f t="shared" si="649"/>
        <v>8.3333333333333329E-2</v>
      </c>
      <c r="M856">
        <f t="shared" si="616"/>
        <v>3.2145624959929453E-3</v>
      </c>
      <c r="N856">
        <f t="shared" si="617"/>
        <v>7.1568623304622766E-8</v>
      </c>
      <c r="O856" s="8">
        <f t="shared" si="633"/>
        <v>2.2192308154277188E-5</v>
      </c>
      <c r="P856">
        <f t="shared" si="634"/>
        <v>5.3433304266196349E-4</v>
      </c>
      <c r="Q856">
        <f t="shared" si="650"/>
        <v>0</v>
      </c>
      <c r="R856" s="89">
        <f t="shared" si="622"/>
        <v>5000</v>
      </c>
      <c r="S856">
        <f t="shared" si="623"/>
        <v>0.5833333333333286</v>
      </c>
      <c r="U856">
        <f>O855*AV855*'Real assumptions'!$B$33/12+AX856*'Real assumptions'!$B$34</f>
        <v>5.5383303837930526E-4</v>
      </c>
      <c r="V856">
        <f>IF(P856=0,0,IF(E856&lt;=$C$7,$AN$5*O855,0))*'Real assumptions'!$D$28</f>
        <v>0</v>
      </c>
      <c r="X856" s="94">
        <f t="shared" si="635"/>
        <v>0</v>
      </c>
      <c r="Y856">
        <f t="shared" si="624"/>
        <v>24</v>
      </c>
      <c r="Z856">
        <f t="shared" si="651"/>
        <v>28</v>
      </c>
      <c r="AA856">
        <f t="shared" si="625"/>
        <v>28.583333333333329</v>
      </c>
      <c r="AB856">
        <f t="shared" si="636"/>
        <v>50.505050505050505</v>
      </c>
      <c r="AC856">
        <f t="shared" si="618"/>
        <v>1443.6026936026933</v>
      </c>
      <c r="AD856">
        <f t="shared" si="637"/>
        <v>80.505050505050505</v>
      </c>
      <c r="AE856">
        <f t="shared" si="638"/>
        <v>115.05513468013466</v>
      </c>
      <c r="AF856" s="94">
        <f t="shared" si="639"/>
        <v>3441.3421717171718</v>
      </c>
      <c r="AG856">
        <f t="shared" si="652"/>
        <v>2.4629212154993869E-4</v>
      </c>
      <c r="AH856">
        <f t="shared" si="640"/>
        <v>7.6371325939056961E-2</v>
      </c>
      <c r="AI856">
        <f>HLOOKUP(AW856,'Real assumptions'!$A$21:$AK$24,2,TRUE)</f>
        <v>0</v>
      </c>
      <c r="AJ856" s="123">
        <f t="shared" si="619"/>
        <v>0</v>
      </c>
      <c r="AK856" s="122">
        <f>(1+HLOOKUP(YEAR(A856),'Real assumptions'!$A$21:$AK$24,2,TRUE)/100)^(1/12)-1</f>
        <v>0</v>
      </c>
      <c r="AL856">
        <f t="shared" si="653"/>
        <v>5.5383303837930526E-4</v>
      </c>
      <c r="AM856">
        <f>('Real assumptions'!$B$33/12)*O855*AV855</f>
        <v>5.328460856078136E-4</v>
      </c>
      <c r="AN856">
        <f t="shared" si="641"/>
        <v>7.6496946735946994E-2</v>
      </c>
      <c r="AO856">
        <f t="shared" si="620"/>
        <v>0</v>
      </c>
      <c r="AP856" s="121">
        <f t="shared" si="642"/>
        <v>0</v>
      </c>
      <c r="AQ856">
        <f t="shared" si="643"/>
        <v>0</v>
      </c>
      <c r="AR856">
        <v>0</v>
      </c>
      <c r="AS856">
        <f t="shared" si="626"/>
        <v>0</v>
      </c>
      <c r="AT856">
        <f t="shared" si="644"/>
        <v>0</v>
      </c>
      <c r="AU856">
        <f>IFERROR(HLOOKUP(B856,'Real assumptions'!$B$43:$AL$44,2,TRUE)*($W$3/$U$2),0)</f>
        <v>0</v>
      </c>
      <c r="AV856">
        <f>AV855*(1+'Real assumptions'!$B$35)^(1/12)</f>
        <v>2.395800085250761</v>
      </c>
      <c r="AW856">
        <f t="shared" si="627"/>
        <v>2089</v>
      </c>
      <c r="AX856">
        <f t="shared" si="654"/>
        <v>7.661014991675516E-2</v>
      </c>
      <c r="AY856">
        <f t="shared" si="655"/>
        <v>9.3703185090832533E-5</v>
      </c>
      <c r="AZ856">
        <f t="shared" si="628"/>
        <v>8.369527280843593E-2</v>
      </c>
      <c r="BA856">
        <f t="shared" si="645"/>
        <v>2.4629212154993869E-4</v>
      </c>
      <c r="BB856">
        <f t="shared" si="646"/>
        <v>28.583333333333329</v>
      </c>
      <c r="BC856">
        <f t="shared" si="629"/>
        <v>17.149999999999999</v>
      </c>
      <c r="BD856">
        <f t="shared" si="647"/>
        <v>0</v>
      </c>
      <c r="BE856">
        <f t="shared" si="630"/>
        <v>24</v>
      </c>
      <c r="BF856">
        <f t="shared" si="656"/>
        <v>5000</v>
      </c>
      <c r="BU856"/>
      <c r="DW856" s="89"/>
      <c r="DX856" s="89"/>
      <c r="FD856"/>
      <c r="FE856"/>
    </row>
    <row r="857" spans="1:161" x14ac:dyDescent="0.25">
      <c r="A857" s="7">
        <f t="shared" si="648"/>
        <v>69184</v>
      </c>
      <c r="B857">
        <f t="shared" si="631"/>
        <v>846</v>
      </c>
      <c r="C857">
        <f t="shared" si="612"/>
        <v>70.416666666666671</v>
      </c>
      <c r="D857">
        <f t="shared" si="613"/>
        <v>0</v>
      </c>
      <c r="E857">
        <f t="shared" si="632"/>
        <v>122</v>
      </c>
      <c r="F857">
        <f>IF(C857&gt;=$T$2,0,VLOOKUP($E857,EKM_F05!$A$3:$C$128,2,TRUE))</f>
        <v>0</v>
      </c>
      <c r="G857">
        <f>F857*'Real assumptions'!$B$3</f>
        <v>0</v>
      </c>
      <c r="H857">
        <f t="shared" si="614"/>
        <v>0</v>
      </c>
      <c r="I857">
        <f t="shared" si="615"/>
        <v>0</v>
      </c>
      <c r="J857">
        <f>IF(B857&gt;$AJ$2,0,HLOOKUP(C857,'Real assumptions'!$B$5:$L$8,4,TRUE))</f>
        <v>3.7900000000000003E-2</v>
      </c>
      <c r="K857">
        <f t="shared" si="621"/>
        <v>1</v>
      </c>
      <c r="L857">
        <f t="shared" si="649"/>
        <v>8.3333333333333329E-2</v>
      </c>
      <c r="M857">
        <f t="shared" si="616"/>
        <v>3.2145624959929453E-3</v>
      </c>
      <c r="N857">
        <f t="shared" si="617"/>
        <v>7.1338561492257866E-8</v>
      </c>
      <c r="O857" s="8">
        <f t="shared" si="633"/>
        <v>2.2120969592784931E-5</v>
      </c>
      <c r="P857">
        <f t="shared" si="634"/>
        <v>5.3261539570265246E-4</v>
      </c>
      <c r="Q857">
        <f t="shared" si="650"/>
        <v>0</v>
      </c>
      <c r="R857" s="89">
        <f t="shared" si="622"/>
        <v>5000</v>
      </c>
      <c r="S857">
        <f t="shared" si="623"/>
        <v>0.5</v>
      </c>
      <c r="U857">
        <f>O856*AV856*'Real assumptions'!$B$33/12+AX857*'Real assumptions'!$B$34</f>
        <v>5.5263045284696579E-4</v>
      </c>
      <c r="V857">
        <f>IF(P857=0,0,IF(E857&lt;=$C$7,$AN$5*O856,0))*'Real assumptions'!$D$28</f>
        <v>0</v>
      </c>
      <c r="X857" s="94">
        <f t="shared" si="635"/>
        <v>0</v>
      </c>
      <c r="Y857">
        <f t="shared" si="624"/>
        <v>24</v>
      </c>
      <c r="Z857">
        <f t="shared" si="651"/>
        <v>28</v>
      </c>
      <c r="AA857">
        <f t="shared" si="625"/>
        <v>28.5</v>
      </c>
      <c r="AB857">
        <f t="shared" si="636"/>
        <v>50.505050505050505</v>
      </c>
      <c r="AC857">
        <f t="shared" si="618"/>
        <v>1439.3939393939395</v>
      </c>
      <c r="AD857">
        <f t="shared" si="637"/>
        <v>80.505050505050505</v>
      </c>
      <c r="AE857">
        <f t="shared" si="638"/>
        <v>114.71969696969697</v>
      </c>
      <c r="AF857" s="94">
        <f t="shared" si="639"/>
        <v>3445.8863636363635</v>
      </c>
      <c r="AG857">
        <f t="shared" si="652"/>
        <v>2.4582457624760558E-4</v>
      </c>
      <c r="AH857">
        <f t="shared" si="640"/>
        <v>7.6226347470192232E-2</v>
      </c>
      <c r="AI857">
        <f>HLOOKUP(AW857,'Real assumptions'!$A$21:$AK$24,2,TRUE)</f>
        <v>0</v>
      </c>
      <c r="AJ857" s="123">
        <f t="shared" si="619"/>
        <v>0</v>
      </c>
      <c r="AK857" s="122">
        <f>(1+HLOOKUP(YEAR(A857),'Real assumptions'!$A$21:$AK$24,2,TRUE)/100)^(1/12)-1</f>
        <v>0</v>
      </c>
      <c r="AL857">
        <f t="shared" si="653"/>
        <v>5.5263045284696579E-4</v>
      </c>
      <c r="AM857">
        <f>('Real assumptions'!$B$33/12)*O856*AV856</f>
        <v>5.3168333767928452E-4</v>
      </c>
      <c r="AN857">
        <f t="shared" si="641"/>
        <v>7.6351310881912646E-2</v>
      </c>
      <c r="AO857">
        <f t="shared" si="620"/>
        <v>0</v>
      </c>
      <c r="AP857" s="121">
        <f t="shared" si="642"/>
        <v>0</v>
      </c>
      <c r="AQ857">
        <f t="shared" si="643"/>
        <v>0</v>
      </c>
      <c r="AR857">
        <v>0</v>
      </c>
      <c r="AS857">
        <f t="shared" si="626"/>
        <v>0</v>
      </c>
      <c r="AT857">
        <f t="shared" si="644"/>
        <v>0</v>
      </c>
      <c r="AU857">
        <f>IFERROR(HLOOKUP(B857,'Real assumptions'!$B$43:$AL$44,2,TRUE)*($W$3/$U$2),0)</f>
        <v>0</v>
      </c>
      <c r="AV857">
        <f>AV856*(1+'Real assumptions'!$B$35)^(1/12)</f>
        <v>2.3982815256410737</v>
      </c>
      <c r="AW857">
        <f t="shared" si="627"/>
        <v>2089</v>
      </c>
      <c r="AX857">
        <f t="shared" si="654"/>
        <v>7.6464727909403243E-2</v>
      </c>
      <c r="AY857">
        <f t="shared" si="655"/>
        <v>9.3401970346284452E-5</v>
      </c>
      <c r="AZ857">
        <f t="shared" si="628"/>
        <v>8.3429433175044004E-2</v>
      </c>
      <c r="BA857">
        <f t="shared" si="645"/>
        <v>2.4582457624760558E-4</v>
      </c>
      <c r="BB857">
        <f t="shared" si="646"/>
        <v>28.5</v>
      </c>
      <c r="BC857">
        <f t="shared" si="629"/>
        <v>17.100000000000001</v>
      </c>
      <c r="BD857">
        <f t="shared" si="647"/>
        <v>0</v>
      </c>
      <c r="BE857">
        <f t="shared" si="630"/>
        <v>24</v>
      </c>
      <c r="BF857">
        <f t="shared" si="656"/>
        <v>5000</v>
      </c>
      <c r="BU857"/>
      <c r="DW857" s="89"/>
      <c r="DX857" s="89"/>
      <c r="FD857"/>
      <c r="FE857"/>
    </row>
    <row r="858" spans="1:161" x14ac:dyDescent="0.25">
      <c r="A858" s="7">
        <f t="shared" si="648"/>
        <v>69214</v>
      </c>
      <c r="B858">
        <f t="shared" si="631"/>
        <v>847</v>
      </c>
      <c r="C858">
        <f t="shared" si="612"/>
        <v>70.5</v>
      </c>
      <c r="D858">
        <f t="shared" si="613"/>
        <v>0</v>
      </c>
      <c r="E858">
        <f t="shared" si="632"/>
        <v>122</v>
      </c>
      <c r="F858">
        <f>IF(C858&gt;=$T$2,0,VLOOKUP($E858,EKM_F05!$A$3:$C$128,2,TRUE))</f>
        <v>0</v>
      </c>
      <c r="G858">
        <f>F858*'Real assumptions'!$B$3</f>
        <v>0</v>
      </c>
      <c r="H858">
        <f t="shared" si="614"/>
        <v>0</v>
      </c>
      <c r="I858">
        <f t="shared" si="615"/>
        <v>0</v>
      </c>
      <c r="J858">
        <f>IF(B858&gt;$AJ$2,0,HLOOKUP(C858,'Real assumptions'!$B$5:$L$8,4,TRUE))</f>
        <v>3.7900000000000003E-2</v>
      </c>
      <c r="K858">
        <f t="shared" si="621"/>
        <v>1</v>
      </c>
      <c r="L858">
        <f t="shared" si="649"/>
        <v>8.3333333333333329E-2</v>
      </c>
      <c r="M858">
        <f t="shared" si="616"/>
        <v>3.2145624959929453E-3</v>
      </c>
      <c r="N858">
        <f t="shared" si="617"/>
        <v>7.110923922796678E-8</v>
      </c>
      <c r="O858" s="8">
        <f t="shared" si="633"/>
        <v>2.2049860353556964E-5</v>
      </c>
      <c r="P858">
        <f t="shared" si="634"/>
        <v>5.3090327022683841E-4</v>
      </c>
      <c r="Q858">
        <f t="shared" si="650"/>
        <v>0</v>
      </c>
      <c r="R858" s="89">
        <f t="shared" si="622"/>
        <v>5000</v>
      </c>
      <c r="S858">
        <f t="shared" si="623"/>
        <v>0.4166666666666714</v>
      </c>
      <c r="U858">
        <f>O857*AV857*'Real assumptions'!$B$33/12+AX858*'Real assumptions'!$B$34</f>
        <v>5.5143044385441535E-4</v>
      </c>
      <c r="V858">
        <f>IF(P858=0,0,IF(E858&lt;=$C$7,$AN$5*O857,0))*'Real assumptions'!$D$28</f>
        <v>0</v>
      </c>
      <c r="X858" s="94">
        <f t="shared" si="635"/>
        <v>0</v>
      </c>
      <c r="Y858">
        <f t="shared" si="624"/>
        <v>24</v>
      </c>
      <c r="Z858">
        <f t="shared" si="651"/>
        <v>28</v>
      </c>
      <c r="AA858">
        <f t="shared" si="625"/>
        <v>28.416666666666671</v>
      </c>
      <c r="AB858">
        <f t="shared" si="636"/>
        <v>50.505050505050505</v>
      </c>
      <c r="AC858">
        <f t="shared" si="618"/>
        <v>1435.1851851851854</v>
      </c>
      <c r="AD858">
        <f t="shared" si="637"/>
        <v>80.505050505050505</v>
      </c>
      <c r="AE858">
        <f t="shared" si="638"/>
        <v>114.38425925925927</v>
      </c>
      <c r="AF858" s="94">
        <f t="shared" si="639"/>
        <v>3450.4305555555557</v>
      </c>
      <c r="AG858">
        <f t="shared" si="652"/>
        <v>2.453574918144863E-4</v>
      </c>
      <c r="AH858">
        <f t="shared" si="640"/>
        <v>7.6081511909645974E-2</v>
      </c>
      <c r="AI858">
        <f>HLOOKUP(AW858,'Real assumptions'!$A$21:$AK$24,2,TRUE)</f>
        <v>0</v>
      </c>
      <c r="AJ858" s="123">
        <f t="shared" si="619"/>
        <v>0</v>
      </c>
      <c r="AK858" s="122">
        <f>(1+HLOOKUP(YEAR(A858),'Real assumptions'!$A$21:$AK$24,2,TRUE)/100)^(1/12)-1</f>
        <v>0</v>
      </c>
      <c r="AL858">
        <f t="shared" si="653"/>
        <v>5.5143044385441535E-4</v>
      </c>
      <c r="AM858">
        <f>('Real assumptions'!$B$33/12)*O857*AV857</f>
        <v>5.3052312703644037E-4</v>
      </c>
      <c r="AN858">
        <f t="shared" si="641"/>
        <v>7.6205820296564655E-2</v>
      </c>
      <c r="AO858">
        <f t="shared" si="620"/>
        <v>0</v>
      </c>
      <c r="AP858" s="121">
        <f t="shared" si="642"/>
        <v>0</v>
      </c>
      <c r="AQ858">
        <f t="shared" si="643"/>
        <v>0</v>
      </c>
      <c r="AR858">
        <v>0</v>
      </c>
      <c r="AS858">
        <f t="shared" si="626"/>
        <v>0</v>
      </c>
      <c r="AT858">
        <f t="shared" si="644"/>
        <v>0</v>
      </c>
      <c r="AU858">
        <f>IFERROR(HLOOKUP(B858,'Real assumptions'!$B$43:$AL$44,2,TRUE)*($W$3/$U$2),0)</f>
        <v>0</v>
      </c>
      <c r="AV858">
        <f>AV857*(1+'Real assumptions'!$B$35)^(1/12)</f>
        <v>2.4007655361733811</v>
      </c>
      <c r="AW858">
        <f t="shared" si="627"/>
        <v>2089</v>
      </c>
      <c r="AX858">
        <f t="shared" si="654"/>
        <v>7.6319449194067593E-2</v>
      </c>
      <c r="AY858">
        <f t="shared" si="655"/>
        <v>9.3101723875357444E-5</v>
      </c>
      <c r="AZ858">
        <f t="shared" si="628"/>
        <v>8.3163548509601948E-2</v>
      </c>
      <c r="BA858">
        <f t="shared" si="645"/>
        <v>2.453574918144863E-4</v>
      </c>
      <c r="BB858">
        <f t="shared" si="646"/>
        <v>28.416666666666671</v>
      </c>
      <c r="BC858">
        <f t="shared" si="629"/>
        <v>17.050000000000004</v>
      </c>
      <c r="BD858">
        <f t="shared" si="647"/>
        <v>0</v>
      </c>
      <c r="BE858">
        <f t="shared" si="630"/>
        <v>24</v>
      </c>
      <c r="BF858">
        <f t="shared" si="656"/>
        <v>5000</v>
      </c>
      <c r="BU858"/>
      <c r="DW858" s="89"/>
      <c r="DX858" s="89"/>
      <c r="FD858"/>
      <c r="FE858"/>
    </row>
    <row r="859" spans="1:161" x14ac:dyDescent="0.25">
      <c r="A859" s="7">
        <f t="shared" si="648"/>
        <v>69245</v>
      </c>
      <c r="B859">
        <f t="shared" si="631"/>
        <v>848</v>
      </c>
      <c r="C859">
        <f t="shared" si="612"/>
        <v>70.583333333333329</v>
      </c>
      <c r="D859">
        <f t="shared" si="613"/>
        <v>0</v>
      </c>
      <c r="E859">
        <f t="shared" si="632"/>
        <v>122</v>
      </c>
      <c r="F859">
        <f>IF(C859&gt;=$T$2,0,VLOOKUP($E859,EKM_F05!$A$3:$C$128,2,TRUE))</f>
        <v>0</v>
      </c>
      <c r="G859">
        <f>F859*'Real assumptions'!$B$3</f>
        <v>0</v>
      </c>
      <c r="H859">
        <f t="shared" si="614"/>
        <v>0</v>
      </c>
      <c r="I859">
        <f t="shared" si="615"/>
        <v>0</v>
      </c>
      <c r="J859">
        <f>IF(B859&gt;$AJ$2,0,HLOOKUP(C859,'Real assumptions'!$B$5:$L$8,4,TRUE))</f>
        <v>3.7900000000000003E-2</v>
      </c>
      <c r="K859">
        <f t="shared" si="621"/>
        <v>1</v>
      </c>
      <c r="L859">
        <f t="shared" si="649"/>
        <v>8.3333333333333329E-2</v>
      </c>
      <c r="M859">
        <f t="shared" si="616"/>
        <v>3.2145624959929453E-3</v>
      </c>
      <c r="N859">
        <f t="shared" si="617"/>
        <v>7.0880654134425955E-8</v>
      </c>
      <c r="O859" s="8">
        <f t="shared" si="633"/>
        <v>2.1978979699422538E-5</v>
      </c>
      <c r="P859">
        <f t="shared" si="634"/>
        <v>5.2919664848536719E-4</v>
      </c>
      <c r="Q859">
        <f t="shared" si="650"/>
        <v>0</v>
      </c>
      <c r="R859" s="89">
        <f t="shared" si="622"/>
        <v>5000</v>
      </c>
      <c r="S859">
        <f t="shared" si="623"/>
        <v>0.3333333333333286</v>
      </c>
      <c r="U859">
        <f>O858*AV858*'Real assumptions'!$B$33/12+AX859*'Real assumptions'!$B$34</f>
        <v>5.5023300602421467E-4</v>
      </c>
      <c r="V859">
        <f>IF(P859=0,0,IF(E859&lt;=$C$7,$AN$5*O858,0))*'Real assumptions'!$D$28</f>
        <v>0</v>
      </c>
      <c r="X859" s="94">
        <f t="shared" si="635"/>
        <v>0</v>
      </c>
      <c r="Y859">
        <f t="shared" si="624"/>
        <v>24</v>
      </c>
      <c r="Z859">
        <f t="shared" si="651"/>
        <v>28</v>
      </c>
      <c r="AA859">
        <f t="shared" si="625"/>
        <v>28.333333333333329</v>
      </c>
      <c r="AB859">
        <f t="shared" si="636"/>
        <v>50.505050505050505</v>
      </c>
      <c r="AC859">
        <f t="shared" si="618"/>
        <v>1430.9764309764307</v>
      </c>
      <c r="AD859">
        <f t="shared" si="637"/>
        <v>80.505050505050505</v>
      </c>
      <c r="AE859">
        <f t="shared" si="638"/>
        <v>114.04882154882152</v>
      </c>
      <c r="AF859" s="94">
        <f t="shared" si="639"/>
        <v>3454.9747474747478</v>
      </c>
      <c r="AG859">
        <f t="shared" si="652"/>
        <v>2.4489087011893328E-4</v>
      </c>
      <c r="AH859">
        <f t="shared" si="640"/>
        <v>7.5936819836764993E-2</v>
      </c>
      <c r="AI859">
        <f>HLOOKUP(AW859,'Real assumptions'!$A$21:$AK$24,2,TRUE)</f>
        <v>0</v>
      </c>
      <c r="AJ859" s="123">
        <f t="shared" si="619"/>
        <v>0</v>
      </c>
      <c r="AK859" s="122">
        <f>(1+HLOOKUP(YEAR(A859),'Real assumptions'!$A$21:$AK$24,2,TRUE)/100)^(1/12)-1</f>
        <v>0</v>
      </c>
      <c r="AL859">
        <f t="shared" si="653"/>
        <v>5.5023300602421467E-4</v>
      </c>
      <c r="AM859">
        <f>('Real assumptions'!$B$33/12)*O858*AV858</f>
        <v>5.2936544814255362E-4</v>
      </c>
      <c r="AN859">
        <f t="shared" si="641"/>
        <v>7.6060475552107126E-2</v>
      </c>
      <c r="AO859">
        <f t="shared" si="620"/>
        <v>0</v>
      </c>
      <c r="AP859" s="121">
        <f t="shared" si="642"/>
        <v>0</v>
      </c>
      <c r="AQ859">
        <f t="shared" si="643"/>
        <v>0</v>
      </c>
      <c r="AR859">
        <v>0</v>
      </c>
      <c r="AS859">
        <f t="shared" si="626"/>
        <v>0</v>
      </c>
      <c r="AT859">
        <f t="shared" si="644"/>
        <v>0</v>
      </c>
      <c r="AU859">
        <f>IFERROR(HLOOKUP(B859,'Real assumptions'!$B$43:$AL$44,2,TRUE)*($W$3/$U$2),0)</f>
        <v>0</v>
      </c>
      <c r="AV859">
        <f>AV858*(1+'Real assumptions'!$B$35)^(1/12)</f>
        <v>2.4032521195096979</v>
      </c>
      <c r="AW859">
        <f t="shared" si="627"/>
        <v>2089</v>
      </c>
      <c r="AX859">
        <f t="shared" si="654"/>
        <v>7.6174314352211447E-2</v>
      </c>
      <c r="AY859">
        <f t="shared" si="655"/>
        <v>9.2802442565475434E-5</v>
      </c>
      <c r="AZ859">
        <f t="shared" si="628"/>
        <v>8.2897621281944167E-2</v>
      </c>
      <c r="BA859">
        <f t="shared" si="645"/>
        <v>2.4489087011893328E-4</v>
      </c>
      <c r="BB859">
        <f t="shared" si="646"/>
        <v>28.333333333333329</v>
      </c>
      <c r="BC859">
        <f t="shared" si="629"/>
        <v>16.999999999999996</v>
      </c>
      <c r="BD859">
        <f t="shared" si="647"/>
        <v>0</v>
      </c>
      <c r="BE859">
        <f t="shared" si="630"/>
        <v>24</v>
      </c>
      <c r="BF859">
        <f t="shared" si="656"/>
        <v>5000</v>
      </c>
      <c r="BU859"/>
      <c r="DW859" s="89"/>
      <c r="DX859" s="89"/>
      <c r="FD859"/>
      <c r="FE859"/>
    </row>
    <row r="860" spans="1:161" x14ac:dyDescent="0.25">
      <c r="A860" s="7">
        <f t="shared" si="648"/>
        <v>69276</v>
      </c>
      <c r="B860">
        <f t="shared" si="631"/>
        <v>849</v>
      </c>
      <c r="C860">
        <f t="shared" si="612"/>
        <v>70.666666666666671</v>
      </c>
      <c r="D860">
        <f t="shared" si="613"/>
        <v>0</v>
      </c>
      <c r="E860">
        <f t="shared" si="632"/>
        <v>122</v>
      </c>
      <c r="F860">
        <f>IF(C860&gt;=$T$2,0,VLOOKUP($E860,EKM_F05!$A$3:$C$128,2,TRUE))</f>
        <v>0</v>
      </c>
      <c r="G860">
        <f>F860*'Real assumptions'!$B$3</f>
        <v>0</v>
      </c>
      <c r="H860">
        <f t="shared" si="614"/>
        <v>0</v>
      </c>
      <c r="I860">
        <f t="shared" si="615"/>
        <v>0</v>
      </c>
      <c r="J860">
        <f>IF(B860&gt;$AJ$2,0,HLOOKUP(C860,'Real assumptions'!$B$5:$L$8,4,TRUE))</f>
        <v>3.7900000000000003E-2</v>
      </c>
      <c r="K860">
        <f t="shared" si="621"/>
        <v>1</v>
      </c>
      <c r="L860">
        <f t="shared" si="649"/>
        <v>8.3333333333333329E-2</v>
      </c>
      <c r="M860">
        <f t="shared" si="616"/>
        <v>3.2145624959929453E-3</v>
      </c>
      <c r="N860">
        <f t="shared" si="617"/>
        <v>7.0652803841953983E-8</v>
      </c>
      <c r="O860" s="8">
        <f t="shared" si="633"/>
        <v>2.1908326895580586E-5</v>
      </c>
      <c r="P860">
        <f t="shared" si="634"/>
        <v>5.2749551278614092E-4</v>
      </c>
      <c r="Q860">
        <f t="shared" si="650"/>
        <v>0</v>
      </c>
      <c r="R860" s="89">
        <f t="shared" si="622"/>
        <v>5000</v>
      </c>
      <c r="S860">
        <f t="shared" si="623"/>
        <v>0.25</v>
      </c>
      <c r="U860">
        <f>O859*AV859*'Real assumptions'!$B$33/12+AX860*'Real assumptions'!$B$34</f>
        <v>5.4903813398957731E-4</v>
      </c>
      <c r="V860">
        <f>IF(P860=0,0,IF(E860&lt;=$C$7,$AN$5*O859,0))*'Real assumptions'!$D$28</f>
        <v>0</v>
      </c>
      <c r="X860" s="94">
        <f t="shared" si="635"/>
        <v>0</v>
      </c>
      <c r="Y860">
        <f t="shared" si="624"/>
        <v>24</v>
      </c>
      <c r="Z860">
        <f t="shared" si="651"/>
        <v>28</v>
      </c>
      <c r="AA860">
        <f t="shared" si="625"/>
        <v>28.25</v>
      </c>
      <c r="AB860">
        <f t="shared" si="636"/>
        <v>50.505050505050505</v>
      </c>
      <c r="AC860">
        <f t="shared" si="618"/>
        <v>1426.7676767676767</v>
      </c>
      <c r="AD860">
        <f t="shared" si="637"/>
        <v>80.505050505050505</v>
      </c>
      <c r="AE860">
        <f t="shared" si="638"/>
        <v>113.71338383838383</v>
      </c>
      <c r="AF860" s="94">
        <f t="shared" si="639"/>
        <v>3459.5189393939395</v>
      </c>
      <c r="AG860">
        <f t="shared" si="652"/>
        <v>2.444247130125247E-4</v>
      </c>
      <c r="AH860">
        <f t="shared" si="640"/>
        <v>7.5792271825694674E-2</v>
      </c>
      <c r="AI860">
        <f>HLOOKUP(AW860,'Real assumptions'!$A$21:$AK$24,2,TRUE)</f>
        <v>0</v>
      </c>
      <c r="AJ860" s="123">
        <f t="shared" si="619"/>
        <v>0</v>
      </c>
      <c r="AK860" s="122">
        <f>(1+HLOOKUP(YEAR(A860),'Real assumptions'!$A$21:$AK$24,2,TRUE)/100)^(1/12)-1</f>
        <v>0</v>
      </c>
      <c r="AL860">
        <f t="shared" si="653"/>
        <v>5.4903813398957731E-4</v>
      </c>
      <c r="AM860">
        <f>('Real assumptions'!$B$33/12)*O859*AV859</f>
        <v>5.2821029547297832E-4</v>
      </c>
      <c r="AN860">
        <f t="shared" si="641"/>
        <v>7.5915277215561558E-2</v>
      </c>
      <c r="AO860">
        <f t="shared" si="620"/>
        <v>0</v>
      </c>
      <c r="AP860" s="121">
        <f t="shared" si="642"/>
        <v>0</v>
      </c>
      <c r="AQ860">
        <f t="shared" si="643"/>
        <v>0</v>
      </c>
      <c r="AR860">
        <v>0</v>
      </c>
      <c r="AS860">
        <f t="shared" si="626"/>
        <v>0</v>
      </c>
      <c r="AT860">
        <f t="shared" si="644"/>
        <v>0</v>
      </c>
      <c r="AU860">
        <f>IFERROR(HLOOKUP(B860,'Real assumptions'!$B$43:$AL$44,2,TRUE)*($W$3/$U$2),0)</f>
        <v>0</v>
      </c>
      <c r="AV860">
        <f>AV859*(1+'Real assumptions'!$B$35)^(1/12)</f>
        <v>2.4057412783147956</v>
      </c>
      <c r="AW860">
        <f t="shared" si="627"/>
        <v>2089</v>
      </c>
      <c r="AX860">
        <f t="shared" si="654"/>
        <v>7.6029323960079068E-2</v>
      </c>
      <c r="AY860">
        <f t="shared" si="655"/>
        <v>9.2504123314067922E-5</v>
      </c>
      <c r="AZ860">
        <f t="shared" si="628"/>
        <v>8.2631653947728201E-2</v>
      </c>
      <c r="BA860">
        <f t="shared" si="645"/>
        <v>2.444247130125247E-4</v>
      </c>
      <c r="BB860">
        <f t="shared" si="646"/>
        <v>28.25</v>
      </c>
      <c r="BC860">
        <f t="shared" si="629"/>
        <v>16.95</v>
      </c>
      <c r="BD860">
        <f t="shared" si="647"/>
        <v>0</v>
      </c>
      <c r="BE860">
        <f t="shared" si="630"/>
        <v>24</v>
      </c>
      <c r="BF860">
        <f t="shared" si="656"/>
        <v>5000</v>
      </c>
      <c r="BU860"/>
      <c r="DW860" s="89"/>
      <c r="DX860" s="89"/>
      <c r="FD860"/>
      <c r="FE860"/>
    </row>
    <row r="861" spans="1:161" x14ac:dyDescent="0.25">
      <c r="A861" s="7">
        <f t="shared" si="648"/>
        <v>69306</v>
      </c>
      <c r="B861">
        <f t="shared" si="631"/>
        <v>850</v>
      </c>
      <c r="C861">
        <f t="shared" si="612"/>
        <v>70.75</v>
      </c>
      <c r="D861">
        <f t="shared" si="613"/>
        <v>0</v>
      </c>
      <c r="E861">
        <f t="shared" si="632"/>
        <v>122</v>
      </c>
      <c r="F861">
        <f>IF(C861&gt;=$T$2,0,VLOOKUP($E861,EKM_F05!$A$3:$C$128,2,TRUE))</f>
        <v>0</v>
      </c>
      <c r="G861">
        <f>F861*'Real assumptions'!$B$3</f>
        <v>0</v>
      </c>
      <c r="H861">
        <f t="shared" si="614"/>
        <v>0</v>
      </c>
      <c r="I861">
        <f t="shared" si="615"/>
        <v>0</v>
      </c>
      <c r="J861">
        <f>IF(B861&gt;$AJ$2,0,HLOOKUP(C861,'Real assumptions'!$B$5:$L$8,4,TRUE))</f>
        <v>3.7900000000000003E-2</v>
      </c>
      <c r="K861">
        <f t="shared" si="621"/>
        <v>1</v>
      </c>
      <c r="L861">
        <f t="shared" si="649"/>
        <v>8.3333333333333329E-2</v>
      </c>
      <c r="M861">
        <f t="shared" si="616"/>
        <v>3.2145624959929453E-3</v>
      </c>
      <c r="N861">
        <f t="shared" si="617"/>
        <v>7.04256859884869E-8</v>
      </c>
      <c r="O861" s="8">
        <f t="shared" si="633"/>
        <v>2.1837901209592098E-5</v>
      </c>
      <c r="P861">
        <f t="shared" si="634"/>
        <v>5.2579984549393406E-4</v>
      </c>
      <c r="Q861">
        <f t="shared" si="650"/>
        <v>0</v>
      </c>
      <c r="R861" s="89">
        <f t="shared" si="622"/>
        <v>5000</v>
      </c>
      <c r="S861">
        <f t="shared" si="623"/>
        <v>0.1666666666666714</v>
      </c>
      <c r="U861">
        <f>O860*AV860*'Real assumptions'!$B$33/12+AX861*'Real assumptions'!$B$34</f>
        <v>5.4784582239435014E-4</v>
      </c>
      <c r="V861">
        <f>IF(P861=0,0,IF(E861&lt;=$C$7,$AN$5*O860,0))*'Real assumptions'!$D$28</f>
        <v>0</v>
      </c>
      <c r="X861" s="94">
        <f t="shared" si="635"/>
        <v>0</v>
      </c>
      <c r="Y861">
        <f t="shared" si="624"/>
        <v>24</v>
      </c>
      <c r="Z861">
        <f t="shared" si="651"/>
        <v>28</v>
      </c>
      <c r="AA861">
        <f t="shared" si="625"/>
        <v>28.166666666666671</v>
      </c>
      <c r="AB861">
        <f t="shared" si="636"/>
        <v>50.505050505050505</v>
      </c>
      <c r="AC861">
        <f t="shared" si="618"/>
        <v>1422.5589225589229</v>
      </c>
      <c r="AD861">
        <f t="shared" si="637"/>
        <v>80.505050505050505</v>
      </c>
      <c r="AE861">
        <f t="shared" si="638"/>
        <v>113.37794612794615</v>
      </c>
      <c r="AF861" s="94">
        <f t="shared" si="639"/>
        <v>3464.0631313131312</v>
      </c>
      <c r="AG861">
        <f t="shared" si="652"/>
        <v>2.4395902233015324E-4</v>
      </c>
      <c r="AH861">
        <f t="shared" si="640"/>
        <v>7.5647868445406413E-2</v>
      </c>
      <c r="AI861">
        <f>HLOOKUP(AW861,'Real assumptions'!$A$21:$AK$24,2,TRUE)</f>
        <v>0</v>
      </c>
      <c r="AJ861" s="123">
        <f t="shared" si="619"/>
        <v>0</v>
      </c>
      <c r="AK861" s="122">
        <f>(1+HLOOKUP(YEAR(A861),'Real assumptions'!$A$21:$AK$24,2,TRUE)/100)^(1/12)-1</f>
        <v>0</v>
      </c>
      <c r="AL861">
        <f t="shared" si="653"/>
        <v>5.4784582239435014E-4</v>
      </c>
      <c r="AM861">
        <f>('Real assumptions'!$B$33/12)*O860*AV860</f>
        <v>5.2705766351512451E-4</v>
      </c>
      <c r="AN861">
        <f t="shared" si="641"/>
        <v>7.5770225848794254E-2</v>
      </c>
      <c r="AO861">
        <f t="shared" si="620"/>
        <v>0</v>
      </c>
      <c r="AP861" s="121">
        <f t="shared" si="642"/>
        <v>0</v>
      </c>
      <c r="AQ861">
        <f t="shared" si="643"/>
        <v>0</v>
      </c>
      <c r="AR861">
        <v>0</v>
      </c>
      <c r="AS861">
        <f t="shared" si="626"/>
        <v>0</v>
      </c>
      <c r="AT861">
        <f t="shared" si="644"/>
        <v>0</v>
      </c>
      <c r="AU861">
        <f>IFERROR(HLOOKUP(B861,'Real assumptions'!$B$43:$AL$44,2,TRUE)*($W$3/$U$2),0)</f>
        <v>0</v>
      </c>
      <c r="AV861">
        <f>AV860*(1+'Real assumptions'!$B$35)^(1/12)</f>
        <v>2.4082330152562053</v>
      </c>
      <c r="AW861">
        <f t="shared" si="627"/>
        <v>2089</v>
      </c>
      <c r="AX861">
        <f t="shared" si="654"/>
        <v>7.5884478588723214E-2</v>
      </c>
      <c r="AY861">
        <f t="shared" si="655"/>
        <v>9.2206763028537819E-5</v>
      </c>
      <c r="AZ861">
        <f t="shared" si="628"/>
        <v>8.2365648948497627E-2</v>
      </c>
      <c r="BA861">
        <f t="shared" si="645"/>
        <v>2.4395902233015324E-4</v>
      </c>
      <c r="BB861">
        <f t="shared" si="646"/>
        <v>28.166666666666671</v>
      </c>
      <c r="BC861">
        <f t="shared" si="629"/>
        <v>16.900000000000002</v>
      </c>
      <c r="BD861">
        <f t="shared" si="647"/>
        <v>0</v>
      </c>
      <c r="BE861">
        <f t="shared" si="630"/>
        <v>24</v>
      </c>
      <c r="BF861">
        <f t="shared" si="656"/>
        <v>5000</v>
      </c>
      <c r="BU861"/>
      <c r="DW861" s="89"/>
      <c r="DX861" s="89"/>
      <c r="FD861"/>
      <c r="FE861"/>
    </row>
    <row r="862" spans="1:161" x14ac:dyDescent="0.25">
      <c r="A862" s="7">
        <f t="shared" si="648"/>
        <v>69337</v>
      </c>
      <c r="B862">
        <f t="shared" si="631"/>
        <v>851</v>
      </c>
      <c r="C862">
        <f t="shared" si="612"/>
        <v>70.833333333333329</v>
      </c>
      <c r="D862">
        <f t="shared" si="613"/>
        <v>0</v>
      </c>
      <c r="E862">
        <f t="shared" si="632"/>
        <v>122</v>
      </c>
      <c r="F862">
        <f>IF(C862&gt;=$T$2,0,VLOOKUP($E862,EKM_F05!$A$3:$C$128,2,TRUE))</f>
        <v>0</v>
      </c>
      <c r="G862">
        <f>F862*'Real assumptions'!$B$3</f>
        <v>0</v>
      </c>
      <c r="H862">
        <f t="shared" si="614"/>
        <v>0</v>
      </c>
      <c r="I862">
        <f t="shared" si="615"/>
        <v>0</v>
      </c>
      <c r="J862">
        <f>IF(B862&gt;$AJ$2,0,HLOOKUP(C862,'Real assumptions'!$B$5:$L$8,4,TRUE))</f>
        <v>3.7900000000000003E-2</v>
      </c>
      <c r="K862">
        <f t="shared" si="621"/>
        <v>1</v>
      </c>
      <c r="L862">
        <f t="shared" si="649"/>
        <v>8.3333333333333329E-2</v>
      </c>
      <c r="M862">
        <f t="shared" si="616"/>
        <v>3.2145624959929453E-3</v>
      </c>
      <c r="N862">
        <f t="shared" si="617"/>
        <v>7.0199298219553734E-8</v>
      </c>
      <c r="O862" s="8">
        <f t="shared" si="633"/>
        <v>2.1767701911372544E-5</v>
      </c>
      <c r="P862">
        <f t="shared" si="634"/>
        <v>5.2410962903021033E-4</v>
      </c>
      <c r="Q862">
        <f t="shared" si="650"/>
        <v>0</v>
      </c>
      <c r="R862" s="89">
        <f t="shared" si="622"/>
        <v>5000</v>
      </c>
      <c r="S862">
        <f t="shared" si="623"/>
        <v>8.3333333333328596E-2</v>
      </c>
      <c r="U862">
        <f>O861*AV861*'Real assumptions'!$B$33/12+AX862*'Real assumptions'!$B$34</f>
        <v>5.4665606589299448E-4</v>
      </c>
      <c r="V862">
        <f>IF(P862=0,0,IF(E862&lt;=$C$7,$AN$5*O861,0))*'Real assumptions'!$D$28</f>
        <v>0</v>
      </c>
      <c r="X862" s="94">
        <f t="shared" si="635"/>
        <v>0</v>
      </c>
      <c r="Y862">
        <f t="shared" si="624"/>
        <v>24</v>
      </c>
      <c r="Z862">
        <f t="shared" si="651"/>
        <v>28</v>
      </c>
      <c r="AA862">
        <f t="shared" si="625"/>
        <v>28.083333333333329</v>
      </c>
      <c r="AB862">
        <f t="shared" si="636"/>
        <v>50.505050505050505</v>
      </c>
      <c r="AC862">
        <f t="shared" si="618"/>
        <v>1418.3501683501681</v>
      </c>
      <c r="AD862">
        <f t="shared" si="637"/>
        <v>80.505050505050505</v>
      </c>
      <c r="AE862">
        <f t="shared" si="638"/>
        <v>113.04250841750839</v>
      </c>
      <c r="AF862" s="94">
        <f t="shared" si="639"/>
        <v>3468.6073232323233</v>
      </c>
      <c r="AG862">
        <f t="shared" si="652"/>
        <v>2.4349379989011387E-4</v>
      </c>
      <c r="AH862">
        <f t="shared" si="640"/>
        <v>7.5503610259725046E-2</v>
      </c>
      <c r="AI862">
        <f>HLOOKUP(AW862,'Real assumptions'!$A$21:$AK$24,2,TRUE)</f>
        <v>0</v>
      </c>
      <c r="AJ862" s="123">
        <f t="shared" si="619"/>
        <v>0</v>
      </c>
      <c r="AK862" s="122">
        <f>(1+HLOOKUP(YEAR(A862),'Real assumptions'!$A$21:$AK$24,2,TRUE)/100)^(1/12)-1</f>
        <v>0</v>
      </c>
      <c r="AL862">
        <f t="shared" si="653"/>
        <v>5.4665606589299448E-4</v>
      </c>
      <c r="AM862">
        <f>('Real assumptions'!$B$33/12)*O861*AV861</f>
        <v>5.2590754676843114E-4</v>
      </c>
      <c r="AN862">
        <f t="shared" si="641"/>
        <v>7.5625322008543633E-2</v>
      </c>
      <c r="AO862">
        <f t="shared" si="620"/>
        <v>0</v>
      </c>
      <c r="AP862" s="121">
        <f t="shared" si="642"/>
        <v>0</v>
      </c>
      <c r="AQ862">
        <f t="shared" si="643"/>
        <v>0</v>
      </c>
      <c r="AR862">
        <v>0</v>
      </c>
      <c r="AS862">
        <f t="shared" si="626"/>
        <v>0</v>
      </c>
      <c r="AT862">
        <f t="shared" si="644"/>
        <v>0</v>
      </c>
      <c r="AU862">
        <f>IFERROR(HLOOKUP(B862,'Real assumptions'!$B$43:$AL$44,2,TRUE)*($W$3/$U$2),0)</f>
        <v>0</v>
      </c>
      <c r="AV862">
        <f>AV861*(1+'Real assumptions'!$B$35)^(1/12)</f>
        <v>2.410727333004222</v>
      </c>
      <c r="AW862">
        <f t="shared" si="627"/>
        <v>2089</v>
      </c>
      <c r="AX862">
        <f t="shared" si="654"/>
        <v>7.573977880403264E-2</v>
      </c>
      <c r="AY862">
        <f t="shared" si="655"/>
        <v>9.1910358626229359E-5</v>
      </c>
      <c r="AZ862">
        <f t="shared" si="628"/>
        <v>8.2099608711744737E-2</v>
      </c>
      <c r="BA862">
        <f t="shared" si="645"/>
        <v>2.4349379989011387E-4</v>
      </c>
      <c r="BB862">
        <f t="shared" si="646"/>
        <v>28.083333333333329</v>
      </c>
      <c r="BC862">
        <f t="shared" si="629"/>
        <v>16.849999999999994</v>
      </c>
      <c r="BD862">
        <f t="shared" si="647"/>
        <v>0</v>
      </c>
      <c r="BE862">
        <f t="shared" si="630"/>
        <v>24</v>
      </c>
      <c r="BF862">
        <f t="shared" si="656"/>
        <v>5000</v>
      </c>
      <c r="BU862"/>
      <c r="DW862" s="89"/>
      <c r="DX862" s="89"/>
      <c r="FD862"/>
      <c r="FE862"/>
    </row>
    <row r="863" spans="1:161" x14ac:dyDescent="0.25">
      <c r="A863" s="7">
        <f t="shared" si="648"/>
        <v>69367</v>
      </c>
      <c r="B863">
        <f t="shared" si="631"/>
        <v>852</v>
      </c>
      <c r="C863">
        <f t="shared" si="612"/>
        <v>70.916666666666671</v>
      </c>
      <c r="D863">
        <f t="shared" si="613"/>
        <v>0</v>
      </c>
      <c r="E863">
        <f t="shared" si="632"/>
        <v>122</v>
      </c>
      <c r="F863">
        <f>IF(C863&gt;=$T$2,0,VLOOKUP($E863,EKM_F05!$A$3:$C$128,2,TRUE))</f>
        <v>0</v>
      </c>
      <c r="G863">
        <f>F863*'Real assumptions'!$B$3</f>
        <v>0</v>
      </c>
      <c r="H863">
        <f t="shared" si="614"/>
        <v>0</v>
      </c>
      <c r="I863">
        <f t="shared" si="615"/>
        <v>0</v>
      </c>
      <c r="J863">
        <f>IF(B863&gt;$AJ$2,0,HLOOKUP(C863,'Real assumptions'!$B$5:$L$8,4,TRUE))</f>
        <v>3.7900000000000003E-2</v>
      </c>
      <c r="K863">
        <f t="shared" si="621"/>
        <v>1</v>
      </c>
      <c r="L863">
        <f t="shared" si="649"/>
        <v>8.3333333333333329E-2</v>
      </c>
      <c r="M863">
        <f t="shared" si="616"/>
        <v>3.2145624959929453E-3</v>
      </c>
      <c r="N863">
        <f t="shared" si="617"/>
        <v>6.9973638188252132E-8</v>
      </c>
      <c r="O863" s="8">
        <f t="shared" si="633"/>
        <v>2.1697728273184291E-5</v>
      </c>
      <c r="P863">
        <f t="shared" si="634"/>
        <v>5.2242484587294109E-4</v>
      </c>
      <c r="Q863">
        <f t="shared" si="650"/>
        <v>0</v>
      </c>
      <c r="R863" s="89">
        <f t="shared" si="622"/>
        <v>5000</v>
      </c>
      <c r="S863">
        <f t="shared" si="623"/>
        <v>1</v>
      </c>
      <c r="U863">
        <f>O862*AV862*'Real assumptions'!$B$33/12+AX863*'Real assumptions'!$B$34</f>
        <v>5.4546885915056744E-4</v>
      </c>
      <c r="V863">
        <f>IF(P863=0,0,IF(E863&lt;=$C$7,$AN$5*O862,0))*'Real assumptions'!$D$28</f>
        <v>0</v>
      </c>
      <c r="X863" s="94">
        <f t="shared" si="635"/>
        <v>0</v>
      </c>
      <c r="Y863">
        <f t="shared" si="624"/>
        <v>24</v>
      </c>
      <c r="Z863">
        <f t="shared" si="651"/>
        <v>28</v>
      </c>
      <c r="AA863">
        <f t="shared" si="625"/>
        <v>28</v>
      </c>
      <c r="AB863">
        <f t="shared" si="636"/>
        <v>50.505050505050505</v>
      </c>
      <c r="AC863">
        <f t="shared" si="618"/>
        <v>1414.1414141414141</v>
      </c>
      <c r="AD863">
        <f t="shared" si="637"/>
        <v>80.505050505050505</v>
      </c>
      <c r="AE863">
        <f t="shared" si="638"/>
        <v>112.7070707070707</v>
      </c>
      <c r="AF863" s="94">
        <f t="shared" si="639"/>
        <v>3473.151515151515</v>
      </c>
      <c r="AG863">
        <f t="shared" si="652"/>
        <v>2.4302904749419181E-4</v>
      </c>
      <c r="AH863">
        <f t="shared" si="640"/>
        <v>7.535949782735589E-2</v>
      </c>
      <c r="AI863">
        <f>HLOOKUP(AW863,'Real assumptions'!$A$21:$AK$24,2,TRUE)</f>
        <v>0</v>
      </c>
      <c r="AJ863" s="123">
        <f t="shared" si="619"/>
        <v>0</v>
      </c>
      <c r="AK863" s="122">
        <f>(1+HLOOKUP(YEAR(A863),'Real assumptions'!$A$21:$AK$24,2,TRUE)/100)^(1/12)-1</f>
        <v>0</v>
      </c>
      <c r="AL863">
        <f t="shared" si="653"/>
        <v>5.4546885915056744E-4</v>
      </c>
      <c r="AM863">
        <f>('Real assumptions'!$B$33/12)*O862*AV862</f>
        <v>5.2475993974434036E-4</v>
      </c>
      <c r="AN863">
        <f t="shared" si="641"/>
        <v>7.5480566246447417E-2</v>
      </c>
      <c r="AO863">
        <f t="shared" si="620"/>
        <v>0</v>
      </c>
      <c r="AP863" s="121">
        <f t="shared" si="642"/>
        <v>0</v>
      </c>
      <c r="AQ863">
        <f t="shared" si="643"/>
        <v>0</v>
      </c>
      <c r="AR863">
        <v>0</v>
      </c>
      <c r="AS863">
        <f t="shared" si="626"/>
        <v>0</v>
      </c>
      <c r="AT863">
        <f t="shared" si="644"/>
        <v>0</v>
      </c>
      <c r="AU863">
        <f>IFERROR(HLOOKUP(B863,'Real assumptions'!$B$43:$AL$44,2,TRUE)*($W$3/$U$2),0)</f>
        <v>0</v>
      </c>
      <c r="AV863">
        <f>AV862*(1+'Real assumptions'!$B$35)^(1/12)</f>
        <v>2.4132242342319055</v>
      </c>
      <c r="AW863">
        <f t="shared" si="627"/>
        <v>2089</v>
      </c>
      <c r="AX863">
        <f t="shared" si="654"/>
        <v>7.5595225166759442E-2</v>
      </c>
      <c r="AY863">
        <f t="shared" si="655"/>
        <v>9.1614907034396221E-5</v>
      </c>
      <c r="AZ863">
        <f t="shared" si="628"/>
        <v>8.1833535650972913E-2</v>
      </c>
      <c r="BA863">
        <f t="shared" si="645"/>
        <v>2.4302904749419181E-4</v>
      </c>
      <c r="BB863">
        <f t="shared" si="646"/>
        <v>28</v>
      </c>
      <c r="BC863">
        <f t="shared" si="629"/>
        <v>16.799999999999997</v>
      </c>
      <c r="BD863">
        <f t="shared" si="647"/>
        <v>0</v>
      </c>
      <c r="BE863">
        <f t="shared" si="630"/>
        <v>24</v>
      </c>
      <c r="BF863">
        <f t="shared" si="656"/>
        <v>5000</v>
      </c>
      <c r="BU863"/>
      <c r="DW863" s="89"/>
      <c r="DX863" s="89"/>
      <c r="FD863"/>
      <c r="FE863"/>
    </row>
    <row r="864" spans="1:161" x14ac:dyDescent="0.25">
      <c r="A864" s="7">
        <f t="shared" si="648"/>
        <v>69398</v>
      </c>
      <c r="B864">
        <f t="shared" si="631"/>
        <v>853</v>
      </c>
      <c r="C864">
        <f t="shared" si="612"/>
        <v>71</v>
      </c>
      <c r="D864">
        <f t="shared" si="613"/>
        <v>1</v>
      </c>
      <c r="E864">
        <f t="shared" si="632"/>
        <v>123</v>
      </c>
      <c r="F864">
        <f>IF(C864&gt;=$T$2,0,VLOOKUP($E864,EKM_F05!$A$3:$C$128,2,TRUE))</f>
        <v>0</v>
      </c>
      <c r="G864">
        <f>F864*'Real assumptions'!$B$3</f>
        <v>0</v>
      </c>
      <c r="H864">
        <f t="shared" si="614"/>
        <v>0</v>
      </c>
      <c r="I864">
        <f t="shared" si="615"/>
        <v>0</v>
      </c>
      <c r="J864">
        <f>IF(B864&gt;$AJ$2,0,HLOOKUP(C864,'Real assumptions'!$B$5:$L$8,4,TRUE))</f>
        <v>3.7900000000000003E-2</v>
      </c>
      <c r="K864">
        <f t="shared" si="621"/>
        <v>1</v>
      </c>
      <c r="L864">
        <f t="shared" si="649"/>
        <v>8.3333333333333329E-2</v>
      </c>
      <c r="M864">
        <f t="shared" si="616"/>
        <v>3.2145624959929453E-3</v>
      </c>
      <c r="N864">
        <f t="shared" si="617"/>
        <v>6.9748703555223988E-8</v>
      </c>
      <c r="O864" s="8">
        <f t="shared" si="633"/>
        <v>2.1627979569629067E-5</v>
      </c>
      <c r="P864">
        <f t="shared" si="634"/>
        <v>5.2074547855642298E-4</v>
      </c>
      <c r="Q864">
        <f t="shared" si="650"/>
        <v>0</v>
      </c>
      <c r="R864" s="89">
        <f t="shared" si="622"/>
        <v>5000</v>
      </c>
      <c r="S864">
        <f t="shared" si="623"/>
        <v>0.9166666666666714</v>
      </c>
      <c r="U864">
        <f>O863*AV863*'Real assumptions'!$B$33/12+AX864*'Real assumptions'!$B$34</f>
        <v>5.4428419684270362E-4</v>
      </c>
      <c r="V864">
        <f>IF(P864=0,0,IF(E864&lt;=$C$7,$AN$5*O863,0))*'Real assumptions'!$D$28</f>
        <v>0</v>
      </c>
      <c r="X864" s="94">
        <f t="shared" si="635"/>
        <v>0</v>
      </c>
      <c r="Y864">
        <f t="shared" si="624"/>
        <v>24</v>
      </c>
      <c r="Z864">
        <f t="shared" si="651"/>
        <v>28</v>
      </c>
      <c r="AA864">
        <f t="shared" si="625"/>
        <v>27.916666666666671</v>
      </c>
      <c r="AB864">
        <f t="shared" si="636"/>
        <v>50.505050505050505</v>
      </c>
      <c r="AC864">
        <f t="shared" si="618"/>
        <v>1409.9326599326603</v>
      </c>
      <c r="AD864">
        <f t="shared" si="637"/>
        <v>80.505050505050505</v>
      </c>
      <c r="AE864">
        <f t="shared" si="638"/>
        <v>112.37163299663301</v>
      </c>
      <c r="AF864" s="94">
        <f t="shared" si="639"/>
        <v>3477.6957070707067</v>
      </c>
      <c r="AG864">
        <f t="shared" si="652"/>
        <v>2.4256476692774981E-4</v>
      </c>
      <c r="AH864">
        <f t="shared" si="640"/>
        <v>7.5215531701911961E-2</v>
      </c>
      <c r="AI864">
        <f>HLOOKUP(AW864,'Real assumptions'!$A$21:$AK$24,2,TRUE)</f>
        <v>0</v>
      </c>
      <c r="AJ864" s="123">
        <f t="shared" si="619"/>
        <v>0</v>
      </c>
      <c r="AK864" s="122">
        <f>(1+HLOOKUP(YEAR(A864),'Real assumptions'!$A$21:$AK$24,2,TRUE)/100)^(1/12)-1</f>
        <v>0</v>
      </c>
      <c r="AL864">
        <f t="shared" si="653"/>
        <v>5.4428419684270362E-4</v>
      </c>
      <c r="AM864">
        <f>('Real assumptions'!$B$33/12)*O863*AV863</f>
        <v>5.2361483696627129E-4</v>
      </c>
      <c r="AN864">
        <f t="shared" si="641"/>
        <v>7.5335959109069608E-2</v>
      </c>
      <c r="AO864">
        <f t="shared" si="620"/>
        <v>0</v>
      </c>
      <c r="AP864" s="121">
        <f t="shared" si="642"/>
        <v>0</v>
      </c>
      <c r="AQ864">
        <f t="shared" si="643"/>
        <v>0</v>
      </c>
      <c r="AR864">
        <v>0</v>
      </c>
      <c r="AS864">
        <f t="shared" si="626"/>
        <v>0</v>
      </c>
      <c r="AT864">
        <f t="shared" si="644"/>
        <v>0</v>
      </c>
      <c r="AU864">
        <f>IFERROR(HLOOKUP(B864,'Real assumptions'!$B$43:$AL$44,2,TRUE)*($W$3/$U$2),0)</f>
        <v>0</v>
      </c>
      <c r="AV864">
        <f>AV863*(1+'Real assumptions'!$B$35)^(1/12)</f>
        <v>2.4157237216150849</v>
      </c>
      <c r="AW864">
        <f t="shared" si="627"/>
        <v>2089</v>
      </c>
      <c r="AX864">
        <f t="shared" si="654"/>
        <v>7.5450818232546055E-2</v>
      </c>
      <c r="AY864">
        <f t="shared" si="655"/>
        <v>9.132040519016957E-5</v>
      </c>
      <c r="AZ864">
        <f t="shared" si="628"/>
        <v>8.1567432165758888E-2</v>
      </c>
      <c r="BA864">
        <f t="shared" si="645"/>
        <v>2.4256476692774981E-4</v>
      </c>
      <c r="BB864">
        <f t="shared" si="646"/>
        <v>27.916666666666671</v>
      </c>
      <c r="BC864">
        <f t="shared" si="629"/>
        <v>16.75</v>
      </c>
      <c r="BD864">
        <f t="shared" si="647"/>
        <v>0</v>
      </c>
      <c r="BE864">
        <f t="shared" si="630"/>
        <v>24</v>
      </c>
      <c r="BF864">
        <f t="shared" si="656"/>
        <v>5000</v>
      </c>
      <c r="BU864"/>
      <c r="DW864" s="89"/>
      <c r="DX864" s="89"/>
      <c r="FD864"/>
      <c r="FE864"/>
    </row>
    <row r="865" spans="1:161" x14ac:dyDescent="0.25">
      <c r="A865" s="7">
        <f t="shared" si="648"/>
        <v>69429</v>
      </c>
      <c r="B865">
        <f t="shared" si="631"/>
        <v>854</v>
      </c>
      <c r="C865">
        <f t="shared" si="612"/>
        <v>71.083333333333329</v>
      </c>
      <c r="D865">
        <f t="shared" si="613"/>
        <v>0</v>
      </c>
      <c r="E865">
        <f t="shared" si="632"/>
        <v>123</v>
      </c>
      <c r="F865">
        <f>IF(C865&gt;=$T$2,0,VLOOKUP($E865,EKM_F05!$A$3:$C$128,2,TRUE))</f>
        <v>0</v>
      </c>
      <c r="G865">
        <f>F865*'Real assumptions'!$B$3</f>
        <v>0</v>
      </c>
      <c r="H865">
        <f t="shared" si="614"/>
        <v>0</v>
      </c>
      <c r="I865">
        <f t="shared" si="615"/>
        <v>0</v>
      </c>
      <c r="J865">
        <f>IF(B865&gt;$AJ$2,0,HLOOKUP(C865,'Real assumptions'!$B$5:$L$8,4,TRUE))</f>
        <v>3.7900000000000003E-2</v>
      </c>
      <c r="K865">
        <f t="shared" si="621"/>
        <v>1</v>
      </c>
      <c r="L865">
        <f t="shared" si="649"/>
        <v>8.3333333333333329E-2</v>
      </c>
      <c r="M865">
        <f t="shared" si="616"/>
        <v>3.2145624959929453E-3</v>
      </c>
      <c r="N865">
        <f t="shared" si="617"/>
        <v>6.9524491988631235E-8</v>
      </c>
      <c r="O865" s="8">
        <f t="shared" si="633"/>
        <v>2.1558455077640436E-5</v>
      </c>
      <c r="P865">
        <f t="shared" si="634"/>
        <v>5.1907150967109761E-4</v>
      </c>
      <c r="Q865">
        <f t="shared" si="650"/>
        <v>0</v>
      </c>
      <c r="R865" s="89">
        <f t="shared" si="622"/>
        <v>5000</v>
      </c>
      <c r="S865">
        <f t="shared" si="623"/>
        <v>0.8333333333333286</v>
      </c>
      <c r="U865">
        <f>O864*AV864*'Real assumptions'!$B$33/12+AX865*'Real assumptions'!$B$34</f>
        <v>5.4310207365559568E-4</v>
      </c>
      <c r="V865">
        <f>IF(P865=0,0,IF(E865&lt;=$C$7,$AN$5*O864,0))*'Real assumptions'!$D$28</f>
        <v>0</v>
      </c>
      <c r="X865" s="94">
        <f t="shared" si="635"/>
        <v>0</v>
      </c>
      <c r="Y865">
        <f t="shared" si="624"/>
        <v>24</v>
      </c>
      <c r="Z865">
        <f t="shared" si="651"/>
        <v>27</v>
      </c>
      <c r="AA865">
        <f t="shared" si="625"/>
        <v>27.833333333333329</v>
      </c>
      <c r="AB865">
        <f t="shared" si="636"/>
        <v>50.505050505050505</v>
      </c>
      <c r="AC865">
        <f t="shared" si="618"/>
        <v>1405.7239057239055</v>
      </c>
      <c r="AD865">
        <f t="shared" si="637"/>
        <v>80.505050505050505</v>
      </c>
      <c r="AE865">
        <f t="shared" si="638"/>
        <v>112.03619528619527</v>
      </c>
      <c r="AF865" s="94">
        <f t="shared" si="639"/>
        <v>3482.2398989898988</v>
      </c>
      <c r="AG865">
        <f t="shared" si="652"/>
        <v>2.4210095995981525E-4</v>
      </c>
      <c r="AH865">
        <f t="shared" si="640"/>
        <v>7.5071712431940898E-2</v>
      </c>
      <c r="AI865">
        <f>HLOOKUP(AW865,'Real assumptions'!$A$21:$AK$24,2,TRUE)</f>
        <v>0</v>
      </c>
      <c r="AJ865" s="123">
        <f t="shared" si="619"/>
        <v>0</v>
      </c>
      <c r="AK865" s="122">
        <f>(1+HLOOKUP(YEAR(A865),'Real assumptions'!$A$21:$AK$24,2,TRUE)/100)^(1/12)-1</f>
        <v>0</v>
      </c>
      <c r="AL865">
        <f t="shared" si="653"/>
        <v>5.4310207365559568E-4</v>
      </c>
      <c r="AM865">
        <f>('Real assumptions'!$B$33/12)*O864*AV864</f>
        <v>5.2247223296959355E-4</v>
      </c>
      <c r="AN865">
        <f t="shared" si="641"/>
        <v>7.5191501137927455E-2</v>
      </c>
      <c r="AO865">
        <f t="shared" si="620"/>
        <v>0</v>
      </c>
      <c r="AP865" s="121">
        <f t="shared" si="642"/>
        <v>0</v>
      </c>
      <c r="AQ865">
        <f t="shared" si="643"/>
        <v>0</v>
      </c>
      <c r="AR865">
        <v>0</v>
      </c>
      <c r="AS865">
        <f t="shared" si="626"/>
        <v>0</v>
      </c>
      <c r="AT865">
        <f t="shared" si="644"/>
        <v>0</v>
      </c>
      <c r="AU865">
        <f>IFERROR(HLOOKUP(B865,'Real assumptions'!$B$43:$AL$44,2,TRUE)*($W$3/$U$2),0)</f>
        <v>0</v>
      </c>
      <c r="AV865">
        <f>AV864*(1+'Real assumptions'!$B$35)^(1/12)</f>
        <v>2.4182257978323598</v>
      </c>
      <c r="AW865">
        <f t="shared" si="627"/>
        <v>2090</v>
      </c>
      <c r="AX865">
        <f t="shared" si="654"/>
        <v>7.5306558551952493E-2</v>
      </c>
      <c r="AY865">
        <f t="shared" si="655"/>
        <v>9.1026850040526363E-5</v>
      </c>
      <c r="AZ865">
        <f t="shared" si="628"/>
        <v>8.1301300641814567E-2</v>
      </c>
      <c r="BA865">
        <f t="shared" si="645"/>
        <v>2.4210095995981525E-4</v>
      </c>
      <c r="BB865">
        <f t="shared" si="646"/>
        <v>27.833333333333329</v>
      </c>
      <c r="BC865">
        <f t="shared" si="629"/>
        <v>16.699999999999996</v>
      </c>
      <c r="BD865">
        <f t="shared" si="647"/>
        <v>0</v>
      </c>
      <c r="BE865">
        <f t="shared" si="630"/>
        <v>24</v>
      </c>
      <c r="BF865">
        <f t="shared" si="656"/>
        <v>5000</v>
      </c>
      <c r="BU865"/>
      <c r="DW865" s="89"/>
      <c r="DX865" s="89"/>
      <c r="FD865"/>
      <c r="FE865"/>
    </row>
    <row r="866" spans="1:161" x14ac:dyDescent="0.25">
      <c r="A866" s="7">
        <f t="shared" si="648"/>
        <v>69457</v>
      </c>
      <c r="B866">
        <f t="shared" si="631"/>
        <v>855</v>
      </c>
      <c r="C866">
        <f t="shared" si="612"/>
        <v>71.166666666666671</v>
      </c>
      <c r="D866">
        <f t="shared" si="613"/>
        <v>0</v>
      </c>
      <c r="E866">
        <f t="shared" si="632"/>
        <v>123</v>
      </c>
      <c r="F866">
        <f>IF(C866&gt;=$T$2,0,VLOOKUP($E866,EKM_F05!$A$3:$C$128,2,TRUE))</f>
        <v>0</v>
      </c>
      <c r="G866">
        <f>F866*'Real assumptions'!$B$3</f>
        <v>0</v>
      </c>
      <c r="H866">
        <f t="shared" si="614"/>
        <v>0</v>
      </c>
      <c r="I866">
        <f t="shared" si="615"/>
        <v>0</v>
      </c>
      <c r="J866">
        <f>IF(B866&gt;$AJ$2,0,HLOOKUP(C866,'Real assumptions'!$B$5:$L$8,4,TRUE))</f>
        <v>3.7900000000000003E-2</v>
      </c>
      <c r="K866">
        <f t="shared" si="621"/>
        <v>1</v>
      </c>
      <c r="L866">
        <f t="shared" si="649"/>
        <v>8.3333333333333329E-2</v>
      </c>
      <c r="M866">
        <f t="shared" si="616"/>
        <v>3.2145624959929453E-3</v>
      </c>
      <c r="N866">
        <f t="shared" si="617"/>
        <v>6.9301001164131622E-8</v>
      </c>
      <c r="O866" s="8">
        <f t="shared" si="633"/>
        <v>2.1489154076476306E-5</v>
      </c>
      <c r="P866">
        <f t="shared" si="634"/>
        <v>5.174029218633705E-4</v>
      </c>
      <c r="Q866">
        <f t="shared" si="650"/>
        <v>0</v>
      </c>
      <c r="R866" s="89">
        <f t="shared" si="622"/>
        <v>5000</v>
      </c>
      <c r="S866">
        <f t="shared" si="623"/>
        <v>0.75</v>
      </c>
      <c r="U866">
        <f>O865*AV865*'Real assumptions'!$B$33/12+AX866*'Real assumptions'!$B$34</f>
        <v>5.4192248428597592E-4</v>
      </c>
      <c r="V866">
        <f>IF(P866=0,0,IF(E866&lt;=$C$7,$AN$5*O865,0))*'Real assumptions'!$D$28</f>
        <v>0</v>
      </c>
      <c r="X866" s="94">
        <f t="shared" si="635"/>
        <v>0</v>
      </c>
      <c r="Y866">
        <f t="shared" si="624"/>
        <v>24</v>
      </c>
      <c r="Z866">
        <f t="shared" si="651"/>
        <v>27</v>
      </c>
      <c r="AA866">
        <f t="shared" si="625"/>
        <v>27.75</v>
      </c>
      <c r="AB866">
        <f t="shared" si="636"/>
        <v>50.505050505050505</v>
      </c>
      <c r="AC866">
        <f t="shared" si="618"/>
        <v>1401.5151515151515</v>
      </c>
      <c r="AD866">
        <f t="shared" si="637"/>
        <v>80.505050505050505</v>
      </c>
      <c r="AE866">
        <f t="shared" si="638"/>
        <v>111.70075757575758</v>
      </c>
      <c r="AF866" s="94">
        <f t="shared" si="639"/>
        <v>3486.784090909091</v>
      </c>
      <c r="AG866">
        <f t="shared" si="652"/>
        <v>2.4163762834316654E-4</v>
      </c>
      <c r="AH866">
        <f t="shared" si="640"/>
        <v>7.4928040560951828E-2</v>
      </c>
      <c r="AI866">
        <f>HLOOKUP(AW866,'Real assumptions'!$A$21:$AK$24,2,TRUE)</f>
        <v>0</v>
      </c>
      <c r="AJ866" s="123">
        <f t="shared" si="619"/>
        <v>0</v>
      </c>
      <c r="AK866" s="122">
        <f>(1+HLOOKUP(YEAR(A866),'Real assumptions'!$A$21:$AK$24,2,TRUE)/100)^(1/12)-1</f>
        <v>0</v>
      </c>
      <c r="AL866">
        <f t="shared" si="653"/>
        <v>5.4192248428597592E-4</v>
      </c>
      <c r="AM866">
        <f>('Real assumptions'!$B$33/12)*O865*AV865</f>
        <v>5.2133212230160136E-4</v>
      </c>
      <c r="AN866">
        <f t="shared" si="641"/>
        <v>7.5047192869518303E-2</v>
      </c>
      <c r="AO866">
        <f t="shared" si="620"/>
        <v>0</v>
      </c>
      <c r="AP866" s="121">
        <f t="shared" si="642"/>
        <v>0</v>
      </c>
      <c r="AQ866">
        <f t="shared" si="643"/>
        <v>0</v>
      </c>
      <c r="AR866">
        <v>0</v>
      </c>
      <c r="AS866">
        <f t="shared" si="626"/>
        <v>0</v>
      </c>
      <c r="AT866">
        <f t="shared" si="644"/>
        <v>0</v>
      </c>
      <c r="AU866">
        <f>IFERROR(HLOOKUP(B866,'Real assumptions'!$B$43:$AL$44,2,TRUE)*($W$3/$U$2),0)</f>
        <v>0</v>
      </c>
      <c r="AV866">
        <f>AV865*(1+'Real assumptions'!$B$35)^(1/12)</f>
        <v>2.4207304655651054</v>
      </c>
      <c r="AW866">
        <f t="shared" si="627"/>
        <v>2090</v>
      </c>
      <c r="AX866">
        <f t="shared" si="654"/>
        <v>7.5162446670483163E-2</v>
      </c>
      <c r="AY866">
        <f t="shared" si="655"/>
        <v>9.0734238542257726E-5</v>
      </c>
      <c r="AZ866">
        <f t="shared" si="628"/>
        <v>8.1035143451048786E-2</v>
      </c>
      <c r="BA866">
        <f t="shared" si="645"/>
        <v>2.4163762834316654E-4</v>
      </c>
      <c r="BB866">
        <f t="shared" si="646"/>
        <v>27.75</v>
      </c>
      <c r="BC866">
        <f t="shared" si="629"/>
        <v>16.649999999999999</v>
      </c>
      <c r="BD866">
        <f t="shared" si="647"/>
        <v>0</v>
      </c>
      <c r="BE866">
        <f t="shared" si="630"/>
        <v>24</v>
      </c>
      <c r="BF866">
        <f t="shared" si="656"/>
        <v>5000</v>
      </c>
      <c r="BU866"/>
      <c r="DW866" s="89"/>
      <c r="DX866" s="89"/>
      <c r="FD866"/>
      <c r="FE866"/>
    </row>
    <row r="867" spans="1:161" x14ac:dyDescent="0.25">
      <c r="A867" s="7">
        <f t="shared" si="648"/>
        <v>69488</v>
      </c>
      <c r="B867">
        <f t="shared" si="631"/>
        <v>856</v>
      </c>
      <c r="C867">
        <f t="shared" si="612"/>
        <v>71.25</v>
      </c>
      <c r="D867">
        <f t="shared" si="613"/>
        <v>0</v>
      </c>
      <c r="E867">
        <f t="shared" si="632"/>
        <v>123</v>
      </c>
      <c r="F867">
        <f>IF(C867&gt;=$T$2,0,VLOOKUP($E867,EKM_F05!$A$3:$C$128,2,TRUE))</f>
        <v>0</v>
      </c>
      <c r="G867">
        <f>F867*'Real assumptions'!$B$3</f>
        <v>0</v>
      </c>
      <c r="H867">
        <f t="shared" si="614"/>
        <v>0</v>
      </c>
      <c r="I867">
        <f t="shared" si="615"/>
        <v>0</v>
      </c>
      <c r="J867">
        <f>IF(B867&gt;$AJ$2,0,HLOOKUP(C867,'Real assumptions'!$B$5:$L$8,4,TRUE))</f>
        <v>3.7900000000000003E-2</v>
      </c>
      <c r="K867">
        <f t="shared" si="621"/>
        <v>1</v>
      </c>
      <c r="L867">
        <f t="shared" si="649"/>
        <v>8.3333333333333329E-2</v>
      </c>
      <c r="M867">
        <f t="shared" si="616"/>
        <v>3.2145624959929453E-3</v>
      </c>
      <c r="N867">
        <f t="shared" si="617"/>
        <v>6.9078228764854656E-8</v>
      </c>
      <c r="O867" s="8">
        <f t="shared" si="633"/>
        <v>2.1420075847711451E-5</v>
      </c>
      <c r="P867">
        <f t="shared" si="634"/>
        <v>5.1573969783543134E-4</v>
      </c>
      <c r="Q867">
        <f t="shared" si="650"/>
        <v>0</v>
      </c>
      <c r="R867" s="89">
        <f t="shared" si="622"/>
        <v>5000</v>
      </c>
      <c r="S867">
        <f t="shared" si="623"/>
        <v>0.6666666666666714</v>
      </c>
      <c r="U867">
        <f>O866*AV866*'Real assumptions'!$B$33/12+AX867*'Real assumptions'!$B$34</f>
        <v>5.4074542344109786E-4</v>
      </c>
      <c r="V867">
        <f>IF(P867=0,0,IF(E867&lt;=$C$7,$AN$5*O866,0))*'Real assumptions'!$D$28</f>
        <v>0</v>
      </c>
      <c r="X867" s="94">
        <f t="shared" si="635"/>
        <v>0</v>
      </c>
      <c r="Y867">
        <f t="shared" si="624"/>
        <v>24</v>
      </c>
      <c r="Z867">
        <f t="shared" si="651"/>
        <v>27</v>
      </c>
      <c r="AA867">
        <f t="shared" si="625"/>
        <v>27.666666666666671</v>
      </c>
      <c r="AB867">
        <f t="shared" si="636"/>
        <v>50.505050505050505</v>
      </c>
      <c r="AC867">
        <f t="shared" si="618"/>
        <v>1397.3063973063975</v>
      </c>
      <c r="AD867">
        <f t="shared" si="637"/>
        <v>80.505050505050505</v>
      </c>
      <c r="AE867">
        <f t="shared" si="638"/>
        <v>111.36531986531988</v>
      </c>
      <c r="AF867" s="94">
        <f t="shared" si="639"/>
        <v>3491.3282828282827</v>
      </c>
      <c r="AG867">
        <f t="shared" si="652"/>
        <v>2.4117477381441929E-4</v>
      </c>
      <c r="AH867">
        <f t="shared" si="640"/>
        <v>7.4784516627441996E-2</v>
      </c>
      <c r="AI867">
        <f>HLOOKUP(AW867,'Real assumptions'!$A$21:$AK$24,2,TRUE)</f>
        <v>0</v>
      </c>
      <c r="AJ867" s="123">
        <f t="shared" si="619"/>
        <v>0</v>
      </c>
      <c r="AK867" s="122">
        <f>(1+HLOOKUP(YEAR(A867),'Real assumptions'!$A$21:$AK$24,2,TRUE)/100)^(1/12)-1</f>
        <v>0</v>
      </c>
      <c r="AL867">
        <f t="shared" si="653"/>
        <v>5.4074542344109786E-4</v>
      </c>
      <c r="AM867">
        <f>('Real assumptions'!$B$33/12)*O866*AV866</f>
        <v>5.2019449952148773E-4</v>
      </c>
      <c r="AN867">
        <f t="shared" si="641"/>
        <v>7.4903034835346161E-2</v>
      </c>
      <c r="AO867">
        <f t="shared" si="620"/>
        <v>0</v>
      </c>
      <c r="AP867" s="121">
        <f t="shared" si="642"/>
        <v>0</v>
      </c>
      <c r="AQ867">
        <f t="shared" si="643"/>
        <v>0</v>
      </c>
      <c r="AR867">
        <v>0</v>
      </c>
      <c r="AS867">
        <f t="shared" si="626"/>
        <v>0</v>
      </c>
      <c r="AT867">
        <f t="shared" si="644"/>
        <v>0</v>
      </c>
      <c r="AU867">
        <f>IFERROR(HLOOKUP(B867,'Real assumptions'!$B$43:$AL$44,2,TRUE)*($W$3/$U$2),0)</f>
        <v>0</v>
      </c>
      <c r="AV867">
        <f>AV866*(1+'Real assumptions'!$B$35)^(1/12)</f>
        <v>2.4232377274974732</v>
      </c>
      <c r="AW867">
        <f t="shared" si="627"/>
        <v>2090</v>
      </c>
      <c r="AX867">
        <f t="shared" si="654"/>
        <v>7.5018483128613769E-2</v>
      </c>
      <c r="AY867">
        <f t="shared" si="655"/>
        <v>9.0442567661937312E-5</v>
      </c>
      <c r="AZ867">
        <f t="shared" si="628"/>
        <v>8.0768962951628692E-2</v>
      </c>
      <c r="BA867">
        <f t="shared" si="645"/>
        <v>2.4117477381441929E-4</v>
      </c>
      <c r="BB867">
        <f t="shared" si="646"/>
        <v>27.666666666666671</v>
      </c>
      <c r="BC867">
        <f t="shared" si="629"/>
        <v>16.600000000000001</v>
      </c>
      <c r="BD867">
        <f t="shared" si="647"/>
        <v>0</v>
      </c>
      <c r="BE867">
        <f t="shared" si="630"/>
        <v>24</v>
      </c>
      <c r="BF867">
        <f t="shared" si="656"/>
        <v>5000</v>
      </c>
      <c r="BU867"/>
      <c r="DW867" s="89"/>
      <c r="DX867" s="89"/>
      <c r="FD867"/>
      <c r="FE867"/>
    </row>
    <row r="868" spans="1:161" x14ac:dyDescent="0.25">
      <c r="A868" s="7">
        <f t="shared" si="648"/>
        <v>69518</v>
      </c>
      <c r="B868">
        <f t="shared" si="631"/>
        <v>857</v>
      </c>
      <c r="C868">
        <f t="shared" si="612"/>
        <v>71.333333333333329</v>
      </c>
      <c r="D868">
        <f t="shared" si="613"/>
        <v>0</v>
      </c>
      <c r="E868">
        <f t="shared" si="632"/>
        <v>123</v>
      </c>
      <c r="F868">
        <f>IF(C868&gt;=$T$2,0,VLOOKUP($E868,EKM_F05!$A$3:$C$128,2,TRUE))</f>
        <v>0</v>
      </c>
      <c r="G868">
        <f>F868*'Real assumptions'!$B$3</f>
        <v>0</v>
      </c>
      <c r="H868">
        <f t="shared" si="614"/>
        <v>0</v>
      </c>
      <c r="I868">
        <f t="shared" si="615"/>
        <v>0</v>
      </c>
      <c r="J868">
        <f>IF(B868&gt;$AJ$2,0,HLOOKUP(C868,'Real assumptions'!$B$5:$L$8,4,TRUE))</f>
        <v>3.7900000000000003E-2</v>
      </c>
      <c r="K868">
        <f t="shared" si="621"/>
        <v>1</v>
      </c>
      <c r="L868">
        <f t="shared" si="649"/>
        <v>8.3333333333333329E-2</v>
      </c>
      <c r="M868">
        <f t="shared" si="616"/>
        <v>3.2145624959929453E-3</v>
      </c>
      <c r="N868">
        <f t="shared" si="617"/>
        <v>6.8856172481377526E-8</v>
      </c>
      <c r="O868" s="8">
        <f t="shared" si="633"/>
        <v>2.1351219675230073E-5</v>
      </c>
      <c r="P868">
        <f t="shared" si="634"/>
        <v>5.1408182034507486E-4</v>
      </c>
      <c r="Q868">
        <f t="shared" si="650"/>
        <v>0</v>
      </c>
      <c r="R868" s="89">
        <f t="shared" si="622"/>
        <v>5000</v>
      </c>
      <c r="S868">
        <f t="shared" si="623"/>
        <v>0.5833333333333286</v>
      </c>
      <c r="U868">
        <f>O867*AV867*'Real assumptions'!$B$33/12+AX868*'Real assumptions'!$B$34</f>
        <v>5.3957088583871712E-4</v>
      </c>
      <c r="V868">
        <f>IF(P868=0,0,IF(E868&lt;=$C$7,$AN$5*O867,0))*'Real assumptions'!$D$28</f>
        <v>0</v>
      </c>
      <c r="X868" s="94">
        <f t="shared" si="635"/>
        <v>0</v>
      </c>
      <c r="Y868">
        <f t="shared" si="624"/>
        <v>24</v>
      </c>
      <c r="Z868">
        <f t="shared" si="651"/>
        <v>27</v>
      </c>
      <c r="AA868">
        <f t="shared" si="625"/>
        <v>27.583333333333329</v>
      </c>
      <c r="AB868">
        <f t="shared" si="636"/>
        <v>50.505050505050505</v>
      </c>
      <c r="AC868">
        <f t="shared" si="618"/>
        <v>1393.097643097643</v>
      </c>
      <c r="AD868">
        <f t="shared" si="637"/>
        <v>80.505050505050505</v>
      </c>
      <c r="AE868">
        <f t="shared" si="638"/>
        <v>111.02988215488213</v>
      </c>
      <c r="AF868" s="94">
        <f t="shared" si="639"/>
        <v>3495.8724747474748</v>
      </c>
      <c r="AG868">
        <f t="shared" si="652"/>
        <v>2.4071239809411222E-4</v>
      </c>
      <c r="AH868">
        <f t="shared" si="640"/>
        <v>7.4641141164923527E-2</v>
      </c>
      <c r="AI868">
        <f>HLOOKUP(AW868,'Real assumptions'!$A$21:$AK$24,2,TRUE)</f>
        <v>0</v>
      </c>
      <c r="AJ868" s="123">
        <f t="shared" si="619"/>
        <v>0</v>
      </c>
      <c r="AK868" s="122">
        <f>(1+HLOOKUP(YEAR(A868),'Real assumptions'!$A$21:$AK$24,2,TRUE)/100)^(1/12)-1</f>
        <v>0</v>
      </c>
      <c r="AL868">
        <f t="shared" si="653"/>
        <v>5.3957088583871712E-4</v>
      </c>
      <c r="AM868">
        <f>('Real assumptions'!$B$33/12)*O867*AV867</f>
        <v>5.1905935920031803E-4</v>
      </c>
      <c r="AN868">
        <f t="shared" si="641"/>
        <v>7.4759027561948355E-2</v>
      </c>
      <c r="AO868">
        <f t="shared" si="620"/>
        <v>0</v>
      </c>
      <c r="AP868" s="121">
        <f t="shared" si="642"/>
        <v>0</v>
      </c>
      <c r="AQ868">
        <f t="shared" si="643"/>
        <v>0</v>
      </c>
      <c r="AR868">
        <v>0</v>
      </c>
      <c r="AS868">
        <f t="shared" si="626"/>
        <v>0</v>
      </c>
      <c r="AT868">
        <f t="shared" si="644"/>
        <v>0</v>
      </c>
      <c r="AU868">
        <f>IFERROR(HLOOKUP(B868,'Real assumptions'!$B$43:$AL$44,2,TRUE)*($W$3/$U$2),0)</f>
        <v>0</v>
      </c>
      <c r="AV868">
        <f>AV867*(1+'Real assumptions'!$B$35)^(1/12)</f>
        <v>2.4257475863163953</v>
      </c>
      <c r="AW868">
        <f t="shared" si="627"/>
        <v>2090</v>
      </c>
      <c r="AX868">
        <f t="shared" si="654"/>
        <v>7.4874668461817881E-2</v>
      </c>
      <c r="AY868">
        <f t="shared" si="655"/>
        <v>9.0151834375889938E-5</v>
      </c>
      <c r="AZ868">
        <f t="shared" si="628"/>
        <v>8.0502761488040933E-2</v>
      </c>
      <c r="BA868">
        <f t="shared" si="645"/>
        <v>2.4071239809411222E-4</v>
      </c>
      <c r="BB868">
        <f t="shared" si="646"/>
        <v>27.583333333333329</v>
      </c>
      <c r="BC868">
        <f t="shared" si="629"/>
        <v>16.549999999999997</v>
      </c>
      <c r="BD868">
        <f t="shared" si="647"/>
        <v>0</v>
      </c>
      <c r="BE868">
        <f t="shared" si="630"/>
        <v>24</v>
      </c>
      <c r="BF868">
        <f t="shared" si="656"/>
        <v>5000</v>
      </c>
      <c r="BU868"/>
      <c r="DW868" s="89"/>
      <c r="DX868" s="89"/>
      <c r="FD868"/>
      <c r="FE868"/>
    </row>
    <row r="869" spans="1:161" x14ac:dyDescent="0.25">
      <c r="A869" s="7">
        <f t="shared" si="648"/>
        <v>69549</v>
      </c>
      <c r="B869">
        <f t="shared" si="631"/>
        <v>858</v>
      </c>
      <c r="C869">
        <f t="shared" si="612"/>
        <v>71.416666666666671</v>
      </c>
      <c r="D869">
        <f t="shared" si="613"/>
        <v>0</v>
      </c>
      <c r="E869">
        <f t="shared" si="632"/>
        <v>123</v>
      </c>
      <c r="F869">
        <f>IF(C869&gt;=$T$2,0,VLOOKUP($E869,EKM_F05!$A$3:$C$128,2,TRUE))</f>
        <v>0</v>
      </c>
      <c r="G869">
        <f>F869*'Real assumptions'!$B$3</f>
        <v>0</v>
      </c>
      <c r="H869">
        <f t="shared" si="614"/>
        <v>0</v>
      </c>
      <c r="I869">
        <f t="shared" si="615"/>
        <v>0</v>
      </c>
      <c r="J869">
        <f>IF(B869&gt;$AJ$2,0,HLOOKUP(C869,'Real assumptions'!$B$5:$L$8,4,TRUE))</f>
        <v>3.7900000000000003E-2</v>
      </c>
      <c r="K869">
        <f t="shared" si="621"/>
        <v>1</v>
      </c>
      <c r="L869">
        <f t="shared" si="649"/>
        <v>8.3333333333333329E-2</v>
      </c>
      <c r="M869">
        <f t="shared" si="616"/>
        <v>3.2145624959929453E-3</v>
      </c>
      <c r="N869">
        <f t="shared" si="617"/>
        <v>6.8634830011701268E-8</v>
      </c>
      <c r="O869" s="8">
        <f t="shared" si="633"/>
        <v>2.128258484521837E-5</v>
      </c>
      <c r="P869">
        <f t="shared" si="634"/>
        <v>5.124292722055218E-4</v>
      </c>
      <c r="Q869">
        <f t="shared" si="650"/>
        <v>0</v>
      </c>
      <c r="R869" s="89">
        <f t="shared" si="622"/>
        <v>5000</v>
      </c>
      <c r="S869">
        <f t="shared" si="623"/>
        <v>0.5</v>
      </c>
      <c r="U869">
        <f>O868*AV868*'Real assumptions'!$B$33/12+AX869*'Real assumptions'!$B$34</f>
        <v>5.3839886620707334E-4</v>
      </c>
      <c r="V869">
        <f>IF(P869=0,0,IF(E869&lt;=$C$7,$AN$5*O868,0))*'Real assumptions'!$D$28</f>
        <v>0</v>
      </c>
      <c r="X869" s="94">
        <f t="shared" si="635"/>
        <v>0</v>
      </c>
      <c r="Y869">
        <f t="shared" si="624"/>
        <v>24</v>
      </c>
      <c r="Z869">
        <f t="shared" si="651"/>
        <v>27</v>
      </c>
      <c r="AA869">
        <f t="shared" si="625"/>
        <v>27.5</v>
      </c>
      <c r="AB869">
        <f t="shared" si="636"/>
        <v>50.505050505050505</v>
      </c>
      <c r="AC869">
        <f t="shared" si="618"/>
        <v>1388.8888888888889</v>
      </c>
      <c r="AD869">
        <f t="shared" si="637"/>
        <v>80.505050505050505</v>
      </c>
      <c r="AE869">
        <f t="shared" si="638"/>
        <v>110.69444444444444</v>
      </c>
      <c r="AF869" s="94">
        <f t="shared" si="639"/>
        <v>3500.416666666667</v>
      </c>
      <c r="AG869">
        <f t="shared" si="652"/>
        <v>2.4025050288679266E-4</v>
      </c>
      <c r="AH869">
        <f t="shared" si="640"/>
        <v>7.4497914701949816E-2</v>
      </c>
      <c r="AI869">
        <f>HLOOKUP(AW869,'Real assumptions'!$A$21:$AK$24,2,TRUE)</f>
        <v>0</v>
      </c>
      <c r="AJ869" s="123">
        <f t="shared" si="619"/>
        <v>0</v>
      </c>
      <c r="AK869" s="122">
        <f>(1+HLOOKUP(YEAR(A869),'Real assumptions'!$A$21:$AK$24,2,TRUE)/100)^(1/12)-1</f>
        <v>0</v>
      </c>
      <c r="AL869">
        <f t="shared" si="653"/>
        <v>5.3839886620707334E-4</v>
      </c>
      <c r="AM869">
        <f>('Real assumptions'!$B$33/12)*O868*AV868</f>
        <v>5.1792669592100478E-4</v>
      </c>
      <c r="AN869">
        <f t="shared" si="641"/>
        <v>7.461517157092197E-2</v>
      </c>
      <c r="AO869">
        <f t="shared" si="620"/>
        <v>0</v>
      </c>
      <c r="AP869" s="121">
        <f t="shared" si="642"/>
        <v>0</v>
      </c>
      <c r="AQ869">
        <f t="shared" si="643"/>
        <v>0</v>
      </c>
      <c r="AR869">
        <v>0</v>
      </c>
      <c r="AS869">
        <f t="shared" si="626"/>
        <v>0</v>
      </c>
      <c r="AT869">
        <f t="shared" si="644"/>
        <v>0</v>
      </c>
      <c r="AU869">
        <f>IFERROR(HLOOKUP(B869,'Real assumptions'!$B$43:$AL$44,2,TRUE)*($W$3/$U$2),0)</f>
        <v>0</v>
      </c>
      <c r="AV869">
        <f>AV868*(1+'Real assumptions'!$B$35)^(1/12)</f>
        <v>2.4282600447115867</v>
      </c>
      <c r="AW869">
        <f t="shared" si="627"/>
        <v>2090</v>
      </c>
      <c r="AX869">
        <f t="shared" si="654"/>
        <v>7.4731003200593685E-2</v>
      </c>
      <c r="AY869">
        <f t="shared" si="655"/>
        <v>8.9862035670160227E-5</v>
      </c>
      <c r="AZ869">
        <f t="shared" si="628"/>
        <v>8.0236541391152577E-2</v>
      </c>
      <c r="BA869">
        <f t="shared" si="645"/>
        <v>2.4025050288679266E-4</v>
      </c>
      <c r="BB869">
        <f t="shared" si="646"/>
        <v>27.5</v>
      </c>
      <c r="BC869">
        <f t="shared" si="629"/>
        <v>16.5</v>
      </c>
      <c r="BD869">
        <f t="shared" si="647"/>
        <v>0</v>
      </c>
      <c r="BE869">
        <f t="shared" si="630"/>
        <v>24</v>
      </c>
      <c r="BF869">
        <f t="shared" si="656"/>
        <v>5000</v>
      </c>
      <c r="BU869"/>
      <c r="DW869" s="89"/>
      <c r="DX869" s="89"/>
      <c r="FD869"/>
      <c r="FE869"/>
    </row>
    <row r="870" spans="1:161" x14ac:dyDescent="0.25">
      <c r="A870" s="7">
        <f t="shared" si="648"/>
        <v>69579</v>
      </c>
      <c r="B870">
        <f t="shared" si="631"/>
        <v>859</v>
      </c>
      <c r="C870">
        <f t="shared" si="612"/>
        <v>71.5</v>
      </c>
      <c r="D870">
        <f t="shared" si="613"/>
        <v>0</v>
      </c>
      <c r="E870">
        <f t="shared" si="632"/>
        <v>123</v>
      </c>
      <c r="F870">
        <f>IF(C870&gt;=$T$2,0,VLOOKUP($E870,EKM_F05!$A$3:$C$128,2,TRUE))</f>
        <v>0</v>
      </c>
      <c r="G870">
        <f>F870*'Real assumptions'!$B$3</f>
        <v>0</v>
      </c>
      <c r="H870">
        <f t="shared" si="614"/>
        <v>0</v>
      </c>
      <c r="I870">
        <f t="shared" si="615"/>
        <v>0</v>
      </c>
      <c r="J870">
        <f>IF(B870&gt;$AJ$2,0,HLOOKUP(C870,'Real assumptions'!$B$5:$L$8,4,TRUE))</f>
        <v>3.7900000000000003E-2</v>
      </c>
      <c r="K870">
        <f t="shared" si="621"/>
        <v>1</v>
      </c>
      <c r="L870">
        <f t="shared" si="649"/>
        <v>8.3333333333333329E-2</v>
      </c>
      <c r="M870">
        <f t="shared" si="616"/>
        <v>3.2145624959929453E-3</v>
      </c>
      <c r="N870">
        <f t="shared" si="617"/>
        <v>6.8414199061226797E-8</v>
      </c>
      <c r="O870" s="8">
        <f t="shared" si="633"/>
        <v>2.1214170646157145E-5</v>
      </c>
      <c r="P870">
        <f t="shared" si="634"/>
        <v>5.1078203628524086E-4</v>
      </c>
      <c r="Q870">
        <f t="shared" si="650"/>
        <v>0</v>
      </c>
      <c r="R870" s="89">
        <f t="shared" si="622"/>
        <v>5000</v>
      </c>
      <c r="S870">
        <f t="shared" si="623"/>
        <v>0.4166666666666714</v>
      </c>
      <c r="U870">
        <f>O869*AV869*'Real assumptions'!$B$33/12+AX870*'Real assumptions'!$B$34</f>
        <v>5.3722935928487102E-4</v>
      </c>
      <c r="V870">
        <f>IF(P870=0,0,IF(E870&lt;=$C$7,$AN$5*O869,0))*'Real assumptions'!$D$28</f>
        <v>0</v>
      </c>
      <c r="X870" s="94">
        <f t="shared" si="635"/>
        <v>0</v>
      </c>
      <c r="Y870">
        <f t="shared" si="624"/>
        <v>24</v>
      </c>
      <c r="Z870">
        <f t="shared" si="651"/>
        <v>27</v>
      </c>
      <c r="AA870">
        <f t="shared" si="625"/>
        <v>27.416666666666671</v>
      </c>
      <c r="AB870">
        <f t="shared" si="636"/>
        <v>50.505050505050505</v>
      </c>
      <c r="AC870">
        <f t="shared" si="618"/>
        <v>1384.6801346801349</v>
      </c>
      <c r="AD870">
        <f t="shared" si="637"/>
        <v>80.505050505050505</v>
      </c>
      <c r="AE870">
        <f t="shared" si="638"/>
        <v>110.35900673400675</v>
      </c>
      <c r="AF870" s="94">
        <f t="shared" si="639"/>
        <v>3504.9608585858582</v>
      </c>
      <c r="AG870">
        <f t="shared" si="652"/>
        <v>2.3978908988110128E-4</v>
      </c>
      <c r="AH870">
        <f t="shared" si="640"/>
        <v>7.4354837762141857E-2</v>
      </c>
      <c r="AI870">
        <f>HLOOKUP(AW870,'Real assumptions'!$A$21:$AK$24,2,TRUE)</f>
        <v>0</v>
      </c>
      <c r="AJ870" s="123">
        <f t="shared" si="619"/>
        <v>0</v>
      </c>
      <c r="AK870" s="122">
        <f>(1+HLOOKUP(YEAR(A870),'Real assumptions'!$A$21:$AK$24,2,TRUE)/100)^(1/12)-1</f>
        <v>0</v>
      </c>
      <c r="AL870">
        <f t="shared" si="653"/>
        <v>5.3722935928487102E-4</v>
      </c>
      <c r="AM870">
        <f>('Real assumptions'!$B$33/12)*O869*AV869</f>
        <v>5.1679650427828095E-4</v>
      </c>
      <c r="AN870">
        <f t="shared" si="641"/>
        <v>7.447146737895019E-2</v>
      </c>
      <c r="AO870">
        <f t="shared" si="620"/>
        <v>0</v>
      </c>
      <c r="AP870" s="121">
        <f t="shared" si="642"/>
        <v>0</v>
      </c>
      <c r="AQ870">
        <f t="shared" si="643"/>
        <v>0</v>
      </c>
      <c r="AR870">
        <v>0</v>
      </c>
      <c r="AS870">
        <f t="shared" si="626"/>
        <v>0</v>
      </c>
      <c r="AT870">
        <f t="shared" si="644"/>
        <v>0</v>
      </c>
      <c r="AU870">
        <f>IFERROR(HLOOKUP(B870,'Real assumptions'!$B$43:$AL$44,2,TRUE)*($W$3/$U$2),0)</f>
        <v>0</v>
      </c>
      <c r="AV870">
        <f>AV869*(1+'Real assumptions'!$B$35)^(1/12)</f>
        <v>2.430775105375548</v>
      </c>
      <c r="AW870">
        <f t="shared" si="627"/>
        <v>2090</v>
      </c>
      <c r="AX870">
        <f t="shared" si="654"/>
        <v>7.4587487870490299E-2</v>
      </c>
      <c r="AY870">
        <f t="shared" si="655"/>
        <v>8.9573168540481353E-5</v>
      </c>
      <c r="AZ870">
        <f t="shared" si="628"/>
        <v>7.9970304978271844E-2</v>
      </c>
      <c r="BA870">
        <f t="shared" si="645"/>
        <v>2.3978908988110128E-4</v>
      </c>
      <c r="BB870">
        <f t="shared" si="646"/>
        <v>27.416666666666671</v>
      </c>
      <c r="BC870">
        <f t="shared" si="629"/>
        <v>16.450000000000003</v>
      </c>
      <c r="BD870">
        <f t="shared" si="647"/>
        <v>0</v>
      </c>
      <c r="BE870">
        <f t="shared" si="630"/>
        <v>24</v>
      </c>
      <c r="BF870">
        <f t="shared" si="656"/>
        <v>5000</v>
      </c>
      <c r="BU870"/>
      <c r="DW870" s="89"/>
      <c r="DX870" s="89"/>
      <c r="FD870"/>
      <c r="FE870"/>
    </row>
    <row r="871" spans="1:161" x14ac:dyDescent="0.25">
      <c r="A871" s="7">
        <f t="shared" si="648"/>
        <v>69610</v>
      </c>
      <c r="B871">
        <f t="shared" si="631"/>
        <v>860</v>
      </c>
      <c r="C871">
        <f t="shared" si="612"/>
        <v>71.583333333333329</v>
      </c>
      <c r="D871">
        <f t="shared" si="613"/>
        <v>0</v>
      </c>
      <c r="E871">
        <f t="shared" si="632"/>
        <v>123</v>
      </c>
      <c r="F871">
        <f>IF(C871&gt;=$T$2,0,VLOOKUP($E871,EKM_F05!$A$3:$C$128,2,TRUE))</f>
        <v>0</v>
      </c>
      <c r="G871">
        <f>F871*'Real assumptions'!$B$3</f>
        <v>0</v>
      </c>
      <c r="H871">
        <f t="shared" si="614"/>
        <v>0</v>
      </c>
      <c r="I871">
        <f t="shared" si="615"/>
        <v>0</v>
      </c>
      <c r="J871">
        <f>IF(B871&gt;$AJ$2,0,HLOOKUP(C871,'Real assumptions'!$B$5:$L$8,4,TRUE))</f>
        <v>3.7900000000000003E-2</v>
      </c>
      <c r="K871">
        <f t="shared" si="621"/>
        <v>1</v>
      </c>
      <c r="L871">
        <f t="shared" si="649"/>
        <v>8.3333333333333329E-2</v>
      </c>
      <c r="M871">
        <f t="shared" si="616"/>
        <v>3.2145624959929453E-3</v>
      </c>
      <c r="N871">
        <f t="shared" si="617"/>
        <v>6.819427734273119E-8</v>
      </c>
      <c r="O871" s="8">
        <f t="shared" si="633"/>
        <v>2.1145976368814413E-5</v>
      </c>
      <c r="P871">
        <f t="shared" si="634"/>
        <v>5.0914009550777144E-4</v>
      </c>
      <c r="Q871">
        <f t="shared" si="650"/>
        <v>0</v>
      </c>
      <c r="R871" s="89">
        <f t="shared" si="622"/>
        <v>5000</v>
      </c>
      <c r="S871">
        <f t="shared" si="623"/>
        <v>0.3333333333333286</v>
      </c>
      <c r="U871">
        <f>O870*AV870*'Real assumptions'!$B$33/12+AX871*'Real assumptions'!$B$34</f>
        <v>5.3606235982126146E-4</v>
      </c>
      <c r="V871">
        <f>IF(P871=0,0,IF(E871&lt;=$C$7,$AN$5*O870,0))*'Real assumptions'!$D$28</f>
        <v>0</v>
      </c>
      <c r="X871" s="94">
        <f t="shared" si="635"/>
        <v>0</v>
      </c>
      <c r="Y871">
        <f t="shared" si="624"/>
        <v>24</v>
      </c>
      <c r="Z871">
        <f t="shared" si="651"/>
        <v>27</v>
      </c>
      <c r="AA871">
        <f t="shared" si="625"/>
        <v>27.333333333333329</v>
      </c>
      <c r="AB871">
        <f t="shared" si="636"/>
        <v>50.505050505050505</v>
      </c>
      <c r="AC871">
        <f t="shared" si="618"/>
        <v>1380.4713804713801</v>
      </c>
      <c r="AD871">
        <f t="shared" si="637"/>
        <v>80.505050505050505</v>
      </c>
      <c r="AE871">
        <f t="shared" si="638"/>
        <v>110.023569023569</v>
      </c>
      <c r="AF871" s="94">
        <f t="shared" si="639"/>
        <v>3509.5050505050508</v>
      </c>
      <c r="AG871">
        <f t="shared" si="652"/>
        <v>2.3932816074985727E-4</v>
      </c>
      <c r="AH871">
        <f t="shared" si="640"/>
        <v>7.4211910864214636E-2</v>
      </c>
      <c r="AI871">
        <f>HLOOKUP(AW871,'Real assumptions'!$A$21:$AK$24,2,TRUE)</f>
        <v>0</v>
      </c>
      <c r="AJ871" s="123">
        <f t="shared" si="619"/>
        <v>0</v>
      </c>
      <c r="AK871" s="122">
        <f>(1+HLOOKUP(YEAR(A871),'Real assumptions'!$A$21:$AK$24,2,TRUE)/100)^(1/12)-1</f>
        <v>0</v>
      </c>
      <c r="AL871">
        <f t="shared" si="653"/>
        <v>5.3606235982126146E-4</v>
      </c>
      <c r="AM871">
        <f>('Real assumptions'!$B$33/12)*O870*AV870</f>
        <v>5.1566877887867493E-4</v>
      </c>
      <c r="AN871">
        <f t="shared" si="641"/>
        <v>7.432791549782837E-2</v>
      </c>
      <c r="AO871">
        <f t="shared" si="620"/>
        <v>0</v>
      </c>
      <c r="AP871" s="121">
        <f t="shared" si="642"/>
        <v>0</v>
      </c>
      <c r="AQ871">
        <f t="shared" si="643"/>
        <v>0</v>
      </c>
      <c r="AR871">
        <v>0</v>
      </c>
      <c r="AS871">
        <f t="shared" si="626"/>
        <v>0</v>
      </c>
      <c r="AT871">
        <f t="shared" si="644"/>
        <v>0</v>
      </c>
      <c r="AU871">
        <f>IFERROR(HLOOKUP(B871,'Real assumptions'!$B$43:$AL$44,2,TRUE)*($W$3/$U$2),0)</f>
        <v>0</v>
      </c>
      <c r="AV871">
        <f>AV870*(1+'Real assumptions'!$B$35)^(1/12)</f>
        <v>2.4332927710035688</v>
      </c>
      <c r="AW871">
        <f t="shared" si="627"/>
        <v>2090</v>
      </c>
      <c r="AX871">
        <f t="shared" si="654"/>
        <v>7.4444122992134099E-2</v>
      </c>
      <c r="AY871">
        <f t="shared" si="655"/>
        <v>8.9285229992243874E-5</v>
      </c>
      <c r="AZ871">
        <f t="shared" si="628"/>
        <v>7.9704054553208503E-2</v>
      </c>
      <c r="BA871">
        <f t="shared" si="645"/>
        <v>2.3932816074985727E-4</v>
      </c>
      <c r="BB871">
        <f t="shared" si="646"/>
        <v>27.333333333333329</v>
      </c>
      <c r="BC871">
        <f t="shared" si="629"/>
        <v>16.399999999999999</v>
      </c>
      <c r="BD871">
        <f t="shared" si="647"/>
        <v>0</v>
      </c>
      <c r="BE871">
        <f t="shared" si="630"/>
        <v>24</v>
      </c>
      <c r="BF871">
        <f t="shared" si="656"/>
        <v>5000</v>
      </c>
      <c r="BU871"/>
      <c r="DW871" s="89"/>
      <c r="DX871" s="89"/>
      <c r="FD871"/>
      <c r="FE871"/>
    </row>
    <row r="872" spans="1:161" x14ac:dyDescent="0.25">
      <c r="A872" s="7">
        <f t="shared" si="648"/>
        <v>69641</v>
      </c>
      <c r="B872">
        <f t="shared" si="631"/>
        <v>861</v>
      </c>
      <c r="C872">
        <f t="shared" si="612"/>
        <v>71.666666666666671</v>
      </c>
      <c r="D872">
        <f t="shared" si="613"/>
        <v>0</v>
      </c>
      <c r="E872">
        <f t="shared" si="632"/>
        <v>123</v>
      </c>
      <c r="F872">
        <f>IF(C872&gt;=$T$2,0,VLOOKUP($E872,EKM_F05!$A$3:$C$128,2,TRUE))</f>
        <v>0</v>
      </c>
      <c r="G872">
        <f>F872*'Real assumptions'!$B$3</f>
        <v>0</v>
      </c>
      <c r="H872">
        <f t="shared" si="614"/>
        <v>0</v>
      </c>
      <c r="I872">
        <f t="shared" si="615"/>
        <v>0</v>
      </c>
      <c r="J872">
        <f>IF(B872&gt;$AJ$2,0,HLOOKUP(C872,'Real assumptions'!$B$5:$L$8,4,TRUE))</f>
        <v>3.7900000000000003E-2</v>
      </c>
      <c r="K872">
        <f t="shared" si="621"/>
        <v>1</v>
      </c>
      <c r="L872">
        <f t="shared" si="649"/>
        <v>8.3333333333333329E-2</v>
      </c>
      <c r="M872">
        <f t="shared" si="616"/>
        <v>3.2145624959929453E-3</v>
      </c>
      <c r="N872">
        <f t="shared" si="617"/>
        <v>6.79750625763439E-8</v>
      </c>
      <c r="O872" s="8">
        <f t="shared" si="633"/>
        <v>2.107800130623807E-5</v>
      </c>
      <c r="P872">
        <f t="shared" si="634"/>
        <v>5.0750343285154592E-4</v>
      </c>
      <c r="Q872">
        <f t="shared" si="650"/>
        <v>0</v>
      </c>
      <c r="R872" s="89">
        <f t="shared" si="622"/>
        <v>5000</v>
      </c>
      <c r="S872">
        <f t="shared" si="623"/>
        <v>0.25</v>
      </c>
      <c r="U872">
        <f>O871*AV871*'Real assumptions'!$B$33/12+AX872*'Real assumptions'!$B$34</f>
        <v>5.3489786257582348E-4</v>
      </c>
      <c r="V872">
        <f>IF(P872=0,0,IF(E872&lt;=$C$7,$AN$5*O871,0))*'Real assumptions'!$D$28</f>
        <v>0</v>
      </c>
      <c r="X872" s="94">
        <f t="shared" si="635"/>
        <v>0</v>
      </c>
      <c r="Y872">
        <f t="shared" si="624"/>
        <v>24</v>
      </c>
      <c r="Z872">
        <f t="shared" si="651"/>
        <v>27</v>
      </c>
      <c r="AA872">
        <f t="shared" si="625"/>
        <v>27.25</v>
      </c>
      <c r="AB872">
        <f t="shared" si="636"/>
        <v>50.505050505050505</v>
      </c>
      <c r="AC872">
        <f t="shared" si="618"/>
        <v>1376.2626262626263</v>
      </c>
      <c r="AD872">
        <f t="shared" si="637"/>
        <v>80.505050505050505</v>
      </c>
      <c r="AE872">
        <f t="shared" si="638"/>
        <v>109.68813131313131</v>
      </c>
      <c r="AF872" s="94">
        <f t="shared" si="639"/>
        <v>3514.0492424242425</v>
      </c>
      <c r="AG872">
        <f t="shared" si="652"/>
        <v>2.3886771715014176E-4</v>
      </c>
      <c r="AH872">
        <f t="shared" si="640"/>
        <v>7.4069134522003088E-2</v>
      </c>
      <c r="AI872">
        <f>HLOOKUP(AW872,'Real assumptions'!$A$21:$AK$24,2,TRUE)</f>
        <v>0</v>
      </c>
      <c r="AJ872" s="123">
        <f t="shared" si="619"/>
        <v>0</v>
      </c>
      <c r="AK872" s="122">
        <f>(1+HLOOKUP(YEAR(A872),'Real assumptions'!$A$21:$AK$24,2,TRUE)/100)^(1/12)-1</f>
        <v>0</v>
      </c>
      <c r="AL872">
        <f t="shared" si="653"/>
        <v>5.3489786257582348E-4</v>
      </c>
      <c r="AM872">
        <f>('Real assumptions'!$B$33/12)*O871*AV871</f>
        <v>5.1454351434048406E-4</v>
      </c>
      <c r="AN872">
        <f t="shared" si="641"/>
        <v>7.4184516434490366E-2</v>
      </c>
      <c r="AO872">
        <f t="shared" si="620"/>
        <v>0</v>
      </c>
      <c r="AP872" s="121">
        <f t="shared" si="642"/>
        <v>0</v>
      </c>
      <c r="AQ872">
        <f t="shared" si="643"/>
        <v>0</v>
      </c>
      <c r="AR872">
        <v>0</v>
      </c>
      <c r="AS872">
        <f t="shared" si="626"/>
        <v>0</v>
      </c>
      <c r="AT872">
        <f t="shared" si="644"/>
        <v>0</v>
      </c>
      <c r="AU872">
        <f>IFERROR(HLOOKUP(B872,'Real assumptions'!$B$43:$AL$44,2,TRUE)*($W$3/$U$2),0)</f>
        <v>0</v>
      </c>
      <c r="AV872">
        <f>AV871*(1+'Real assumptions'!$B$35)^(1/12)</f>
        <v>2.43581304429373</v>
      </c>
      <c r="AW872">
        <f t="shared" si="627"/>
        <v>2090</v>
      </c>
      <c r="AX872">
        <f t="shared" si="654"/>
        <v>7.4300909081255098E-2</v>
      </c>
      <c r="AY872">
        <f t="shared" si="655"/>
        <v>8.8998217040464693E-5</v>
      </c>
      <c r="AZ872">
        <f t="shared" si="628"/>
        <v>7.9437792406334085E-2</v>
      </c>
      <c r="BA872">
        <f t="shared" si="645"/>
        <v>2.3886771715014176E-4</v>
      </c>
      <c r="BB872">
        <f t="shared" si="646"/>
        <v>27.25</v>
      </c>
      <c r="BC872">
        <f t="shared" si="629"/>
        <v>16.350000000000001</v>
      </c>
      <c r="BD872">
        <f t="shared" si="647"/>
        <v>0</v>
      </c>
      <c r="BE872">
        <f t="shared" si="630"/>
        <v>24</v>
      </c>
      <c r="BF872">
        <f t="shared" si="656"/>
        <v>5000</v>
      </c>
      <c r="BU872"/>
      <c r="DW872" s="89"/>
      <c r="DX872" s="89"/>
      <c r="FD872"/>
      <c r="FE872"/>
    </row>
    <row r="873" spans="1:161" x14ac:dyDescent="0.25">
      <c r="A873" s="7">
        <f t="shared" si="648"/>
        <v>69671</v>
      </c>
      <c r="B873">
        <f t="shared" si="631"/>
        <v>862</v>
      </c>
      <c r="C873">
        <f t="shared" si="612"/>
        <v>71.75</v>
      </c>
      <c r="D873">
        <f t="shared" si="613"/>
        <v>0</v>
      </c>
      <c r="E873">
        <f t="shared" si="632"/>
        <v>123</v>
      </c>
      <c r="F873">
        <f>IF(C873&gt;=$T$2,0,VLOOKUP($E873,EKM_F05!$A$3:$C$128,2,TRUE))</f>
        <v>0</v>
      </c>
      <c r="G873">
        <f>F873*'Real assumptions'!$B$3</f>
        <v>0</v>
      </c>
      <c r="H873">
        <f t="shared" si="614"/>
        <v>0</v>
      </c>
      <c r="I873">
        <f t="shared" si="615"/>
        <v>0</v>
      </c>
      <c r="J873">
        <f>IF(B873&gt;$AJ$2,0,HLOOKUP(C873,'Real assumptions'!$B$5:$L$8,4,TRUE))</f>
        <v>3.7900000000000003E-2</v>
      </c>
      <c r="K873">
        <f t="shared" si="621"/>
        <v>1</v>
      </c>
      <c r="L873">
        <f t="shared" si="649"/>
        <v>8.3333333333333329E-2</v>
      </c>
      <c r="M873">
        <f t="shared" si="616"/>
        <v>3.2145624959929453E-3</v>
      </c>
      <c r="N873">
        <f t="shared" si="617"/>
        <v>6.7756552489523215E-8</v>
      </c>
      <c r="O873" s="8">
        <f t="shared" si="633"/>
        <v>2.1010244753748546E-5</v>
      </c>
      <c r="P873">
        <f t="shared" si="634"/>
        <v>5.0587203134971372E-4</v>
      </c>
      <c r="Q873">
        <f t="shared" si="650"/>
        <v>0</v>
      </c>
      <c r="R873" s="89">
        <f t="shared" si="622"/>
        <v>5000</v>
      </c>
      <c r="S873">
        <f t="shared" si="623"/>
        <v>0.1666666666666714</v>
      </c>
      <c r="U873">
        <f>O872*AV872*'Real assumptions'!$B$33/12+AX873*'Real assumptions'!$B$34</f>
        <v>5.3373586231854591E-4</v>
      </c>
      <c r="V873">
        <f>IF(P873=0,0,IF(E873&lt;=$C$7,$AN$5*O872,0))*'Real assumptions'!$D$28</f>
        <v>0</v>
      </c>
      <c r="X873" s="94">
        <f t="shared" si="635"/>
        <v>0</v>
      </c>
      <c r="Y873">
        <f t="shared" si="624"/>
        <v>24</v>
      </c>
      <c r="Z873">
        <f t="shared" si="651"/>
        <v>27</v>
      </c>
      <c r="AA873">
        <f t="shared" si="625"/>
        <v>27.166666666666671</v>
      </c>
      <c r="AB873">
        <f t="shared" si="636"/>
        <v>50.505050505050505</v>
      </c>
      <c r="AC873">
        <f t="shared" si="618"/>
        <v>1372.0538720538723</v>
      </c>
      <c r="AD873">
        <f t="shared" si="637"/>
        <v>80.505050505050505</v>
      </c>
      <c r="AE873">
        <f t="shared" si="638"/>
        <v>109.35269360269362</v>
      </c>
      <c r="AF873" s="94">
        <f t="shared" si="639"/>
        <v>3518.5934343434337</v>
      </c>
      <c r="AG873">
        <f t="shared" si="652"/>
        <v>2.3840776072338261E-4</v>
      </c>
      <c r="AH873">
        <f t="shared" si="640"/>
        <v>7.3926509244488209E-2</v>
      </c>
      <c r="AI873">
        <f>HLOOKUP(AW873,'Real assumptions'!$A$21:$AK$24,2,TRUE)</f>
        <v>0</v>
      </c>
      <c r="AJ873" s="123">
        <f t="shared" si="619"/>
        <v>0</v>
      </c>
      <c r="AK873" s="122">
        <f>(1+HLOOKUP(YEAR(A873),'Real assumptions'!$A$21:$AK$24,2,TRUE)/100)^(1/12)-1</f>
        <v>0</v>
      </c>
      <c r="AL873">
        <f t="shared" si="653"/>
        <v>5.3373586231854591E-4</v>
      </c>
      <c r="AM873">
        <f>('Real assumptions'!$B$33/12)*O872*AV872</f>
        <v>5.1342070529374973E-4</v>
      </c>
      <c r="AN873">
        <f t="shared" si="641"/>
        <v>7.4041270691034264E-2</v>
      </c>
      <c r="AO873">
        <f t="shared" si="620"/>
        <v>0</v>
      </c>
      <c r="AP873" s="121">
        <f t="shared" si="642"/>
        <v>0</v>
      </c>
      <c r="AQ873">
        <f t="shared" si="643"/>
        <v>0</v>
      </c>
      <c r="AR873">
        <v>0</v>
      </c>
      <c r="AS873">
        <f t="shared" si="626"/>
        <v>0</v>
      </c>
      <c r="AT873">
        <f t="shared" si="644"/>
        <v>0</v>
      </c>
      <c r="AU873">
        <f>IFERROR(HLOOKUP(B873,'Real assumptions'!$B$43:$AL$44,2,TRUE)*($W$3/$U$2),0)</f>
        <v>0</v>
      </c>
      <c r="AV873">
        <f>AV872*(1+'Real assumptions'!$B$35)^(1/12)</f>
        <v>2.4383359279469077</v>
      </c>
      <c r="AW873">
        <f t="shared" si="627"/>
        <v>2090</v>
      </c>
      <c r="AX873">
        <f t="shared" si="654"/>
        <v>7.4157846648712847E-2</v>
      </c>
      <c r="AY873">
        <f t="shared" si="655"/>
        <v>8.8712126709756186E-5</v>
      </c>
      <c r="AZ873">
        <f t="shared" si="628"/>
        <v>7.9171520814641877E-2</v>
      </c>
      <c r="BA873">
        <f t="shared" si="645"/>
        <v>2.3840776072338261E-4</v>
      </c>
      <c r="BB873">
        <f t="shared" si="646"/>
        <v>27.166666666666671</v>
      </c>
      <c r="BC873">
        <f t="shared" si="629"/>
        <v>16.300000000000004</v>
      </c>
      <c r="BD873">
        <f t="shared" si="647"/>
        <v>0</v>
      </c>
      <c r="BE873">
        <f t="shared" si="630"/>
        <v>24</v>
      </c>
      <c r="BF873">
        <f t="shared" si="656"/>
        <v>5000</v>
      </c>
      <c r="BU873"/>
      <c r="DW873" s="89"/>
      <c r="DX873" s="89"/>
      <c r="FD873"/>
      <c r="FE873"/>
    </row>
    <row r="874" spans="1:161" x14ac:dyDescent="0.25">
      <c r="A874" s="7">
        <f t="shared" si="648"/>
        <v>69702</v>
      </c>
      <c r="B874">
        <f t="shared" si="631"/>
        <v>863</v>
      </c>
      <c r="C874">
        <f t="shared" ref="C874:C937" si="657">(B874+11)/12-1</f>
        <v>71.833333333333329</v>
      </c>
      <c r="D874">
        <f t="shared" ref="D874:D937" si="658">IF(C874-INT(C874)=0,1,0)</f>
        <v>0</v>
      </c>
      <c r="E874">
        <f t="shared" si="632"/>
        <v>123</v>
      </c>
      <c r="F874">
        <f>IF(C874&gt;=$T$2,0,VLOOKUP($E874,EKM_F05!$A$3:$C$128,2,TRUE))</f>
        <v>0</v>
      </c>
      <c r="G874">
        <f>F874*'Real assumptions'!$B$3</f>
        <v>0</v>
      </c>
      <c r="H874">
        <f t="shared" ref="H874:H937" si="659">(1-(1-G874)^(1/12))</f>
        <v>0</v>
      </c>
      <c r="I874">
        <f t="shared" ref="I874:I937" si="660">H874*O873*(1-M874/2)</f>
        <v>0</v>
      </c>
      <c r="J874">
        <f>IF(B874&gt;$AJ$2,0,HLOOKUP(C874,'Real assumptions'!$B$5:$L$8,4,TRUE))</f>
        <v>3.7900000000000003E-2</v>
      </c>
      <c r="K874">
        <f t="shared" si="621"/>
        <v>1</v>
      </c>
      <c r="L874">
        <f t="shared" si="649"/>
        <v>8.3333333333333329E-2</v>
      </c>
      <c r="M874">
        <f t="shared" ref="M874:M937" si="661">(1-(1-J874)^L874)</f>
        <v>3.2145624959929453E-3</v>
      </c>
      <c r="N874">
        <f t="shared" ref="N874:N937" si="662">M874*O873*(1-H874/2)</f>
        <v>6.7538744817032607E-8</v>
      </c>
      <c r="O874" s="8">
        <f t="shared" si="633"/>
        <v>2.0942706008931513E-5</v>
      </c>
      <c r="P874">
        <f t="shared" si="634"/>
        <v>5.0424587408996508E-4</v>
      </c>
      <c r="Q874">
        <f t="shared" si="650"/>
        <v>0</v>
      </c>
      <c r="R874" s="89">
        <f t="shared" si="622"/>
        <v>5000</v>
      </c>
      <c r="S874">
        <f t="shared" si="623"/>
        <v>8.3333333333328596E-2</v>
      </c>
      <c r="U874">
        <f>O873*AV873*'Real assumptions'!$B$33/12+AX874*'Real assumptions'!$B$34</f>
        <v>5.32576353829808E-4</v>
      </c>
      <c r="V874">
        <f>IF(P874=0,0,IF(E874&lt;=$C$7,$AN$5*O873,0))*'Real assumptions'!$D$28</f>
        <v>0</v>
      </c>
      <c r="X874" s="94">
        <f t="shared" si="635"/>
        <v>0</v>
      </c>
      <c r="Y874">
        <f t="shared" si="624"/>
        <v>24</v>
      </c>
      <c r="Z874">
        <f t="shared" si="651"/>
        <v>27</v>
      </c>
      <c r="AA874">
        <f t="shared" si="625"/>
        <v>27.083333333333329</v>
      </c>
      <c r="AB874">
        <f t="shared" si="636"/>
        <v>50.505050505050505</v>
      </c>
      <c r="AC874">
        <f t="shared" ref="AC874:AC937" si="663">AB874*AA874</f>
        <v>1367.8451178451176</v>
      </c>
      <c r="AD874">
        <f t="shared" si="637"/>
        <v>80.505050505050505</v>
      </c>
      <c r="AE874">
        <f t="shared" si="638"/>
        <v>109.01725589225587</v>
      </c>
      <c r="AF874" s="94">
        <f t="shared" si="639"/>
        <v>3523.1376262626263</v>
      </c>
      <c r="AG874">
        <f t="shared" si="652"/>
        <v>2.3794829309543752E-4</v>
      </c>
      <c r="AH874">
        <f t="shared" si="640"/>
        <v>7.3784035535823009E-2</v>
      </c>
      <c r="AI874">
        <f>HLOOKUP(AW874,'Real assumptions'!$A$21:$AK$24,2,TRUE)</f>
        <v>0</v>
      </c>
      <c r="AJ874" s="123">
        <f t="shared" ref="AJ874:AJ937" si="664">((1+AI874/100)^(1/12))-1</f>
        <v>0</v>
      </c>
      <c r="AK874" s="122">
        <f>(1+HLOOKUP(YEAR(A874),'Real assumptions'!$A$21:$AK$24,2,TRUE)/100)^(1/12)-1</f>
        <v>0</v>
      </c>
      <c r="AL874">
        <f t="shared" si="653"/>
        <v>5.32576353829808E-4</v>
      </c>
      <c r="AM874">
        <f>('Real assumptions'!$B$33/12)*O873*AV873</f>
        <v>5.1230034638023107E-4</v>
      </c>
      <c r="AN874">
        <f t="shared" si="641"/>
        <v>7.3898178764748371E-2</v>
      </c>
      <c r="AO874">
        <f t="shared" ref="AO874:AO937" si="665">AN874*AJ874</f>
        <v>0</v>
      </c>
      <c r="AP874" s="121">
        <f t="shared" si="642"/>
        <v>0</v>
      </c>
      <c r="AQ874">
        <f t="shared" si="643"/>
        <v>0</v>
      </c>
      <c r="AR874">
        <v>0</v>
      </c>
      <c r="AS874">
        <f t="shared" si="626"/>
        <v>0</v>
      </c>
      <c r="AT874">
        <f t="shared" si="644"/>
        <v>0</v>
      </c>
      <c r="AU874">
        <f>IFERROR(HLOOKUP(B874,'Real assumptions'!$B$43:$AL$44,2,TRUE)*($W$3/$U$2),0)</f>
        <v>0</v>
      </c>
      <c r="AV874">
        <f>AV873*(1+'Real assumptions'!$B$35)^(1/12)</f>
        <v>2.4408614246667746</v>
      </c>
      <c r="AW874">
        <f t="shared" si="627"/>
        <v>2090</v>
      </c>
      <c r="AX874">
        <f t="shared" si="654"/>
        <v>7.4014936200522505E-2</v>
      </c>
      <c r="AY874">
        <f t="shared" si="655"/>
        <v>8.8426956034295224E-5</v>
      </c>
      <c r="AZ874">
        <f t="shared" si="628"/>
        <v>7.89052420418066E-2</v>
      </c>
      <c r="BA874">
        <f t="shared" si="645"/>
        <v>2.3794829309543752E-4</v>
      </c>
      <c r="BB874">
        <f t="shared" si="646"/>
        <v>27.083333333333329</v>
      </c>
      <c r="BC874">
        <f t="shared" si="629"/>
        <v>16.249999999999996</v>
      </c>
      <c r="BD874">
        <f t="shared" si="647"/>
        <v>0</v>
      </c>
      <c r="BE874">
        <f t="shared" si="630"/>
        <v>24</v>
      </c>
      <c r="BF874">
        <f t="shared" si="656"/>
        <v>5000</v>
      </c>
      <c r="BU874"/>
      <c r="DW874" s="89"/>
      <c r="DX874" s="89"/>
      <c r="FD874"/>
      <c r="FE874"/>
    </row>
    <row r="875" spans="1:161" x14ac:dyDescent="0.25">
      <c r="A875" s="7">
        <f t="shared" si="648"/>
        <v>69732</v>
      </c>
      <c r="B875">
        <f t="shared" si="631"/>
        <v>864</v>
      </c>
      <c r="C875">
        <f t="shared" si="657"/>
        <v>71.916666666666671</v>
      </c>
      <c r="D875">
        <f t="shared" si="658"/>
        <v>0</v>
      </c>
      <c r="E875">
        <f t="shared" si="632"/>
        <v>123</v>
      </c>
      <c r="F875">
        <f>IF(C875&gt;=$T$2,0,VLOOKUP($E875,EKM_F05!$A$3:$C$128,2,TRUE))</f>
        <v>0</v>
      </c>
      <c r="G875">
        <f>F875*'Real assumptions'!$B$3</f>
        <v>0</v>
      </c>
      <c r="H875">
        <f t="shared" si="659"/>
        <v>0</v>
      </c>
      <c r="I875">
        <f t="shared" si="660"/>
        <v>0</v>
      </c>
      <c r="J875">
        <f>IF(B875&gt;$AJ$2,0,HLOOKUP(C875,'Real assumptions'!$B$5:$L$8,4,TRUE))</f>
        <v>3.7900000000000003E-2</v>
      </c>
      <c r="K875">
        <f t="shared" si="621"/>
        <v>1</v>
      </c>
      <c r="L875">
        <f t="shared" si="649"/>
        <v>8.3333333333333329E-2</v>
      </c>
      <c r="M875">
        <f t="shared" si="661"/>
        <v>3.2145624959929453E-3</v>
      </c>
      <c r="N875">
        <f t="shared" si="662"/>
        <v>6.7321637300917341E-8</v>
      </c>
      <c r="O875" s="8">
        <f t="shared" si="633"/>
        <v>2.0875384371630596E-5</v>
      </c>
      <c r="P875">
        <f t="shared" si="634"/>
        <v>5.0262494421435635E-4</v>
      </c>
      <c r="Q875">
        <f t="shared" si="650"/>
        <v>0</v>
      </c>
      <c r="R875" s="89">
        <f t="shared" si="622"/>
        <v>5000</v>
      </c>
      <c r="S875">
        <f t="shared" si="623"/>
        <v>1</v>
      </c>
      <c r="U875">
        <f>O874*AV874*'Real assumptions'!$B$33/12+AX875*'Real assumptions'!$B$34</f>
        <v>5.3141933190036189E-4</v>
      </c>
      <c r="V875">
        <f>IF(P875=0,0,IF(E875&lt;=$C$7,$AN$5*O874,0))*'Real assumptions'!$D$28</f>
        <v>0</v>
      </c>
      <c r="X875" s="94">
        <f t="shared" si="635"/>
        <v>0</v>
      </c>
      <c r="Y875">
        <f t="shared" si="624"/>
        <v>24</v>
      </c>
      <c r="Z875">
        <f t="shared" si="651"/>
        <v>27</v>
      </c>
      <c r="AA875">
        <f t="shared" si="625"/>
        <v>27</v>
      </c>
      <c r="AB875">
        <f t="shared" si="636"/>
        <v>50.505050505050505</v>
      </c>
      <c r="AC875">
        <f t="shared" si="663"/>
        <v>1363.6363636363637</v>
      </c>
      <c r="AD875">
        <f t="shared" si="637"/>
        <v>80.505050505050505</v>
      </c>
      <c r="AE875">
        <f t="shared" si="638"/>
        <v>108.68181818181817</v>
      </c>
      <c r="AF875" s="94">
        <f t="shared" si="639"/>
        <v>3527.681818181818</v>
      </c>
      <c r="AG875">
        <f t="shared" si="652"/>
        <v>2.3748931587667699E-4</v>
      </c>
      <c r="AH875">
        <f t="shared" si="640"/>
        <v>7.3641713895358132E-2</v>
      </c>
      <c r="AI875">
        <f>HLOOKUP(AW875,'Real assumptions'!$A$21:$AK$24,2,TRUE)</f>
        <v>0</v>
      </c>
      <c r="AJ875" s="123">
        <f t="shared" si="664"/>
        <v>0</v>
      </c>
      <c r="AK875" s="122">
        <f>(1+HLOOKUP(YEAR(A875),'Real assumptions'!$A$21:$AK$24,2,TRUE)/100)^(1/12)-1</f>
        <v>0</v>
      </c>
      <c r="AL875">
        <f t="shared" si="653"/>
        <v>5.3141933190036189E-4</v>
      </c>
      <c r="AM875">
        <f>('Real assumptions'!$B$33/12)*O874*AV874</f>
        <v>5.111824322533799E-4</v>
      </c>
      <c r="AN875">
        <f t="shared" si="641"/>
        <v>7.3755241148137002E-2</v>
      </c>
      <c r="AO875">
        <f t="shared" si="665"/>
        <v>0</v>
      </c>
      <c r="AP875" s="121">
        <f t="shared" si="642"/>
        <v>0</v>
      </c>
      <c r="AQ875">
        <f t="shared" si="643"/>
        <v>0</v>
      </c>
      <c r="AR875">
        <v>0</v>
      </c>
      <c r="AS875">
        <f t="shared" si="626"/>
        <v>0</v>
      </c>
      <c r="AT875">
        <f t="shared" si="644"/>
        <v>0</v>
      </c>
      <c r="AU875">
        <f>IFERROR(HLOOKUP(B875,'Real assumptions'!$B$43:$AL$44,2,TRUE)*($W$3/$U$2),0)</f>
        <v>0</v>
      </c>
      <c r="AV875">
        <f>AV874*(1+'Real assumptions'!$B$35)^(1/12)</f>
        <v>2.443389537159804</v>
      </c>
      <c r="AW875">
        <f t="shared" si="627"/>
        <v>2090</v>
      </c>
      <c r="AX875">
        <f t="shared" si="654"/>
        <v>7.3872178237880795E-2</v>
      </c>
      <c r="AY875">
        <f t="shared" si="655"/>
        <v>8.8142702057792554E-5</v>
      </c>
      <c r="AZ875">
        <f t="shared" si="628"/>
        <v>7.8638958338243914E-2</v>
      </c>
      <c r="BA875">
        <f t="shared" si="645"/>
        <v>2.3748931587667699E-4</v>
      </c>
      <c r="BB875">
        <f t="shared" si="646"/>
        <v>27</v>
      </c>
      <c r="BC875">
        <f t="shared" si="629"/>
        <v>16.2</v>
      </c>
      <c r="BD875">
        <f t="shared" si="647"/>
        <v>0</v>
      </c>
      <c r="BE875">
        <f t="shared" si="630"/>
        <v>24</v>
      </c>
      <c r="BF875">
        <f t="shared" si="656"/>
        <v>5000</v>
      </c>
      <c r="BU875"/>
      <c r="DW875" s="89"/>
      <c r="DX875" s="89"/>
      <c r="FD875"/>
      <c r="FE875"/>
    </row>
    <row r="876" spans="1:161" x14ac:dyDescent="0.25">
      <c r="A876" s="7">
        <f t="shared" si="648"/>
        <v>69763</v>
      </c>
      <c r="B876">
        <f t="shared" si="631"/>
        <v>865</v>
      </c>
      <c r="C876">
        <f t="shared" si="657"/>
        <v>72</v>
      </c>
      <c r="D876">
        <f t="shared" si="658"/>
        <v>1</v>
      </c>
      <c r="E876">
        <f t="shared" si="632"/>
        <v>124</v>
      </c>
      <c r="F876">
        <f>IF(C876&gt;=$T$2,0,VLOOKUP($E876,EKM_F05!$A$3:$C$128,2,TRUE))</f>
        <v>0</v>
      </c>
      <c r="G876">
        <f>F876*'Real assumptions'!$B$3</f>
        <v>0</v>
      </c>
      <c r="H876">
        <f t="shared" si="659"/>
        <v>0</v>
      </c>
      <c r="I876">
        <f t="shared" si="660"/>
        <v>0</v>
      </c>
      <c r="J876">
        <f>IF(B876&gt;$AJ$2,0,HLOOKUP(C876,'Real assumptions'!$B$5:$L$8,4,TRUE))</f>
        <v>3.7900000000000003E-2</v>
      </c>
      <c r="K876">
        <f t="shared" si="621"/>
        <v>1</v>
      </c>
      <c r="L876">
        <f t="shared" si="649"/>
        <v>8.3333333333333329E-2</v>
      </c>
      <c r="M876">
        <f t="shared" si="661"/>
        <v>3.2145624959929453E-3</v>
      </c>
      <c r="N876">
        <f t="shared" si="662"/>
        <v>6.7105227690480977E-8</v>
      </c>
      <c r="O876" s="8">
        <f t="shared" si="633"/>
        <v>2.0808279143940115E-5</v>
      </c>
      <c r="P876">
        <f t="shared" si="634"/>
        <v>5.0100922491913428E-4</v>
      </c>
      <c r="Q876">
        <f t="shared" si="650"/>
        <v>0</v>
      </c>
      <c r="R876" s="89">
        <f t="shared" si="622"/>
        <v>5000</v>
      </c>
      <c r="S876">
        <f t="shared" si="623"/>
        <v>0.9166666666666714</v>
      </c>
      <c r="U876">
        <f>O875*AV875*'Real assumptions'!$B$33/12+AX876*'Real assumptions'!$B$34</f>
        <v>5.3026479133131343E-4</v>
      </c>
      <c r="V876">
        <f>IF(P876=0,0,IF(E876&lt;=$C$7,$AN$5*O875,0))*'Real assumptions'!$D$28</f>
        <v>0</v>
      </c>
      <c r="X876" s="94">
        <f t="shared" si="635"/>
        <v>0</v>
      </c>
      <c r="Y876">
        <f t="shared" si="624"/>
        <v>24</v>
      </c>
      <c r="Z876">
        <f t="shared" si="651"/>
        <v>27</v>
      </c>
      <c r="AA876">
        <f t="shared" si="625"/>
        <v>26.916666666666671</v>
      </c>
      <c r="AB876">
        <f t="shared" si="636"/>
        <v>50.505050505050505</v>
      </c>
      <c r="AC876">
        <f t="shared" si="663"/>
        <v>1359.4276094276097</v>
      </c>
      <c r="AD876">
        <f t="shared" si="637"/>
        <v>80.505050505050505</v>
      </c>
      <c r="AE876">
        <f t="shared" si="638"/>
        <v>108.34638047138048</v>
      </c>
      <c r="AF876" s="94">
        <f t="shared" si="639"/>
        <v>3532.2260101010097</v>
      </c>
      <c r="AG876">
        <f t="shared" si="652"/>
        <v>2.3703083066206742E-4</v>
      </c>
      <c r="AH876">
        <f t="shared" si="640"/>
        <v>7.3499544817667642E-2</v>
      </c>
      <c r="AI876">
        <f>HLOOKUP(AW876,'Real assumptions'!$A$21:$AK$24,2,TRUE)</f>
        <v>0</v>
      </c>
      <c r="AJ876" s="123">
        <f t="shared" si="664"/>
        <v>0</v>
      </c>
      <c r="AK876" s="122">
        <f>(1+HLOOKUP(YEAR(A876),'Real assumptions'!$A$21:$AK$24,2,TRUE)/100)^(1/12)-1</f>
        <v>0</v>
      </c>
      <c r="AL876">
        <f t="shared" si="653"/>
        <v>5.3026479133131343E-4</v>
      </c>
      <c r="AM876">
        <f>('Real assumptions'!$B$33/12)*O875*AV875</f>
        <v>5.1006695757831492E-4</v>
      </c>
      <c r="AN876">
        <f t="shared" si="641"/>
        <v>7.3612458328945959E-2</v>
      </c>
      <c r="AO876">
        <f t="shared" si="665"/>
        <v>0</v>
      </c>
      <c r="AP876" s="121">
        <f t="shared" si="642"/>
        <v>0</v>
      </c>
      <c r="AQ876">
        <f t="shared" si="643"/>
        <v>0</v>
      </c>
      <c r="AR876">
        <v>0</v>
      </c>
      <c r="AS876">
        <f t="shared" si="626"/>
        <v>0</v>
      </c>
      <c r="AT876">
        <f t="shared" si="644"/>
        <v>0</v>
      </c>
      <c r="AU876">
        <f>IFERROR(HLOOKUP(B876,'Real assumptions'!$B$43:$AL$44,2,TRUE)*($W$3/$U$2),0)</f>
        <v>0</v>
      </c>
      <c r="AV876">
        <f>AV875*(1+'Real assumptions'!$B$35)^(1/12)</f>
        <v>2.4459202681352727</v>
      </c>
      <c r="AW876">
        <f t="shared" si="627"/>
        <v>2090</v>
      </c>
      <c r="AX876">
        <f t="shared" si="654"/>
        <v>7.3729573257191594E-2</v>
      </c>
      <c r="AY876">
        <f t="shared" si="655"/>
        <v>8.7859361833462091E-5</v>
      </c>
      <c r="AZ876">
        <f t="shared" si="628"/>
        <v>7.8372671941169675E-2</v>
      </c>
      <c r="BA876">
        <f t="shared" si="645"/>
        <v>2.3703083066206742E-4</v>
      </c>
      <c r="BB876">
        <f t="shared" si="646"/>
        <v>26.916666666666671</v>
      </c>
      <c r="BC876">
        <f t="shared" si="629"/>
        <v>16.150000000000002</v>
      </c>
      <c r="BD876">
        <f t="shared" si="647"/>
        <v>0</v>
      </c>
      <c r="BE876">
        <f t="shared" si="630"/>
        <v>24</v>
      </c>
      <c r="BF876">
        <f t="shared" si="656"/>
        <v>5000</v>
      </c>
      <c r="BU876"/>
      <c r="DW876" s="89"/>
      <c r="DX876" s="89"/>
      <c r="FD876"/>
      <c r="FE876"/>
    </row>
    <row r="877" spans="1:161" x14ac:dyDescent="0.25">
      <c r="A877" s="7">
        <f t="shared" si="648"/>
        <v>69794</v>
      </c>
      <c r="B877">
        <f t="shared" si="631"/>
        <v>866</v>
      </c>
      <c r="C877">
        <f t="shared" si="657"/>
        <v>72.083333333333329</v>
      </c>
      <c r="D877">
        <f t="shared" si="658"/>
        <v>0</v>
      </c>
      <c r="E877">
        <f t="shared" si="632"/>
        <v>124</v>
      </c>
      <c r="F877">
        <f>IF(C877&gt;=$T$2,0,VLOOKUP($E877,EKM_F05!$A$3:$C$128,2,TRUE))</f>
        <v>0</v>
      </c>
      <c r="G877">
        <f>F877*'Real assumptions'!$B$3</f>
        <v>0</v>
      </c>
      <c r="H877">
        <f t="shared" si="659"/>
        <v>0</v>
      </c>
      <c r="I877">
        <f t="shared" si="660"/>
        <v>0</v>
      </c>
      <c r="J877">
        <f>IF(B877&gt;$AJ$2,0,HLOOKUP(C877,'Real assumptions'!$B$5:$L$8,4,TRUE))</f>
        <v>3.7900000000000003E-2</v>
      </c>
      <c r="K877">
        <f t="shared" si="621"/>
        <v>1</v>
      </c>
      <c r="L877">
        <f t="shared" si="649"/>
        <v>8.3333333333333329E-2</v>
      </c>
      <c r="M877">
        <f t="shared" si="661"/>
        <v>3.2145624959929453E-3</v>
      </c>
      <c r="N877">
        <f t="shared" si="662"/>
        <v>6.6889513742262084E-8</v>
      </c>
      <c r="O877" s="8">
        <f t="shared" si="633"/>
        <v>2.0741389630197853E-5</v>
      </c>
      <c r="P877">
        <f t="shared" si="634"/>
        <v>4.993986994545627E-4</v>
      </c>
      <c r="Q877">
        <f t="shared" si="650"/>
        <v>0</v>
      </c>
      <c r="R877" s="89">
        <f t="shared" si="622"/>
        <v>5000</v>
      </c>
      <c r="S877">
        <f t="shared" si="623"/>
        <v>0.8333333333333286</v>
      </c>
      <c r="U877">
        <f>O876*AV876*'Real assumptions'!$B$33/12+AX877*'Real assumptions'!$B$34</f>
        <v>5.2911272693410404E-4</v>
      </c>
      <c r="V877">
        <f>IF(P877=0,0,IF(E877&lt;=$C$7,$AN$5*O876,0))*'Real assumptions'!$D$28</f>
        <v>0</v>
      </c>
      <c r="X877" s="94">
        <f t="shared" si="635"/>
        <v>0</v>
      </c>
      <c r="Y877">
        <f t="shared" si="624"/>
        <v>24</v>
      </c>
      <c r="Z877">
        <f t="shared" si="651"/>
        <v>26</v>
      </c>
      <c r="AA877">
        <f t="shared" si="625"/>
        <v>26.833333333333329</v>
      </c>
      <c r="AB877">
        <f t="shared" si="636"/>
        <v>50.505050505050505</v>
      </c>
      <c r="AC877">
        <f t="shared" si="663"/>
        <v>1355.218855218855</v>
      </c>
      <c r="AD877">
        <f t="shared" si="637"/>
        <v>80.505050505050505</v>
      </c>
      <c r="AE877">
        <f t="shared" si="638"/>
        <v>108.01094276094274</v>
      </c>
      <c r="AF877" s="94">
        <f t="shared" si="639"/>
        <v>3536.7702020202023</v>
      </c>
      <c r="AG877">
        <f t="shared" si="652"/>
        <v>2.3657283903125338E-4</v>
      </c>
      <c r="AH877">
        <f t="shared" si="640"/>
        <v>7.3357528792574594E-2</v>
      </c>
      <c r="AI877">
        <f>HLOOKUP(AW877,'Real assumptions'!$A$21:$AK$24,2,TRUE)</f>
        <v>0</v>
      </c>
      <c r="AJ877" s="123">
        <f t="shared" si="664"/>
        <v>0</v>
      </c>
      <c r="AK877" s="122">
        <f>(1+HLOOKUP(YEAR(A877),'Real assumptions'!$A$21:$AK$24,2,TRUE)/100)^(1/12)-1</f>
        <v>0</v>
      </c>
      <c r="AL877">
        <f t="shared" si="653"/>
        <v>5.2911272693410404E-4</v>
      </c>
      <c r="AM877">
        <f>('Real assumptions'!$B$33/12)*O876*AV876</f>
        <v>5.0895391703179613E-4</v>
      </c>
      <c r="AN877">
        <f t="shared" si="641"/>
        <v>7.3469830790188095E-2</v>
      </c>
      <c r="AO877">
        <f t="shared" si="665"/>
        <v>0</v>
      </c>
      <c r="AP877" s="121">
        <f t="shared" si="642"/>
        <v>0</v>
      </c>
      <c r="AQ877">
        <f t="shared" si="643"/>
        <v>0</v>
      </c>
      <c r="AR877">
        <v>0</v>
      </c>
      <c r="AS877">
        <f t="shared" si="626"/>
        <v>0</v>
      </c>
      <c r="AT877">
        <f t="shared" si="644"/>
        <v>0</v>
      </c>
      <c r="AU877">
        <f>IFERROR(HLOOKUP(B877,'Real assumptions'!$B$43:$AL$44,2,TRUE)*($W$3/$U$2),0)</f>
        <v>0</v>
      </c>
      <c r="AV877">
        <f>AV876*(1+'Real assumptions'!$B$35)^(1/12)</f>
        <v>2.4484536203052638</v>
      </c>
      <c r="AW877">
        <f t="shared" si="627"/>
        <v>2091</v>
      </c>
      <c r="AX877">
        <f t="shared" si="654"/>
        <v>7.3587121750091633E-2</v>
      </c>
      <c r="AY877">
        <f t="shared" si="655"/>
        <v>8.7576932423990371E-5</v>
      </c>
      <c r="AZ877">
        <f t="shared" si="628"/>
        <v>7.8106385074658877E-2</v>
      </c>
      <c r="BA877">
        <f t="shared" si="645"/>
        <v>2.3657283903125338E-4</v>
      </c>
      <c r="BB877">
        <f t="shared" si="646"/>
        <v>26.833333333333329</v>
      </c>
      <c r="BC877">
        <f t="shared" si="629"/>
        <v>16.099999999999994</v>
      </c>
      <c r="BD877">
        <f t="shared" si="647"/>
        <v>0</v>
      </c>
      <c r="BE877">
        <f t="shared" si="630"/>
        <v>24</v>
      </c>
      <c r="BF877">
        <f t="shared" si="656"/>
        <v>5000</v>
      </c>
      <c r="BU877"/>
      <c r="DW877" s="89"/>
      <c r="DX877" s="89"/>
      <c r="FD877"/>
      <c r="FE877"/>
    </row>
    <row r="878" spans="1:161" x14ac:dyDescent="0.25">
      <c r="A878" s="7">
        <f t="shared" si="648"/>
        <v>69822</v>
      </c>
      <c r="B878">
        <f t="shared" si="631"/>
        <v>867</v>
      </c>
      <c r="C878">
        <f t="shared" si="657"/>
        <v>72.166666666666671</v>
      </c>
      <c r="D878">
        <f t="shared" si="658"/>
        <v>0</v>
      </c>
      <c r="E878">
        <f t="shared" si="632"/>
        <v>124</v>
      </c>
      <c r="F878">
        <f>IF(C878&gt;=$T$2,0,VLOOKUP($E878,EKM_F05!$A$3:$C$128,2,TRUE))</f>
        <v>0</v>
      </c>
      <c r="G878">
        <f>F878*'Real assumptions'!$B$3</f>
        <v>0</v>
      </c>
      <c r="H878">
        <f t="shared" si="659"/>
        <v>0</v>
      </c>
      <c r="I878">
        <f t="shared" si="660"/>
        <v>0</v>
      </c>
      <c r="J878">
        <f>IF(B878&gt;$AJ$2,0,HLOOKUP(C878,'Real assumptions'!$B$5:$L$8,4,TRUE))</f>
        <v>3.7900000000000003E-2</v>
      </c>
      <c r="K878">
        <f t="shared" si="621"/>
        <v>1</v>
      </c>
      <c r="L878">
        <f t="shared" si="649"/>
        <v>8.3333333333333329E-2</v>
      </c>
      <c r="M878">
        <f t="shared" si="661"/>
        <v>3.2145624959929453E-3</v>
      </c>
      <c r="N878">
        <f t="shared" si="662"/>
        <v>6.6674493220011005E-8</v>
      </c>
      <c r="O878" s="8">
        <f t="shared" si="633"/>
        <v>2.0674715136977843E-5</v>
      </c>
      <c r="P878">
        <f t="shared" si="634"/>
        <v>4.9779335112474848E-4</v>
      </c>
      <c r="Q878">
        <f t="shared" si="650"/>
        <v>0</v>
      </c>
      <c r="R878" s="89">
        <f t="shared" si="622"/>
        <v>5000</v>
      </c>
      <c r="S878">
        <f t="shared" si="623"/>
        <v>0.75</v>
      </c>
      <c r="U878">
        <f>O877*AV877*'Real assumptions'!$B$33/12+AX878*'Real assumptions'!$B$34</f>
        <v>5.2796313353049244E-4</v>
      </c>
      <c r="V878">
        <f>IF(P878=0,0,IF(E878&lt;=$C$7,$AN$5*O877,0))*'Real assumptions'!$D$28</f>
        <v>0</v>
      </c>
      <c r="X878" s="94">
        <f t="shared" si="635"/>
        <v>0</v>
      </c>
      <c r="Y878">
        <f t="shared" si="624"/>
        <v>24</v>
      </c>
      <c r="Z878">
        <f t="shared" si="651"/>
        <v>26</v>
      </c>
      <c r="AA878">
        <f t="shared" si="625"/>
        <v>26.75</v>
      </c>
      <c r="AB878">
        <f t="shared" si="636"/>
        <v>50.505050505050505</v>
      </c>
      <c r="AC878">
        <f t="shared" si="663"/>
        <v>1351.0101010101009</v>
      </c>
      <c r="AD878">
        <f t="shared" si="637"/>
        <v>80.505050505050505</v>
      </c>
      <c r="AE878">
        <f t="shared" si="638"/>
        <v>107.67550505050505</v>
      </c>
      <c r="AF878" s="94">
        <f t="shared" si="639"/>
        <v>3541.3143939393944</v>
      </c>
      <c r="AG878">
        <f t="shared" si="652"/>
        <v>2.3611534254863953E-4</v>
      </c>
      <c r="AH878">
        <f t="shared" si="640"/>
        <v>7.3215666305176313E-2</v>
      </c>
      <c r="AI878">
        <f>HLOOKUP(AW878,'Real assumptions'!$A$21:$AK$24,2,TRUE)</f>
        <v>0</v>
      </c>
      <c r="AJ878" s="123">
        <f t="shared" si="664"/>
        <v>0</v>
      </c>
      <c r="AK878" s="122">
        <f>(1+HLOOKUP(YEAR(A878),'Real assumptions'!$A$21:$AK$24,2,TRUE)/100)^(1/12)-1</f>
        <v>0</v>
      </c>
      <c r="AL878">
        <f t="shared" si="653"/>
        <v>5.2796313353049244E-4</v>
      </c>
      <c r="AM878">
        <f>('Real assumptions'!$B$33/12)*O877*AV877</f>
        <v>5.0784330530219987E-4</v>
      </c>
      <c r="AN878">
        <f t="shared" si="641"/>
        <v>7.3327359010168847E-2</v>
      </c>
      <c r="AO878">
        <f t="shared" si="665"/>
        <v>0</v>
      </c>
      <c r="AP878" s="121">
        <f t="shared" si="642"/>
        <v>0</v>
      </c>
      <c r="AQ878">
        <f t="shared" si="643"/>
        <v>0</v>
      </c>
      <c r="AR878">
        <v>0</v>
      </c>
      <c r="AS878">
        <f t="shared" si="626"/>
        <v>0</v>
      </c>
      <c r="AT878">
        <f t="shared" si="644"/>
        <v>0</v>
      </c>
      <c r="AU878">
        <f>IFERROR(HLOOKUP(B878,'Real assumptions'!$B$43:$AL$44,2,TRUE)*($W$3/$U$2),0)</f>
        <v>0</v>
      </c>
      <c r="AV878">
        <f>AV877*(1+'Real assumptions'!$B$35)^(1/12)</f>
        <v>2.4509895963846686</v>
      </c>
      <c r="AW878">
        <f t="shared" si="627"/>
        <v>2091</v>
      </c>
      <c r="AX878">
        <f t="shared" si="654"/>
        <v>7.3444824203476103E-2</v>
      </c>
      <c r="AY878">
        <f t="shared" si="655"/>
        <v>8.7295410901506109E-5</v>
      </c>
      <c r="AZ878">
        <f t="shared" si="628"/>
        <v>7.7840099949704492E-2</v>
      </c>
      <c r="BA878">
        <f t="shared" si="645"/>
        <v>2.3611534254863953E-4</v>
      </c>
      <c r="BB878">
        <f t="shared" si="646"/>
        <v>26.75</v>
      </c>
      <c r="BC878">
        <f t="shared" si="629"/>
        <v>16.049999999999997</v>
      </c>
      <c r="BD878">
        <f t="shared" si="647"/>
        <v>0</v>
      </c>
      <c r="BE878">
        <f t="shared" si="630"/>
        <v>24</v>
      </c>
      <c r="BF878">
        <f t="shared" si="656"/>
        <v>5000</v>
      </c>
      <c r="BU878"/>
      <c r="DW878" s="89"/>
      <c r="DX878" s="89"/>
      <c r="FD878"/>
      <c r="FE878"/>
    </row>
    <row r="879" spans="1:161" x14ac:dyDescent="0.25">
      <c r="A879" s="7">
        <f t="shared" si="648"/>
        <v>69853</v>
      </c>
      <c r="B879">
        <f t="shared" si="631"/>
        <v>868</v>
      </c>
      <c r="C879">
        <f t="shared" si="657"/>
        <v>72.25</v>
      </c>
      <c r="D879">
        <f t="shared" si="658"/>
        <v>0</v>
      </c>
      <c r="E879">
        <f t="shared" si="632"/>
        <v>124</v>
      </c>
      <c r="F879">
        <f>IF(C879&gt;=$T$2,0,VLOOKUP($E879,EKM_F05!$A$3:$C$128,2,TRUE))</f>
        <v>0</v>
      </c>
      <c r="G879">
        <f>F879*'Real assumptions'!$B$3</f>
        <v>0</v>
      </c>
      <c r="H879">
        <f t="shared" si="659"/>
        <v>0</v>
      </c>
      <c r="I879">
        <f t="shared" si="660"/>
        <v>0</v>
      </c>
      <c r="J879">
        <f>IF(B879&gt;$AJ$2,0,HLOOKUP(C879,'Real assumptions'!$B$5:$L$8,4,TRUE))</f>
        <v>3.7900000000000003E-2</v>
      </c>
      <c r="K879">
        <f t="shared" si="621"/>
        <v>1</v>
      </c>
      <c r="L879">
        <f t="shared" si="649"/>
        <v>8.3333333333333329E-2</v>
      </c>
      <c r="M879">
        <f t="shared" si="661"/>
        <v>3.2145624959929453E-3</v>
      </c>
      <c r="N879">
        <f t="shared" si="662"/>
        <v>6.6460163894666622E-8</v>
      </c>
      <c r="O879" s="8">
        <f t="shared" si="633"/>
        <v>2.0608254973083178E-5</v>
      </c>
      <c r="P879">
        <f t="shared" si="634"/>
        <v>4.9619316328746821E-4</v>
      </c>
      <c r="Q879">
        <f t="shared" si="650"/>
        <v>0</v>
      </c>
      <c r="R879" s="89">
        <f t="shared" si="622"/>
        <v>5000</v>
      </c>
      <c r="S879">
        <f t="shared" si="623"/>
        <v>0.6666666666666714</v>
      </c>
      <c r="U879">
        <f>O878*AV878*'Real assumptions'!$B$33/12+AX879*'Real assumptions'!$B$34</f>
        <v>5.2681600595253625E-4</v>
      </c>
      <c r="V879">
        <f>IF(P879=0,0,IF(E879&lt;=$C$7,$AN$5*O878,0))*'Real assumptions'!$D$28</f>
        <v>0</v>
      </c>
      <c r="X879" s="94">
        <f t="shared" si="635"/>
        <v>0</v>
      </c>
      <c r="Y879">
        <f t="shared" si="624"/>
        <v>24</v>
      </c>
      <c r="Z879">
        <f t="shared" si="651"/>
        <v>26</v>
      </c>
      <c r="AA879">
        <f t="shared" si="625"/>
        <v>26.666666666666671</v>
      </c>
      <c r="AB879">
        <f t="shared" si="636"/>
        <v>50.505050505050505</v>
      </c>
      <c r="AC879">
        <f t="shared" si="663"/>
        <v>1346.8013468013471</v>
      </c>
      <c r="AD879">
        <f t="shared" si="637"/>
        <v>80.505050505050505</v>
      </c>
      <c r="AE879">
        <f t="shared" si="638"/>
        <v>107.34006734006735</v>
      </c>
      <c r="AF879" s="94">
        <f t="shared" si="639"/>
        <v>3545.8585858585857</v>
      </c>
      <c r="AG879">
        <f t="shared" si="652"/>
        <v>2.3565834276347242E-4</v>
      </c>
      <c r="AH879">
        <f t="shared" si="640"/>
        <v>7.3073957835869882E-2</v>
      </c>
      <c r="AI879">
        <f>HLOOKUP(AW879,'Real assumptions'!$A$21:$AK$24,2,TRUE)</f>
        <v>0</v>
      </c>
      <c r="AJ879" s="123">
        <f t="shared" si="664"/>
        <v>0</v>
      </c>
      <c r="AK879" s="122">
        <f>(1+HLOOKUP(YEAR(A879),'Real assumptions'!$A$21:$AK$24,2,TRUE)/100)^(1/12)-1</f>
        <v>0</v>
      </c>
      <c r="AL879">
        <f t="shared" si="653"/>
        <v>5.2681600595253625E-4</v>
      </c>
      <c r="AM879">
        <f>('Real assumptions'!$B$33/12)*O878*AV878</f>
        <v>5.0673511708949329E-4</v>
      </c>
      <c r="AN879">
        <f t="shared" si="641"/>
        <v>7.3185043462511257E-2</v>
      </c>
      <c r="AO879">
        <f t="shared" si="665"/>
        <v>0</v>
      </c>
      <c r="AP879" s="121">
        <f t="shared" si="642"/>
        <v>0</v>
      </c>
      <c r="AQ879">
        <f t="shared" si="643"/>
        <v>0</v>
      </c>
      <c r="AR879">
        <v>0</v>
      </c>
      <c r="AS879">
        <f t="shared" si="626"/>
        <v>0</v>
      </c>
      <c r="AT879">
        <f t="shared" si="644"/>
        <v>0</v>
      </c>
      <c r="AU879">
        <f>IFERROR(HLOOKUP(B879,'Real assumptions'!$B$43:$AL$44,2,TRUE)*($W$3/$U$2),0)</f>
        <v>0</v>
      </c>
      <c r="AV879">
        <f>AV878*(1+'Real assumptions'!$B$35)^(1/12)</f>
        <v>2.453528199091191</v>
      </c>
      <c r="AW879">
        <f t="shared" si="627"/>
        <v>2091</v>
      </c>
      <c r="AX879">
        <f t="shared" si="654"/>
        <v>7.330268109952387E-2</v>
      </c>
      <c r="AY879">
        <f t="shared" si="655"/>
        <v>8.7014794347549845E-5</v>
      </c>
      <c r="AZ879">
        <f t="shared" si="628"/>
        <v>7.7573818764275965E-2</v>
      </c>
      <c r="BA879">
        <f t="shared" si="645"/>
        <v>2.3565834276347242E-4</v>
      </c>
      <c r="BB879">
        <f t="shared" si="646"/>
        <v>26.666666666666671</v>
      </c>
      <c r="BC879">
        <f t="shared" si="629"/>
        <v>16</v>
      </c>
      <c r="BD879">
        <f t="shared" si="647"/>
        <v>0</v>
      </c>
      <c r="BE879">
        <f t="shared" si="630"/>
        <v>24</v>
      </c>
      <c r="BF879">
        <f t="shared" si="656"/>
        <v>5000</v>
      </c>
      <c r="BU879"/>
      <c r="DW879" s="89"/>
      <c r="DX879" s="89"/>
      <c r="FD879"/>
      <c r="FE879"/>
    </row>
    <row r="880" spans="1:161" x14ac:dyDescent="0.25">
      <c r="A880" s="7">
        <f t="shared" si="648"/>
        <v>69883</v>
      </c>
      <c r="B880">
        <f t="shared" si="631"/>
        <v>869</v>
      </c>
      <c r="C880">
        <f t="shared" si="657"/>
        <v>72.333333333333329</v>
      </c>
      <c r="D880">
        <f t="shared" si="658"/>
        <v>0</v>
      </c>
      <c r="E880">
        <f t="shared" si="632"/>
        <v>124</v>
      </c>
      <c r="F880">
        <f>IF(C880&gt;=$T$2,0,VLOOKUP($E880,EKM_F05!$A$3:$C$128,2,TRUE))</f>
        <v>0</v>
      </c>
      <c r="G880">
        <f>F880*'Real assumptions'!$B$3</f>
        <v>0</v>
      </c>
      <c r="H880">
        <f t="shared" si="659"/>
        <v>0</v>
      </c>
      <c r="I880">
        <f t="shared" si="660"/>
        <v>0</v>
      </c>
      <c r="J880">
        <f>IF(B880&gt;$AJ$2,0,HLOOKUP(C880,'Real assumptions'!$B$5:$L$8,4,TRUE))</f>
        <v>3.7900000000000003E-2</v>
      </c>
      <c r="K880">
        <f t="shared" si="621"/>
        <v>1</v>
      </c>
      <c r="L880">
        <f t="shared" si="649"/>
        <v>8.3333333333333329E-2</v>
      </c>
      <c r="M880">
        <f t="shared" si="661"/>
        <v>3.2145624959929453E-3</v>
      </c>
      <c r="N880">
        <f t="shared" si="662"/>
        <v>6.6246523544333284E-8</v>
      </c>
      <c r="O880" s="8">
        <f t="shared" si="633"/>
        <v>2.0542008449538843E-5</v>
      </c>
      <c r="P880">
        <f t="shared" si="634"/>
        <v>4.9459811935399626E-4</v>
      </c>
      <c r="Q880">
        <f t="shared" si="650"/>
        <v>0</v>
      </c>
      <c r="R880" s="89">
        <f t="shared" si="622"/>
        <v>5000</v>
      </c>
      <c r="S880">
        <f t="shared" si="623"/>
        <v>0.5833333333333286</v>
      </c>
      <c r="U880">
        <f>O879*AV879*'Real assumptions'!$B$33/12+AX880*'Real assumptions'!$B$34</f>
        <v>5.2567133904257279E-4</v>
      </c>
      <c r="V880">
        <f>IF(P880=0,0,IF(E880&lt;=$C$7,$AN$5*O879,0))*'Real assumptions'!$D$28</f>
        <v>0</v>
      </c>
      <c r="X880" s="94">
        <f t="shared" si="635"/>
        <v>0</v>
      </c>
      <c r="Y880">
        <f t="shared" si="624"/>
        <v>24</v>
      </c>
      <c r="Z880">
        <f t="shared" si="651"/>
        <v>26</v>
      </c>
      <c r="AA880">
        <f t="shared" si="625"/>
        <v>26.583333333333329</v>
      </c>
      <c r="AB880">
        <f t="shared" si="636"/>
        <v>50.505050505050505</v>
      </c>
      <c r="AC880">
        <f t="shared" si="663"/>
        <v>1342.5925925925924</v>
      </c>
      <c r="AD880">
        <f t="shared" si="637"/>
        <v>80.505050505050505</v>
      </c>
      <c r="AE880">
        <f t="shared" si="638"/>
        <v>107.0046296296296</v>
      </c>
      <c r="AF880" s="94">
        <f t="shared" si="639"/>
        <v>3550.4027777777783</v>
      </c>
      <c r="AG880">
        <f t="shared" si="652"/>
        <v>2.3520184120992188E-4</v>
      </c>
      <c r="AH880">
        <f t="shared" si="640"/>
        <v>7.2932403860377304E-2</v>
      </c>
      <c r="AI880">
        <f>HLOOKUP(AW880,'Real assumptions'!$A$21:$AK$24,2,TRUE)</f>
        <v>0</v>
      </c>
      <c r="AJ880" s="123">
        <f t="shared" si="664"/>
        <v>0</v>
      </c>
      <c r="AK880" s="122">
        <f>(1+HLOOKUP(YEAR(A880),'Real assumptions'!$A$21:$AK$24,2,TRUE)/100)^(1/12)-1</f>
        <v>0</v>
      </c>
      <c r="AL880">
        <f t="shared" si="653"/>
        <v>5.2567133904257279E-4</v>
      </c>
      <c r="AM880">
        <f>('Real assumptions'!$B$33/12)*O879*AV879</f>
        <v>5.0562934710520846E-4</v>
      </c>
      <c r="AN880">
        <f t="shared" si="641"/>
        <v>7.3042884616181303E-2</v>
      </c>
      <c r="AO880">
        <f t="shared" si="665"/>
        <v>0</v>
      </c>
      <c r="AP880" s="121">
        <f t="shared" si="642"/>
        <v>0</v>
      </c>
      <c r="AQ880">
        <f t="shared" si="643"/>
        <v>0</v>
      </c>
      <c r="AR880">
        <v>0</v>
      </c>
      <c r="AS880">
        <f t="shared" si="626"/>
        <v>0</v>
      </c>
      <c r="AT880">
        <f t="shared" si="644"/>
        <v>0</v>
      </c>
      <c r="AU880">
        <f>IFERROR(HLOOKUP(B880,'Real assumptions'!$B$43:$AL$44,2,TRUE)*($W$3/$U$2),0)</f>
        <v>0</v>
      </c>
      <c r="AV880">
        <f>AV879*(1+'Real assumptions'!$B$35)^(1/12)</f>
        <v>2.4560694311453499</v>
      </c>
      <c r="AW880">
        <f t="shared" si="627"/>
        <v>2091</v>
      </c>
      <c r="AX880">
        <f t="shared" si="654"/>
        <v>7.3160692915722927E-2</v>
      </c>
      <c r="AY880">
        <f t="shared" si="655"/>
        <v>8.6735079853043667E-5</v>
      </c>
      <c r="AZ880">
        <f t="shared" si="628"/>
        <v>7.730754370337746E-2</v>
      </c>
      <c r="BA880">
        <f t="shared" si="645"/>
        <v>2.3520184120992188E-4</v>
      </c>
      <c r="BB880">
        <f t="shared" si="646"/>
        <v>26.583333333333329</v>
      </c>
      <c r="BC880">
        <f t="shared" si="629"/>
        <v>15.949999999999996</v>
      </c>
      <c r="BD880">
        <f t="shared" si="647"/>
        <v>0</v>
      </c>
      <c r="BE880">
        <f t="shared" si="630"/>
        <v>24</v>
      </c>
      <c r="BF880">
        <f t="shared" si="656"/>
        <v>5000</v>
      </c>
      <c r="BU880"/>
      <c r="DW880" s="89"/>
      <c r="DX880" s="89"/>
      <c r="FD880"/>
      <c r="FE880"/>
    </row>
    <row r="881" spans="1:161" x14ac:dyDescent="0.25">
      <c r="A881" s="7">
        <f t="shared" si="648"/>
        <v>69914</v>
      </c>
      <c r="B881">
        <f t="shared" si="631"/>
        <v>870</v>
      </c>
      <c r="C881">
        <f t="shared" si="657"/>
        <v>72.416666666666671</v>
      </c>
      <c r="D881">
        <f t="shared" si="658"/>
        <v>0</v>
      </c>
      <c r="E881">
        <f t="shared" si="632"/>
        <v>124</v>
      </c>
      <c r="F881">
        <f>IF(C881&gt;=$T$2,0,VLOOKUP($E881,EKM_F05!$A$3:$C$128,2,TRUE))</f>
        <v>0</v>
      </c>
      <c r="G881">
        <f>F881*'Real assumptions'!$B$3</f>
        <v>0</v>
      </c>
      <c r="H881">
        <f t="shared" si="659"/>
        <v>0</v>
      </c>
      <c r="I881">
        <f t="shared" si="660"/>
        <v>0</v>
      </c>
      <c r="J881">
        <f>IF(B881&gt;$AJ$2,0,HLOOKUP(C881,'Real assumptions'!$B$5:$L$8,4,TRUE))</f>
        <v>3.7900000000000003E-2</v>
      </c>
      <c r="K881">
        <f t="shared" si="621"/>
        <v>1</v>
      </c>
      <c r="L881">
        <f t="shared" si="649"/>
        <v>8.3333333333333329E-2</v>
      </c>
      <c r="M881">
        <f t="shared" si="661"/>
        <v>3.2145624959929453E-3</v>
      </c>
      <c r="N881">
        <f t="shared" si="662"/>
        <v>6.6033569954257755E-8</v>
      </c>
      <c r="O881" s="8">
        <f t="shared" si="633"/>
        <v>2.0475974879584587E-5</v>
      </c>
      <c r="P881">
        <f t="shared" si="634"/>
        <v>4.9300820278893221E-4</v>
      </c>
      <c r="Q881">
        <f t="shared" si="650"/>
        <v>0</v>
      </c>
      <c r="R881" s="89">
        <f t="shared" si="622"/>
        <v>5000</v>
      </c>
      <c r="S881">
        <f t="shared" si="623"/>
        <v>0.5</v>
      </c>
      <c r="U881">
        <f>O880*AV880*'Real assumptions'!$B$33/12+AX881*'Real assumptions'!$B$34</f>
        <v>5.2452912765320239E-4</v>
      </c>
      <c r="V881">
        <f>IF(P881=0,0,IF(E881&lt;=$C$7,$AN$5*O880,0))*'Real assumptions'!$D$28</f>
        <v>0</v>
      </c>
      <c r="X881" s="94">
        <f t="shared" si="635"/>
        <v>0</v>
      </c>
      <c r="Y881">
        <f t="shared" si="624"/>
        <v>24</v>
      </c>
      <c r="Z881">
        <f t="shared" si="651"/>
        <v>26</v>
      </c>
      <c r="AA881">
        <f t="shared" si="625"/>
        <v>26.5</v>
      </c>
      <c r="AB881">
        <f t="shared" si="636"/>
        <v>50.505050505050505</v>
      </c>
      <c r="AC881">
        <f t="shared" si="663"/>
        <v>1338.3838383838383</v>
      </c>
      <c r="AD881">
        <f t="shared" si="637"/>
        <v>80.505050505050505</v>
      </c>
      <c r="AE881">
        <f t="shared" si="638"/>
        <v>106.66919191919192</v>
      </c>
      <c r="AF881" s="94">
        <f t="shared" si="639"/>
        <v>3554.94696969697</v>
      </c>
      <c r="AG881">
        <f t="shared" si="652"/>
        <v>2.347458394071615E-4</v>
      </c>
      <c r="AH881">
        <f t="shared" si="640"/>
        <v>7.279100484977051E-2</v>
      </c>
      <c r="AI881">
        <f>HLOOKUP(AW881,'Real assumptions'!$A$21:$AK$24,2,TRUE)</f>
        <v>0</v>
      </c>
      <c r="AJ881" s="123">
        <f t="shared" si="664"/>
        <v>0</v>
      </c>
      <c r="AK881" s="122">
        <f>(1+HLOOKUP(YEAR(A881),'Real assumptions'!$A$21:$AK$24,2,TRUE)/100)^(1/12)-1</f>
        <v>0</v>
      </c>
      <c r="AL881">
        <f t="shared" si="653"/>
        <v>5.2452912765320239E-4</v>
      </c>
      <c r="AM881">
        <f>('Real assumptions'!$B$33/12)*O880*AV880</f>
        <v>5.0452599007241839E-4</v>
      </c>
      <c r="AN881">
        <f t="shared" si="641"/>
        <v>7.2900882935513028E-2</v>
      </c>
      <c r="AO881">
        <f t="shared" si="665"/>
        <v>0</v>
      </c>
      <c r="AP881" s="121">
        <f t="shared" si="642"/>
        <v>0</v>
      </c>
      <c r="AQ881">
        <f t="shared" si="643"/>
        <v>0</v>
      </c>
      <c r="AR881">
        <v>0</v>
      </c>
      <c r="AS881">
        <f t="shared" si="626"/>
        <v>0</v>
      </c>
      <c r="AT881">
        <f t="shared" si="644"/>
        <v>0</v>
      </c>
      <c r="AU881">
        <f>IFERROR(HLOOKUP(B881,'Real assumptions'!$B$43:$AL$44,2,TRUE)*($W$3/$U$2),0)</f>
        <v>0</v>
      </c>
      <c r="AV881">
        <f>AV880*(1+'Real assumptions'!$B$35)^(1/12)</f>
        <v>2.4586132952704811</v>
      </c>
      <c r="AW881">
        <f t="shared" si="627"/>
        <v>2091</v>
      </c>
      <c r="AX881">
        <f t="shared" si="654"/>
        <v>7.3018860124895571E-2</v>
      </c>
      <c r="AY881">
        <f t="shared" si="655"/>
        <v>8.6456264518261123E-5</v>
      </c>
      <c r="AZ881">
        <f t="shared" si="628"/>
        <v>7.7041276939106021E-2</v>
      </c>
      <c r="BA881">
        <f t="shared" si="645"/>
        <v>2.347458394071615E-4</v>
      </c>
      <c r="BB881">
        <f t="shared" si="646"/>
        <v>26.5</v>
      </c>
      <c r="BC881">
        <f t="shared" si="629"/>
        <v>15.899999999999999</v>
      </c>
      <c r="BD881">
        <f t="shared" si="647"/>
        <v>0</v>
      </c>
      <c r="BE881">
        <f t="shared" si="630"/>
        <v>24</v>
      </c>
      <c r="BF881">
        <f t="shared" si="656"/>
        <v>5000</v>
      </c>
      <c r="BU881"/>
      <c r="DW881" s="89"/>
      <c r="DX881" s="89"/>
      <c r="FD881"/>
      <c r="FE881"/>
    </row>
    <row r="882" spans="1:161" x14ac:dyDescent="0.25">
      <c r="A882" s="7">
        <f t="shared" si="648"/>
        <v>69944</v>
      </c>
      <c r="B882">
        <f t="shared" si="631"/>
        <v>871</v>
      </c>
      <c r="C882">
        <f t="shared" si="657"/>
        <v>72.5</v>
      </c>
      <c r="D882">
        <f t="shared" si="658"/>
        <v>0</v>
      </c>
      <c r="E882">
        <f t="shared" si="632"/>
        <v>124</v>
      </c>
      <c r="F882">
        <f>IF(C882&gt;=$T$2,0,VLOOKUP($E882,EKM_F05!$A$3:$C$128,2,TRUE))</f>
        <v>0</v>
      </c>
      <c r="G882">
        <f>F882*'Real assumptions'!$B$3</f>
        <v>0</v>
      </c>
      <c r="H882">
        <f t="shared" si="659"/>
        <v>0</v>
      </c>
      <c r="I882">
        <f t="shared" si="660"/>
        <v>0</v>
      </c>
      <c r="J882">
        <f>IF(B882&gt;$AJ$2,0,HLOOKUP(C882,'Real assumptions'!$B$5:$L$8,4,TRUE))</f>
        <v>3.7900000000000003E-2</v>
      </c>
      <c r="K882">
        <f t="shared" si="621"/>
        <v>1</v>
      </c>
      <c r="L882">
        <f t="shared" si="649"/>
        <v>8.3333333333333329E-2</v>
      </c>
      <c r="M882">
        <f t="shared" si="661"/>
        <v>3.2145624959929453E-3</v>
      </c>
      <c r="N882">
        <f t="shared" si="662"/>
        <v>6.5821300916806274E-8</v>
      </c>
      <c r="O882" s="8">
        <f t="shared" si="633"/>
        <v>2.0410153578667781E-5</v>
      </c>
      <c r="P882">
        <f t="shared" si="634"/>
        <v>4.9142339711003014E-4</v>
      </c>
      <c r="Q882">
        <f t="shared" si="650"/>
        <v>0</v>
      </c>
      <c r="R882" s="89">
        <f t="shared" si="622"/>
        <v>5000</v>
      </c>
      <c r="S882">
        <f t="shared" si="623"/>
        <v>0.4166666666666714</v>
      </c>
      <c r="U882">
        <f>O881*AV881*'Real assumptions'!$B$33/12+AX882*'Real assumptions'!$B$34</f>
        <v>5.2338936664726818E-4</v>
      </c>
      <c r="V882">
        <f>IF(P882=0,0,IF(E882&lt;=$C$7,$AN$5*O881,0))*'Real assumptions'!$D$28</f>
        <v>0</v>
      </c>
      <c r="X882" s="94">
        <f t="shared" si="635"/>
        <v>0</v>
      </c>
      <c r="Y882">
        <f t="shared" si="624"/>
        <v>24</v>
      </c>
      <c r="Z882">
        <f t="shared" si="651"/>
        <v>26</v>
      </c>
      <c r="AA882">
        <f t="shared" si="625"/>
        <v>26.416666666666671</v>
      </c>
      <c r="AB882">
        <f t="shared" si="636"/>
        <v>50.505050505050505</v>
      </c>
      <c r="AC882">
        <f t="shared" si="663"/>
        <v>1334.1750841750845</v>
      </c>
      <c r="AD882">
        <f t="shared" si="637"/>
        <v>80.505050505050505</v>
      </c>
      <c r="AE882">
        <f t="shared" si="638"/>
        <v>106.33375420875423</v>
      </c>
      <c r="AF882" s="94">
        <f t="shared" si="639"/>
        <v>3559.4911616161612</v>
      </c>
      <c r="AG882">
        <f t="shared" si="652"/>
        <v>2.3429033885944965E-4</v>
      </c>
      <c r="AH882">
        <f t="shared" si="640"/>
        <v>7.2649761270496424E-2</v>
      </c>
      <c r="AI882">
        <f>HLOOKUP(AW882,'Real assumptions'!$A$21:$AK$24,2,TRUE)</f>
        <v>0</v>
      </c>
      <c r="AJ882" s="123">
        <f t="shared" si="664"/>
        <v>0</v>
      </c>
      <c r="AK882" s="122">
        <f>(1+HLOOKUP(YEAR(A882),'Real assumptions'!$A$21:$AK$24,2,TRUE)/100)^(1/12)-1</f>
        <v>0</v>
      </c>
      <c r="AL882">
        <f t="shared" si="653"/>
        <v>5.2338936664726818E-4</v>
      </c>
      <c r="AM882">
        <f>('Real assumptions'!$B$33/12)*O881*AV881</f>
        <v>5.0342504072571051E-4</v>
      </c>
      <c r="AN882">
        <f t="shared" si="641"/>
        <v>7.2759038880233273E-2</v>
      </c>
      <c r="AO882">
        <f t="shared" si="665"/>
        <v>0</v>
      </c>
      <c r="AP882" s="121">
        <f t="shared" si="642"/>
        <v>0</v>
      </c>
      <c r="AQ882">
        <f t="shared" si="643"/>
        <v>0</v>
      </c>
      <c r="AR882">
        <v>0</v>
      </c>
      <c r="AS882">
        <f t="shared" si="626"/>
        <v>0</v>
      </c>
      <c r="AT882">
        <f t="shared" si="644"/>
        <v>0</v>
      </c>
      <c r="AU882">
        <f>IFERROR(HLOOKUP(B882,'Real assumptions'!$B$43:$AL$44,2,TRUE)*($W$3/$U$2),0)</f>
        <v>0</v>
      </c>
      <c r="AV882">
        <f>AV881*(1+'Real assumptions'!$B$35)^(1/12)</f>
        <v>2.4611597941927421</v>
      </c>
      <c r="AW882">
        <f t="shared" si="627"/>
        <v>2091</v>
      </c>
      <c r="AX882">
        <f t="shared" si="654"/>
        <v>7.2877183195223308E-2</v>
      </c>
      <c r="AY882">
        <f t="shared" si="655"/>
        <v>8.6178345452797079E-5</v>
      </c>
      <c r="AZ882">
        <f t="shared" si="628"/>
        <v>7.6775020630709331E-2</v>
      </c>
      <c r="BA882">
        <f t="shared" si="645"/>
        <v>2.3429033885944965E-4</v>
      </c>
      <c r="BB882">
        <f t="shared" si="646"/>
        <v>26.416666666666671</v>
      </c>
      <c r="BC882">
        <f t="shared" si="629"/>
        <v>15.850000000000001</v>
      </c>
      <c r="BD882">
        <f t="shared" si="647"/>
        <v>0</v>
      </c>
      <c r="BE882">
        <f t="shared" si="630"/>
        <v>24</v>
      </c>
      <c r="BF882">
        <f t="shared" si="656"/>
        <v>5000</v>
      </c>
      <c r="BU882"/>
      <c r="DW882" s="89"/>
      <c r="DX882" s="89"/>
      <c r="FD882"/>
      <c r="FE882"/>
    </row>
    <row r="883" spans="1:161" x14ac:dyDescent="0.25">
      <c r="A883" s="7">
        <f t="shared" si="648"/>
        <v>69975</v>
      </c>
      <c r="B883">
        <f t="shared" si="631"/>
        <v>872</v>
      </c>
      <c r="C883">
        <f t="shared" si="657"/>
        <v>72.583333333333329</v>
      </c>
      <c r="D883">
        <f t="shared" si="658"/>
        <v>0</v>
      </c>
      <c r="E883">
        <f t="shared" si="632"/>
        <v>124</v>
      </c>
      <c r="F883">
        <f>IF(C883&gt;=$T$2,0,VLOOKUP($E883,EKM_F05!$A$3:$C$128,2,TRUE))</f>
        <v>0</v>
      </c>
      <c r="G883">
        <f>F883*'Real assumptions'!$B$3</f>
        <v>0</v>
      </c>
      <c r="H883">
        <f t="shared" si="659"/>
        <v>0</v>
      </c>
      <c r="I883">
        <f t="shared" si="660"/>
        <v>0</v>
      </c>
      <c r="J883">
        <f>IF(B883&gt;$AJ$2,0,HLOOKUP(C883,'Real assumptions'!$B$5:$L$8,4,TRUE))</f>
        <v>3.7900000000000003E-2</v>
      </c>
      <c r="K883">
        <f t="shared" si="621"/>
        <v>1</v>
      </c>
      <c r="L883">
        <f t="shared" si="649"/>
        <v>8.3333333333333329E-2</v>
      </c>
      <c r="M883">
        <f t="shared" si="661"/>
        <v>3.2145624959929453E-3</v>
      </c>
      <c r="N883">
        <f t="shared" si="662"/>
        <v>6.5609714231441653E-8</v>
      </c>
      <c r="O883" s="8">
        <f t="shared" si="633"/>
        <v>2.0344543864436339E-5</v>
      </c>
      <c r="P883">
        <f t="shared" si="634"/>
        <v>4.8984368588802672E-4</v>
      </c>
      <c r="Q883">
        <f t="shared" si="650"/>
        <v>0</v>
      </c>
      <c r="R883" s="89">
        <f t="shared" si="622"/>
        <v>5000</v>
      </c>
      <c r="S883">
        <f t="shared" si="623"/>
        <v>0.3333333333333286</v>
      </c>
      <c r="U883">
        <f>O882*AV882*'Real assumptions'!$B$33/12+AX883*'Real assumptions'!$B$34</f>
        <v>5.222520508978395E-4</v>
      </c>
      <c r="V883">
        <f>IF(P883=0,0,IF(E883&lt;=$C$7,$AN$5*O882,0))*'Real assumptions'!$D$28</f>
        <v>0</v>
      </c>
      <c r="X883" s="94">
        <f t="shared" si="635"/>
        <v>0</v>
      </c>
      <c r="Y883">
        <f t="shared" si="624"/>
        <v>24</v>
      </c>
      <c r="Z883">
        <f t="shared" si="651"/>
        <v>26</v>
      </c>
      <c r="AA883">
        <f t="shared" si="625"/>
        <v>26.333333333333329</v>
      </c>
      <c r="AB883">
        <f t="shared" si="636"/>
        <v>50.505050505050505</v>
      </c>
      <c r="AC883">
        <f t="shared" si="663"/>
        <v>1329.9663299663298</v>
      </c>
      <c r="AD883">
        <f t="shared" si="637"/>
        <v>80.505050505050505</v>
      </c>
      <c r="AE883">
        <f t="shared" si="638"/>
        <v>105.99831649831647</v>
      </c>
      <c r="AF883" s="94">
        <f t="shared" si="639"/>
        <v>3564.0353535353538</v>
      </c>
      <c r="AG883">
        <f t="shared" si="652"/>
        <v>2.338353410562097E-4</v>
      </c>
      <c r="AH883">
        <f t="shared" si="640"/>
        <v>7.2508673584401884E-2</v>
      </c>
      <c r="AI883">
        <f>HLOOKUP(AW883,'Real assumptions'!$A$21:$AK$24,2,TRUE)</f>
        <v>0</v>
      </c>
      <c r="AJ883" s="123">
        <f t="shared" si="664"/>
        <v>0</v>
      </c>
      <c r="AK883" s="122">
        <f>(1+HLOOKUP(YEAR(A883),'Real assumptions'!$A$21:$AK$24,2,TRUE)/100)^(1/12)-1</f>
        <v>0</v>
      </c>
      <c r="AL883">
        <f t="shared" si="653"/>
        <v>5.222520508978395E-4</v>
      </c>
      <c r="AM883">
        <f>('Real assumptions'!$B$33/12)*O882*AV882</f>
        <v>5.0232649381116252E-4</v>
      </c>
      <c r="AN883">
        <f t="shared" si="641"/>
        <v>7.2617352905486612E-2</v>
      </c>
      <c r="AO883">
        <f t="shared" si="665"/>
        <v>0</v>
      </c>
      <c r="AP883" s="121">
        <f t="shared" si="642"/>
        <v>0</v>
      </c>
      <c r="AQ883">
        <f t="shared" si="643"/>
        <v>0</v>
      </c>
      <c r="AR883">
        <v>0</v>
      </c>
      <c r="AS883">
        <f t="shared" si="626"/>
        <v>0</v>
      </c>
      <c r="AT883">
        <f t="shared" si="644"/>
        <v>0</v>
      </c>
      <c r="AU883">
        <f>IFERROR(HLOOKUP(B883,'Real assumptions'!$B$43:$AL$44,2,TRUE)*($W$3/$U$2),0)</f>
        <v>0</v>
      </c>
      <c r="AV883">
        <f>AV882*(1+'Real assumptions'!$B$35)^(1/12)</f>
        <v>2.4637089306411131</v>
      </c>
      <c r="AW883">
        <f t="shared" si="627"/>
        <v>2091</v>
      </c>
      <c r="AX883">
        <f t="shared" si="654"/>
        <v>7.2735662590271963E-2</v>
      </c>
      <c r="AY883">
        <f t="shared" si="655"/>
        <v>8.5901319775537799E-5</v>
      </c>
      <c r="AZ883">
        <f t="shared" si="628"/>
        <v>7.6508776924643307E-2</v>
      </c>
      <c r="BA883">
        <f t="shared" si="645"/>
        <v>2.338353410562097E-4</v>
      </c>
      <c r="BB883">
        <f t="shared" si="646"/>
        <v>26.333333333333329</v>
      </c>
      <c r="BC883">
        <f t="shared" si="629"/>
        <v>15.799999999999997</v>
      </c>
      <c r="BD883">
        <f t="shared" si="647"/>
        <v>0</v>
      </c>
      <c r="BE883">
        <f t="shared" si="630"/>
        <v>24</v>
      </c>
      <c r="BF883">
        <f t="shared" si="656"/>
        <v>5000</v>
      </c>
      <c r="BU883"/>
      <c r="DW883" s="89"/>
      <c r="DX883" s="89"/>
      <c r="FD883"/>
      <c r="FE883"/>
    </row>
    <row r="884" spans="1:161" x14ac:dyDescent="0.25">
      <c r="A884" s="7">
        <f t="shared" si="648"/>
        <v>70006</v>
      </c>
      <c r="B884">
        <f t="shared" si="631"/>
        <v>873</v>
      </c>
      <c r="C884">
        <f t="shared" si="657"/>
        <v>72.666666666666671</v>
      </c>
      <c r="D884">
        <f t="shared" si="658"/>
        <v>0</v>
      </c>
      <c r="E884">
        <f t="shared" si="632"/>
        <v>124</v>
      </c>
      <c r="F884">
        <f>IF(C884&gt;=$T$2,0,VLOOKUP($E884,EKM_F05!$A$3:$C$128,2,TRUE))</f>
        <v>0</v>
      </c>
      <c r="G884">
        <f>F884*'Real assumptions'!$B$3</f>
        <v>0</v>
      </c>
      <c r="H884">
        <f t="shared" si="659"/>
        <v>0</v>
      </c>
      <c r="I884">
        <f t="shared" si="660"/>
        <v>0</v>
      </c>
      <c r="J884">
        <f>IF(B884&gt;$AJ$2,0,HLOOKUP(C884,'Real assumptions'!$B$5:$L$8,4,TRUE))</f>
        <v>3.7900000000000003E-2</v>
      </c>
      <c r="K884">
        <f t="shared" si="621"/>
        <v>1</v>
      </c>
      <c r="L884">
        <f t="shared" si="649"/>
        <v>8.3333333333333329E-2</v>
      </c>
      <c r="M884">
        <f t="shared" si="661"/>
        <v>3.2145624959929453E-3</v>
      </c>
      <c r="N884">
        <f t="shared" si="662"/>
        <v>6.5398807704700446E-8</v>
      </c>
      <c r="O884" s="8">
        <f t="shared" si="633"/>
        <v>2.0279145056731638E-5</v>
      </c>
      <c r="P884">
        <f t="shared" si="634"/>
        <v>4.8826905274647217E-4</v>
      </c>
      <c r="Q884">
        <f t="shared" si="650"/>
        <v>0</v>
      </c>
      <c r="R884" s="89">
        <f t="shared" si="622"/>
        <v>5000</v>
      </c>
      <c r="S884">
        <f t="shared" si="623"/>
        <v>0.25</v>
      </c>
      <c r="U884">
        <f>O883*AV883*'Real assumptions'!$B$33/12+AX884*'Real assumptions'!$B$34</f>
        <v>5.2111717528819247E-4</v>
      </c>
      <c r="V884">
        <f>IF(P884=0,0,IF(E884&lt;=$C$7,$AN$5*O883,0))*'Real assumptions'!$D$28</f>
        <v>0</v>
      </c>
      <c r="X884" s="94">
        <f t="shared" si="635"/>
        <v>0</v>
      </c>
      <c r="Y884">
        <f t="shared" si="624"/>
        <v>24</v>
      </c>
      <c r="Z884">
        <f t="shared" si="651"/>
        <v>26</v>
      </c>
      <c r="AA884">
        <f t="shared" si="625"/>
        <v>26.25</v>
      </c>
      <c r="AB884">
        <f t="shared" si="636"/>
        <v>50.505050505050505</v>
      </c>
      <c r="AC884">
        <f t="shared" si="663"/>
        <v>1325.7575757575758</v>
      </c>
      <c r="AD884">
        <f t="shared" si="637"/>
        <v>80.505050505050505</v>
      </c>
      <c r="AE884">
        <f t="shared" si="638"/>
        <v>105.66287878787878</v>
      </c>
      <c r="AF884" s="94">
        <f t="shared" si="639"/>
        <v>3568.579545454545</v>
      </c>
      <c r="AG884">
        <f t="shared" si="652"/>
        <v>2.3338084747210911E-4</v>
      </c>
      <c r="AH884">
        <f t="shared" si="640"/>
        <v>7.2367742248758166E-2</v>
      </c>
      <c r="AI884">
        <f>HLOOKUP(AW884,'Real assumptions'!$A$21:$AK$24,2,TRUE)</f>
        <v>0</v>
      </c>
      <c r="AJ884" s="123">
        <f t="shared" si="664"/>
        <v>0</v>
      </c>
      <c r="AK884" s="122">
        <f>(1+HLOOKUP(YEAR(A884),'Real assumptions'!$A$21:$AK$24,2,TRUE)/100)^(1/12)-1</f>
        <v>0</v>
      </c>
      <c r="AL884">
        <f t="shared" si="653"/>
        <v>5.2111717528819247E-4</v>
      </c>
      <c r="AM884">
        <f>('Real assumptions'!$B$33/12)*O883*AV883</f>
        <v>5.012303440863167E-4</v>
      </c>
      <c r="AN884">
        <f t="shared" si="641"/>
        <v>7.2475825461860169E-2</v>
      </c>
      <c r="AO884">
        <f t="shared" si="665"/>
        <v>0</v>
      </c>
      <c r="AP884" s="121">
        <f t="shared" si="642"/>
        <v>0</v>
      </c>
      <c r="AQ884">
        <f t="shared" si="643"/>
        <v>0</v>
      </c>
      <c r="AR884">
        <v>0</v>
      </c>
      <c r="AS884">
        <f t="shared" si="626"/>
        <v>0</v>
      </c>
      <c r="AT884">
        <f t="shared" si="644"/>
        <v>0</v>
      </c>
      <c r="AU884">
        <f>IFERROR(HLOOKUP(B884,'Real assumptions'!$B$43:$AL$44,2,TRUE)*($W$3/$U$2),0)</f>
        <v>0</v>
      </c>
      <c r="AV884">
        <f>AV883*(1+'Real assumptions'!$B$35)^(1/12)</f>
        <v>2.4662607073474012</v>
      </c>
      <c r="AW884">
        <f t="shared" si="627"/>
        <v>2091</v>
      </c>
      <c r="AX884">
        <f t="shared" si="654"/>
        <v>7.2594298769016519E-2</v>
      </c>
      <c r="AY884">
        <f t="shared" si="655"/>
        <v>8.5625184614631058E-5</v>
      </c>
      <c r="AZ884">
        <f t="shared" si="628"/>
        <v>7.624254795462948E-2</v>
      </c>
      <c r="BA884">
        <f t="shared" si="645"/>
        <v>2.3338084747210911E-4</v>
      </c>
      <c r="BB884">
        <f t="shared" si="646"/>
        <v>26.25</v>
      </c>
      <c r="BC884">
        <f t="shared" si="629"/>
        <v>15.75</v>
      </c>
      <c r="BD884">
        <f t="shared" si="647"/>
        <v>0</v>
      </c>
      <c r="BE884">
        <f t="shared" si="630"/>
        <v>24</v>
      </c>
      <c r="BF884">
        <f t="shared" si="656"/>
        <v>5000</v>
      </c>
      <c r="BU884"/>
      <c r="DW884" s="89"/>
      <c r="DX884" s="89"/>
      <c r="FD884"/>
      <c r="FE884"/>
    </row>
    <row r="885" spans="1:161" x14ac:dyDescent="0.25">
      <c r="A885" s="7">
        <f t="shared" si="648"/>
        <v>70036</v>
      </c>
      <c r="B885">
        <f t="shared" si="631"/>
        <v>874</v>
      </c>
      <c r="C885">
        <f t="shared" si="657"/>
        <v>72.75</v>
      </c>
      <c r="D885">
        <f t="shared" si="658"/>
        <v>0</v>
      </c>
      <c r="E885">
        <f t="shared" si="632"/>
        <v>124</v>
      </c>
      <c r="F885">
        <f>IF(C885&gt;=$T$2,0,VLOOKUP($E885,EKM_F05!$A$3:$C$128,2,TRUE))</f>
        <v>0</v>
      </c>
      <c r="G885">
        <f>F885*'Real assumptions'!$B$3</f>
        <v>0</v>
      </c>
      <c r="H885">
        <f t="shared" si="659"/>
        <v>0</v>
      </c>
      <c r="I885">
        <f t="shared" si="660"/>
        <v>0</v>
      </c>
      <c r="J885">
        <f>IF(B885&gt;$AJ$2,0,HLOOKUP(C885,'Real assumptions'!$B$5:$L$8,4,TRUE))</f>
        <v>3.7900000000000003E-2</v>
      </c>
      <c r="K885">
        <f t="shared" si="621"/>
        <v>1</v>
      </c>
      <c r="L885">
        <f t="shared" si="649"/>
        <v>8.3333333333333329E-2</v>
      </c>
      <c r="M885">
        <f t="shared" si="661"/>
        <v>3.2145624959929453E-3</v>
      </c>
      <c r="N885">
        <f t="shared" si="662"/>
        <v>6.5188579150170257E-8</v>
      </c>
      <c r="O885" s="8">
        <f t="shared" si="633"/>
        <v>2.0213956477581468E-5</v>
      </c>
      <c r="P885">
        <f t="shared" si="634"/>
        <v>4.8669948136155928E-4</v>
      </c>
      <c r="Q885">
        <f t="shared" si="650"/>
        <v>0</v>
      </c>
      <c r="R885" s="89">
        <f t="shared" si="622"/>
        <v>5000</v>
      </c>
      <c r="S885">
        <f t="shared" si="623"/>
        <v>0.1666666666666714</v>
      </c>
      <c r="U885">
        <f>O884*AV884*'Real assumptions'!$B$33/12+AX885*'Real assumptions'!$B$34</f>
        <v>5.1998473471179198E-4</v>
      </c>
      <c r="V885">
        <f>IF(P885=0,0,IF(E885&lt;=$C$7,$AN$5*O884,0))*'Real assumptions'!$D$28</f>
        <v>0</v>
      </c>
      <c r="X885" s="94">
        <f t="shared" si="635"/>
        <v>0</v>
      </c>
      <c r="Y885">
        <f t="shared" si="624"/>
        <v>24</v>
      </c>
      <c r="Z885">
        <f t="shared" si="651"/>
        <v>26</v>
      </c>
      <c r="AA885">
        <f t="shared" si="625"/>
        <v>26.166666666666671</v>
      </c>
      <c r="AB885">
        <f t="shared" si="636"/>
        <v>50.505050505050505</v>
      </c>
      <c r="AC885">
        <f t="shared" si="663"/>
        <v>1321.5488215488217</v>
      </c>
      <c r="AD885">
        <f t="shared" si="637"/>
        <v>80.505050505050505</v>
      </c>
      <c r="AE885">
        <f t="shared" si="638"/>
        <v>105.32744107744109</v>
      </c>
      <c r="AF885" s="94">
        <f t="shared" si="639"/>
        <v>3573.1237373737372</v>
      </c>
      <c r="AG885">
        <f t="shared" si="652"/>
        <v>2.3292685956714004E-4</v>
      </c>
      <c r="AH885">
        <f t="shared" si="640"/>
        <v>7.2226967716285964E-2</v>
      </c>
      <c r="AI885">
        <f>HLOOKUP(AW885,'Real assumptions'!$A$21:$AK$24,2,TRUE)</f>
        <v>0</v>
      </c>
      <c r="AJ885" s="123">
        <f t="shared" si="664"/>
        <v>0</v>
      </c>
      <c r="AK885" s="122">
        <f>(1+HLOOKUP(YEAR(A885),'Real assumptions'!$A$21:$AK$24,2,TRUE)/100)^(1/12)-1</f>
        <v>0</v>
      </c>
      <c r="AL885">
        <f t="shared" si="653"/>
        <v>5.1998473471179198E-4</v>
      </c>
      <c r="AM885">
        <f>('Real assumptions'!$B$33/12)*O884*AV884</f>
        <v>5.0013658632015528E-4</v>
      </c>
      <c r="AN885">
        <f t="shared" si="641"/>
        <v>7.2334456995407928E-2</v>
      </c>
      <c r="AO885">
        <f t="shared" si="665"/>
        <v>0</v>
      </c>
      <c r="AP885" s="121">
        <f t="shared" si="642"/>
        <v>0</v>
      </c>
      <c r="AQ885">
        <f t="shared" si="643"/>
        <v>0</v>
      </c>
      <c r="AR885">
        <v>0</v>
      </c>
      <c r="AS885">
        <f t="shared" si="626"/>
        <v>0</v>
      </c>
      <c r="AT885">
        <f t="shared" si="644"/>
        <v>0</v>
      </c>
      <c r="AU885">
        <f>IFERROR(HLOOKUP(B885,'Real assumptions'!$B$43:$AL$44,2,TRUE)*($W$3/$U$2),0)</f>
        <v>0</v>
      </c>
      <c r="AV885">
        <f>AV884*(1+'Real assumptions'!$B$35)^(1/12)</f>
        <v>2.4688151270462435</v>
      </c>
      <c r="AW885">
        <f t="shared" si="627"/>
        <v>2091</v>
      </c>
      <c r="AX885">
        <f t="shared" si="654"/>
        <v>7.2453092185865625E-2</v>
      </c>
      <c r="AY885">
        <f t="shared" si="655"/>
        <v>8.5349937107456384E-5</v>
      </c>
      <c r="AZ885">
        <f t="shared" si="628"/>
        <v>7.5976335841712109E-2</v>
      </c>
      <c r="BA885">
        <f t="shared" si="645"/>
        <v>2.3292685956714004E-4</v>
      </c>
      <c r="BB885">
        <f t="shared" si="646"/>
        <v>26.166666666666671</v>
      </c>
      <c r="BC885">
        <f t="shared" si="629"/>
        <v>15.700000000000003</v>
      </c>
      <c r="BD885">
        <f t="shared" si="647"/>
        <v>0</v>
      </c>
      <c r="BE885">
        <f t="shared" si="630"/>
        <v>24</v>
      </c>
      <c r="BF885">
        <f t="shared" si="656"/>
        <v>5000</v>
      </c>
      <c r="BU885"/>
      <c r="DW885" s="89"/>
      <c r="DX885" s="89"/>
      <c r="FD885"/>
      <c r="FE885"/>
    </row>
    <row r="886" spans="1:161" x14ac:dyDescent="0.25">
      <c r="A886" s="7">
        <f t="shared" si="648"/>
        <v>70067</v>
      </c>
      <c r="B886">
        <f t="shared" si="631"/>
        <v>875</v>
      </c>
      <c r="C886">
        <f t="shared" si="657"/>
        <v>72.833333333333329</v>
      </c>
      <c r="D886">
        <f t="shared" si="658"/>
        <v>0</v>
      </c>
      <c r="E886">
        <f t="shared" si="632"/>
        <v>124</v>
      </c>
      <c r="F886">
        <f>IF(C886&gt;=$T$2,0,VLOOKUP($E886,EKM_F05!$A$3:$C$128,2,TRUE))</f>
        <v>0</v>
      </c>
      <c r="G886">
        <f>F886*'Real assumptions'!$B$3</f>
        <v>0</v>
      </c>
      <c r="H886">
        <f t="shared" si="659"/>
        <v>0</v>
      </c>
      <c r="I886">
        <f t="shared" si="660"/>
        <v>0</v>
      </c>
      <c r="J886">
        <f>IF(B886&gt;$AJ$2,0,HLOOKUP(C886,'Real assumptions'!$B$5:$L$8,4,TRUE))</f>
        <v>3.7900000000000003E-2</v>
      </c>
      <c r="K886">
        <f t="shared" si="621"/>
        <v>1</v>
      </c>
      <c r="L886">
        <f t="shared" si="649"/>
        <v>8.3333333333333329E-2</v>
      </c>
      <c r="M886">
        <f t="shared" si="661"/>
        <v>3.2145624959929453E-3</v>
      </c>
      <c r="N886">
        <f t="shared" si="662"/>
        <v>6.4979026388467048E-8</v>
      </c>
      <c r="O886" s="8">
        <f t="shared" si="633"/>
        <v>2.0148977451193001E-5</v>
      </c>
      <c r="P886">
        <f t="shared" si="634"/>
        <v>4.8513495546195524E-4</v>
      </c>
      <c r="Q886">
        <f t="shared" si="650"/>
        <v>0</v>
      </c>
      <c r="R886" s="89">
        <f t="shared" si="622"/>
        <v>5000</v>
      </c>
      <c r="S886">
        <f t="shared" si="623"/>
        <v>8.3333333333328596E-2</v>
      </c>
      <c r="U886">
        <f>O885*AV885*'Real assumptions'!$B$33/12+AX886*'Real assumptions'!$B$34</f>
        <v>5.1885472407227405E-4</v>
      </c>
      <c r="V886">
        <f>IF(P886=0,0,IF(E886&lt;=$C$7,$AN$5*O885,0))*'Real assumptions'!$D$28</f>
        <v>0</v>
      </c>
      <c r="X886" s="94">
        <f t="shared" si="635"/>
        <v>0</v>
      </c>
      <c r="Y886">
        <f t="shared" si="624"/>
        <v>24</v>
      </c>
      <c r="Z886">
        <f t="shared" si="651"/>
        <v>26</v>
      </c>
      <c r="AA886">
        <f t="shared" si="625"/>
        <v>26.083333333333329</v>
      </c>
      <c r="AB886">
        <f t="shared" si="636"/>
        <v>50.505050505050505</v>
      </c>
      <c r="AC886">
        <f t="shared" si="663"/>
        <v>1317.3400673400672</v>
      </c>
      <c r="AD886">
        <f t="shared" si="637"/>
        <v>80.505050505050505</v>
      </c>
      <c r="AE886">
        <f t="shared" si="638"/>
        <v>104.99200336700335</v>
      </c>
      <c r="AF886" s="94">
        <f t="shared" si="639"/>
        <v>3577.6679292929293</v>
      </c>
      <c r="AG886">
        <f t="shared" si="652"/>
        <v>2.3247337878669751E-4</v>
      </c>
      <c r="AH886">
        <f t="shared" si="640"/>
        <v>7.2086350435179594E-2</v>
      </c>
      <c r="AI886">
        <f>HLOOKUP(AW886,'Real assumptions'!$A$21:$AK$24,2,TRUE)</f>
        <v>0</v>
      </c>
      <c r="AJ886" s="123">
        <f t="shared" si="664"/>
        <v>0</v>
      </c>
      <c r="AK886" s="122">
        <f>(1+HLOOKUP(YEAR(A886),'Real assumptions'!$A$21:$AK$24,2,TRUE)/100)^(1/12)-1</f>
        <v>0</v>
      </c>
      <c r="AL886">
        <f t="shared" si="653"/>
        <v>5.1885472407227405E-4</v>
      </c>
      <c r="AM886">
        <f>('Real assumptions'!$B$33/12)*O885*AV885</f>
        <v>4.990452152930753E-4</v>
      </c>
      <c r="AN886">
        <f t="shared" si="641"/>
        <v>7.2193247947675648E-2</v>
      </c>
      <c r="AO886">
        <f t="shared" si="665"/>
        <v>0</v>
      </c>
      <c r="AP886" s="121">
        <f t="shared" si="642"/>
        <v>0</v>
      </c>
      <c r="AQ886">
        <f t="shared" si="643"/>
        <v>0</v>
      </c>
      <c r="AR886">
        <v>0</v>
      </c>
      <c r="AS886">
        <f t="shared" si="626"/>
        <v>0</v>
      </c>
      <c r="AT886">
        <f t="shared" si="644"/>
        <v>0</v>
      </c>
      <c r="AU886">
        <f>IFERROR(HLOOKUP(B886,'Real assumptions'!$B$43:$AL$44,2,TRUE)*($W$3/$U$2),0)</f>
        <v>0</v>
      </c>
      <c r="AV886">
        <f>AV885*(1+'Real assumptions'!$B$35)^(1/12)</f>
        <v>2.4713721924751089</v>
      </c>
      <c r="AW886">
        <f t="shared" si="627"/>
        <v>2091</v>
      </c>
      <c r="AX886">
        <f t="shared" si="654"/>
        <v>7.2312043290686565E-2</v>
      </c>
      <c r="AY886">
        <f t="shared" si="655"/>
        <v>8.5075574400595401E-5</v>
      </c>
      <c r="AZ886">
        <f t="shared" si="628"/>
        <v>7.57101426943151E-2</v>
      </c>
      <c r="BA886">
        <f t="shared" si="645"/>
        <v>2.3247337878669751E-4</v>
      </c>
      <c r="BB886">
        <f t="shared" si="646"/>
        <v>26.083333333333329</v>
      </c>
      <c r="BC886">
        <f t="shared" si="629"/>
        <v>15.649999999999997</v>
      </c>
      <c r="BD886">
        <f t="shared" si="647"/>
        <v>0</v>
      </c>
      <c r="BE886">
        <f t="shared" si="630"/>
        <v>24</v>
      </c>
      <c r="BF886">
        <f t="shared" si="656"/>
        <v>5000</v>
      </c>
      <c r="BU886"/>
      <c r="DW886" s="89"/>
      <c r="DX886" s="89"/>
      <c r="FD886"/>
      <c r="FE886"/>
    </row>
    <row r="887" spans="1:161" x14ac:dyDescent="0.25">
      <c r="A887" s="7">
        <f t="shared" si="648"/>
        <v>70097</v>
      </c>
      <c r="B887">
        <f t="shared" si="631"/>
        <v>876</v>
      </c>
      <c r="C887">
        <f t="shared" si="657"/>
        <v>72.916666666666671</v>
      </c>
      <c r="D887">
        <f t="shared" si="658"/>
        <v>0</v>
      </c>
      <c r="E887">
        <f t="shared" si="632"/>
        <v>124</v>
      </c>
      <c r="F887">
        <f>IF(C887&gt;=$T$2,0,VLOOKUP($E887,EKM_F05!$A$3:$C$128,2,TRUE))</f>
        <v>0</v>
      </c>
      <c r="G887">
        <f>F887*'Real assumptions'!$B$3</f>
        <v>0</v>
      </c>
      <c r="H887">
        <f t="shared" si="659"/>
        <v>0</v>
      </c>
      <c r="I887">
        <f t="shared" si="660"/>
        <v>0</v>
      </c>
      <c r="J887">
        <f>IF(B887&gt;$AJ$2,0,HLOOKUP(C887,'Real assumptions'!$B$5:$L$8,4,TRUE))</f>
        <v>3.7900000000000003E-2</v>
      </c>
      <c r="K887">
        <f t="shared" si="621"/>
        <v>1</v>
      </c>
      <c r="L887">
        <f t="shared" si="649"/>
        <v>8.3333333333333329E-2</v>
      </c>
      <c r="M887">
        <f t="shared" si="661"/>
        <v>3.2145624959929453E-3</v>
      </c>
      <c r="N887">
        <f t="shared" si="662"/>
        <v>6.4770147247212542E-8</v>
      </c>
      <c r="O887" s="8">
        <f t="shared" si="633"/>
        <v>2.0084207303945788E-5</v>
      </c>
      <c r="P887">
        <f t="shared" si="634"/>
        <v>4.8357545882863202E-4</v>
      </c>
      <c r="Q887">
        <f t="shared" si="650"/>
        <v>0</v>
      </c>
      <c r="R887" s="89">
        <f t="shared" si="622"/>
        <v>5000</v>
      </c>
      <c r="S887">
        <f t="shared" si="623"/>
        <v>1</v>
      </c>
      <c r="U887">
        <f>O886*AV886*'Real assumptions'!$B$33/12+AX887*'Real assumptions'!$B$34</f>
        <v>5.1772713828342708E-4</v>
      </c>
      <c r="V887">
        <f>IF(P887=0,0,IF(E887&lt;=$C$7,$AN$5*O886,0))*'Real assumptions'!$D$28</f>
        <v>0</v>
      </c>
      <c r="X887" s="94">
        <f t="shared" si="635"/>
        <v>0</v>
      </c>
      <c r="Y887">
        <f t="shared" si="624"/>
        <v>24</v>
      </c>
      <c r="Z887">
        <f t="shared" si="651"/>
        <v>26</v>
      </c>
      <c r="AA887">
        <f t="shared" si="625"/>
        <v>26</v>
      </c>
      <c r="AB887">
        <f t="shared" si="636"/>
        <v>50.505050505050505</v>
      </c>
      <c r="AC887">
        <f t="shared" si="663"/>
        <v>1313.1313131313132</v>
      </c>
      <c r="AD887">
        <f t="shared" si="637"/>
        <v>80.505050505050505</v>
      </c>
      <c r="AE887">
        <f t="shared" si="638"/>
        <v>104.65656565656565</v>
      </c>
      <c r="AF887" s="94">
        <f t="shared" si="639"/>
        <v>3582.212121212121</v>
      </c>
      <c r="AG887">
        <f t="shared" si="652"/>
        <v>2.3202040656165865E-4</v>
      </c>
      <c r="AH887">
        <f t="shared" si="640"/>
        <v>7.1945890849131611E-2</v>
      </c>
      <c r="AI887">
        <f>HLOOKUP(AW887,'Real assumptions'!$A$21:$AK$24,2,TRUE)</f>
        <v>0</v>
      </c>
      <c r="AJ887" s="123">
        <f t="shared" si="664"/>
        <v>0</v>
      </c>
      <c r="AK887" s="122">
        <f>(1+HLOOKUP(YEAR(A887),'Real assumptions'!$A$21:$AK$24,2,TRUE)/100)^(1/12)-1</f>
        <v>0</v>
      </c>
      <c r="AL887">
        <f t="shared" si="653"/>
        <v>5.1772713828342708E-4</v>
      </c>
      <c r="AM887">
        <f>('Real assumptions'!$B$33/12)*O886*AV886</f>
        <v>4.9795622579686376E-4</v>
      </c>
      <c r="AN887">
        <f t="shared" si="641"/>
        <v>7.20521987557248E-2</v>
      </c>
      <c r="AO887">
        <f t="shared" si="665"/>
        <v>0</v>
      </c>
      <c r="AP887" s="121">
        <f t="shared" si="642"/>
        <v>0</v>
      </c>
      <c r="AQ887">
        <f t="shared" si="643"/>
        <v>0</v>
      </c>
      <c r="AR887">
        <v>0</v>
      </c>
      <c r="AS887">
        <f t="shared" si="626"/>
        <v>0</v>
      </c>
      <c r="AT887">
        <f t="shared" si="644"/>
        <v>0</v>
      </c>
      <c r="AU887">
        <f>IFERROR(HLOOKUP(B887,'Real assumptions'!$B$43:$AL$44,2,TRUE)*($W$3/$U$2),0)</f>
        <v>0</v>
      </c>
      <c r="AV887">
        <f>AV886*(1+'Real assumptions'!$B$35)^(1/12)</f>
        <v>2.4739319063743013</v>
      </c>
      <c r="AW887">
        <f t="shared" si="627"/>
        <v>2091</v>
      </c>
      <c r="AX887">
        <f t="shared" si="654"/>
        <v>7.2171152528829399E-2</v>
      </c>
      <c r="AY887">
        <f t="shared" si="655"/>
        <v>8.4802093649802193E-5</v>
      </c>
      <c r="AZ887">
        <f t="shared" si="628"/>
        <v>7.5443970608298647E-2</v>
      </c>
      <c r="BA887">
        <f t="shared" si="645"/>
        <v>2.3202040656165865E-4</v>
      </c>
      <c r="BB887">
        <f t="shared" si="646"/>
        <v>26</v>
      </c>
      <c r="BC887">
        <f t="shared" si="629"/>
        <v>15.6</v>
      </c>
      <c r="BD887">
        <f t="shared" si="647"/>
        <v>0</v>
      </c>
      <c r="BE887">
        <f t="shared" si="630"/>
        <v>24</v>
      </c>
      <c r="BF887">
        <f t="shared" si="656"/>
        <v>5000</v>
      </c>
      <c r="BU887"/>
      <c r="DW887" s="89"/>
      <c r="DX887" s="89"/>
      <c r="FD887"/>
      <c r="FE887"/>
    </row>
    <row r="888" spans="1:161" x14ac:dyDescent="0.25">
      <c r="A888" s="7">
        <f t="shared" si="648"/>
        <v>70128</v>
      </c>
      <c r="B888">
        <f t="shared" si="631"/>
        <v>877</v>
      </c>
      <c r="C888">
        <f t="shared" si="657"/>
        <v>73</v>
      </c>
      <c r="D888">
        <f t="shared" si="658"/>
        <v>1</v>
      </c>
      <c r="E888">
        <f t="shared" si="632"/>
        <v>125</v>
      </c>
      <c r="F888">
        <f>IF(C888&gt;=$T$2,0,VLOOKUP($E888,EKM_F05!$A$3:$C$128,2,TRUE))</f>
        <v>0</v>
      </c>
      <c r="G888">
        <f>F888*'Real assumptions'!$B$3</f>
        <v>0</v>
      </c>
      <c r="H888">
        <f t="shared" si="659"/>
        <v>0</v>
      </c>
      <c r="I888">
        <f t="shared" si="660"/>
        <v>0</v>
      </c>
      <c r="J888">
        <f>IF(B888&gt;$AJ$2,0,HLOOKUP(C888,'Real assumptions'!$B$5:$L$8,4,TRUE))</f>
        <v>3.7900000000000003E-2</v>
      </c>
      <c r="K888">
        <f t="shared" si="621"/>
        <v>1</v>
      </c>
      <c r="L888">
        <f t="shared" si="649"/>
        <v>8.3333333333333329E-2</v>
      </c>
      <c r="M888">
        <f t="shared" si="661"/>
        <v>3.2145624959929453E-3</v>
      </c>
      <c r="N888">
        <f t="shared" si="662"/>
        <v>6.4561939561011715E-8</v>
      </c>
      <c r="O888" s="8">
        <f t="shared" si="633"/>
        <v>2.0019645364384775E-5</v>
      </c>
      <c r="P888">
        <f t="shared" si="634"/>
        <v>4.8202097529469895E-4</v>
      </c>
      <c r="Q888">
        <f t="shared" si="650"/>
        <v>0</v>
      </c>
      <c r="R888" s="89">
        <f t="shared" si="622"/>
        <v>5000</v>
      </c>
      <c r="S888">
        <f t="shared" si="623"/>
        <v>0.9166666666666714</v>
      </c>
      <c r="U888">
        <f>O887*AV887*'Real assumptions'!$B$33/12+AX888*'Real assumptions'!$B$34</f>
        <v>5.1660197226917359E-4</v>
      </c>
      <c r="V888">
        <f>IF(P888=0,0,IF(E888&lt;=$C$7,$AN$5*O887,0))*'Real assumptions'!$D$28</f>
        <v>0</v>
      </c>
      <c r="X888" s="94">
        <f t="shared" si="635"/>
        <v>0</v>
      </c>
      <c r="Y888">
        <f t="shared" si="624"/>
        <v>24</v>
      </c>
      <c r="Z888">
        <f t="shared" si="651"/>
        <v>26</v>
      </c>
      <c r="AA888">
        <f t="shared" si="625"/>
        <v>25.916666666666671</v>
      </c>
      <c r="AB888">
        <f t="shared" si="636"/>
        <v>50.505050505050505</v>
      </c>
      <c r="AC888">
        <f t="shared" si="663"/>
        <v>1308.9225589225591</v>
      </c>
      <c r="AD888">
        <f t="shared" si="637"/>
        <v>80.505050505050505</v>
      </c>
      <c r="AE888">
        <f t="shared" si="638"/>
        <v>104.32112794612796</v>
      </c>
      <c r="AF888" s="94">
        <f t="shared" si="639"/>
        <v>3586.7563131313132</v>
      </c>
      <c r="AG888">
        <f t="shared" si="652"/>
        <v>2.3156794430846106E-4</v>
      </c>
      <c r="AH888">
        <f t="shared" si="640"/>
        <v>7.1805589397357122E-2</v>
      </c>
      <c r="AI888">
        <f>HLOOKUP(AW888,'Real assumptions'!$A$21:$AK$24,2,TRUE)</f>
        <v>0</v>
      </c>
      <c r="AJ888" s="123">
        <f t="shared" si="664"/>
        <v>0</v>
      </c>
      <c r="AK888" s="122">
        <f>(1+HLOOKUP(YEAR(A888),'Real assumptions'!$A$21:$AK$24,2,TRUE)/100)^(1/12)-1</f>
        <v>0</v>
      </c>
      <c r="AL888">
        <f t="shared" si="653"/>
        <v>5.1660197226917359E-4</v>
      </c>
      <c r="AM888">
        <f>('Real assumptions'!$B$33/12)*O887*AV887</f>
        <v>4.9686961263467264E-4</v>
      </c>
      <c r="AN888">
        <f t="shared" si="641"/>
        <v>7.1911309852157143E-2</v>
      </c>
      <c r="AO888">
        <f t="shared" si="665"/>
        <v>0</v>
      </c>
      <c r="AP888" s="121">
        <f t="shared" si="642"/>
        <v>0</v>
      </c>
      <c r="AQ888">
        <f t="shared" si="643"/>
        <v>0</v>
      </c>
      <c r="AR888">
        <v>0</v>
      </c>
      <c r="AS888">
        <f t="shared" si="626"/>
        <v>0</v>
      </c>
      <c r="AT888">
        <f t="shared" si="644"/>
        <v>0</v>
      </c>
      <c r="AU888">
        <f>IFERROR(HLOOKUP(B888,'Real assumptions'!$B$43:$AL$44,2,TRUE)*($W$3/$U$2),0)</f>
        <v>0</v>
      </c>
      <c r="AV888">
        <f>AV887*(1+'Real assumptions'!$B$35)^(1/12)</f>
        <v>2.4764942714869638</v>
      </c>
      <c r="AW888">
        <f t="shared" si="627"/>
        <v>2091</v>
      </c>
      <c r="AX888">
        <f t="shared" si="654"/>
        <v>7.2030420341151591E-2</v>
      </c>
      <c r="AY888">
        <f t="shared" si="655"/>
        <v>8.4529492019973853E-5</v>
      </c>
      <c r="AZ888">
        <f t="shared" si="628"/>
        <v>7.5177821667015712E-2</v>
      </c>
      <c r="BA888">
        <f t="shared" si="645"/>
        <v>2.3156794430846106E-4</v>
      </c>
      <c r="BB888">
        <f t="shared" si="646"/>
        <v>25.916666666666671</v>
      </c>
      <c r="BC888">
        <f t="shared" si="629"/>
        <v>15.550000000000002</v>
      </c>
      <c r="BD888">
        <f t="shared" si="647"/>
        <v>0</v>
      </c>
      <c r="BE888">
        <f t="shared" si="630"/>
        <v>24</v>
      </c>
      <c r="BF888">
        <f t="shared" si="656"/>
        <v>5000</v>
      </c>
      <c r="BU888"/>
      <c r="DW888" s="89"/>
      <c r="DX888" s="89"/>
      <c r="FD888"/>
      <c r="FE888"/>
    </row>
    <row r="889" spans="1:161" x14ac:dyDescent="0.25">
      <c r="A889" s="7">
        <f t="shared" si="648"/>
        <v>70159</v>
      </c>
      <c r="B889">
        <f t="shared" si="631"/>
        <v>878</v>
      </c>
      <c r="C889">
        <f t="shared" si="657"/>
        <v>73.083333333333329</v>
      </c>
      <c r="D889">
        <f t="shared" si="658"/>
        <v>0</v>
      </c>
      <c r="E889">
        <f t="shared" si="632"/>
        <v>125</v>
      </c>
      <c r="F889">
        <f>IF(C889&gt;=$T$2,0,VLOOKUP($E889,EKM_F05!$A$3:$C$128,2,TRUE))</f>
        <v>0</v>
      </c>
      <c r="G889">
        <f>F889*'Real assumptions'!$B$3</f>
        <v>0</v>
      </c>
      <c r="H889">
        <f t="shared" si="659"/>
        <v>0</v>
      </c>
      <c r="I889">
        <f t="shared" si="660"/>
        <v>0</v>
      </c>
      <c r="J889">
        <f>IF(B889&gt;$AJ$2,0,HLOOKUP(C889,'Real assumptions'!$B$5:$L$8,4,TRUE))</f>
        <v>3.7900000000000003E-2</v>
      </c>
      <c r="K889">
        <f t="shared" si="621"/>
        <v>1</v>
      </c>
      <c r="L889">
        <f t="shared" si="649"/>
        <v>8.3333333333333329E-2</v>
      </c>
      <c r="M889">
        <f t="shared" si="661"/>
        <v>3.2145624959929453E-3</v>
      </c>
      <c r="N889">
        <f t="shared" si="662"/>
        <v>6.4354401171430317E-8</v>
      </c>
      <c r="O889" s="8">
        <f t="shared" si="633"/>
        <v>1.9955290963213346E-5</v>
      </c>
      <c r="P889">
        <f t="shared" si="634"/>
        <v>4.8047148874523461E-4</v>
      </c>
      <c r="Q889">
        <f t="shared" si="650"/>
        <v>0</v>
      </c>
      <c r="R889" s="89">
        <f t="shared" si="622"/>
        <v>5000</v>
      </c>
      <c r="S889">
        <f t="shared" si="623"/>
        <v>0.8333333333333286</v>
      </c>
      <c r="U889">
        <f>O888*AV888*'Real assumptions'!$B$33/12+AX889*'Real assumptions'!$B$34</f>
        <v>5.1547922096355236E-4</v>
      </c>
      <c r="V889">
        <f>IF(P889=0,0,IF(E889&lt;=$C$7,$AN$5*O888,0))*'Real assumptions'!$D$28</f>
        <v>0</v>
      </c>
      <c r="X889" s="94">
        <f t="shared" si="635"/>
        <v>0</v>
      </c>
      <c r="Y889">
        <f t="shared" si="624"/>
        <v>24</v>
      </c>
      <c r="Z889">
        <f t="shared" si="651"/>
        <v>25</v>
      </c>
      <c r="AA889">
        <f t="shared" si="625"/>
        <v>25.833333333333329</v>
      </c>
      <c r="AB889">
        <f t="shared" si="636"/>
        <v>50.505050505050505</v>
      </c>
      <c r="AC889">
        <f t="shared" si="663"/>
        <v>1304.7138047138044</v>
      </c>
      <c r="AD889">
        <f t="shared" si="637"/>
        <v>80.505050505050505</v>
      </c>
      <c r="AE889">
        <f t="shared" si="638"/>
        <v>103.98569023569021</v>
      </c>
      <c r="AF889" s="94">
        <f t="shared" si="639"/>
        <v>3591.3005050505058</v>
      </c>
      <c r="AG889">
        <f t="shared" si="652"/>
        <v>2.3111599342918055E-4</v>
      </c>
      <c r="AH889">
        <f t="shared" si="640"/>
        <v>7.1665446514617884E-2</v>
      </c>
      <c r="AI889">
        <f>HLOOKUP(AW889,'Real assumptions'!$A$21:$AK$24,2,TRUE)</f>
        <v>0</v>
      </c>
      <c r="AJ889" s="123">
        <f t="shared" si="664"/>
        <v>0</v>
      </c>
      <c r="AK889" s="122">
        <f>(1+HLOOKUP(YEAR(A889),'Real assumptions'!$A$21:$AK$24,2,TRUE)/100)^(1/12)-1</f>
        <v>0</v>
      </c>
      <c r="AL889">
        <f t="shared" si="653"/>
        <v>5.1547922096355236E-4</v>
      </c>
      <c r="AM889">
        <f>('Real assumptions'!$B$33/12)*O888*AV888</f>
        <v>4.957853706209945E-4</v>
      </c>
      <c r="AN889">
        <f t="shared" si="641"/>
        <v>7.1770581665138805E-2</v>
      </c>
      <c r="AO889">
        <f t="shared" si="665"/>
        <v>0</v>
      </c>
      <c r="AP889" s="121">
        <f t="shared" si="642"/>
        <v>0</v>
      </c>
      <c r="AQ889">
        <f t="shared" si="643"/>
        <v>0</v>
      </c>
      <c r="AR889">
        <v>0</v>
      </c>
      <c r="AS889">
        <f t="shared" si="626"/>
        <v>0</v>
      </c>
      <c r="AT889">
        <f t="shared" si="644"/>
        <v>0</v>
      </c>
      <c r="AU889">
        <f>IFERROR(HLOOKUP(B889,'Real assumptions'!$B$43:$AL$44,2,TRUE)*($W$3/$U$2),0)</f>
        <v>0</v>
      </c>
      <c r="AV889">
        <f>AV888*(1+'Real assumptions'!$B$35)^(1/12)</f>
        <v>2.4790592905590798</v>
      </c>
      <c r="AW889">
        <f t="shared" si="627"/>
        <v>2092</v>
      </c>
      <c r="AX889">
        <f t="shared" si="654"/>
        <v>7.1889847164042245E-2</v>
      </c>
      <c r="AY889">
        <f t="shared" si="655"/>
        <v>8.42577666851211E-5</v>
      </c>
      <c r="AZ889">
        <f t="shared" si="628"/>
        <v>7.4911697941368219E-2</v>
      </c>
      <c r="BA889">
        <f t="shared" si="645"/>
        <v>2.3111599342918055E-4</v>
      </c>
      <c r="BB889">
        <f t="shared" si="646"/>
        <v>25.833333333333329</v>
      </c>
      <c r="BC889">
        <f t="shared" si="629"/>
        <v>15.499999999999996</v>
      </c>
      <c r="BD889">
        <f t="shared" si="647"/>
        <v>0</v>
      </c>
      <c r="BE889">
        <f t="shared" si="630"/>
        <v>24</v>
      </c>
      <c r="BF889">
        <f t="shared" si="656"/>
        <v>5000</v>
      </c>
      <c r="BU889"/>
      <c r="DW889" s="89"/>
      <c r="DX889" s="89"/>
      <c r="FD889"/>
      <c r="FE889"/>
    </row>
    <row r="890" spans="1:161" x14ac:dyDescent="0.25">
      <c r="A890" s="7">
        <f t="shared" si="648"/>
        <v>70188</v>
      </c>
      <c r="B890">
        <f t="shared" si="631"/>
        <v>879</v>
      </c>
      <c r="C890">
        <f t="shared" si="657"/>
        <v>73.166666666666671</v>
      </c>
      <c r="D890">
        <f t="shared" si="658"/>
        <v>0</v>
      </c>
      <c r="E890">
        <f t="shared" si="632"/>
        <v>125</v>
      </c>
      <c r="F890">
        <f>IF(C890&gt;=$T$2,0,VLOOKUP($E890,EKM_F05!$A$3:$C$128,2,TRUE))</f>
        <v>0</v>
      </c>
      <c r="G890">
        <f>F890*'Real assumptions'!$B$3</f>
        <v>0</v>
      </c>
      <c r="H890">
        <f t="shared" si="659"/>
        <v>0</v>
      </c>
      <c r="I890">
        <f t="shared" si="660"/>
        <v>0</v>
      </c>
      <c r="J890">
        <f>IF(B890&gt;$AJ$2,0,HLOOKUP(C890,'Real assumptions'!$B$5:$L$8,4,TRUE))</f>
        <v>3.7900000000000003E-2</v>
      </c>
      <c r="K890">
        <f t="shared" si="621"/>
        <v>1</v>
      </c>
      <c r="L890">
        <f t="shared" si="649"/>
        <v>8.3333333333333329E-2</v>
      </c>
      <c r="M890">
        <f t="shared" si="661"/>
        <v>3.2145624959929453E-3</v>
      </c>
      <c r="N890">
        <f t="shared" si="662"/>
        <v>6.4147529926972554E-8</v>
      </c>
      <c r="O890" s="8">
        <f t="shared" si="633"/>
        <v>1.9891143433286373E-5</v>
      </c>
      <c r="P890">
        <f t="shared" si="634"/>
        <v>4.7892698311712033E-4</v>
      </c>
      <c r="Q890">
        <f t="shared" si="650"/>
        <v>0</v>
      </c>
      <c r="R890" s="89">
        <f t="shared" si="622"/>
        <v>5000</v>
      </c>
      <c r="S890">
        <f t="shared" si="623"/>
        <v>0.75</v>
      </c>
      <c r="U890">
        <f>O889*AV889*'Real assumptions'!$B$33/12+AX890*'Real assumptions'!$B$34</f>
        <v>5.1435887931070067E-4</v>
      </c>
      <c r="V890">
        <f>IF(P890=0,0,IF(E890&lt;=$C$7,$AN$5*O889,0))*'Real assumptions'!$D$28</f>
        <v>0</v>
      </c>
      <c r="X890" s="94">
        <f t="shared" si="635"/>
        <v>0</v>
      </c>
      <c r="Y890">
        <f t="shared" si="624"/>
        <v>24</v>
      </c>
      <c r="Z890">
        <f t="shared" si="651"/>
        <v>25</v>
      </c>
      <c r="AA890">
        <f t="shared" si="625"/>
        <v>25.75</v>
      </c>
      <c r="AB890">
        <f t="shared" si="636"/>
        <v>50.505050505050505</v>
      </c>
      <c r="AC890">
        <f t="shared" si="663"/>
        <v>1300.5050505050506</v>
      </c>
      <c r="AD890">
        <f t="shared" si="637"/>
        <v>80.505050505050505</v>
      </c>
      <c r="AE890">
        <f t="shared" si="638"/>
        <v>103.65025252525253</v>
      </c>
      <c r="AF890" s="94">
        <f t="shared" si="639"/>
        <v>3595.844696969697</v>
      </c>
      <c r="AG890">
        <f t="shared" si="652"/>
        <v>2.306645553116092E-4</v>
      </c>
      <c r="AH890">
        <f t="shared" si="640"/>
        <v>7.1525462631246414E-2</v>
      </c>
      <c r="AI890">
        <f>HLOOKUP(AW890,'Real assumptions'!$A$21:$AK$24,2,TRUE)</f>
        <v>0</v>
      </c>
      <c r="AJ890" s="123">
        <f t="shared" si="664"/>
        <v>0</v>
      </c>
      <c r="AK890" s="122">
        <f>(1+HLOOKUP(YEAR(A890),'Real assumptions'!$A$21:$AK$24,2,TRUE)/100)^(1/12)-1</f>
        <v>0</v>
      </c>
      <c r="AL890">
        <f t="shared" si="653"/>
        <v>5.1435887931070067E-4</v>
      </c>
      <c r="AM890">
        <f>('Real assumptions'!$B$33/12)*O889*AV889</f>
        <v>4.9470349458163691E-4</v>
      </c>
      <c r="AN890">
        <f t="shared" si="641"/>
        <v>7.1630014618424304E-2</v>
      </c>
      <c r="AO890">
        <f t="shared" si="665"/>
        <v>0</v>
      </c>
      <c r="AP890" s="121">
        <f t="shared" si="642"/>
        <v>0</v>
      </c>
      <c r="AQ890">
        <f t="shared" si="643"/>
        <v>0</v>
      </c>
      <c r="AR890">
        <v>0</v>
      </c>
      <c r="AS890">
        <f t="shared" si="626"/>
        <v>0</v>
      </c>
      <c r="AT890">
        <f t="shared" si="644"/>
        <v>0</v>
      </c>
      <c r="AU890">
        <f>IFERROR(HLOOKUP(B890,'Real assumptions'!$B$43:$AL$44,2,TRUE)*($W$3/$U$2),0)</f>
        <v>0</v>
      </c>
      <c r="AV890">
        <f>AV889*(1+'Real assumptions'!$B$35)^(1/12)</f>
        <v>2.4816269663394772</v>
      </c>
      <c r="AW890">
        <f t="shared" si="627"/>
        <v>2092</v>
      </c>
      <c r="AX890">
        <f t="shared" si="654"/>
        <v>7.1749433429446216E-2</v>
      </c>
      <c r="AY890">
        <f t="shared" si="655"/>
        <v>8.3986914828338997E-5</v>
      </c>
      <c r="AZ890">
        <f t="shared" si="628"/>
        <v>7.4645601489863031E-2</v>
      </c>
      <c r="BA890">
        <f t="shared" si="645"/>
        <v>2.306645553116092E-4</v>
      </c>
      <c r="BB890">
        <f t="shared" si="646"/>
        <v>25.75</v>
      </c>
      <c r="BC890">
        <f t="shared" si="629"/>
        <v>15.45</v>
      </c>
      <c r="BD890">
        <f t="shared" si="647"/>
        <v>0</v>
      </c>
      <c r="BE890">
        <f t="shared" si="630"/>
        <v>24</v>
      </c>
      <c r="BF890">
        <f t="shared" si="656"/>
        <v>5000</v>
      </c>
      <c r="BU890"/>
      <c r="DW890" s="89"/>
      <c r="DX890" s="89"/>
      <c r="FD890"/>
      <c r="FE890"/>
    </row>
    <row r="891" spans="1:161" x14ac:dyDescent="0.25">
      <c r="A891" s="7">
        <f t="shared" si="648"/>
        <v>70219</v>
      </c>
      <c r="B891">
        <f t="shared" si="631"/>
        <v>880</v>
      </c>
      <c r="C891">
        <f t="shared" si="657"/>
        <v>73.25</v>
      </c>
      <c r="D891">
        <f t="shared" si="658"/>
        <v>0</v>
      </c>
      <c r="E891">
        <f t="shared" si="632"/>
        <v>125</v>
      </c>
      <c r="F891">
        <f>IF(C891&gt;=$T$2,0,VLOOKUP($E891,EKM_F05!$A$3:$C$128,2,TRUE))</f>
        <v>0</v>
      </c>
      <c r="G891">
        <f>F891*'Real assumptions'!$B$3</f>
        <v>0</v>
      </c>
      <c r="H891">
        <f t="shared" si="659"/>
        <v>0</v>
      </c>
      <c r="I891">
        <f t="shared" si="660"/>
        <v>0</v>
      </c>
      <c r="J891">
        <f>IF(B891&gt;$AJ$2,0,HLOOKUP(C891,'Real assumptions'!$B$5:$L$8,4,TRUE))</f>
        <v>3.7900000000000003E-2</v>
      </c>
      <c r="K891">
        <f t="shared" si="621"/>
        <v>1</v>
      </c>
      <c r="L891">
        <f t="shared" si="649"/>
        <v>8.3333333333333329E-2</v>
      </c>
      <c r="M891">
        <f t="shared" si="661"/>
        <v>3.2145624959929453E-3</v>
      </c>
      <c r="N891">
        <f t="shared" si="662"/>
        <v>6.3941323683058721E-8</v>
      </c>
      <c r="O891" s="8">
        <f t="shared" si="633"/>
        <v>1.9827202109603313E-5</v>
      </c>
      <c r="P891">
        <f t="shared" si="634"/>
        <v>4.7738744239887298E-4</v>
      </c>
      <c r="Q891">
        <f t="shared" si="650"/>
        <v>0</v>
      </c>
      <c r="R891" s="89">
        <f t="shared" si="622"/>
        <v>5000</v>
      </c>
      <c r="S891">
        <f t="shared" si="623"/>
        <v>0.6666666666666714</v>
      </c>
      <c r="U891">
        <f>O890*AV890*'Real assumptions'!$B$33/12+AX891*'Real assumptions'!$B$34</f>
        <v>5.1324094226483504E-4</v>
      </c>
      <c r="V891">
        <f>IF(P891=0,0,IF(E891&lt;=$C$7,$AN$5*O890,0))*'Real assumptions'!$D$28</f>
        <v>0</v>
      </c>
      <c r="X891" s="94">
        <f t="shared" si="635"/>
        <v>0</v>
      </c>
      <c r="Y891">
        <f t="shared" si="624"/>
        <v>24</v>
      </c>
      <c r="Z891">
        <f t="shared" si="651"/>
        <v>25</v>
      </c>
      <c r="AA891">
        <f t="shared" si="625"/>
        <v>25.666666666666671</v>
      </c>
      <c r="AB891">
        <f t="shared" si="636"/>
        <v>50.505050505050505</v>
      </c>
      <c r="AC891">
        <f t="shared" si="663"/>
        <v>1296.2962962962965</v>
      </c>
      <c r="AD891">
        <f t="shared" si="637"/>
        <v>80.505050505050505</v>
      </c>
      <c r="AE891">
        <f t="shared" si="638"/>
        <v>103.31481481481482</v>
      </c>
      <c r="AF891" s="94">
        <f t="shared" si="639"/>
        <v>3600.3888888888887</v>
      </c>
      <c r="AG891">
        <f t="shared" si="652"/>
        <v>2.3021363132933256E-4</v>
      </c>
      <c r="AH891">
        <f t="shared" si="640"/>
        <v>7.1385638173170105E-2</v>
      </c>
      <c r="AI891">
        <f>HLOOKUP(AW891,'Real assumptions'!$A$21:$AK$24,2,TRUE)</f>
        <v>0</v>
      </c>
      <c r="AJ891" s="123">
        <f t="shared" si="664"/>
        <v>0</v>
      </c>
      <c r="AK891" s="122">
        <f>(1+HLOOKUP(YEAR(A891),'Real assumptions'!$A$21:$AK$24,2,TRUE)/100)^(1/12)-1</f>
        <v>0</v>
      </c>
      <c r="AL891">
        <f t="shared" si="653"/>
        <v>5.1324094226483504E-4</v>
      </c>
      <c r="AM891">
        <f>('Real assumptions'!$B$33/12)*O890*AV890</f>
        <v>4.9362397935369872E-4</v>
      </c>
      <c r="AN891">
        <f t="shared" si="641"/>
        <v>7.1489609131380458E-2</v>
      </c>
      <c r="AO891">
        <f t="shared" si="665"/>
        <v>0</v>
      </c>
      <c r="AP891" s="121">
        <f t="shared" si="642"/>
        <v>0</v>
      </c>
      <c r="AQ891">
        <f t="shared" si="643"/>
        <v>0</v>
      </c>
      <c r="AR891">
        <v>0</v>
      </c>
      <c r="AS891">
        <f t="shared" si="626"/>
        <v>0</v>
      </c>
      <c r="AT891">
        <f t="shared" si="644"/>
        <v>0</v>
      </c>
      <c r="AU891">
        <f>IFERROR(HLOOKUP(B891,'Real assumptions'!$B$43:$AL$44,2,TRUE)*($W$3/$U$2),0)</f>
        <v>0</v>
      </c>
      <c r="AV891">
        <f>AV890*(1+'Real assumptions'!$B$35)^(1/12)</f>
        <v>2.4841973015798313</v>
      </c>
      <c r="AW891">
        <f t="shared" si="627"/>
        <v>2092</v>
      </c>
      <c r="AX891">
        <f t="shared" si="654"/>
        <v>7.1609179564888187E-2</v>
      </c>
      <c r="AY891">
        <f t="shared" si="655"/>
        <v>8.3716933641777655E-5</v>
      </c>
      <c r="AZ891">
        <f t="shared" si="628"/>
        <v>7.4379534358667745E-2</v>
      </c>
      <c r="BA891">
        <f t="shared" si="645"/>
        <v>2.3021363132933256E-4</v>
      </c>
      <c r="BB891">
        <f t="shared" si="646"/>
        <v>25.666666666666671</v>
      </c>
      <c r="BC891">
        <f t="shared" si="629"/>
        <v>15.400000000000002</v>
      </c>
      <c r="BD891">
        <f t="shared" si="647"/>
        <v>0</v>
      </c>
      <c r="BE891">
        <f t="shared" si="630"/>
        <v>24</v>
      </c>
      <c r="BF891">
        <f t="shared" si="656"/>
        <v>5000</v>
      </c>
      <c r="BU891"/>
      <c r="DW891" s="89"/>
      <c r="DX891" s="89"/>
      <c r="FD891"/>
      <c r="FE891"/>
    </row>
    <row r="892" spans="1:161" x14ac:dyDescent="0.25">
      <c r="A892" s="7">
        <f t="shared" si="648"/>
        <v>70249</v>
      </c>
      <c r="B892">
        <f t="shared" si="631"/>
        <v>881</v>
      </c>
      <c r="C892">
        <f t="shared" si="657"/>
        <v>73.333333333333329</v>
      </c>
      <c r="D892">
        <f t="shared" si="658"/>
        <v>0</v>
      </c>
      <c r="E892">
        <f t="shared" si="632"/>
        <v>125</v>
      </c>
      <c r="F892">
        <f>IF(C892&gt;=$T$2,0,VLOOKUP($E892,EKM_F05!$A$3:$C$128,2,TRUE))</f>
        <v>0</v>
      </c>
      <c r="G892">
        <f>F892*'Real assumptions'!$B$3</f>
        <v>0</v>
      </c>
      <c r="H892">
        <f t="shared" si="659"/>
        <v>0</v>
      </c>
      <c r="I892">
        <f t="shared" si="660"/>
        <v>0</v>
      </c>
      <c r="J892">
        <f>IF(B892&gt;$AJ$2,0,HLOOKUP(C892,'Real assumptions'!$B$5:$L$8,4,TRUE))</f>
        <v>3.7900000000000003E-2</v>
      </c>
      <c r="K892">
        <f t="shared" si="621"/>
        <v>1</v>
      </c>
      <c r="L892">
        <f t="shared" si="649"/>
        <v>8.3333333333333329E-2</v>
      </c>
      <c r="M892">
        <f t="shared" si="661"/>
        <v>3.2145624959929453E-3</v>
      </c>
      <c r="N892">
        <f t="shared" si="662"/>
        <v>6.3735780302003011E-8</v>
      </c>
      <c r="O892" s="8">
        <f t="shared" si="633"/>
        <v>1.9763466329301309E-5</v>
      </c>
      <c r="P892">
        <f t="shared" si="634"/>
        <v>4.7585285063047949E-4</v>
      </c>
      <c r="Q892">
        <f t="shared" si="650"/>
        <v>0</v>
      </c>
      <c r="R892" s="89">
        <f t="shared" si="622"/>
        <v>5000</v>
      </c>
      <c r="S892">
        <f t="shared" si="623"/>
        <v>0.5833333333333286</v>
      </c>
      <c r="U892">
        <f>O891*AV891*'Real assumptions'!$B$33/12+AX892*'Real assumptions'!$B$34</f>
        <v>5.1212540479023431E-4</v>
      </c>
      <c r="V892">
        <f>IF(P892=0,0,IF(E892&lt;=$C$7,$AN$5*O891,0))*'Real assumptions'!$D$28</f>
        <v>0</v>
      </c>
      <c r="X892" s="94">
        <f t="shared" si="635"/>
        <v>0</v>
      </c>
      <c r="Y892">
        <f t="shared" si="624"/>
        <v>24</v>
      </c>
      <c r="Z892">
        <f t="shared" si="651"/>
        <v>25</v>
      </c>
      <c r="AA892">
        <f t="shared" si="625"/>
        <v>25.583333333333329</v>
      </c>
      <c r="AB892">
        <f t="shared" si="636"/>
        <v>50.505050505050505</v>
      </c>
      <c r="AC892">
        <f t="shared" si="663"/>
        <v>1292.0875420875418</v>
      </c>
      <c r="AD892">
        <f t="shared" si="637"/>
        <v>80.505050505050505</v>
      </c>
      <c r="AE892">
        <f t="shared" si="638"/>
        <v>102.97937710437708</v>
      </c>
      <c r="AF892" s="94">
        <f t="shared" si="639"/>
        <v>3604.9330808080813</v>
      </c>
      <c r="AG892">
        <f t="shared" si="652"/>
        <v>2.2976322284180674E-4</v>
      </c>
      <c r="AH892">
        <f t="shared" si="640"/>
        <v>7.1245973561934947E-2</v>
      </c>
      <c r="AI892">
        <f>HLOOKUP(AW892,'Real assumptions'!$A$21:$AK$24,2,TRUE)</f>
        <v>0</v>
      </c>
      <c r="AJ892" s="123">
        <f t="shared" si="664"/>
        <v>0</v>
      </c>
      <c r="AK892" s="122">
        <f>(1+HLOOKUP(YEAR(A892),'Real assumptions'!$A$21:$AK$24,2,TRUE)/100)^(1/12)-1</f>
        <v>0</v>
      </c>
      <c r="AL892">
        <f t="shared" si="653"/>
        <v>5.1212540479023431E-4</v>
      </c>
      <c r="AM892">
        <f>('Real assumptions'!$B$33/12)*O891*AV891</f>
        <v>4.9254681978554496E-4</v>
      </c>
      <c r="AN892">
        <f t="shared" si="641"/>
        <v>7.1349365619010355E-2</v>
      </c>
      <c r="AO892">
        <f t="shared" si="665"/>
        <v>0</v>
      </c>
      <c r="AP892" s="121">
        <f t="shared" si="642"/>
        <v>0</v>
      </c>
      <c r="AQ892">
        <f t="shared" si="643"/>
        <v>0</v>
      </c>
      <c r="AR892">
        <v>0</v>
      </c>
      <c r="AS892">
        <f t="shared" si="626"/>
        <v>0</v>
      </c>
      <c r="AT892">
        <f t="shared" si="644"/>
        <v>0</v>
      </c>
      <c r="AU892">
        <f>IFERROR(HLOOKUP(B892,'Real assumptions'!$B$43:$AL$44,2,TRUE)*($W$3/$U$2),0)</f>
        <v>0</v>
      </c>
      <c r="AV892">
        <f>AV891*(1+'Real assumptions'!$B$35)^(1/12)</f>
        <v>2.4867702990346672</v>
      </c>
      <c r="AW892">
        <f t="shared" si="627"/>
        <v>2092</v>
      </c>
      <c r="AX892">
        <f t="shared" si="654"/>
        <v>7.1469085993496717E-2</v>
      </c>
      <c r="AY892">
        <f t="shared" si="655"/>
        <v>8.3447820326613267E-5</v>
      </c>
      <c r="AZ892">
        <f t="shared" si="628"/>
        <v>7.4113498581666187E-2</v>
      </c>
      <c r="BA892">
        <f t="shared" si="645"/>
        <v>2.2976322284180674E-4</v>
      </c>
      <c r="BB892">
        <f t="shared" si="646"/>
        <v>25.583333333333329</v>
      </c>
      <c r="BC892">
        <f t="shared" si="629"/>
        <v>15.349999999999996</v>
      </c>
      <c r="BD892">
        <f t="shared" si="647"/>
        <v>0</v>
      </c>
      <c r="BE892">
        <f t="shared" si="630"/>
        <v>24</v>
      </c>
      <c r="BF892">
        <f t="shared" si="656"/>
        <v>5000</v>
      </c>
      <c r="BU892"/>
      <c r="DW892" s="89"/>
      <c r="DX892" s="89"/>
      <c r="FD892"/>
      <c r="FE892"/>
    </row>
    <row r="893" spans="1:161" x14ac:dyDescent="0.25">
      <c r="A893" s="7">
        <f t="shared" si="648"/>
        <v>70280</v>
      </c>
      <c r="B893">
        <f t="shared" si="631"/>
        <v>882</v>
      </c>
      <c r="C893">
        <f t="shared" si="657"/>
        <v>73.416666666666671</v>
      </c>
      <c r="D893">
        <f t="shared" si="658"/>
        <v>0</v>
      </c>
      <c r="E893">
        <f t="shared" si="632"/>
        <v>125</v>
      </c>
      <c r="F893">
        <f>IF(C893&gt;=$T$2,0,VLOOKUP($E893,EKM_F05!$A$3:$C$128,2,TRUE))</f>
        <v>0</v>
      </c>
      <c r="G893">
        <f>F893*'Real assumptions'!$B$3</f>
        <v>0</v>
      </c>
      <c r="H893">
        <f t="shared" si="659"/>
        <v>0</v>
      </c>
      <c r="I893">
        <f t="shared" si="660"/>
        <v>0</v>
      </c>
      <c r="J893">
        <f>IF(B893&gt;$AJ$2,0,HLOOKUP(C893,'Real assumptions'!$B$5:$L$8,4,TRUE))</f>
        <v>3.7900000000000003E-2</v>
      </c>
      <c r="K893">
        <f t="shared" si="621"/>
        <v>1</v>
      </c>
      <c r="L893">
        <f t="shared" si="649"/>
        <v>8.3333333333333329E-2</v>
      </c>
      <c r="M893">
        <f t="shared" si="661"/>
        <v>3.2145624959929453E-3</v>
      </c>
      <c r="N893">
        <f t="shared" si="662"/>
        <v>6.3530897652991343E-8</v>
      </c>
      <c r="O893" s="8">
        <f t="shared" si="633"/>
        <v>1.9699935431648319E-5</v>
      </c>
      <c r="P893">
        <f t="shared" si="634"/>
        <v>4.7432319190323139E-4</v>
      </c>
      <c r="Q893">
        <f t="shared" si="650"/>
        <v>0</v>
      </c>
      <c r="R893" s="89">
        <f t="shared" si="622"/>
        <v>5000</v>
      </c>
      <c r="S893">
        <f t="shared" si="623"/>
        <v>0.5</v>
      </c>
      <c r="U893">
        <f>O892*AV892*'Real assumptions'!$B$33/12+AX893*'Real assumptions'!$B$34</f>
        <v>5.1101226186122132E-4</v>
      </c>
      <c r="V893">
        <f>IF(P893=0,0,IF(E893&lt;=$C$7,$AN$5*O892,0))*'Real assumptions'!$D$28</f>
        <v>0</v>
      </c>
      <c r="X893" s="94">
        <f t="shared" si="635"/>
        <v>0</v>
      </c>
      <c r="Y893">
        <f t="shared" si="624"/>
        <v>24</v>
      </c>
      <c r="Z893">
        <f t="shared" si="651"/>
        <v>25</v>
      </c>
      <c r="AA893">
        <f t="shared" si="625"/>
        <v>25.5</v>
      </c>
      <c r="AB893">
        <f t="shared" si="636"/>
        <v>50.505050505050505</v>
      </c>
      <c r="AC893">
        <f t="shared" si="663"/>
        <v>1287.878787878788</v>
      </c>
      <c r="AD893">
        <f t="shared" si="637"/>
        <v>80.505050505050505</v>
      </c>
      <c r="AE893">
        <f t="shared" si="638"/>
        <v>102.64393939393939</v>
      </c>
      <c r="AF893" s="94">
        <f t="shared" si="639"/>
        <v>3609.4772727272725</v>
      </c>
      <c r="AG893">
        <f t="shared" si="652"/>
        <v>2.2931333119443468E-4</v>
      </c>
      <c r="AH893">
        <f t="shared" si="640"/>
        <v>7.1106469214729337E-2</v>
      </c>
      <c r="AI893">
        <f>HLOOKUP(AW893,'Real assumptions'!$A$21:$AK$24,2,TRUE)</f>
        <v>0</v>
      </c>
      <c r="AJ893" s="123">
        <f t="shared" si="664"/>
        <v>0</v>
      </c>
      <c r="AK893" s="122">
        <f>(1+HLOOKUP(YEAR(A893),'Real assumptions'!$A$21:$AK$24,2,TRUE)/100)^(1/12)-1</f>
        <v>0</v>
      </c>
      <c r="AL893">
        <f t="shared" si="653"/>
        <v>5.1101226186122132E-4</v>
      </c>
      <c r="AM893">
        <f>('Real assumptions'!$B$33/12)*O892*AV892</f>
        <v>4.9147201073678197E-4</v>
      </c>
      <c r="AN893">
        <f t="shared" si="641"/>
        <v>7.1209284491976957E-2</v>
      </c>
      <c r="AO893">
        <f t="shared" si="665"/>
        <v>0</v>
      </c>
      <c r="AP893" s="121">
        <f t="shared" si="642"/>
        <v>0</v>
      </c>
      <c r="AQ893">
        <f t="shared" si="643"/>
        <v>0</v>
      </c>
      <c r="AR893">
        <v>0</v>
      </c>
      <c r="AS893">
        <f t="shared" si="626"/>
        <v>0</v>
      </c>
      <c r="AT893">
        <f t="shared" si="644"/>
        <v>0</v>
      </c>
      <c r="AU893">
        <f>IFERROR(HLOOKUP(B893,'Real assumptions'!$B$43:$AL$44,2,TRUE)*($W$3/$U$2),0)</f>
        <v>0</v>
      </c>
      <c r="AV893">
        <f>AV892*(1+'Real assumptions'!$B$35)^(1/12)</f>
        <v>2.4893459614613627</v>
      </c>
      <c r="AW893">
        <f t="shared" si="627"/>
        <v>2092</v>
      </c>
      <c r="AX893">
        <f t="shared" si="654"/>
        <v>7.1329153134027962E-2</v>
      </c>
      <c r="AY893">
        <f t="shared" si="655"/>
        <v>8.3179572093018965E-5</v>
      </c>
      <c r="AZ893">
        <f t="shared" si="628"/>
        <v>7.3847496180513769E-2</v>
      </c>
      <c r="BA893">
        <f t="shared" si="645"/>
        <v>2.2931333119443468E-4</v>
      </c>
      <c r="BB893">
        <f t="shared" si="646"/>
        <v>25.5</v>
      </c>
      <c r="BC893">
        <f t="shared" si="629"/>
        <v>15.299999999999999</v>
      </c>
      <c r="BD893">
        <f t="shared" si="647"/>
        <v>0</v>
      </c>
      <c r="BE893">
        <f t="shared" si="630"/>
        <v>24</v>
      </c>
      <c r="BF893">
        <f t="shared" si="656"/>
        <v>5000</v>
      </c>
      <c r="BU893"/>
      <c r="DW893" s="89"/>
      <c r="DX893" s="89"/>
      <c r="FD893"/>
      <c r="FE893"/>
    </row>
    <row r="894" spans="1:161" x14ac:dyDescent="0.25">
      <c r="A894" s="7">
        <f t="shared" si="648"/>
        <v>70310</v>
      </c>
      <c r="B894">
        <f t="shared" si="631"/>
        <v>883</v>
      </c>
      <c r="C894">
        <f t="shared" si="657"/>
        <v>73.5</v>
      </c>
      <c r="D894">
        <f t="shared" si="658"/>
        <v>0</v>
      </c>
      <c r="E894">
        <f t="shared" si="632"/>
        <v>125</v>
      </c>
      <c r="F894">
        <f>IF(C894&gt;=$T$2,0,VLOOKUP($E894,EKM_F05!$A$3:$C$128,2,TRUE))</f>
        <v>0</v>
      </c>
      <c r="G894">
        <f>F894*'Real assumptions'!$B$3</f>
        <v>0</v>
      </c>
      <c r="H894">
        <f t="shared" si="659"/>
        <v>0</v>
      </c>
      <c r="I894">
        <f t="shared" si="660"/>
        <v>0</v>
      </c>
      <c r="J894">
        <f>IF(B894&gt;$AJ$2,0,HLOOKUP(C894,'Real assumptions'!$B$5:$L$8,4,TRUE))</f>
        <v>3.7900000000000003E-2</v>
      </c>
      <c r="K894">
        <f t="shared" si="621"/>
        <v>1</v>
      </c>
      <c r="L894">
        <f t="shared" si="649"/>
        <v>8.3333333333333329E-2</v>
      </c>
      <c r="M894">
        <f t="shared" si="661"/>
        <v>3.2145624959929453E-3</v>
      </c>
      <c r="N894">
        <f t="shared" si="662"/>
        <v>6.3326673612059285E-8</v>
      </c>
      <c r="O894" s="8">
        <f t="shared" si="633"/>
        <v>1.9636608758036259E-5</v>
      </c>
      <c r="P894">
        <f t="shared" si="634"/>
        <v>4.7279845035955962E-4</v>
      </c>
      <c r="Q894">
        <f t="shared" si="650"/>
        <v>0</v>
      </c>
      <c r="R894" s="89">
        <f t="shared" si="622"/>
        <v>5000</v>
      </c>
      <c r="S894">
        <f t="shared" si="623"/>
        <v>0.4166666666666714</v>
      </c>
      <c r="U894">
        <f>O893*AV893*'Real assumptions'!$B$33/12+AX894*'Real assumptions'!$B$34</f>
        <v>5.0990150846214413E-4</v>
      </c>
      <c r="V894">
        <f>IF(P894=0,0,IF(E894&lt;=$C$7,$AN$5*O893,0))*'Real assumptions'!$D$28</f>
        <v>0</v>
      </c>
      <c r="X894" s="94">
        <f t="shared" si="635"/>
        <v>0</v>
      </c>
      <c r="Y894">
        <f t="shared" si="624"/>
        <v>24</v>
      </c>
      <c r="Z894">
        <f t="shared" si="651"/>
        <v>25</v>
      </c>
      <c r="AA894">
        <f t="shared" si="625"/>
        <v>25.416666666666671</v>
      </c>
      <c r="AB894">
        <f t="shared" si="636"/>
        <v>50.505050505050505</v>
      </c>
      <c r="AC894">
        <f t="shared" si="663"/>
        <v>1283.6700336700339</v>
      </c>
      <c r="AD894">
        <f t="shared" si="637"/>
        <v>80.505050505050505</v>
      </c>
      <c r="AE894">
        <f t="shared" si="638"/>
        <v>102.3085016835017</v>
      </c>
      <c r="AF894" s="94">
        <f t="shared" si="639"/>
        <v>3614.0214646464642</v>
      </c>
      <c r="AG894">
        <f t="shared" si="652"/>
        <v>2.288639577186431E-4</v>
      </c>
      <c r="AH894">
        <f t="shared" si="640"/>
        <v>7.0967125544407789E-2</v>
      </c>
      <c r="AI894">
        <f>HLOOKUP(AW894,'Real assumptions'!$A$21:$AK$24,2,TRUE)</f>
        <v>0</v>
      </c>
      <c r="AJ894" s="123">
        <f t="shared" si="664"/>
        <v>0</v>
      </c>
      <c r="AK894" s="122">
        <f>(1+HLOOKUP(YEAR(A894),'Real assumptions'!$A$21:$AK$24,2,TRUE)/100)^(1/12)-1</f>
        <v>0</v>
      </c>
      <c r="AL894">
        <f t="shared" si="653"/>
        <v>5.0990150846214413E-4</v>
      </c>
      <c r="AM894">
        <f>('Real assumptions'!$B$33/12)*O893*AV893</f>
        <v>4.903995470782335E-4</v>
      </c>
      <c r="AN894">
        <f t="shared" si="641"/>
        <v>7.1069366156626762E-2</v>
      </c>
      <c r="AO894">
        <f t="shared" si="665"/>
        <v>0</v>
      </c>
      <c r="AP894" s="121">
        <f t="shared" si="642"/>
        <v>0</v>
      </c>
      <c r="AQ894">
        <f t="shared" si="643"/>
        <v>0</v>
      </c>
      <c r="AR894">
        <v>0</v>
      </c>
      <c r="AS894">
        <f t="shared" si="626"/>
        <v>0</v>
      </c>
      <c r="AT894">
        <f t="shared" si="644"/>
        <v>0</v>
      </c>
      <c r="AU894">
        <f>IFERROR(HLOOKUP(B894,'Real assumptions'!$B$43:$AL$44,2,TRUE)*($W$3/$U$2),0)</f>
        <v>0</v>
      </c>
      <c r="AV894">
        <f>AV893*(1+'Real assumptions'!$B$35)^(1/12)</f>
        <v>2.4919242916201516</v>
      </c>
      <c r="AW894">
        <f t="shared" si="627"/>
        <v>2092</v>
      </c>
      <c r="AX894">
        <f t="shared" si="654"/>
        <v>7.118938140088947E-2</v>
      </c>
      <c r="AY894">
        <f t="shared" si="655"/>
        <v>8.2912186160136021E-5</v>
      </c>
      <c r="AZ894">
        <f t="shared" si="628"/>
        <v>7.3581529164692558E-2</v>
      </c>
      <c r="BA894">
        <f t="shared" si="645"/>
        <v>2.288639577186431E-4</v>
      </c>
      <c r="BB894">
        <f t="shared" si="646"/>
        <v>25.416666666666671</v>
      </c>
      <c r="BC894">
        <f t="shared" si="629"/>
        <v>15.250000000000002</v>
      </c>
      <c r="BD894">
        <f t="shared" si="647"/>
        <v>0</v>
      </c>
      <c r="BE894">
        <f t="shared" si="630"/>
        <v>24</v>
      </c>
      <c r="BF894">
        <f t="shared" si="656"/>
        <v>5000</v>
      </c>
      <c r="BU894"/>
      <c r="DW894" s="89"/>
      <c r="DX894" s="89"/>
      <c r="FD894"/>
      <c r="FE894"/>
    </row>
    <row r="895" spans="1:161" x14ac:dyDescent="0.25">
      <c r="A895" s="7">
        <f t="shared" si="648"/>
        <v>70341</v>
      </c>
      <c r="B895">
        <f t="shared" si="631"/>
        <v>884</v>
      </c>
      <c r="C895">
        <f t="shared" si="657"/>
        <v>73.583333333333329</v>
      </c>
      <c r="D895">
        <f t="shared" si="658"/>
        <v>0</v>
      </c>
      <c r="E895">
        <f t="shared" si="632"/>
        <v>125</v>
      </c>
      <c r="F895">
        <f>IF(C895&gt;=$T$2,0,VLOOKUP($E895,EKM_F05!$A$3:$C$128,2,TRUE))</f>
        <v>0</v>
      </c>
      <c r="G895">
        <f>F895*'Real assumptions'!$B$3</f>
        <v>0</v>
      </c>
      <c r="H895">
        <f t="shared" si="659"/>
        <v>0</v>
      </c>
      <c r="I895">
        <f t="shared" si="660"/>
        <v>0</v>
      </c>
      <c r="J895">
        <f>IF(B895&gt;$AJ$2,0,HLOOKUP(C895,'Real assumptions'!$B$5:$L$8,4,TRUE))</f>
        <v>3.7900000000000003E-2</v>
      </c>
      <c r="K895">
        <f t="shared" si="621"/>
        <v>1</v>
      </c>
      <c r="L895">
        <f t="shared" si="649"/>
        <v>8.3333333333333329E-2</v>
      </c>
      <c r="M895">
        <f t="shared" si="661"/>
        <v>3.2145624959929453E-3</v>
      </c>
      <c r="N895">
        <f t="shared" si="662"/>
        <v>6.3123106062069968E-8</v>
      </c>
      <c r="O895" s="8">
        <f t="shared" si="633"/>
        <v>1.9573485651974189E-5</v>
      </c>
      <c r="P895">
        <f t="shared" si="634"/>
        <v>4.7127861019287019E-4</v>
      </c>
      <c r="Q895">
        <f t="shared" si="650"/>
        <v>0</v>
      </c>
      <c r="R895" s="89">
        <f t="shared" si="622"/>
        <v>5000</v>
      </c>
      <c r="S895">
        <f t="shared" si="623"/>
        <v>0.3333333333333286</v>
      </c>
      <c r="U895">
        <f>O894*AV894*'Real assumptions'!$B$33/12+AX895*'Real assumptions'!$B$34</f>
        <v>5.0879313958735936E-4</v>
      </c>
      <c r="V895">
        <f>IF(P895=0,0,IF(E895&lt;=$C$7,$AN$5*O894,0))*'Real assumptions'!$D$28</f>
        <v>0</v>
      </c>
      <c r="X895" s="94">
        <f t="shared" si="635"/>
        <v>0</v>
      </c>
      <c r="Y895">
        <f t="shared" si="624"/>
        <v>24</v>
      </c>
      <c r="Z895">
        <f t="shared" si="651"/>
        <v>25</v>
      </c>
      <c r="AA895">
        <f t="shared" si="625"/>
        <v>25.333333333333329</v>
      </c>
      <c r="AB895">
        <f t="shared" si="636"/>
        <v>50.505050505050505</v>
      </c>
      <c r="AC895">
        <f t="shared" si="663"/>
        <v>1279.4612794612792</v>
      </c>
      <c r="AD895">
        <f t="shared" si="637"/>
        <v>80.505050505050505</v>
      </c>
      <c r="AE895">
        <f t="shared" si="638"/>
        <v>101.97306397306394</v>
      </c>
      <c r="AF895" s="94">
        <f t="shared" si="639"/>
        <v>3618.5656565656568</v>
      </c>
      <c r="AG895">
        <f t="shared" si="652"/>
        <v>2.284151037319578E-4</v>
      </c>
      <c r="AH895">
        <f t="shared" si="640"/>
        <v>7.0827942959514445E-2</v>
      </c>
      <c r="AI895">
        <f>HLOOKUP(AW895,'Real assumptions'!$A$21:$AK$24,2,TRUE)</f>
        <v>0</v>
      </c>
      <c r="AJ895" s="123">
        <f t="shared" si="664"/>
        <v>0</v>
      </c>
      <c r="AK895" s="122">
        <f>(1+HLOOKUP(YEAR(A895),'Real assumptions'!$A$21:$AK$24,2,TRUE)/100)^(1/12)-1</f>
        <v>0</v>
      </c>
      <c r="AL895">
        <f t="shared" si="653"/>
        <v>5.0879313958735936E-4</v>
      </c>
      <c r="AM895">
        <f>('Real assumptions'!$B$33/12)*O894*AV894</f>
        <v>4.8932942369191569E-4</v>
      </c>
      <c r="AN895">
        <f t="shared" si="641"/>
        <v>7.09296110150133E-2</v>
      </c>
      <c r="AO895">
        <f t="shared" si="665"/>
        <v>0</v>
      </c>
      <c r="AP895" s="121">
        <f t="shared" si="642"/>
        <v>0</v>
      </c>
      <c r="AQ895">
        <f t="shared" si="643"/>
        <v>0</v>
      </c>
      <c r="AR895">
        <v>0</v>
      </c>
      <c r="AS895">
        <f t="shared" si="626"/>
        <v>0</v>
      </c>
      <c r="AT895">
        <f t="shared" si="644"/>
        <v>0</v>
      </c>
      <c r="AU895">
        <f>IFERROR(HLOOKUP(B895,'Real assumptions'!$B$43:$AL$44,2,TRUE)*($W$3/$U$2),0)</f>
        <v>0</v>
      </c>
      <c r="AV895">
        <f>AV894*(1+'Real assumptions'!$B$35)^(1/12)</f>
        <v>2.4945052922741273</v>
      </c>
      <c r="AW895">
        <f t="shared" si="627"/>
        <v>2092</v>
      </c>
      <c r="AX895">
        <f t="shared" si="654"/>
        <v>7.1049771204163836E-2</v>
      </c>
      <c r="AY895">
        <f t="shared" si="655"/>
        <v>8.264565975604486E-5</v>
      </c>
      <c r="AZ895">
        <f t="shared" si="628"/>
        <v>7.3315599531566106E-2</v>
      </c>
      <c r="BA895">
        <f t="shared" si="645"/>
        <v>2.284151037319578E-4</v>
      </c>
      <c r="BB895">
        <f t="shared" si="646"/>
        <v>25.333333333333329</v>
      </c>
      <c r="BC895">
        <f t="shared" si="629"/>
        <v>15.199999999999996</v>
      </c>
      <c r="BD895">
        <f t="shared" si="647"/>
        <v>0</v>
      </c>
      <c r="BE895">
        <f t="shared" si="630"/>
        <v>24</v>
      </c>
      <c r="BF895">
        <f t="shared" si="656"/>
        <v>5000</v>
      </c>
      <c r="BU895"/>
      <c r="DW895" s="89"/>
      <c r="DX895" s="89"/>
      <c r="FD895"/>
      <c r="FE895"/>
    </row>
    <row r="896" spans="1:161" x14ac:dyDescent="0.25">
      <c r="A896" s="7">
        <f t="shared" si="648"/>
        <v>70372</v>
      </c>
      <c r="B896">
        <f t="shared" si="631"/>
        <v>885</v>
      </c>
      <c r="C896">
        <f t="shared" si="657"/>
        <v>73.666666666666671</v>
      </c>
      <c r="D896">
        <f t="shared" si="658"/>
        <v>0</v>
      </c>
      <c r="E896">
        <f t="shared" si="632"/>
        <v>125</v>
      </c>
      <c r="F896">
        <f>IF(C896&gt;=$T$2,0,VLOOKUP($E896,EKM_F05!$A$3:$C$128,2,TRUE))</f>
        <v>0</v>
      </c>
      <c r="G896">
        <f>F896*'Real assumptions'!$B$3</f>
        <v>0</v>
      </c>
      <c r="H896">
        <f t="shared" si="659"/>
        <v>0</v>
      </c>
      <c r="I896">
        <f t="shared" si="660"/>
        <v>0</v>
      </c>
      <c r="J896">
        <f>IF(B896&gt;$AJ$2,0,HLOOKUP(C896,'Real assumptions'!$B$5:$L$8,4,TRUE))</f>
        <v>3.7900000000000003E-2</v>
      </c>
      <c r="K896">
        <f t="shared" si="621"/>
        <v>1</v>
      </c>
      <c r="L896">
        <f t="shared" si="649"/>
        <v>8.3333333333333329E-2</v>
      </c>
      <c r="M896">
        <f t="shared" si="661"/>
        <v>3.2145624959929453E-3</v>
      </c>
      <c r="N896">
        <f t="shared" si="662"/>
        <v>6.292019289269225E-8</v>
      </c>
      <c r="O896" s="8">
        <f t="shared" si="633"/>
        <v>1.9510565459081497E-5</v>
      </c>
      <c r="P896">
        <f t="shared" si="634"/>
        <v>4.6976365564738057E-4</v>
      </c>
      <c r="Q896">
        <f t="shared" si="650"/>
        <v>0</v>
      </c>
      <c r="R896" s="89">
        <f t="shared" si="622"/>
        <v>5000</v>
      </c>
      <c r="S896">
        <f t="shared" si="623"/>
        <v>0.25</v>
      </c>
      <c r="U896">
        <f>O895*AV895*'Real assumptions'!$B$33/12+AX896*'Real assumptions'!$B$34</f>
        <v>5.0768715024121296E-4</v>
      </c>
      <c r="V896">
        <f>IF(P896=0,0,IF(E896&lt;=$C$7,$AN$5*O895,0))*'Real assumptions'!$D$28</f>
        <v>0</v>
      </c>
      <c r="X896" s="94">
        <f t="shared" si="635"/>
        <v>0</v>
      </c>
      <c r="Y896">
        <f t="shared" si="624"/>
        <v>24</v>
      </c>
      <c r="Z896">
        <f t="shared" si="651"/>
        <v>25</v>
      </c>
      <c r="AA896">
        <f t="shared" si="625"/>
        <v>25.25</v>
      </c>
      <c r="AB896">
        <f t="shared" si="636"/>
        <v>50.505050505050505</v>
      </c>
      <c r="AC896">
        <f t="shared" si="663"/>
        <v>1275.2525252525252</v>
      </c>
      <c r="AD896">
        <f t="shared" si="637"/>
        <v>80.505050505050505</v>
      </c>
      <c r="AE896">
        <f t="shared" si="638"/>
        <v>101.63762626262626</v>
      </c>
      <c r="AF896" s="94">
        <f t="shared" si="639"/>
        <v>3623.1098484848485</v>
      </c>
      <c r="AG896">
        <f t="shared" si="652"/>
        <v>2.2796677053807965E-4</v>
      </c>
      <c r="AH896">
        <f t="shared" si="640"/>
        <v>7.0688921864306475E-2</v>
      </c>
      <c r="AI896">
        <f>HLOOKUP(AW896,'Real assumptions'!$A$21:$AK$24,2,TRUE)</f>
        <v>0</v>
      </c>
      <c r="AJ896" s="123">
        <f t="shared" si="664"/>
        <v>0</v>
      </c>
      <c r="AK896" s="122">
        <f>(1+HLOOKUP(YEAR(A896),'Real assumptions'!$A$21:$AK$24,2,TRUE)/100)^(1/12)-1</f>
        <v>0</v>
      </c>
      <c r="AL896">
        <f t="shared" si="653"/>
        <v>5.0768715024121296E-4</v>
      </c>
      <c r="AM896">
        <f>('Real assumptions'!$B$33/12)*O895*AV895</f>
        <v>4.8826163547101308E-4</v>
      </c>
      <c r="AN896">
        <f t="shared" si="641"/>
        <v>7.0790019464920612E-2</v>
      </c>
      <c r="AO896">
        <f t="shared" si="665"/>
        <v>0</v>
      </c>
      <c r="AP896" s="121">
        <f t="shared" si="642"/>
        <v>0</v>
      </c>
      <c r="AQ896">
        <f t="shared" si="643"/>
        <v>0</v>
      </c>
      <c r="AR896">
        <v>0</v>
      </c>
      <c r="AS896">
        <f t="shared" si="626"/>
        <v>0</v>
      </c>
      <c r="AT896">
        <f t="shared" si="644"/>
        <v>0</v>
      </c>
      <c r="AU896">
        <f>IFERROR(HLOOKUP(B896,'Real assumptions'!$B$43:$AL$44,2,TRUE)*($W$3/$U$2),0)</f>
        <v>0</v>
      </c>
      <c r="AV896">
        <f>AV895*(1+'Real assumptions'!$B$35)^(1/12)</f>
        <v>2.4970889661892444</v>
      </c>
      <c r="AW896">
        <f t="shared" si="627"/>
        <v>2092</v>
      </c>
      <c r="AX896">
        <f t="shared" si="654"/>
        <v>7.0910322949632176E-2</v>
      </c>
      <c r="AY896">
        <f t="shared" si="655"/>
        <v>8.2379990117736475E-5</v>
      </c>
      <c r="AZ896">
        <f t="shared" si="628"/>
        <v>7.3049709266434198E-2</v>
      </c>
      <c r="BA896">
        <f t="shared" si="645"/>
        <v>2.2796677053807965E-4</v>
      </c>
      <c r="BB896">
        <f t="shared" si="646"/>
        <v>25.25</v>
      </c>
      <c r="BC896">
        <f t="shared" si="629"/>
        <v>15.149999999999999</v>
      </c>
      <c r="BD896">
        <f t="shared" si="647"/>
        <v>0</v>
      </c>
      <c r="BE896">
        <f t="shared" si="630"/>
        <v>24</v>
      </c>
      <c r="BF896">
        <f t="shared" si="656"/>
        <v>5000</v>
      </c>
      <c r="BU896"/>
      <c r="DW896" s="89"/>
      <c r="DX896" s="89"/>
      <c r="FD896"/>
      <c r="FE896"/>
    </row>
    <row r="897" spans="1:161" x14ac:dyDescent="0.25">
      <c r="A897" s="7">
        <f t="shared" si="648"/>
        <v>70402</v>
      </c>
      <c r="B897">
        <f t="shared" si="631"/>
        <v>886</v>
      </c>
      <c r="C897">
        <f t="shared" si="657"/>
        <v>73.75</v>
      </c>
      <c r="D897">
        <f t="shared" si="658"/>
        <v>0</v>
      </c>
      <c r="E897">
        <f t="shared" si="632"/>
        <v>125</v>
      </c>
      <c r="F897">
        <f>IF(C897&gt;=$T$2,0,VLOOKUP($E897,EKM_F05!$A$3:$C$128,2,TRUE))</f>
        <v>0</v>
      </c>
      <c r="G897">
        <f>F897*'Real assumptions'!$B$3</f>
        <v>0</v>
      </c>
      <c r="H897">
        <f t="shared" si="659"/>
        <v>0</v>
      </c>
      <c r="I897">
        <f t="shared" si="660"/>
        <v>0</v>
      </c>
      <c r="J897">
        <f>IF(B897&gt;$AJ$2,0,HLOOKUP(C897,'Real assumptions'!$B$5:$L$8,4,TRUE))</f>
        <v>3.7900000000000003E-2</v>
      </c>
      <c r="K897">
        <f t="shared" si="621"/>
        <v>1</v>
      </c>
      <c r="L897">
        <f t="shared" si="649"/>
        <v>8.3333333333333329E-2</v>
      </c>
      <c r="M897">
        <f t="shared" si="661"/>
        <v>3.2145624959929453E-3</v>
      </c>
      <c r="N897">
        <f t="shared" si="662"/>
        <v>6.2717932000378767E-8</v>
      </c>
      <c r="O897" s="8">
        <f t="shared" si="633"/>
        <v>1.9447847527081117E-5</v>
      </c>
      <c r="P897">
        <f t="shared" si="634"/>
        <v>4.6825357101795592E-4</v>
      </c>
      <c r="Q897">
        <f t="shared" si="650"/>
        <v>0</v>
      </c>
      <c r="R897" s="89">
        <f t="shared" si="622"/>
        <v>5000</v>
      </c>
      <c r="S897">
        <f t="shared" si="623"/>
        <v>0.1666666666666714</v>
      </c>
      <c r="U897">
        <f>O896*AV896*'Real assumptions'!$B$33/12+AX897*'Real assumptions'!$B$34</f>
        <v>5.0658353543802271E-4</v>
      </c>
      <c r="V897">
        <f>IF(P897=0,0,IF(E897&lt;=$C$7,$AN$5*O896,0))*'Real assumptions'!$D$28</f>
        <v>0</v>
      </c>
      <c r="X897" s="94">
        <f t="shared" si="635"/>
        <v>0</v>
      </c>
      <c r="Y897">
        <f t="shared" si="624"/>
        <v>24</v>
      </c>
      <c r="Z897">
        <f t="shared" si="651"/>
        <v>25</v>
      </c>
      <c r="AA897">
        <f t="shared" si="625"/>
        <v>25.166666666666671</v>
      </c>
      <c r="AB897">
        <f t="shared" si="636"/>
        <v>50.505050505050505</v>
      </c>
      <c r="AC897">
        <f t="shared" si="663"/>
        <v>1271.0437710437714</v>
      </c>
      <c r="AD897">
        <f t="shared" si="637"/>
        <v>80.505050505050505</v>
      </c>
      <c r="AE897">
        <f t="shared" si="638"/>
        <v>101.30218855218857</v>
      </c>
      <c r="AF897" s="94">
        <f t="shared" si="639"/>
        <v>3627.6540404040402</v>
      </c>
      <c r="AG897">
        <f t="shared" si="652"/>
        <v>2.2751895942695988E-4</v>
      </c>
      <c r="AH897">
        <f t="shared" si="640"/>
        <v>7.0550062658777543E-2</v>
      </c>
      <c r="AI897">
        <f>HLOOKUP(AW897,'Real assumptions'!$A$21:$AK$24,2,TRUE)</f>
        <v>0</v>
      </c>
      <c r="AJ897" s="123">
        <f t="shared" si="664"/>
        <v>0</v>
      </c>
      <c r="AK897" s="122">
        <f>(1+HLOOKUP(YEAR(A897),'Real assumptions'!$A$21:$AK$24,2,TRUE)/100)^(1/12)-1</f>
        <v>0</v>
      </c>
      <c r="AL897">
        <f t="shared" si="653"/>
        <v>5.0658353543802271E-4</v>
      </c>
      <c r="AM897">
        <f>('Real assumptions'!$B$33/12)*O896*AV896</f>
        <v>4.8719617731985397E-4</v>
      </c>
      <c r="AN897">
        <f t="shared" si="641"/>
        <v>7.0650591899886414E-2</v>
      </c>
      <c r="AO897">
        <f t="shared" si="665"/>
        <v>0</v>
      </c>
      <c r="AP897" s="121">
        <f t="shared" si="642"/>
        <v>0</v>
      </c>
      <c r="AQ897">
        <f t="shared" si="643"/>
        <v>0</v>
      </c>
      <c r="AR897">
        <v>0</v>
      </c>
      <c r="AS897">
        <f t="shared" si="626"/>
        <v>0</v>
      </c>
      <c r="AT897">
        <f t="shared" si="644"/>
        <v>0</v>
      </c>
      <c r="AU897">
        <f>IFERROR(HLOOKUP(B897,'Real assumptions'!$B$43:$AL$44,2,TRUE)*($W$3/$U$2),0)</f>
        <v>0</v>
      </c>
      <c r="AV897">
        <f>AV896*(1+'Real assumptions'!$B$35)^(1/12)</f>
        <v>2.4996753161343221</v>
      </c>
      <c r="AW897">
        <f t="shared" si="627"/>
        <v>2092</v>
      </c>
      <c r="AX897">
        <f t="shared" si="654"/>
        <v>7.0771037038797557E-2</v>
      </c>
      <c r="AY897">
        <f t="shared" si="655"/>
        <v>8.2115174491083728E-5</v>
      </c>
      <c r="AZ897">
        <f t="shared" si="628"/>
        <v>7.2783860342587173E-2</v>
      </c>
      <c r="BA897">
        <f t="shared" si="645"/>
        <v>2.2751895942695988E-4</v>
      </c>
      <c r="BB897">
        <f t="shared" si="646"/>
        <v>25.166666666666671</v>
      </c>
      <c r="BC897">
        <f t="shared" si="629"/>
        <v>15.100000000000001</v>
      </c>
      <c r="BD897">
        <f t="shared" si="647"/>
        <v>0</v>
      </c>
      <c r="BE897">
        <f t="shared" si="630"/>
        <v>24</v>
      </c>
      <c r="BF897">
        <f t="shared" si="656"/>
        <v>5000</v>
      </c>
      <c r="BU897"/>
      <c r="DW897" s="89"/>
      <c r="DX897" s="89"/>
      <c r="FD897"/>
      <c r="FE897"/>
    </row>
    <row r="898" spans="1:161" x14ac:dyDescent="0.25">
      <c r="A898" s="7">
        <f t="shared" si="648"/>
        <v>70433</v>
      </c>
      <c r="B898">
        <f t="shared" si="631"/>
        <v>887</v>
      </c>
      <c r="C898">
        <f t="shared" si="657"/>
        <v>73.833333333333329</v>
      </c>
      <c r="D898">
        <f t="shared" si="658"/>
        <v>0</v>
      </c>
      <c r="E898">
        <f t="shared" si="632"/>
        <v>125</v>
      </c>
      <c r="F898">
        <f>IF(C898&gt;=$T$2,0,VLOOKUP($E898,EKM_F05!$A$3:$C$128,2,TRUE))</f>
        <v>0</v>
      </c>
      <c r="G898">
        <f>F898*'Real assumptions'!$B$3</f>
        <v>0</v>
      </c>
      <c r="H898">
        <f t="shared" si="659"/>
        <v>0</v>
      </c>
      <c r="I898">
        <f t="shared" si="660"/>
        <v>0</v>
      </c>
      <c r="J898">
        <f>IF(B898&gt;$AJ$2,0,HLOOKUP(C898,'Real assumptions'!$B$5:$L$8,4,TRUE))</f>
        <v>3.7900000000000003E-2</v>
      </c>
      <c r="K898">
        <f t="shared" si="621"/>
        <v>1</v>
      </c>
      <c r="L898">
        <f t="shared" si="649"/>
        <v>8.3333333333333329E-2</v>
      </c>
      <c r="M898">
        <f t="shared" si="661"/>
        <v>3.2145624959929453E-3</v>
      </c>
      <c r="N898">
        <f t="shared" si="662"/>
        <v>6.2516321288344112E-8</v>
      </c>
      <c r="O898" s="8">
        <f t="shared" si="633"/>
        <v>1.9385331205792774E-5</v>
      </c>
      <c r="P898">
        <f t="shared" si="634"/>
        <v>4.6674834064994685E-4</v>
      </c>
      <c r="Q898">
        <f t="shared" si="650"/>
        <v>0</v>
      </c>
      <c r="R898" s="89">
        <f t="shared" si="622"/>
        <v>5000</v>
      </c>
      <c r="S898">
        <f t="shared" si="623"/>
        <v>8.3333333333328596E-2</v>
      </c>
      <c r="U898">
        <f>O897*AV897*'Real assumptions'!$B$33/12+AX898*'Real assumptions'!$B$34</f>
        <v>5.0548229020206054E-4</v>
      </c>
      <c r="V898">
        <f>IF(P898=0,0,IF(E898&lt;=$C$7,$AN$5*O897,0))*'Real assumptions'!$D$28</f>
        <v>0</v>
      </c>
      <c r="X898" s="94">
        <f t="shared" si="635"/>
        <v>0</v>
      </c>
      <c r="Y898">
        <f t="shared" si="624"/>
        <v>24</v>
      </c>
      <c r="Z898">
        <f t="shared" si="651"/>
        <v>25</v>
      </c>
      <c r="AA898">
        <f t="shared" si="625"/>
        <v>25.083333333333329</v>
      </c>
      <c r="AB898">
        <f t="shared" si="636"/>
        <v>50.505050505050505</v>
      </c>
      <c r="AC898">
        <f t="shared" si="663"/>
        <v>1266.8350168350166</v>
      </c>
      <c r="AD898">
        <f t="shared" si="637"/>
        <v>80.505050505050505</v>
      </c>
      <c r="AE898">
        <f t="shared" si="638"/>
        <v>100.96675084175082</v>
      </c>
      <c r="AF898" s="94">
        <f t="shared" si="639"/>
        <v>3632.1982323232323</v>
      </c>
      <c r="AG898">
        <f t="shared" si="652"/>
        <v>2.2707167167487473E-4</v>
      </c>
      <c r="AH898">
        <f t="shared" si="640"/>
        <v>7.0411365738680912E-2</v>
      </c>
      <c r="AI898">
        <f>HLOOKUP(AW898,'Real assumptions'!$A$21:$AK$24,2,TRUE)</f>
        <v>0</v>
      </c>
      <c r="AJ898" s="123">
        <f t="shared" si="664"/>
        <v>0</v>
      </c>
      <c r="AK898" s="122">
        <f>(1+HLOOKUP(YEAR(A898),'Real assumptions'!$A$21:$AK$24,2,TRUE)/100)^(1/12)-1</f>
        <v>0</v>
      </c>
      <c r="AL898">
        <f t="shared" si="653"/>
        <v>5.0548229020206054E-4</v>
      </c>
      <c r="AM898">
        <f>('Real assumptions'!$B$33/12)*O897*AV897</f>
        <v>4.8613304415388587E-4</v>
      </c>
      <c r="AN898">
        <f t="shared" si="641"/>
        <v>7.0511328709225427E-2</v>
      </c>
      <c r="AO898">
        <f t="shared" si="665"/>
        <v>0</v>
      </c>
      <c r="AP898" s="121">
        <f t="shared" si="642"/>
        <v>0</v>
      </c>
      <c r="AQ898">
        <f t="shared" si="643"/>
        <v>0</v>
      </c>
      <c r="AR898">
        <v>0</v>
      </c>
      <c r="AS898">
        <f t="shared" si="626"/>
        <v>0</v>
      </c>
      <c r="AT898">
        <f t="shared" si="644"/>
        <v>0</v>
      </c>
      <c r="AU898">
        <f>IFERROR(HLOOKUP(B898,'Real assumptions'!$B$43:$AL$44,2,TRUE)*($W$3/$U$2),0)</f>
        <v>0</v>
      </c>
      <c r="AV898">
        <f>AV897*(1+'Real assumptions'!$B$35)^(1/12)</f>
        <v>2.502264344881048</v>
      </c>
      <c r="AW898">
        <f t="shared" si="627"/>
        <v>2092</v>
      </c>
      <c r="AX898">
        <f t="shared" si="654"/>
        <v>7.0631913868908353E-2</v>
      </c>
      <c r="AY898">
        <f t="shared" si="655"/>
        <v>8.1851210130812774E-5</v>
      </c>
      <c r="AZ898">
        <f t="shared" si="628"/>
        <v>7.2518054721360178E-2</v>
      </c>
      <c r="BA898">
        <f t="shared" si="645"/>
        <v>2.2707167167487473E-4</v>
      </c>
      <c r="BB898">
        <f t="shared" si="646"/>
        <v>25.083333333333329</v>
      </c>
      <c r="BC898">
        <f t="shared" si="629"/>
        <v>15.049999999999997</v>
      </c>
      <c r="BD898">
        <f t="shared" si="647"/>
        <v>0</v>
      </c>
      <c r="BE898">
        <f t="shared" si="630"/>
        <v>24</v>
      </c>
      <c r="BF898">
        <f t="shared" si="656"/>
        <v>5000</v>
      </c>
      <c r="BU898"/>
      <c r="DW898" s="89"/>
      <c r="DX898" s="89"/>
      <c r="FD898"/>
      <c r="FE898"/>
    </row>
    <row r="899" spans="1:161" x14ac:dyDescent="0.25">
      <c r="A899" s="7">
        <f t="shared" si="648"/>
        <v>70463</v>
      </c>
      <c r="B899">
        <f t="shared" si="631"/>
        <v>888</v>
      </c>
      <c r="C899">
        <f t="shared" si="657"/>
        <v>73.916666666666671</v>
      </c>
      <c r="D899">
        <f t="shared" si="658"/>
        <v>0</v>
      </c>
      <c r="E899">
        <f t="shared" si="632"/>
        <v>125</v>
      </c>
      <c r="F899">
        <f>IF(C899&gt;=$T$2,0,VLOOKUP($E899,EKM_F05!$A$3:$C$128,2,TRUE))</f>
        <v>0</v>
      </c>
      <c r="G899">
        <f>F899*'Real assumptions'!$B$3</f>
        <v>0</v>
      </c>
      <c r="H899">
        <f t="shared" si="659"/>
        <v>0</v>
      </c>
      <c r="I899">
        <f t="shared" si="660"/>
        <v>0</v>
      </c>
      <c r="J899">
        <f>IF(B899&gt;$AJ$2,0,HLOOKUP(C899,'Real assumptions'!$B$5:$L$8,4,TRUE))</f>
        <v>3.7900000000000003E-2</v>
      </c>
      <c r="K899">
        <f t="shared" si="621"/>
        <v>1</v>
      </c>
      <c r="L899">
        <f t="shared" si="649"/>
        <v>8.3333333333333329E-2</v>
      </c>
      <c r="M899">
        <f t="shared" si="661"/>
        <v>3.2145624959929453E-3</v>
      </c>
      <c r="N899">
        <f t="shared" si="662"/>
        <v>6.2315358666543157E-8</v>
      </c>
      <c r="O899" s="8">
        <f t="shared" si="633"/>
        <v>1.9323015847126232E-5</v>
      </c>
      <c r="P899">
        <f t="shared" si="634"/>
        <v>4.6524794893902655E-4</v>
      </c>
      <c r="Q899">
        <f t="shared" si="650"/>
        <v>0</v>
      </c>
      <c r="R899" s="89">
        <f t="shared" si="622"/>
        <v>5000</v>
      </c>
      <c r="S899">
        <f t="shared" si="623"/>
        <v>1</v>
      </c>
      <c r="U899">
        <f>O898*AV898*'Real assumptions'!$B$33/12+AX899*'Real assumptions'!$B$34</f>
        <v>5.0438340956753436E-4</v>
      </c>
      <c r="V899">
        <f>IF(P899=0,0,IF(E899&lt;=$C$7,$AN$5*O898,0))*'Real assumptions'!$D$28</f>
        <v>0</v>
      </c>
      <c r="X899" s="94">
        <f t="shared" si="635"/>
        <v>0</v>
      </c>
      <c r="Y899">
        <f t="shared" si="624"/>
        <v>24</v>
      </c>
      <c r="Z899">
        <f t="shared" si="651"/>
        <v>25</v>
      </c>
      <c r="AA899">
        <f t="shared" si="625"/>
        <v>25</v>
      </c>
      <c r="AB899">
        <f t="shared" si="636"/>
        <v>50.505050505050505</v>
      </c>
      <c r="AC899">
        <f t="shared" si="663"/>
        <v>1262.6262626262626</v>
      </c>
      <c r="AD899">
        <f t="shared" si="637"/>
        <v>80.505050505050505</v>
      </c>
      <c r="AE899">
        <f t="shared" si="638"/>
        <v>100.63131313131312</v>
      </c>
      <c r="AF899" s="94">
        <f t="shared" si="639"/>
        <v>3636.7424242424245</v>
      </c>
      <c r="AG899">
        <f t="shared" si="652"/>
        <v>2.2662490854450033E-4</v>
      </c>
      <c r="AH899">
        <f t="shared" si="640"/>
        <v>7.0272831495552635E-2</v>
      </c>
      <c r="AI899">
        <f>HLOOKUP(AW899,'Real assumptions'!$A$21:$AK$24,2,TRUE)</f>
        <v>0</v>
      </c>
      <c r="AJ899" s="123">
        <f t="shared" si="664"/>
        <v>0</v>
      </c>
      <c r="AK899" s="122">
        <f>(1+HLOOKUP(YEAR(A899),'Real assumptions'!$A$21:$AK$24,2,TRUE)/100)^(1/12)-1</f>
        <v>0</v>
      </c>
      <c r="AL899">
        <f t="shared" si="653"/>
        <v>5.0438340956753436E-4</v>
      </c>
      <c r="AM899">
        <f>('Real assumptions'!$B$33/12)*O898*AV898</f>
        <v>4.850722308996519E-4</v>
      </c>
      <c r="AN899">
        <f t="shared" si="641"/>
        <v>7.0372230278052408E-2</v>
      </c>
      <c r="AO899">
        <f t="shared" si="665"/>
        <v>0</v>
      </c>
      <c r="AP899" s="121">
        <f t="shared" si="642"/>
        <v>0</v>
      </c>
      <c r="AQ899">
        <f t="shared" si="643"/>
        <v>0</v>
      </c>
      <c r="AR899">
        <v>0</v>
      </c>
      <c r="AS899">
        <f t="shared" si="626"/>
        <v>0</v>
      </c>
      <c r="AT899">
        <f t="shared" si="644"/>
        <v>0</v>
      </c>
      <c r="AU899">
        <f>IFERROR(HLOOKUP(B899,'Real assumptions'!$B$43:$AL$44,2,TRUE)*($W$3/$U$2),0)</f>
        <v>0</v>
      </c>
      <c r="AV899">
        <f>AV898*(1+'Real assumptions'!$B$35)^(1/12)</f>
        <v>2.5048560552039802</v>
      </c>
      <c r="AW899">
        <f t="shared" si="627"/>
        <v>2092</v>
      </c>
      <c r="AX899">
        <f t="shared" si="654"/>
        <v>7.0492953832981389E-2</v>
      </c>
      <c r="AY899">
        <f t="shared" si="655"/>
        <v>8.1588094300474634E-5</v>
      </c>
      <c r="AZ899">
        <f t="shared" si="628"/>
        <v>7.2252294352187177E-2</v>
      </c>
      <c r="BA899">
        <f t="shared" si="645"/>
        <v>2.2662490854450033E-4</v>
      </c>
      <c r="BB899">
        <f t="shared" si="646"/>
        <v>25</v>
      </c>
      <c r="BC899">
        <f t="shared" si="629"/>
        <v>15</v>
      </c>
      <c r="BD899">
        <f t="shared" si="647"/>
        <v>0</v>
      </c>
      <c r="BE899">
        <f t="shared" si="630"/>
        <v>24</v>
      </c>
      <c r="BF899">
        <f t="shared" si="656"/>
        <v>5000</v>
      </c>
      <c r="BU899"/>
      <c r="DW899" s="89"/>
      <c r="DX899" s="89"/>
      <c r="FD899"/>
      <c r="FE899"/>
    </row>
    <row r="900" spans="1:161" x14ac:dyDescent="0.25">
      <c r="A900" s="7">
        <f t="shared" si="648"/>
        <v>70494</v>
      </c>
      <c r="B900">
        <f t="shared" si="631"/>
        <v>889</v>
      </c>
      <c r="C900">
        <f t="shared" si="657"/>
        <v>74</v>
      </c>
      <c r="D900">
        <f t="shared" si="658"/>
        <v>1</v>
      </c>
      <c r="E900">
        <f t="shared" si="632"/>
        <v>126</v>
      </c>
      <c r="F900">
        <f>IF(C900&gt;=$T$2,0,VLOOKUP($E900,EKM_F05!$A$3:$C$128,2,TRUE))</f>
        <v>0</v>
      </c>
      <c r="G900">
        <f>F900*'Real assumptions'!$B$3</f>
        <v>0</v>
      </c>
      <c r="H900">
        <f t="shared" si="659"/>
        <v>0</v>
      </c>
      <c r="I900">
        <f t="shared" si="660"/>
        <v>0</v>
      </c>
      <c r="J900">
        <f>IF(B900&gt;$AJ$2,0,HLOOKUP(C900,'Real assumptions'!$B$5:$L$8,4,TRUE))</f>
        <v>3.7900000000000003E-2</v>
      </c>
      <c r="K900">
        <f t="shared" si="621"/>
        <v>1</v>
      </c>
      <c r="L900">
        <f t="shared" si="649"/>
        <v>8.3333333333333329E-2</v>
      </c>
      <c r="M900">
        <f t="shared" si="661"/>
        <v>3.2145624959929453E-3</v>
      </c>
      <c r="N900">
        <f t="shared" si="662"/>
        <v>6.2115042051649334E-8</v>
      </c>
      <c r="O900" s="8">
        <f t="shared" si="633"/>
        <v>1.9260900805074581E-5</v>
      </c>
      <c r="P900">
        <f t="shared" si="634"/>
        <v>4.6375238033102958E-4</v>
      </c>
      <c r="Q900">
        <f t="shared" si="650"/>
        <v>0</v>
      </c>
      <c r="R900" s="89">
        <f t="shared" si="622"/>
        <v>5000</v>
      </c>
      <c r="S900">
        <f t="shared" si="623"/>
        <v>0.9166666666666714</v>
      </c>
      <c r="U900">
        <f>O899*AV899*'Real assumptions'!$B$33/12+AX900*'Real assumptions'!$B$34</f>
        <v>5.0328688857857035E-4</v>
      </c>
      <c r="V900">
        <f>IF(P900=0,0,IF(E900&lt;=$C$7,$AN$5*O899,0))*'Real assumptions'!$D$28</f>
        <v>0</v>
      </c>
      <c r="X900" s="94">
        <f t="shared" si="635"/>
        <v>0</v>
      </c>
      <c r="Y900">
        <f t="shared" si="624"/>
        <v>24</v>
      </c>
      <c r="Z900">
        <f t="shared" si="651"/>
        <v>25</v>
      </c>
      <c r="AA900">
        <f t="shared" si="625"/>
        <v>24.916666666666671</v>
      </c>
      <c r="AB900">
        <f t="shared" si="636"/>
        <v>50.505050505050505</v>
      </c>
      <c r="AC900">
        <f t="shared" si="663"/>
        <v>1258.4175084175088</v>
      </c>
      <c r="AD900">
        <f t="shared" si="637"/>
        <v>80.505050505050505</v>
      </c>
      <c r="AE900">
        <f t="shared" si="638"/>
        <v>100.29587542087543</v>
      </c>
      <c r="AF900" s="94">
        <f t="shared" si="639"/>
        <v>3641.2866161616162</v>
      </c>
      <c r="AG900">
        <f t="shared" si="652"/>
        <v>2.2617867128498669E-4</v>
      </c>
      <c r="AH900">
        <f t="shared" si="640"/>
        <v>7.0134460316734565E-2</v>
      </c>
      <c r="AI900">
        <f>HLOOKUP(AW900,'Real assumptions'!$A$21:$AK$24,2,TRUE)</f>
        <v>0</v>
      </c>
      <c r="AJ900" s="123">
        <f t="shared" si="664"/>
        <v>0</v>
      </c>
      <c r="AK900" s="122">
        <f>(1+HLOOKUP(YEAR(A900),'Real assumptions'!$A$21:$AK$24,2,TRUE)/100)^(1/12)-1</f>
        <v>0</v>
      </c>
      <c r="AL900">
        <f t="shared" si="653"/>
        <v>5.0328688857857035E-4</v>
      </c>
      <c r="AM900">
        <f>('Real assumptions'!$B$33/12)*O899*AV899</f>
        <v>4.8401373249476606E-4</v>
      </c>
      <c r="AN900">
        <f t="shared" si="641"/>
        <v>7.0233296987305099E-2</v>
      </c>
      <c r="AO900">
        <f t="shared" si="665"/>
        <v>0</v>
      </c>
      <c r="AP900" s="121">
        <f t="shared" si="642"/>
        <v>0</v>
      </c>
      <c r="AQ900">
        <f t="shared" si="643"/>
        <v>0</v>
      </c>
      <c r="AR900">
        <v>0</v>
      </c>
      <c r="AS900">
        <f t="shared" si="626"/>
        <v>0</v>
      </c>
      <c r="AT900">
        <f t="shared" si="644"/>
        <v>0</v>
      </c>
      <c r="AU900">
        <f>IFERROR(HLOOKUP(B900,'Real assumptions'!$B$43:$AL$44,2,TRUE)*($W$3/$U$2),0)</f>
        <v>0</v>
      </c>
      <c r="AV900">
        <f>AV899*(1+'Real assumptions'!$B$35)^(1/12)</f>
        <v>2.507450449880551</v>
      </c>
      <c r="AW900">
        <f t="shared" si="627"/>
        <v>2092</v>
      </c>
      <c r="AX900">
        <f t="shared" si="654"/>
        <v>7.0354157319825056E-2</v>
      </c>
      <c r="AY900">
        <f t="shared" si="655"/>
        <v>8.1325824272416799E-5</v>
      </c>
      <c r="AZ900">
        <f t="shared" si="628"/>
        <v>7.1986581172654648E-2</v>
      </c>
      <c r="BA900">
        <f t="shared" si="645"/>
        <v>2.2617867128498669E-4</v>
      </c>
      <c r="BB900">
        <f t="shared" si="646"/>
        <v>24.916666666666671</v>
      </c>
      <c r="BC900">
        <f t="shared" si="629"/>
        <v>14.950000000000003</v>
      </c>
      <c r="BD900">
        <f t="shared" si="647"/>
        <v>0</v>
      </c>
      <c r="BE900">
        <f t="shared" si="630"/>
        <v>24</v>
      </c>
      <c r="BF900">
        <f t="shared" si="656"/>
        <v>5000</v>
      </c>
      <c r="BU900"/>
      <c r="DW900" s="89"/>
      <c r="DX900" s="89"/>
      <c r="FD900"/>
      <c r="FE900"/>
    </row>
    <row r="901" spans="1:161" x14ac:dyDescent="0.25">
      <c r="A901" s="7">
        <f t="shared" si="648"/>
        <v>70525</v>
      </c>
      <c r="B901">
        <f t="shared" si="631"/>
        <v>890</v>
      </c>
      <c r="C901">
        <f t="shared" si="657"/>
        <v>74.083333333333329</v>
      </c>
      <c r="D901">
        <f t="shared" si="658"/>
        <v>0</v>
      </c>
      <c r="E901">
        <f t="shared" si="632"/>
        <v>126</v>
      </c>
      <c r="F901">
        <f>IF(C901&gt;=$T$2,0,VLOOKUP($E901,EKM_F05!$A$3:$C$128,2,TRUE))</f>
        <v>0</v>
      </c>
      <c r="G901">
        <f>F901*'Real assumptions'!$B$3</f>
        <v>0</v>
      </c>
      <c r="H901">
        <f t="shared" si="659"/>
        <v>0</v>
      </c>
      <c r="I901">
        <f t="shared" si="660"/>
        <v>0</v>
      </c>
      <c r="J901">
        <f>IF(B901&gt;$AJ$2,0,HLOOKUP(C901,'Real assumptions'!$B$5:$L$8,4,TRUE))</f>
        <v>3.7900000000000003E-2</v>
      </c>
      <c r="K901">
        <f t="shared" si="621"/>
        <v>1</v>
      </c>
      <c r="L901">
        <f t="shared" si="649"/>
        <v>8.3333333333333329E-2</v>
      </c>
      <c r="M901">
        <f t="shared" si="661"/>
        <v>3.2145624959929453E-3</v>
      </c>
      <c r="N901">
        <f t="shared" si="662"/>
        <v>6.1915369367033072E-8</v>
      </c>
      <c r="O901" s="8">
        <f t="shared" si="633"/>
        <v>1.9198985435707547E-5</v>
      </c>
      <c r="P901">
        <f t="shared" si="634"/>
        <v>4.6226161932178998E-4</v>
      </c>
      <c r="Q901">
        <f t="shared" si="650"/>
        <v>0</v>
      </c>
      <c r="R901" s="89">
        <f t="shared" si="622"/>
        <v>5000</v>
      </c>
      <c r="S901">
        <f t="shared" si="623"/>
        <v>0.8333333333333286</v>
      </c>
      <c r="U901">
        <f>O900*AV900*'Real assumptions'!$B$33/12+AX901*'Real assumptions'!$B$34</f>
        <v>5.0219272228919454E-4</v>
      </c>
      <c r="V901">
        <f>IF(P901=0,0,IF(E901&lt;=$C$7,$AN$5*O900,0))*'Real assumptions'!$D$28</f>
        <v>0</v>
      </c>
      <c r="X901" s="94">
        <f t="shared" si="635"/>
        <v>0</v>
      </c>
      <c r="Y901">
        <f t="shared" si="624"/>
        <v>24</v>
      </c>
      <c r="Z901">
        <f t="shared" si="651"/>
        <v>24</v>
      </c>
      <c r="AA901">
        <f t="shared" si="625"/>
        <v>24.833333333333329</v>
      </c>
      <c r="AB901">
        <f t="shared" si="636"/>
        <v>50.505050505050505</v>
      </c>
      <c r="AC901">
        <f t="shared" si="663"/>
        <v>1254.208754208754</v>
      </c>
      <c r="AD901">
        <f t="shared" si="637"/>
        <v>80.505050505050505</v>
      </c>
      <c r="AE901">
        <f t="shared" si="638"/>
        <v>99.960437710437688</v>
      </c>
      <c r="AF901" s="94">
        <f t="shared" si="639"/>
        <v>3645.8308080808083</v>
      </c>
      <c r="AG901">
        <f t="shared" si="652"/>
        <v>2.257329611320319E-4</v>
      </c>
      <c r="AH901">
        <f t="shared" si="640"/>
        <v>6.9996252585397323E-2</v>
      </c>
      <c r="AI901">
        <f>HLOOKUP(AW901,'Real assumptions'!$A$21:$AK$24,2,TRUE)</f>
        <v>0</v>
      </c>
      <c r="AJ901" s="123">
        <f t="shared" si="664"/>
        <v>0</v>
      </c>
      <c r="AK901" s="122">
        <f>(1+HLOOKUP(YEAR(A901),'Real assumptions'!$A$21:$AK$24,2,TRUE)/100)^(1/12)-1</f>
        <v>0</v>
      </c>
      <c r="AL901">
        <f t="shared" si="653"/>
        <v>5.0219272228919454E-4</v>
      </c>
      <c r="AM901">
        <f>('Real assumptions'!$B$33/12)*O900*AV900</f>
        <v>4.8295754388788921E-4</v>
      </c>
      <c r="AN901">
        <f t="shared" si="641"/>
        <v>7.0094529213767159E-2</v>
      </c>
      <c r="AO901">
        <f t="shared" si="665"/>
        <v>0</v>
      </c>
      <c r="AP901" s="121">
        <f t="shared" si="642"/>
        <v>0</v>
      </c>
      <c r="AQ901">
        <f t="shared" si="643"/>
        <v>0</v>
      </c>
      <c r="AR901">
        <v>0</v>
      </c>
      <c r="AS901">
        <f t="shared" si="626"/>
        <v>0</v>
      </c>
      <c r="AT901">
        <f t="shared" si="644"/>
        <v>0</v>
      </c>
      <c r="AU901">
        <f>IFERROR(HLOOKUP(B901,'Real assumptions'!$B$43:$AL$44,2,TRUE)*($W$3/$U$2),0)</f>
        <v>0</v>
      </c>
      <c r="AV901">
        <f>AV900*(1+'Real assumptions'!$B$35)^(1/12)</f>
        <v>2.5100475316910682</v>
      </c>
      <c r="AW901">
        <f t="shared" si="627"/>
        <v>2093</v>
      </c>
      <c r="AX901">
        <f t="shared" si="654"/>
        <v>7.0215524714062325E-2</v>
      </c>
      <c r="AY901">
        <f t="shared" si="655"/>
        <v>8.1064397327754962E-5</v>
      </c>
      <c r="AZ901">
        <f t="shared" si="628"/>
        <v>7.1720917108555216E-2</v>
      </c>
      <c r="BA901">
        <f t="shared" si="645"/>
        <v>2.257329611320319E-4</v>
      </c>
      <c r="BB901">
        <f t="shared" si="646"/>
        <v>24.833333333333329</v>
      </c>
      <c r="BC901">
        <f t="shared" si="629"/>
        <v>14.899999999999997</v>
      </c>
      <c r="BD901">
        <f t="shared" si="647"/>
        <v>0</v>
      </c>
      <c r="BE901">
        <f t="shared" si="630"/>
        <v>24</v>
      </c>
      <c r="BF901">
        <f t="shared" si="656"/>
        <v>5000</v>
      </c>
      <c r="BU901"/>
      <c r="DW901" s="89"/>
      <c r="DX901" s="89"/>
      <c r="FD901"/>
      <c r="FE901"/>
    </row>
    <row r="902" spans="1:161" x14ac:dyDescent="0.25">
      <c r="A902" s="7">
        <f t="shared" si="648"/>
        <v>70553</v>
      </c>
      <c r="B902">
        <f t="shared" si="631"/>
        <v>891</v>
      </c>
      <c r="C902">
        <f t="shared" si="657"/>
        <v>74.166666666666671</v>
      </c>
      <c r="D902">
        <f t="shared" si="658"/>
        <v>0</v>
      </c>
      <c r="E902">
        <f t="shared" si="632"/>
        <v>126</v>
      </c>
      <c r="F902">
        <f>IF(C902&gt;=$T$2,0,VLOOKUP($E902,EKM_F05!$A$3:$C$128,2,TRUE))</f>
        <v>0</v>
      </c>
      <c r="G902">
        <f>F902*'Real assumptions'!$B$3</f>
        <v>0</v>
      </c>
      <c r="H902">
        <f t="shared" si="659"/>
        <v>0</v>
      </c>
      <c r="I902">
        <f t="shared" si="660"/>
        <v>0</v>
      </c>
      <c r="J902">
        <f>IF(B902&gt;$AJ$2,0,HLOOKUP(C902,'Real assumptions'!$B$5:$L$8,4,TRUE))</f>
        <v>3.7900000000000003E-2</v>
      </c>
      <c r="K902">
        <f t="shared" si="621"/>
        <v>1</v>
      </c>
      <c r="L902">
        <f t="shared" si="649"/>
        <v>8.3333333333333329E-2</v>
      </c>
      <c r="M902">
        <f t="shared" si="661"/>
        <v>3.2145624959929453E-3</v>
      </c>
      <c r="N902">
        <f t="shared" si="662"/>
        <v>6.1716338542740255E-8</v>
      </c>
      <c r="O902" s="8">
        <f t="shared" si="633"/>
        <v>1.9137269097164805E-5</v>
      </c>
      <c r="P902">
        <f t="shared" si="634"/>
        <v>4.607756504569811E-4</v>
      </c>
      <c r="Q902">
        <f t="shared" si="650"/>
        <v>0</v>
      </c>
      <c r="R902" s="89">
        <f t="shared" si="622"/>
        <v>5000</v>
      </c>
      <c r="S902">
        <f t="shared" si="623"/>
        <v>0.75</v>
      </c>
      <c r="U902">
        <f>O901*AV901*'Real assumptions'!$B$33/12+AX902*'Real assumptions'!$B$34</f>
        <v>5.01100905763316E-4</v>
      </c>
      <c r="V902">
        <f>IF(P902=0,0,IF(E902&lt;=$C$7,$AN$5*O901,0))*'Real assumptions'!$D$28</f>
        <v>0</v>
      </c>
      <c r="X902" s="94">
        <f t="shared" si="635"/>
        <v>0</v>
      </c>
      <c r="Y902">
        <f t="shared" si="624"/>
        <v>24</v>
      </c>
      <c r="Z902">
        <f t="shared" si="651"/>
        <v>24</v>
      </c>
      <c r="AA902">
        <f t="shared" si="625"/>
        <v>24.75</v>
      </c>
      <c r="AB902">
        <f t="shared" si="636"/>
        <v>50.505050505050505</v>
      </c>
      <c r="AC902">
        <f t="shared" si="663"/>
        <v>1250</v>
      </c>
      <c r="AD902">
        <f t="shared" si="637"/>
        <v>80.505050505050505</v>
      </c>
      <c r="AE902">
        <f t="shared" si="638"/>
        <v>99.625</v>
      </c>
      <c r="AF902" s="94">
        <f t="shared" si="639"/>
        <v>3650.375</v>
      </c>
      <c r="AG902">
        <f t="shared" si="652"/>
        <v>2.2528777930795545E-4</v>
      </c>
      <c r="AH902">
        <f t="shared" si="640"/>
        <v>6.9858208680562972E-2</v>
      </c>
      <c r="AI902">
        <f>HLOOKUP(AW902,'Real assumptions'!$A$21:$AK$24,2,TRUE)</f>
        <v>0</v>
      </c>
      <c r="AJ902" s="123">
        <f t="shared" si="664"/>
        <v>0</v>
      </c>
      <c r="AK902" s="122">
        <f>(1+HLOOKUP(YEAR(A902),'Real assumptions'!$A$21:$AK$24,2,TRUE)/100)^(1/12)-1</f>
        <v>0</v>
      </c>
      <c r="AL902">
        <f t="shared" si="653"/>
        <v>5.01100905763316E-4</v>
      </c>
      <c r="AM902">
        <f>('Real assumptions'!$B$33/12)*O901*AV901</f>
        <v>4.81903660038705E-4</v>
      </c>
      <c r="AN902">
        <f t="shared" si="641"/>
        <v>6.9955927330090983E-2</v>
      </c>
      <c r="AO902">
        <f t="shared" si="665"/>
        <v>0</v>
      </c>
      <c r="AP902" s="121">
        <f t="shared" si="642"/>
        <v>0</v>
      </c>
      <c r="AQ902">
        <f t="shared" si="643"/>
        <v>0</v>
      </c>
      <c r="AR902">
        <v>0</v>
      </c>
      <c r="AS902">
        <f t="shared" si="626"/>
        <v>0</v>
      </c>
      <c r="AT902">
        <f t="shared" si="644"/>
        <v>0</v>
      </c>
      <c r="AU902">
        <f>IFERROR(HLOOKUP(B902,'Real assumptions'!$B$43:$AL$44,2,TRUE)*($W$3/$U$2),0)</f>
        <v>0</v>
      </c>
      <c r="AV902">
        <f>AV901*(1+'Real assumptions'!$B$35)^(1/12)</f>
        <v>2.5126473034187207</v>
      </c>
      <c r="AW902">
        <f t="shared" si="627"/>
        <v>2093</v>
      </c>
      <c r="AX902">
        <f t="shared" si="654"/>
        <v>7.0077056396153664E-2</v>
      </c>
      <c r="AY902">
        <f t="shared" si="655"/>
        <v>8.0803810756344892E-5</v>
      </c>
      <c r="AZ902">
        <f t="shared" si="628"/>
        <v>7.145530407394092E-2</v>
      </c>
      <c r="BA902">
        <f t="shared" si="645"/>
        <v>2.2528777930795545E-4</v>
      </c>
      <c r="BB902">
        <f t="shared" si="646"/>
        <v>24.75</v>
      </c>
      <c r="BC902">
        <f t="shared" si="629"/>
        <v>14.85</v>
      </c>
      <c r="BD902">
        <f t="shared" si="647"/>
        <v>0</v>
      </c>
      <c r="BE902">
        <f t="shared" si="630"/>
        <v>24</v>
      </c>
      <c r="BF902">
        <f t="shared" si="656"/>
        <v>5000</v>
      </c>
      <c r="BU902"/>
      <c r="DW902" s="89"/>
      <c r="DX902" s="89"/>
      <c r="FD902"/>
      <c r="FE902"/>
    </row>
    <row r="903" spans="1:161" x14ac:dyDescent="0.25">
      <c r="A903" s="7">
        <f t="shared" si="648"/>
        <v>70584</v>
      </c>
      <c r="B903">
        <f t="shared" si="631"/>
        <v>892</v>
      </c>
      <c r="C903">
        <f t="shared" si="657"/>
        <v>74.25</v>
      </c>
      <c r="D903">
        <f t="shared" si="658"/>
        <v>0</v>
      </c>
      <c r="E903">
        <f t="shared" si="632"/>
        <v>126</v>
      </c>
      <c r="F903">
        <f>IF(C903&gt;=$T$2,0,VLOOKUP($E903,EKM_F05!$A$3:$C$128,2,TRUE))</f>
        <v>0</v>
      </c>
      <c r="G903">
        <f>F903*'Real assumptions'!$B$3</f>
        <v>0</v>
      </c>
      <c r="H903">
        <f t="shared" si="659"/>
        <v>0</v>
      </c>
      <c r="I903">
        <f t="shared" si="660"/>
        <v>0</v>
      </c>
      <c r="J903">
        <f>IF(B903&gt;$AJ$2,0,HLOOKUP(C903,'Real assumptions'!$B$5:$L$8,4,TRUE))</f>
        <v>3.7900000000000003E-2</v>
      </c>
      <c r="K903">
        <f t="shared" si="621"/>
        <v>1</v>
      </c>
      <c r="L903">
        <f t="shared" si="649"/>
        <v>8.3333333333333329E-2</v>
      </c>
      <c r="M903">
        <f t="shared" si="661"/>
        <v>3.2145624959929453E-3</v>
      </c>
      <c r="N903">
        <f t="shared" si="662"/>
        <v>6.1517947515470756E-8</v>
      </c>
      <c r="O903" s="8">
        <f t="shared" si="633"/>
        <v>1.9075751149649333E-5</v>
      </c>
      <c r="P903">
        <f t="shared" si="634"/>
        <v>4.5929445833195535E-4</v>
      </c>
      <c r="Q903">
        <f t="shared" si="650"/>
        <v>0</v>
      </c>
      <c r="R903" s="89">
        <f t="shared" si="622"/>
        <v>5000</v>
      </c>
      <c r="S903">
        <f t="shared" si="623"/>
        <v>0.6666666666666714</v>
      </c>
      <c r="U903">
        <f>O902*AV902*'Real assumptions'!$B$33/12+AX903*'Real assumptions'!$B$34</f>
        <v>5.0001143407470789E-4</v>
      </c>
      <c r="V903">
        <f>IF(P903=0,0,IF(E903&lt;=$C$7,$AN$5*O902,0))*'Real assumptions'!$D$28</f>
        <v>0</v>
      </c>
      <c r="X903" s="94">
        <f t="shared" si="635"/>
        <v>0</v>
      </c>
      <c r="Y903">
        <f t="shared" si="624"/>
        <v>24</v>
      </c>
      <c r="Z903">
        <f t="shared" si="651"/>
        <v>24</v>
      </c>
      <c r="AA903">
        <f t="shared" si="625"/>
        <v>24.666666666666671</v>
      </c>
      <c r="AB903">
        <f t="shared" si="636"/>
        <v>50.505050505050505</v>
      </c>
      <c r="AC903">
        <f t="shared" si="663"/>
        <v>1245.791245791246</v>
      </c>
      <c r="AD903">
        <f t="shared" si="637"/>
        <v>80.505050505050505</v>
      </c>
      <c r="AE903">
        <f t="shared" si="638"/>
        <v>99.289562289562298</v>
      </c>
      <c r="AF903" s="94">
        <f t="shared" si="639"/>
        <v>3654.9191919191917</v>
      </c>
      <c r="AG903">
        <f t="shared" si="652"/>
        <v>2.2484312702177162E-4</v>
      </c>
      <c r="AH903">
        <f t="shared" si="640"/>
        <v>6.9720328977127932E-2</v>
      </c>
      <c r="AI903">
        <f>HLOOKUP(AW903,'Real assumptions'!$A$21:$AK$24,2,TRUE)</f>
        <v>0</v>
      </c>
      <c r="AJ903" s="123">
        <f t="shared" si="664"/>
        <v>0</v>
      </c>
      <c r="AK903" s="122">
        <f>(1+HLOOKUP(YEAR(A903),'Real assumptions'!$A$21:$AK$24,2,TRUE)/100)^(1/12)-1</f>
        <v>0</v>
      </c>
      <c r="AL903">
        <f t="shared" si="653"/>
        <v>5.0001143407470789E-4</v>
      </c>
      <c r="AM903">
        <f>('Real assumptions'!$B$33/12)*O902*AV902</f>
        <v>4.808520759178956E-4</v>
      </c>
      <c r="AN903">
        <f t="shared" si="641"/>
        <v>6.9817491704820225E-2</v>
      </c>
      <c r="AO903">
        <f t="shared" si="665"/>
        <v>0</v>
      </c>
      <c r="AP903" s="121">
        <f t="shared" si="642"/>
        <v>0</v>
      </c>
      <c r="AQ903">
        <f t="shared" si="643"/>
        <v>0</v>
      </c>
      <c r="AR903">
        <v>0</v>
      </c>
      <c r="AS903">
        <f t="shared" si="626"/>
        <v>0</v>
      </c>
      <c r="AT903">
        <f t="shared" si="644"/>
        <v>0</v>
      </c>
      <c r="AU903">
        <f>IFERROR(HLOOKUP(B903,'Real assumptions'!$B$43:$AL$44,2,TRUE)*($W$3/$U$2),0)</f>
        <v>0</v>
      </c>
      <c r="AV903">
        <f>AV902*(1+'Real assumptions'!$B$35)^(1/12)</f>
        <v>2.5152497678495793</v>
      </c>
      <c r="AW903">
        <f t="shared" si="627"/>
        <v>2093</v>
      </c>
      <c r="AX903">
        <f t="shared" si="654"/>
        <v>6.993875274241973E-2</v>
      </c>
      <c r="AY903">
        <f t="shared" si="655"/>
        <v>8.0544061856754223E-5</v>
      </c>
      <c r="AZ903">
        <f t="shared" si="628"/>
        <v>7.1189743971176403E-2</v>
      </c>
      <c r="BA903">
        <f t="shared" si="645"/>
        <v>2.2484312702177162E-4</v>
      </c>
      <c r="BB903">
        <f t="shared" si="646"/>
        <v>24.666666666666671</v>
      </c>
      <c r="BC903">
        <f t="shared" si="629"/>
        <v>14.800000000000002</v>
      </c>
      <c r="BD903">
        <f t="shared" si="647"/>
        <v>0</v>
      </c>
      <c r="BE903">
        <f t="shared" si="630"/>
        <v>24</v>
      </c>
      <c r="BF903">
        <f t="shared" si="656"/>
        <v>5000</v>
      </c>
      <c r="BU903"/>
      <c r="DW903" s="89"/>
      <c r="DX903" s="89"/>
      <c r="FD903"/>
      <c r="FE903"/>
    </row>
    <row r="904" spans="1:161" x14ac:dyDescent="0.25">
      <c r="A904" s="7">
        <f t="shared" si="648"/>
        <v>70614</v>
      </c>
      <c r="B904">
        <f t="shared" si="631"/>
        <v>893</v>
      </c>
      <c r="C904">
        <f t="shared" si="657"/>
        <v>74.333333333333329</v>
      </c>
      <c r="D904">
        <f t="shared" si="658"/>
        <v>0</v>
      </c>
      <c r="E904">
        <f t="shared" si="632"/>
        <v>126</v>
      </c>
      <c r="F904">
        <f>IF(C904&gt;=$T$2,0,VLOOKUP($E904,EKM_F05!$A$3:$C$128,2,TRUE))</f>
        <v>0</v>
      </c>
      <c r="G904">
        <f>F904*'Real assumptions'!$B$3</f>
        <v>0</v>
      </c>
      <c r="H904">
        <f t="shared" si="659"/>
        <v>0</v>
      </c>
      <c r="I904">
        <f t="shared" si="660"/>
        <v>0</v>
      </c>
      <c r="J904">
        <f>IF(B904&gt;$AJ$2,0,HLOOKUP(C904,'Real assumptions'!$B$5:$L$8,4,TRUE))</f>
        <v>3.7900000000000003E-2</v>
      </c>
      <c r="K904">
        <f t="shared" si="621"/>
        <v>1</v>
      </c>
      <c r="L904">
        <f t="shared" si="649"/>
        <v>8.3333333333333329E-2</v>
      </c>
      <c r="M904">
        <f t="shared" si="661"/>
        <v>3.2145624959929453E-3</v>
      </c>
      <c r="N904">
        <f t="shared" si="662"/>
        <v>6.1320194228557056E-8</v>
      </c>
      <c r="O904" s="8">
        <f t="shared" si="633"/>
        <v>1.9014430955420775E-5</v>
      </c>
      <c r="P904">
        <f t="shared" si="634"/>
        <v>4.5781802759158399E-4</v>
      </c>
      <c r="Q904">
        <f t="shared" si="650"/>
        <v>0</v>
      </c>
      <c r="R904" s="89">
        <f t="shared" si="622"/>
        <v>5000</v>
      </c>
      <c r="S904">
        <f t="shared" si="623"/>
        <v>0.5833333333333286</v>
      </c>
      <c r="U904">
        <f>O903*AV903*'Real assumptions'!$B$33/12+AX904*'Real assumptions'!$B$34</f>
        <v>4.9892430230699073E-4</v>
      </c>
      <c r="V904">
        <f>IF(P904=0,0,IF(E904&lt;=$C$7,$AN$5*O903,0))*'Real assumptions'!$D$28</f>
        <v>0</v>
      </c>
      <c r="X904" s="94">
        <f t="shared" si="635"/>
        <v>0</v>
      </c>
      <c r="Y904">
        <f t="shared" si="624"/>
        <v>24</v>
      </c>
      <c r="Z904">
        <f t="shared" si="651"/>
        <v>24</v>
      </c>
      <c r="AA904">
        <f t="shared" si="625"/>
        <v>24.583333333333329</v>
      </c>
      <c r="AB904">
        <f t="shared" si="636"/>
        <v>50.505050505050505</v>
      </c>
      <c r="AC904">
        <f t="shared" si="663"/>
        <v>1241.5824915824915</v>
      </c>
      <c r="AD904">
        <f t="shared" si="637"/>
        <v>80.505050505050505</v>
      </c>
      <c r="AE904">
        <f t="shared" si="638"/>
        <v>98.954124579124553</v>
      </c>
      <c r="AF904" s="94">
        <f t="shared" si="639"/>
        <v>3659.4633838383838</v>
      </c>
      <c r="AG904">
        <f t="shared" si="652"/>
        <v>2.2439900546926235E-4</v>
      </c>
      <c r="AH904">
        <f t="shared" si="640"/>
        <v>6.9582613845885419E-2</v>
      </c>
      <c r="AI904">
        <f>HLOOKUP(AW904,'Real assumptions'!$A$21:$AK$24,2,TRUE)</f>
        <v>0</v>
      </c>
      <c r="AJ904" s="123">
        <f t="shared" si="664"/>
        <v>0</v>
      </c>
      <c r="AK904" s="122">
        <f>(1+HLOOKUP(YEAR(A904),'Real assumptions'!$A$21:$AK$24,2,TRUE)/100)^(1/12)-1</f>
        <v>0</v>
      </c>
      <c r="AL904">
        <f t="shared" si="653"/>
        <v>4.9892430230699073E-4</v>
      </c>
      <c r="AM904">
        <f>('Real assumptions'!$B$33/12)*O903*AV903</f>
        <v>4.7980278650711832E-4</v>
      </c>
      <c r="AN904">
        <f t="shared" si="641"/>
        <v>6.9679222702412516E-2</v>
      </c>
      <c r="AO904">
        <f t="shared" si="665"/>
        <v>0</v>
      </c>
      <c r="AP904" s="121">
        <f t="shared" si="642"/>
        <v>0</v>
      </c>
      <c r="AQ904">
        <f t="shared" si="643"/>
        <v>0</v>
      </c>
      <c r="AR904">
        <v>0</v>
      </c>
      <c r="AS904">
        <f t="shared" si="626"/>
        <v>0</v>
      </c>
      <c r="AT904">
        <f t="shared" si="644"/>
        <v>0</v>
      </c>
      <c r="AU904">
        <f>IFERROR(HLOOKUP(B904,'Real assumptions'!$B$43:$AL$44,2,TRUE)*($W$3/$U$2),0)</f>
        <v>0</v>
      </c>
      <c r="AV904">
        <f>AV903*(1+'Real assumptions'!$B$35)^(1/12)</f>
        <v>2.5178549277726003</v>
      </c>
      <c r="AW904">
        <f t="shared" si="627"/>
        <v>2093</v>
      </c>
      <c r="AX904">
        <f t="shared" si="654"/>
        <v>6.9800614125064164E-2</v>
      </c>
      <c r="AY904">
        <f t="shared" si="655"/>
        <v>8.028514793623456E-5</v>
      </c>
      <c r="AZ904">
        <f t="shared" si="628"/>
        <v>7.0924238690991723E-2</v>
      </c>
      <c r="BA904">
        <f t="shared" si="645"/>
        <v>2.2439900546926235E-4</v>
      </c>
      <c r="BB904">
        <f t="shared" si="646"/>
        <v>24.583333333333329</v>
      </c>
      <c r="BC904">
        <f t="shared" si="629"/>
        <v>14.749999999999996</v>
      </c>
      <c r="BD904">
        <f t="shared" si="647"/>
        <v>0</v>
      </c>
      <c r="BE904">
        <f t="shared" si="630"/>
        <v>24</v>
      </c>
      <c r="BF904">
        <f t="shared" si="656"/>
        <v>5000</v>
      </c>
      <c r="BU904"/>
      <c r="DW904" s="89"/>
      <c r="DX904" s="89"/>
      <c r="FD904"/>
      <c r="FE904"/>
    </row>
    <row r="905" spans="1:161" x14ac:dyDescent="0.25">
      <c r="A905" s="7">
        <f t="shared" si="648"/>
        <v>70645</v>
      </c>
      <c r="B905">
        <f t="shared" si="631"/>
        <v>894</v>
      </c>
      <c r="C905">
        <f t="shared" si="657"/>
        <v>74.416666666666671</v>
      </c>
      <c r="D905">
        <f t="shared" si="658"/>
        <v>0</v>
      </c>
      <c r="E905">
        <f t="shared" si="632"/>
        <v>126</v>
      </c>
      <c r="F905">
        <f>IF(C905&gt;=$T$2,0,VLOOKUP($E905,EKM_F05!$A$3:$C$128,2,TRUE))</f>
        <v>0</v>
      </c>
      <c r="G905">
        <f>F905*'Real assumptions'!$B$3</f>
        <v>0</v>
      </c>
      <c r="H905">
        <f t="shared" si="659"/>
        <v>0</v>
      </c>
      <c r="I905">
        <f t="shared" si="660"/>
        <v>0</v>
      </c>
      <c r="J905">
        <f>IF(B905&gt;$AJ$2,0,HLOOKUP(C905,'Real assumptions'!$B$5:$L$8,4,TRUE))</f>
        <v>3.7900000000000003E-2</v>
      </c>
      <c r="K905">
        <f t="shared" si="621"/>
        <v>1</v>
      </c>
      <c r="L905">
        <f t="shared" si="649"/>
        <v>8.3333333333333329E-2</v>
      </c>
      <c r="M905">
        <f t="shared" si="661"/>
        <v>3.2145624959929453E-3</v>
      </c>
      <c r="N905">
        <f t="shared" si="662"/>
        <v>6.1123076631942928E-8</v>
      </c>
      <c r="O905" s="8">
        <f t="shared" si="633"/>
        <v>1.8953307878788832E-5</v>
      </c>
      <c r="P905">
        <f t="shared" si="634"/>
        <v>4.563463429300986E-4</v>
      </c>
      <c r="Q905">
        <f t="shared" si="650"/>
        <v>0</v>
      </c>
      <c r="R905" s="89">
        <f t="shared" si="622"/>
        <v>5000</v>
      </c>
      <c r="S905">
        <f t="shared" si="623"/>
        <v>0.5</v>
      </c>
      <c r="U905">
        <f>O904*AV904*'Real assumptions'!$B$33/12+AX905*'Real assumptions'!$B$34</f>
        <v>4.9783950555361387E-4</v>
      </c>
      <c r="V905">
        <f>IF(P905=0,0,IF(E905&lt;=$C$7,$AN$5*O904,0))*'Real assumptions'!$D$28</f>
        <v>0</v>
      </c>
      <c r="X905" s="94">
        <f t="shared" si="635"/>
        <v>0</v>
      </c>
      <c r="Y905">
        <f t="shared" si="624"/>
        <v>24</v>
      </c>
      <c r="Z905">
        <f t="shared" si="651"/>
        <v>24</v>
      </c>
      <c r="AA905">
        <f t="shared" si="625"/>
        <v>24.5</v>
      </c>
      <c r="AB905">
        <f t="shared" si="636"/>
        <v>50.505050505050505</v>
      </c>
      <c r="AC905">
        <f t="shared" si="663"/>
        <v>1237.3737373737374</v>
      </c>
      <c r="AD905">
        <f t="shared" si="637"/>
        <v>80.505050505050505</v>
      </c>
      <c r="AE905">
        <f t="shared" si="638"/>
        <v>98.618686868686865</v>
      </c>
      <c r="AF905" s="94">
        <f t="shared" si="639"/>
        <v>3664.0075757575755</v>
      </c>
      <c r="AG905">
        <f t="shared" si="652"/>
        <v>2.2395541583304971E-4</v>
      </c>
      <c r="AH905">
        <f t="shared" si="640"/>
        <v>6.9445063653548023E-2</v>
      </c>
      <c r="AI905">
        <f>HLOOKUP(AW905,'Real assumptions'!$A$21:$AK$24,2,TRUE)</f>
        <v>0</v>
      </c>
      <c r="AJ905" s="123">
        <f t="shared" si="664"/>
        <v>0</v>
      </c>
      <c r="AK905" s="122">
        <f>(1+HLOOKUP(YEAR(A905),'Real assumptions'!$A$21:$AK$24,2,TRUE)/100)^(1/12)-1</f>
        <v>0</v>
      </c>
      <c r="AL905">
        <f t="shared" si="653"/>
        <v>4.9783950555361387E-4</v>
      </c>
      <c r="AM905">
        <f>('Real assumptions'!$B$33/12)*O904*AV904</f>
        <v>4.7875578679898066E-4</v>
      </c>
      <c r="AN905">
        <f t="shared" si="641"/>
        <v>6.9541120683261903E-2</v>
      </c>
      <c r="AO905">
        <f t="shared" si="665"/>
        <v>0</v>
      </c>
      <c r="AP905" s="121">
        <f t="shared" si="642"/>
        <v>0</v>
      </c>
      <c r="AQ905">
        <f t="shared" si="643"/>
        <v>0</v>
      </c>
      <c r="AR905">
        <v>0</v>
      </c>
      <c r="AS905">
        <f t="shared" si="626"/>
        <v>0</v>
      </c>
      <c r="AT905">
        <f t="shared" si="644"/>
        <v>0</v>
      </c>
      <c r="AU905">
        <f>IFERROR(HLOOKUP(B905,'Real assumptions'!$B$43:$AL$44,2,TRUE)*($W$3/$U$2),0)</f>
        <v>0</v>
      </c>
      <c r="AV905">
        <f>AV904*(1+'Real assumptions'!$B$35)^(1/12)</f>
        <v>2.5204627859796296</v>
      </c>
      <c r="AW905">
        <f t="shared" si="627"/>
        <v>2093</v>
      </c>
      <c r="AX905">
        <f t="shared" si="654"/>
        <v>6.9662640912196108E-2</v>
      </c>
      <c r="AY905">
        <f t="shared" si="655"/>
        <v>8.0027066310693493E-5</v>
      </c>
      <c r="AZ905">
        <f t="shared" si="628"/>
        <v>7.0658790112535161E-2</v>
      </c>
      <c r="BA905">
        <f t="shared" si="645"/>
        <v>2.2395541583304971E-4</v>
      </c>
      <c r="BB905">
        <f t="shared" si="646"/>
        <v>24.5</v>
      </c>
      <c r="BC905">
        <f t="shared" si="629"/>
        <v>14.7</v>
      </c>
      <c r="BD905">
        <f t="shared" si="647"/>
        <v>0</v>
      </c>
      <c r="BE905">
        <f t="shared" si="630"/>
        <v>24</v>
      </c>
      <c r="BF905">
        <f t="shared" si="656"/>
        <v>5000</v>
      </c>
      <c r="BU905"/>
      <c r="DW905" s="89"/>
      <c r="DX905" s="89"/>
      <c r="FD905"/>
      <c r="FE905"/>
    </row>
    <row r="906" spans="1:161" x14ac:dyDescent="0.25">
      <c r="A906" s="7">
        <f t="shared" si="648"/>
        <v>70675</v>
      </c>
      <c r="B906">
        <f t="shared" si="631"/>
        <v>895</v>
      </c>
      <c r="C906">
        <f t="shared" si="657"/>
        <v>74.5</v>
      </c>
      <c r="D906">
        <f t="shared" si="658"/>
        <v>0</v>
      </c>
      <c r="E906">
        <f t="shared" si="632"/>
        <v>126</v>
      </c>
      <c r="F906">
        <f>IF(C906&gt;=$T$2,0,VLOOKUP($E906,EKM_F05!$A$3:$C$128,2,TRUE))</f>
        <v>0</v>
      </c>
      <c r="G906">
        <f>F906*'Real assumptions'!$B$3</f>
        <v>0</v>
      </c>
      <c r="H906">
        <f t="shared" si="659"/>
        <v>0</v>
      </c>
      <c r="I906">
        <f t="shared" si="660"/>
        <v>0</v>
      </c>
      <c r="J906">
        <f>IF(B906&gt;$AJ$2,0,HLOOKUP(C906,'Real assumptions'!$B$5:$L$8,4,TRUE))</f>
        <v>3.7900000000000003E-2</v>
      </c>
      <c r="K906">
        <f t="shared" si="621"/>
        <v>1</v>
      </c>
      <c r="L906">
        <f t="shared" si="649"/>
        <v>8.3333333333333329E-2</v>
      </c>
      <c r="M906">
        <f t="shared" si="661"/>
        <v>3.2145624959929453E-3</v>
      </c>
      <c r="N906">
        <f t="shared" si="662"/>
        <v>6.0926592682162182E-8</v>
      </c>
      <c r="O906" s="8">
        <f t="shared" si="633"/>
        <v>1.8892381286106669E-5</v>
      </c>
      <c r="P906">
        <f t="shared" si="634"/>
        <v>4.5487938909093194E-4</v>
      </c>
      <c r="Q906">
        <f t="shared" si="650"/>
        <v>0</v>
      </c>
      <c r="R906" s="89">
        <f t="shared" si="622"/>
        <v>5000</v>
      </c>
      <c r="S906">
        <f t="shared" si="623"/>
        <v>0.4166666666666714</v>
      </c>
      <c r="U906">
        <f>O905*AV905*'Real assumptions'!$B$33/12+AX906*'Real assumptions'!$B$34</f>
        <v>4.9675703891783804E-4</v>
      </c>
      <c r="V906">
        <f>IF(P906=0,0,IF(E906&lt;=$C$7,$AN$5*O905,0))*'Real assumptions'!$D$28</f>
        <v>0</v>
      </c>
      <c r="X906" s="94">
        <f t="shared" si="635"/>
        <v>0</v>
      </c>
      <c r="Y906">
        <f t="shared" si="624"/>
        <v>24</v>
      </c>
      <c r="Z906">
        <f t="shared" si="651"/>
        <v>24</v>
      </c>
      <c r="AA906">
        <f t="shared" si="625"/>
        <v>24.416666666666671</v>
      </c>
      <c r="AB906">
        <f t="shared" si="636"/>
        <v>50.505050505050505</v>
      </c>
      <c r="AC906">
        <f t="shared" si="663"/>
        <v>1233.1649831649834</v>
      </c>
      <c r="AD906">
        <f t="shared" si="637"/>
        <v>80.505050505050505</v>
      </c>
      <c r="AE906">
        <f t="shared" si="638"/>
        <v>98.283249158249177</v>
      </c>
      <c r="AF906" s="94">
        <f t="shared" si="639"/>
        <v>3668.5517676767677</v>
      </c>
      <c r="AG906">
        <f t="shared" si="652"/>
        <v>2.2351235928266849E-4</v>
      </c>
      <c r="AH906">
        <f t="shared" si="640"/>
        <v>6.9307678762770109E-2</v>
      </c>
      <c r="AI906">
        <f>HLOOKUP(AW906,'Real assumptions'!$A$21:$AK$24,2,TRUE)</f>
        <v>0</v>
      </c>
      <c r="AJ906" s="123">
        <f t="shared" si="664"/>
        <v>0</v>
      </c>
      <c r="AK906" s="122">
        <f>(1+HLOOKUP(YEAR(A906),'Real assumptions'!$A$21:$AK$24,2,TRUE)/100)^(1/12)-1</f>
        <v>0</v>
      </c>
      <c r="AL906">
        <f t="shared" si="653"/>
        <v>4.9675703891783804E-4</v>
      </c>
      <c r="AM906">
        <f>('Real assumptions'!$B$33/12)*O905*AV905</f>
        <v>4.7771107179701763E-4</v>
      </c>
      <c r="AN906">
        <f t="shared" si="641"/>
        <v>6.9403186003721112E-2</v>
      </c>
      <c r="AO906">
        <f t="shared" si="665"/>
        <v>0</v>
      </c>
      <c r="AP906" s="121">
        <f t="shared" si="642"/>
        <v>0</v>
      </c>
      <c r="AQ906">
        <f t="shared" si="643"/>
        <v>0</v>
      </c>
      <c r="AR906">
        <v>0</v>
      </c>
      <c r="AS906">
        <f t="shared" si="626"/>
        <v>0</v>
      </c>
      <c r="AT906">
        <f t="shared" si="644"/>
        <v>0</v>
      </c>
      <c r="AU906">
        <f>IFERROR(HLOOKUP(B906,'Real assumptions'!$B$43:$AL$44,2,TRUE)*($W$3/$U$2),0)</f>
        <v>0</v>
      </c>
      <c r="AV906">
        <f>AV905*(1+'Real assumptions'!$B$35)^(1/12)</f>
        <v>2.5230733452654035</v>
      </c>
      <c r="AW906">
        <f t="shared" si="627"/>
        <v>2093</v>
      </c>
      <c r="AX906">
        <f t="shared" si="654"/>
        <v>6.9524833467852695E-2</v>
      </c>
      <c r="AY906">
        <f t="shared" si="655"/>
        <v>7.9769814304666802E-5</v>
      </c>
      <c r="AZ906">
        <f t="shared" si="628"/>
        <v>7.0393400103425582E-2</v>
      </c>
      <c r="BA906">
        <f t="shared" si="645"/>
        <v>2.2351235928266849E-4</v>
      </c>
      <c r="BB906">
        <f t="shared" si="646"/>
        <v>24.416666666666671</v>
      </c>
      <c r="BC906">
        <f t="shared" si="629"/>
        <v>14.650000000000002</v>
      </c>
      <c r="BD906">
        <f t="shared" si="647"/>
        <v>0</v>
      </c>
      <c r="BE906">
        <f t="shared" si="630"/>
        <v>24</v>
      </c>
      <c r="BF906">
        <f t="shared" si="656"/>
        <v>5000</v>
      </c>
      <c r="BU906"/>
      <c r="DW906" s="89"/>
      <c r="DX906" s="89"/>
      <c r="FD906"/>
      <c r="FE906"/>
    </row>
    <row r="907" spans="1:161" x14ac:dyDescent="0.25">
      <c r="A907" s="7">
        <f t="shared" si="648"/>
        <v>70706</v>
      </c>
      <c r="B907">
        <f t="shared" si="631"/>
        <v>896</v>
      </c>
      <c r="C907">
        <f t="shared" si="657"/>
        <v>74.583333333333329</v>
      </c>
      <c r="D907">
        <f t="shared" si="658"/>
        <v>0</v>
      </c>
      <c r="E907">
        <f t="shared" si="632"/>
        <v>126</v>
      </c>
      <c r="F907">
        <f>IF(C907&gt;=$T$2,0,VLOOKUP($E907,EKM_F05!$A$3:$C$128,2,TRUE))</f>
        <v>0</v>
      </c>
      <c r="G907">
        <f>F907*'Real assumptions'!$B$3</f>
        <v>0</v>
      </c>
      <c r="H907">
        <f t="shared" si="659"/>
        <v>0</v>
      </c>
      <c r="I907">
        <f t="shared" si="660"/>
        <v>0</v>
      </c>
      <c r="J907">
        <f>IF(B907&gt;$AJ$2,0,HLOOKUP(C907,'Real assumptions'!$B$5:$L$8,4,TRUE))</f>
        <v>3.7900000000000003E-2</v>
      </c>
      <c r="K907">
        <f t="shared" si="621"/>
        <v>1</v>
      </c>
      <c r="L907">
        <f t="shared" si="649"/>
        <v>8.3333333333333329E-2</v>
      </c>
      <c r="M907">
        <f t="shared" si="661"/>
        <v>3.2145624959929453E-3</v>
      </c>
      <c r="N907">
        <f t="shared" si="662"/>
        <v>6.073074034231746E-8</v>
      </c>
      <c r="O907" s="8">
        <f t="shared" si="633"/>
        <v>1.8831650545764352E-5</v>
      </c>
      <c r="P907">
        <f t="shared" si="634"/>
        <v>4.5341715086656003E-4</v>
      </c>
      <c r="Q907">
        <f t="shared" si="650"/>
        <v>0</v>
      </c>
      <c r="R907" s="89">
        <f t="shared" si="622"/>
        <v>5000</v>
      </c>
      <c r="S907">
        <f t="shared" si="623"/>
        <v>0.3333333333333286</v>
      </c>
      <c r="U907">
        <f>O906*AV906*'Real assumptions'!$B$33/12+AX907*'Real assumptions'!$B$34</f>
        <v>4.9567689751271759E-4</v>
      </c>
      <c r="V907">
        <f>IF(P907=0,0,IF(E907&lt;=$C$7,$AN$5*O906,0))*'Real assumptions'!$D$28</f>
        <v>0</v>
      </c>
      <c r="X907" s="94">
        <f t="shared" si="635"/>
        <v>0</v>
      </c>
      <c r="Y907">
        <f t="shared" si="624"/>
        <v>24</v>
      </c>
      <c r="Z907">
        <f t="shared" si="651"/>
        <v>24</v>
      </c>
      <c r="AA907">
        <f t="shared" si="625"/>
        <v>24.333333333333329</v>
      </c>
      <c r="AB907">
        <f t="shared" si="636"/>
        <v>50.505050505050505</v>
      </c>
      <c r="AC907">
        <f t="shared" si="663"/>
        <v>1228.9562289562286</v>
      </c>
      <c r="AD907">
        <f t="shared" si="637"/>
        <v>80.505050505050505</v>
      </c>
      <c r="AE907">
        <f t="shared" si="638"/>
        <v>97.947811447811418</v>
      </c>
      <c r="AF907" s="94">
        <f t="shared" si="639"/>
        <v>3673.0959595959598</v>
      </c>
      <c r="AG907">
        <f t="shared" si="652"/>
        <v>2.2306983697463763E-4</v>
      </c>
      <c r="AH907">
        <f t="shared" si="640"/>
        <v>6.9170459532170089E-2</v>
      </c>
      <c r="AI907">
        <f>HLOOKUP(AW907,'Real assumptions'!$A$21:$AK$24,2,TRUE)</f>
        <v>0</v>
      </c>
      <c r="AJ907" s="123">
        <f t="shared" si="664"/>
        <v>0</v>
      </c>
      <c r="AK907" s="122">
        <f>(1+HLOOKUP(YEAR(A907),'Real assumptions'!$A$21:$AK$24,2,TRUE)/100)^(1/12)-1</f>
        <v>0</v>
      </c>
      <c r="AL907">
        <f t="shared" si="653"/>
        <v>4.9567689751271759E-4</v>
      </c>
      <c r="AM907">
        <f>('Real assumptions'!$B$33/12)*O906*AV906</f>
        <v>4.7666863651566664E-4</v>
      </c>
      <c r="AN907">
        <f t="shared" si="641"/>
        <v>6.9265419016123958E-2</v>
      </c>
      <c r="AO907">
        <f t="shared" si="665"/>
        <v>0</v>
      </c>
      <c r="AP907" s="121">
        <f t="shared" si="642"/>
        <v>0</v>
      </c>
      <c r="AQ907">
        <f t="shared" si="643"/>
        <v>0</v>
      </c>
      <c r="AR907">
        <v>0</v>
      </c>
      <c r="AS907">
        <f t="shared" si="626"/>
        <v>0</v>
      </c>
      <c r="AT907">
        <f t="shared" si="644"/>
        <v>0</v>
      </c>
      <c r="AU907">
        <f>IFERROR(HLOOKUP(B907,'Real assumptions'!$B$43:$AL$44,2,TRUE)*($W$3/$U$2),0)</f>
        <v>0</v>
      </c>
      <c r="AV907">
        <f>AV906*(1+'Real assumptions'!$B$35)^(1/12)</f>
        <v>2.525686608427554</v>
      </c>
      <c r="AW907">
        <f t="shared" si="627"/>
        <v>2093</v>
      </c>
      <c r="AX907">
        <f t="shared" si="654"/>
        <v>6.9387192152021396E-2</v>
      </c>
      <c r="AY907">
        <f t="shared" si="655"/>
        <v>7.9513389251290687E-5</v>
      </c>
      <c r="AZ907">
        <f t="shared" si="628"/>
        <v>7.0128070519804797E-2</v>
      </c>
      <c r="BA907">
        <f t="shared" si="645"/>
        <v>2.2306983697463763E-4</v>
      </c>
      <c r="BB907">
        <f t="shared" si="646"/>
        <v>24.333333333333329</v>
      </c>
      <c r="BC907">
        <f t="shared" si="629"/>
        <v>14.599999999999996</v>
      </c>
      <c r="BD907">
        <f t="shared" si="647"/>
        <v>0</v>
      </c>
      <c r="BE907">
        <f t="shared" si="630"/>
        <v>24</v>
      </c>
      <c r="BF907">
        <f t="shared" si="656"/>
        <v>5000</v>
      </c>
      <c r="BU907"/>
      <c r="DW907" s="89"/>
      <c r="DX907" s="89"/>
      <c r="FD907"/>
      <c r="FE907"/>
    </row>
    <row r="908" spans="1:161" x14ac:dyDescent="0.25">
      <c r="A908" s="7">
        <f t="shared" si="648"/>
        <v>70737</v>
      </c>
      <c r="B908">
        <f t="shared" si="631"/>
        <v>897</v>
      </c>
      <c r="C908">
        <f t="shared" si="657"/>
        <v>74.666666666666671</v>
      </c>
      <c r="D908">
        <f t="shared" si="658"/>
        <v>0</v>
      </c>
      <c r="E908">
        <f t="shared" si="632"/>
        <v>126</v>
      </c>
      <c r="F908">
        <f>IF(C908&gt;=$T$2,0,VLOOKUP($E908,EKM_F05!$A$3:$C$128,2,TRUE))</f>
        <v>0</v>
      </c>
      <c r="G908">
        <f>F908*'Real assumptions'!$B$3</f>
        <v>0</v>
      </c>
      <c r="H908">
        <f t="shared" si="659"/>
        <v>0</v>
      </c>
      <c r="I908">
        <f t="shared" si="660"/>
        <v>0</v>
      </c>
      <c r="J908">
        <f>IF(B908&gt;$AJ$2,0,HLOOKUP(C908,'Real assumptions'!$B$5:$L$8,4,TRUE))</f>
        <v>3.7900000000000003E-2</v>
      </c>
      <c r="K908">
        <f t="shared" ref="K908:K971" si="666">IF(B908&gt;$AJ$2,0,IF(($U$2*(B908+11))/12-INT(($U$2*(B908+11))/12)=0,1,0))</f>
        <v>1</v>
      </c>
      <c r="L908">
        <f t="shared" si="649"/>
        <v>8.3333333333333329E-2</v>
      </c>
      <c r="M908">
        <f t="shared" si="661"/>
        <v>3.2145624959929453E-3</v>
      </c>
      <c r="N908">
        <f t="shared" si="662"/>
        <v>6.0535517582059166E-8</v>
      </c>
      <c r="O908" s="8">
        <f t="shared" si="633"/>
        <v>1.8771115028182292E-5</v>
      </c>
      <c r="P908">
        <f t="shared" si="634"/>
        <v>4.5195961309834449E-4</v>
      </c>
      <c r="Q908">
        <f t="shared" si="650"/>
        <v>0</v>
      </c>
      <c r="R908" s="89">
        <f t="shared" ref="R908:R971" si="667">$AI$2</f>
        <v>5000</v>
      </c>
      <c r="S908">
        <f t="shared" ref="S908:S971" si="668">INT(B908/12)+1-B908/12</f>
        <v>0.25</v>
      </c>
      <c r="U908">
        <f>O907*AV907*'Real assumptions'!$B$33/12+AX908*'Real assumptions'!$B$34</f>
        <v>4.9459907646108288E-4</v>
      </c>
      <c r="V908">
        <f>IF(P908=0,0,IF(E908&lt;=$C$7,$AN$5*O907,0))*'Real assumptions'!$D$28</f>
        <v>0</v>
      </c>
      <c r="X908" s="94">
        <f t="shared" si="635"/>
        <v>0</v>
      </c>
      <c r="Y908">
        <f t="shared" ref="Y908:Y971" si="669">IF(P908=0,0,$AN$5)</f>
        <v>24</v>
      </c>
      <c r="Z908">
        <f t="shared" si="651"/>
        <v>24</v>
      </c>
      <c r="AA908">
        <f t="shared" ref="AA908:AA971" si="670">99-(B908/12)</f>
        <v>24.25</v>
      </c>
      <c r="AB908">
        <f t="shared" si="636"/>
        <v>50.505050505050505</v>
      </c>
      <c r="AC908">
        <f t="shared" si="663"/>
        <v>1224.7474747474748</v>
      </c>
      <c r="AD908">
        <f t="shared" si="637"/>
        <v>80.505050505050505</v>
      </c>
      <c r="AE908">
        <f t="shared" si="638"/>
        <v>97.61237373737373</v>
      </c>
      <c r="AF908" s="94">
        <f t="shared" si="639"/>
        <v>3677.6401515151515</v>
      </c>
      <c r="AG908">
        <f t="shared" si="652"/>
        <v>2.226278500525322E-4</v>
      </c>
      <c r="AH908">
        <f t="shared" si="640"/>
        <v>6.9033406316352658E-2</v>
      </c>
      <c r="AI908">
        <f>HLOOKUP(AW908,'Real assumptions'!$A$21:$AK$24,2,TRUE)</f>
        <v>0</v>
      </c>
      <c r="AJ908" s="123">
        <f t="shared" si="664"/>
        <v>0</v>
      </c>
      <c r="AK908" s="122">
        <f>(1+HLOOKUP(YEAR(A908),'Real assumptions'!$A$21:$AK$24,2,TRUE)/100)^(1/12)-1</f>
        <v>0</v>
      </c>
      <c r="AL908">
        <f t="shared" si="653"/>
        <v>4.9459907646108288E-4</v>
      </c>
      <c r="AM908">
        <f>('Real assumptions'!$B$33/12)*O907*AV907</f>
        <v>4.7562847598024461E-4</v>
      </c>
      <c r="AN908">
        <f t="shared" si="641"/>
        <v>6.9127820068807341E-2</v>
      </c>
      <c r="AO908">
        <f t="shared" si="665"/>
        <v>0</v>
      </c>
      <c r="AP908" s="121">
        <f t="shared" si="642"/>
        <v>0</v>
      </c>
      <c r="AQ908">
        <f t="shared" si="643"/>
        <v>0</v>
      </c>
      <c r="AR908">
        <v>0</v>
      </c>
      <c r="AS908">
        <f t="shared" ref="AS908:AS971" si="671">IF(B908&gt;$B$12,IF(B908&lt;=$AJ$2,AT908,0),0)</f>
        <v>0</v>
      </c>
      <c r="AT908">
        <f t="shared" si="644"/>
        <v>0</v>
      </c>
      <c r="AU908">
        <f>IFERROR(HLOOKUP(B908,'Real assumptions'!$B$43:$AL$44,2,TRUE)*($W$3/$U$2),0)</f>
        <v>0</v>
      </c>
      <c r="AV908">
        <f>AV907*(1+'Real assumptions'!$B$35)^(1/12)</f>
        <v>2.5283025782666098</v>
      </c>
      <c r="AW908">
        <f t="shared" ref="AW908:AW971" si="672">YEAR(A908)</f>
        <v>2093</v>
      </c>
      <c r="AX908">
        <f t="shared" si="654"/>
        <v>6.924971732066236E-2</v>
      </c>
      <c r="AY908">
        <f t="shared" si="655"/>
        <v>7.9257788492274203E-5</v>
      </c>
      <c r="AZ908">
        <f t="shared" ref="AZ908:AZ971" si="673">(AZ909+BA909-P909+U909+AQ909)/((1+AJ909))</f>
        <v>6.9862803206389518E-2</v>
      </c>
      <c r="BA908">
        <f t="shared" si="645"/>
        <v>2.226278500525322E-4</v>
      </c>
      <c r="BB908">
        <f t="shared" si="646"/>
        <v>24.25</v>
      </c>
      <c r="BC908">
        <f t="shared" ref="BC908:BC971" si="674">$AQ$5*BB908+IF($W$3=0,0,$AP$5*AA908)</f>
        <v>14.549999999999999</v>
      </c>
      <c r="BD908">
        <f t="shared" si="647"/>
        <v>0</v>
      </c>
      <c r="BE908">
        <f t="shared" ref="BE908:BE971" si="675">IF(B908=1,$AR$5,IF(P908=0,0,$W$3/$U$2))</f>
        <v>24</v>
      </c>
      <c r="BF908">
        <f t="shared" si="656"/>
        <v>5000</v>
      </c>
      <c r="BU908"/>
      <c r="DW908" s="89"/>
      <c r="DX908" s="89"/>
      <c r="FD908"/>
      <c r="FE908"/>
    </row>
    <row r="909" spans="1:161" x14ac:dyDescent="0.25">
      <c r="A909" s="7">
        <f t="shared" si="648"/>
        <v>70767</v>
      </c>
      <c r="B909">
        <f t="shared" ref="B909:B972" si="676">B908+1</f>
        <v>898</v>
      </c>
      <c r="C909">
        <f t="shared" si="657"/>
        <v>74.75</v>
      </c>
      <c r="D909">
        <f t="shared" si="658"/>
        <v>0</v>
      </c>
      <c r="E909">
        <f t="shared" ref="E909:E972" si="677">$C$2+INT($C909)</f>
        <v>126</v>
      </c>
      <c r="F909">
        <f>IF(C909&gt;=$T$2,0,VLOOKUP($E909,EKM_F05!$A$3:$C$128,2,TRUE))</f>
        <v>0</v>
      </c>
      <c r="G909">
        <f>F909*'Real assumptions'!$B$3</f>
        <v>0</v>
      </c>
      <c r="H909">
        <f t="shared" si="659"/>
        <v>0</v>
      </c>
      <c r="I909">
        <f t="shared" si="660"/>
        <v>0</v>
      </c>
      <c r="J909">
        <f>IF(B909&gt;$AJ$2,0,HLOOKUP(C909,'Real assumptions'!$B$5:$L$8,4,TRUE))</f>
        <v>3.7900000000000003E-2</v>
      </c>
      <c r="K909">
        <f t="shared" si="666"/>
        <v>1</v>
      </c>
      <c r="L909">
        <f t="shared" si="649"/>
        <v>8.3333333333333329E-2</v>
      </c>
      <c r="M909">
        <f t="shared" si="661"/>
        <v>3.2145624959929453E-3</v>
      </c>
      <c r="N909">
        <f t="shared" si="662"/>
        <v>6.034092237756436E-8</v>
      </c>
      <c r="O909" s="8">
        <f t="shared" ref="O909:O972" si="678">IF(E910&gt;$C$5,0,IF(B909&gt;$AJ$2,0,O908-I909-N909))</f>
        <v>1.8710774105804728E-5</v>
      </c>
      <c r="P909">
        <f t="shared" ref="P909:P972" si="679">IF($U$2=0,0,$W$3/$U$2*K909*O908)</f>
        <v>4.5050676067637501E-4</v>
      </c>
      <c r="Q909">
        <f t="shared" si="650"/>
        <v>0</v>
      </c>
      <c r="R909" s="89">
        <f t="shared" si="667"/>
        <v>5000</v>
      </c>
      <c r="S909">
        <f t="shared" si="668"/>
        <v>0.1666666666666714</v>
      </c>
      <c r="U909">
        <f>O908*AV908*'Real assumptions'!$B$33/12+AX909*'Real assumptions'!$B$34</f>
        <v>4.9352357089552242E-4</v>
      </c>
      <c r="V909">
        <f>IF(P909=0,0,IF(E909&lt;=$C$7,$AN$5*O908,0))*'Real assumptions'!$D$28</f>
        <v>0</v>
      </c>
      <c r="X909" s="94">
        <f t="shared" ref="X909:X972" si="680">IF($U$2=12,0,IF($AM$2&lt;&gt;0,0,X908+Y909-($AN$5*($U$2/12))))</f>
        <v>0</v>
      </c>
      <c r="Y909">
        <f t="shared" si="669"/>
        <v>24</v>
      </c>
      <c r="Z909">
        <f t="shared" si="651"/>
        <v>24</v>
      </c>
      <c r="AA909">
        <f t="shared" si="670"/>
        <v>24.166666666666671</v>
      </c>
      <c r="AB909">
        <f t="shared" ref="AB909:AB972" si="681">IF($AM$2&lt;&gt;0,0,R909/99)</f>
        <v>50.505050505050505</v>
      </c>
      <c r="AC909">
        <f t="shared" si="663"/>
        <v>1220.5387205387208</v>
      </c>
      <c r="AD909">
        <f t="shared" ref="AD909:AD972" si="682">IF($AM$2&lt;&gt;0,0,AB909+$Q$4*$AI$2+$Q$5*$AI$2)</f>
        <v>80.505050505050505</v>
      </c>
      <c r="AE909">
        <f t="shared" ref="AE909:AE972" si="683">MIN($C$6*AD909*AA909,$AI$2-AC909+BD909)</f>
        <v>97.276936026936042</v>
      </c>
      <c r="AF909" s="94">
        <f t="shared" ref="AF909:AF972" si="684">MAX(($AI$2+$Y$2-AC909-AE909+X909+BD909),0)</f>
        <v>3682.1843434343432</v>
      </c>
      <c r="AG909">
        <f t="shared" si="652"/>
        <v>2.2218639964705449E-4</v>
      </c>
      <c r="AH909">
        <f t="shared" ref="AH909:AH972" si="685">AF909*O909</f>
        <v>6.8896519465930894E-2</v>
      </c>
      <c r="AI909">
        <f>HLOOKUP(AW909,'Real assumptions'!$A$21:$AK$24,2,TRUE)</f>
        <v>0</v>
      </c>
      <c r="AJ909" s="123">
        <f t="shared" si="664"/>
        <v>0</v>
      </c>
      <c r="AK909" s="122">
        <f>(1+HLOOKUP(YEAR(A909),'Real assumptions'!$A$21:$AK$24,2,TRUE)/100)^(1/12)-1</f>
        <v>0</v>
      </c>
      <c r="AL909">
        <f t="shared" si="653"/>
        <v>4.9352357089552242E-4</v>
      </c>
      <c r="AM909">
        <f>('Real assumptions'!$B$33/12)*O908*AV908</f>
        <v>4.7459058522692394E-4</v>
      </c>
      <c r="AN909">
        <f t="shared" ref="AN909:AN972" si="686">AP908+P909+AH908-V909-AL909</f>
        <v>6.8990389506133509E-2</v>
      </c>
      <c r="AO909">
        <f t="shared" si="665"/>
        <v>0</v>
      </c>
      <c r="AP909" s="121">
        <f t="shared" ref="AP909:AP972" si="687">IF(MONTH(A909)=12,0,AP908+AO909)</f>
        <v>0</v>
      </c>
      <c r="AQ909">
        <f t="shared" ref="AQ909:AQ972" si="688">IF(P909=0,0,AR909+AS909)</f>
        <v>0</v>
      </c>
      <c r="AR909">
        <v>0</v>
      </c>
      <c r="AS909">
        <f t="shared" si="671"/>
        <v>0</v>
      </c>
      <c r="AT909">
        <f t="shared" ref="AT909:AT972" si="689">IF(OR(B909&lt;=$B$12,B909&gt;$AJ$2),0,AU909*O908)</f>
        <v>0</v>
      </c>
      <c r="AU909">
        <f>IFERROR(HLOOKUP(B909,'Real assumptions'!$B$43:$AL$44,2,TRUE)*($W$3/$U$2),0)</f>
        <v>0</v>
      </c>
      <c r="AV909">
        <f>AV908*(1+'Real assumptions'!$B$35)^(1/12)</f>
        <v>2.5309212575860012</v>
      </c>
      <c r="AW909">
        <f t="shared" si="672"/>
        <v>2093</v>
      </c>
      <c r="AX909">
        <f t="shared" si="654"/>
        <v>6.9112409325730526E-2</v>
      </c>
      <c r="AY909">
        <f t="shared" si="655"/>
        <v>7.9003009377871596E-5</v>
      </c>
      <c r="AZ909">
        <f t="shared" si="673"/>
        <v>6.9597599996523318E-2</v>
      </c>
      <c r="BA909">
        <f t="shared" ref="BA909:BA972" si="690">AG909+V909+Q909</f>
        <v>2.2218639964705449E-4</v>
      </c>
      <c r="BB909">
        <f t="shared" ref="BB909:BB972" si="691">Z910+IF(S909=1,0,S909)</f>
        <v>24.166666666666671</v>
      </c>
      <c r="BC909">
        <f t="shared" si="674"/>
        <v>14.500000000000002</v>
      </c>
      <c r="BD909">
        <f t="shared" ref="BD909:BD972" si="692">(BC909/100)*($AI$2+$Y$2)-AA909*(AD909-AB909)</f>
        <v>0</v>
      </c>
      <c r="BE909">
        <f t="shared" si="675"/>
        <v>24</v>
      </c>
      <c r="BF909">
        <f t="shared" si="656"/>
        <v>5000</v>
      </c>
      <c r="BU909"/>
      <c r="DW909" s="89"/>
      <c r="DX909" s="89"/>
      <c r="FD909"/>
      <c r="FE909"/>
    </row>
    <row r="910" spans="1:161" x14ac:dyDescent="0.25">
      <c r="A910" s="7">
        <f t="shared" ref="A910:A973" si="693">DATE(YEAR(A909),MONTH(A909)+2,1)-1</f>
        <v>70798</v>
      </c>
      <c r="B910">
        <f t="shared" si="676"/>
        <v>899</v>
      </c>
      <c r="C910">
        <f t="shared" si="657"/>
        <v>74.833333333333329</v>
      </c>
      <c r="D910">
        <f t="shared" si="658"/>
        <v>0</v>
      </c>
      <c r="E910">
        <f t="shared" si="677"/>
        <v>126</v>
      </c>
      <c r="F910">
        <f>IF(C910&gt;=$T$2,0,VLOOKUP($E910,EKM_F05!$A$3:$C$128,2,TRUE))</f>
        <v>0</v>
      </c>
      <c r="G910">
        <f>F910*'Real assumptions'!$B$3</f>
        <v>0</v>
      </c>
      <c r="H910">
        <f t="shared" si="659"/>
        <v>0</v>
      </c>
      <c r="I910">
        <f t="shared" si="660"/>
        <v>0</v>
      </c>
      <c r="J910">
        <f>IF(B910&gt;$AJ$2,0,HLOOKUP(C910,'Real assumptions'!$B$5:$L$8,4,TRUE))</f>
        <v>3.7900000000000003E-2</v>
      </c>
      <c r="K910">
        <f t="shared" si="666"/>
        <v>1</v>
      </c>
      <c r="L910">
        <f t="shared" ref="L910:L973" si="694">IF(B910&gt;$AJ$2,0,1/12)</f>
        <v>8.3333333333333329E-2</v>
      </c>
      <c r="M910">
        <f t="shared" si="661"/>
        <v>3.2145624959929453E-3</v>
      </c>
      <c r="N910">
        <f t="shared" si="662"/>
        <v>6.0146952711515816E-8</v>
      </c>
      <c r="O910" s="8">
        <f t="shared" si="678"/>
        <v>1.8650627153093214E-5</v>
      </c>
      <c r="P910">
        <f t="shared" si="679"/>
        <v>4.4905857853931347E-4</v>
      </c>
      <c r="Q910">
        <f t="shared" ref="Q910:Q973" si="695">BF910*I910</f>
        <v>0</v>
      </c>
      <c r="R910" s="89">
        <f t="shared" si="667"/>
        <v>5000</v>
      </c>
      <c r="S910">
        <f t="shared" si="668"/>
        <v>8.3333333333328596E-2</v>
      </c>
      <c r="U910">
        <f>O909*AV909*'Real assumptions'!$B$33/12+AX910*'Real assumptions'!$B$34</f>
        <v>4.9245037595836553E-4</v>
      </c>
      <c r="V910">
        <f>IF(P910=0,0,IF(E910&lt;=$C$7,$AN$5*O909,0))*'Real assumptions'!$D$28</f>
        <v>0</v>
      </c>
      <c r="X910" s="94">
        <f t="shared" si="680"/>
        <v>0</v>
      </c>
      <c r="Y910">
        <f t="shared" si="669"/>
        <v>24</v>
      </c>
      <c r="Z910">
        <f t="shared" ref="Z910:Z973" si="696">IF(S908=1,Z909-1,Z909)</f>
        <v>24</v>
      </c>
      <c r="AA910">
        <f t="shared" si="670"/>
        <v>24.083333333333329</v>
      </c>
      <c r="AB910">
        <f t="shared" si="681"/>
        <v>50.505050505050505</v>
      </c>
      <c r="AC910">
        <f t="shared" si="663"/>
        <v>1216.3299663299661</v>
      </c>
      <c r="AD910">
        <f t="shared" si="682"/>
        <v>80.505050505050505</v>
      </c>
      <c r="AE910">
        <f t="shared" si="683"/>
        <v>96.941498316498297</v>
      </c>
      <c r="AF910" s="94">
        <f t="shared" si="684"/>
        <v>3686.7285353535358</v>
      </c>
      <c r="AG910">
        <f t="shared" ref="AG910:AG973" si="697">IF(B910&lt;=$C$8,0,AF910*N910)</f>
        <v>2.2174548687610508E-4</v>
      </c>
      <c r="AH910">
        <f t="shared" si="685"/>
        <v>6.8759799327548235E-2</v>
      </c>
      <c r="AI910">
        <f>HLOOKUP(AW910,'Real assumptions'!$A$21:$AK$24,2,TRUE)</f>
        <v>0</v>
      </c>
      <c r="AJ910" s="123">
        <f t="shared" si="664"/>
        <v>0</v>
      </c>
      <c r="AK910" s="122">
        <f>(1+HLOOKUP(YEAR(A910),'Real assumptions'!$A$21:$AK$24,2,TRUE)/100)^(1/12)-1</f>
        <v>0</v>
      </c>
      <c r="AL910">
        <f t="shared" ref="AL910:AL973" si="698">AQ910+U910</f>
        <v>4.9245037595836553E-4</v>
      </c>
      <c r="AM910">
        <f>('Real assumptions'!$B$33/12)*O909*AV909</f>
        <v>4.7355495930270888E-4</v>
      </c>
      <c r="AN910">
        <f t="shared" si="686"/>
        <v>6.8853127668511843E-2</v>
      </c>
      <c r="AO910">
        <f t="shared" si="665"/>
        <v>0</v>
      </c>
      <c r="AP910" s="121">
        <f t="shared" si="687"/>
        <v>0</v>
      </c>
      <c r="AQ910">
        <f t="shared" si="688"/>
        <v>0</v>
      </c>
      <c r="AR910">
        <v>0</v>
      </c>
      <c r="AS910">
        <f t="shared" si="671"/>
        <v>0</v>
      </c>
      <c r="AT910">
        <f t="shared" si="689"/>
        <v>0</v>
      </c>
      <c r="AU910">
        <f>IFERROR(HLOOKUP(B910,'Real assumptions'!$B$43:$AL$44,2,TRUE)*($W$3/$U$2),0)</f>
        <v>0</v>
      </c>
      <c r="AV910">
        <f>AV909*(1+'Real assumptions'!$B$35)^(1/12)</f>
        <v>2.5335426491920612</v>
      </c>
      <c r="AW910">
        <f t="shared" si="672"/>
        <v>2093</v>
      </c>
      <c r="AX910">
        <f t="shared" ref="AX910:AX973" si="699">MAX(0,AH909+AP909-V910+AY910)</f>
        <v>6.8975268515197752E-2</v>
      </c>
      <c r="AY910">
        <f t="shared" ref="AY910:AY973" si="700">IF(P910=0,0,(AB910/$U$2)*O909)</f>
        <v>7.8749049266854906E-5</v>
      </c>
      <c r="AZ910">
        <f t="shared" si="673"/>
        <v>6.9332462712228163E-2</v>
      </c>
      <c r="BA910">
        <f t="shared" si="690"/>
        <v>2.2174548687610508E-4</v>
      </c>
      <c r="BB910">
        <f t="shared" si="691"/>
        <v>24.083333333333329</v>
      </c>
      <c r="BC910">
        <f t="shared" si="674"/>
        <v>14.449999999999996</v>
      </c>
      <c r="BD910">
        <f t="shared" si="692"/>
        <v>0</v>
      </c>
      <c r="BE910">
        <f t="shared" si="675"/>
        <v>24</v>
      </c>
      <c r="BF910">
        <f t="shared" ref="BF910:BF973" si="701">((IF(B910&lt;13,BF909+BE910,$AI$2+$Y$2)))</f>
        <v>5000</v>
      </c>
      <c r="BU910"/>
      <c r="DW910" s="89"/>
      <c r="DX910" s="89"/>
      <c r="FD910"/>
      <c r="FE910"/>
    </row>
    <row r="911" spans="1:161" x14ac:dyDescent="0.25">
      <c r="A911" s="7">
        <f t="shared" si="693"/>
        <v>70828</v>
      </c>
      <c r="B911">
        <f t="shared" si="676"/>
        <v>900</v>
      </c>
      <c r="C911">
        <f t="shared" si="657"/>
        <v>74.916666666666671</v>
      </c>
      <c r="D911">
        <f t="shared" si="658"/>
        <v>0</v>
      </c>
      <c r="E911">
        <f t="shared" si="677"/>
        <v>126</v>
      </c>
      <c r="F911">
        <f>IF(C911&gt;=$T$2,0,VLOOKUP($E911,EKM_F05!$A$3:$C$128,2,TRUE))</f>
        <v>0</v>
      </c>
      <c r="G911">
        <f>F911*'Real assumptions'!$B$3</f>
        <v>0</v>
      </c>
      <c r="H911">
        <f t="shared" si="659"/>
        <v>0</v>
      </c>
      <c r="I911">
        <f t="shared" si="660"/>
        <v>0</v>
      </c>
      <c r="J911">
        <f>IF(B911&gt;$AJ$2,0,HLOOKUP(C911,'Real assumptions'!$B$5:$L$8,4,TRUE))</f>
        <v>3.7900000000000003E-2</v>
      </c>
      <c r="K911">
        <f t="shared" si="666"/>
        <v>1</v>
      </c>
      <c r="L911">
        <f t="shared" si="694"/>
        <v>8.3333333333333329E-2</v>
      </c>
      <c r="M911">
        <f t="shared" si="661"/>
        <v>3.2145624959929453E-3</v>
      </c>
      <c r="N911">
        <f t="shared" si="662"/>
        <v>5.9953606573081127E-8</v>
      </c>
      <c r="O911" s="8">
        <f t="shared" si="678"/>
        <v>1.8590673546520133E-5</v>
      </c>
      <c r="P911">
        <f t="shared" si="679"/>
        <v>4.476150516742371E-4</v>
      </c>
      <c r="Q911">
        <f t="shared" si="695"/>
        <v>0</v>
      </c>
      <c r="R911" s="89">
        <f t="shared" si="667"/>
        <v>5000</v>
      </c>
      <c r="S911">
        <f t="shared" si="668"/>
        <v>1</v>
      </c>
      <c r="U911">
        <f>O910*AV910*'Real assumptions'!$B$33/12+AX911*'Real assumptions'!$B$34</f>
        <v>4.9137948680166453E-4</v>
      </c>
      <c r="V911">
        <f>IF(P911=0,0,IF(E911&lt;=$C$7,$AN$5*O910,0))*'Real assumptions'!$D$28</f>
        <v>0</v>
      </c>
      <c r="X911" s="94">
        <f t="shared" si="680"/>
        <v>0</v>
      </c>
      <c r="Y911">
        <f t="shared" si="669"/>
        <v>24</v>
      </c>
      <c r="Z911">
        <f t="shared" si="696"/>
        <v>24</v>
      </c>
      <c r="AA911">
        <f t="shared" si="670"/>
        <v>24</v>
      </c>
      <c r="AB911">
        <f t="shared" si="681"/>
        <v>50.505050505050505</v>
      </c>
      <c r="AC911">
        <f t="shared" si="663"/>
        <v>1212.121212121212</v>
      </c>
      <c r="AD911">
        <f t="shared" si="682"/>
        <v>80.505050505050505</v>
      </c>
      <c r="AE911">
        <f t="shared" si="683"/>
        <v>96.606060606060595</v>
      </c>
      <c r="AF911" s="94">
        <f t="shared" si="684"/>
        <v>3691.2727272727275</v>
      </c>
      <c r="AG911">
        <f t="shared" si="697"/>
        <v>2.2130511284485329E-4</v>
      </c>
      <c r="AH911">
        <f t="shared" si="685"/>
        <v>6.8623246243900315E-2</v>
      </c>
      <c r="AI911">
        <f>HLOOKUP(AW911,'Real assumptions'!$A$21:$AK$24,2,TRUE)</f>
        <v>0</v>
      </c>
      <c r="AJ911" s="123">
        <f t="shared" si="664"/>
        <v>0</v>
      </c>
      <c r="AK911" s="122">
        <f>(1+HLOOKUP(YEAR(A911),'Real assumptions'!$A$21:$AK$24,2,TRUE)/100)^(1/12)-1</f>
        <v>0</v>
      </c>
      <c r="AL911">
        <f t="shared" si="698"/>
        <v>4.9137948680166453E-4</v>
      </c>
      <c r="AM911">
        <f>('Real assumptions'!$B$33/12)*O910*AV910</f>
        <v>4.7252159326541173E-4</v>
      </c>
      <c r="AN911">
        <f t="shared" si="686"/>
        <v>6.8716034892420799E-2</v>
      </c>
      <c r="AO911">
        <f t="shared" si="665"/>
        <v>0</v>
      </c>
      <c r="AP911" s="121">
        <f t="shared" si="687"/>
        <v>0</v>
      </c>
      <c r="AQ911">
        <f t="shared" si="688"/>
        <v>0</v>
      </c>
      <c r="AR911">
        <v>0</v>
      </c>
      <c r="AS911">
        <f t="shared" si="671"/>
        <v>0</v>
      </c>
      <c r="AT911">
        <f t="shared" si="689"/>
        <v>0</v>
      </c>
      <c r="AU911">
        <f>IFERROR(HLOOKUP(B911,'Real assumptions'!$B$43:$AL$44,2,TRUE)*($W$3/$U$2),0)</f>
        <v>0</v>
      </c>
      <c r="AV911">
        <f>AV910*(1+'Real assumptions'!$B$35)^(1/12)</f>
        <v>2.5361667558940302</v>
      </c>
      <c r="AW911">
        <f t="shared" si="672"/>
        <v>2093</v>
      </c>
      <c r="AX911">
        <f t="shared" si="699"/>
        <v>6.883829523307472E-2</v>
      </c>
      <c r="AY911">
        <f t="shared" si="700"/>
        <v>7.8495905526486585E-5</v>
      </c>
      <c r="AZ911">
        <f t="shared" si="673"/>
        <v>6.9067393164255877E-2</v>
      </c>
      <c r="BA911">
        <f t="shared" si="690"/>
        <v>2.2130511284485329E-4</v>
      </c>
      <c r="BB911">
        <f t="shared" si="691"/>
        <v>24</v>
      </c>
      <c r="BC911">
        <f t="shared" si="674"/>
        <v>14.399999999999999</v>
      </c>
      <c r="BD911">
        <f t="shared" si="692"/>
        <v>0</v>
      </c>
      <c r="BE911">
        <f t="shared" si="675"/>
        <v>24</v>
      </c>
      <c r="BF911">
        <f t="shared" si="701"/>
        <v>5000</v>
      </c>
      <c r="BU911"/>
      <c r="DW911" s="89"/>
      <c r="DX911" s="89"/>
      <c r="FD911"/>
      <c r="FE911"/>
    </row>
    <row r="912" spans="1:161" x14ac:dyDescent="0.25">
      <c r="A912" s="7">
        <f t="shared" si="693"/>
        <v>70859</v>
      </c>
      <c r="B912">
        <f t="shared" si="676"/>
        <v>901</v>
      </c>
      <c r="C912">
        <f t="shared" si="657"/>
        <v>75</v>
      </c>
      <c r="D912">
        <f t="shared" si="658"/>
        <v>1</v>
      </c>
      <c r="E912">
        <f t="shared" si="677"/>
        <v>127</v>
      </c>
      <c r="F912">
        <f>IF(C912&gt;=$T$2,0,VLOOKUP($E912,EKM_F05!$A$3:$C$128,2,TRUE))</f>
        <v>0</v>
      </c>
      <c r="G912">
        <f>F912*'Real assumptions'!$B$3</f>
        <v>0</v>
      </c>
      <c r="H912">
        <f t="shared" si="659"/>
        <v>0</v>
      </c>
      <c r="I912">
        <f t="shared" si="660"/>
        <v>0</v>
      </c>
      <c r="J912">
        <f>IF(B912&gt;$AJ$2,0,HLOOKUP(C912,'Real assumptions'!$B$5:$L$8,4,TRUE))</f>
        <v>3.7900000000000003E-2</v>
      </c>
      <c r="K912">
        <f t="shared" si="666"/>
        <v>1</v>
      </c>
      <c r="L912">
        <f t="shared" si="694"/>
        <v>8.3333333333333329E-2</v>
      </c>
      <c r="M912">
        <f t="shared" si="661"/>
        <v>3.2145624959929453E-3</v>
      </c>
      <c r="N912">
        <f t="shared" si="662"/>
        <v>5.9760881957891779E-8</v>
      </c>
      <c r="O912" s="8">
        <f t="shared" si="678"/>
        <v>1.8530912664562242E-5</v>
      </c>
      <c r="P912">
        <f t="shared" si="679"/>
        <v>4.4617616511648315E-4</v>
      </c>
      <c r="Q912">
        <f t="shared" si="695"/>
        <v>0</v>
      </c>
      <c r="R912" s="89">
        <f t="shared" si="667"/>
        <v>5000</v>
      </c>
      <c r="S912">
        <f t="shared" si="668"/>
        <v>0.9166666666666714</v>
      </c>
      <c r="U912">
        <f>O911*AV911*'Real assumptions'!$B$33/12+AX912*'Real assumptions'!$B$34</f>
        <v>4.9031089858717709E-4</v>
      </c>
      <c r="V912">
        <f>IF(P912=0,0,IF(E912&lt;=$C$7,$AN$5*O911,0))*'Real assumptions'!$D$28</f>
        <v>0</v>
      </c>
      <c r="X912" s="94">
        <f t="shared" si="680"/>
        <v>0</v>
      </c>
      <c r="Y912">
        <f t="shared" si="669"/>
        <v>24</v>
      </c>
      <c r="Z912">
        <f t="shared" si="696"/>
        <v>24</v>
      </c>
      <c r="AA912">
        <f t="shared" si="670"/>
        <v>23.916666666666671</v>
      </c>
      <c r="AB912">
        <f t="shared" si="681"/>
        <v>50.505050505050505</v>
      </c>
      <c r="AC912">
        <f t="shared" si="663"/>
        <v>1207.9124579124582</v>
      </c>
      <c r="AD912">
        <f t="shared" si="682"/>
        <v>80.505050505050505</v>
      </c>
      <c r="AE912">
        <f t="shared" si="683"/>
        <v>96.270622895622907</v>
      </c>
      <c r="AF912" s="94">
        <f t="shared" si="684"/>
        <v>3695.8169191919187</v>
      </c>
      <c r="AG912">
        <f t="shared" si="697"/>
        <v>2.2086527864580751E-4</v>
      </c>
      <c r="AH912">
        <f t="shared" si="685"/>
        <v>6.848686055375694E-2</v>
      </c>
      <c r="AI912">
        <f>HLOOKUP(AW912,'Real assumptions'!$A$21:$AK$24,2,TRUE)</f>
        <v>0</v>
      </c>
      <c r="AJ912" s="123">
        <f t="shared" si="664"/>
        <v>0</v>
      </c>
      <c r="AK912" s="122">
        <f>(1+HLOOKUP(YEAR(A912),'Real assumptions'!$A$21:$AK$24,2,TRUE)/100)^(1/12)-1</f>
        <v>0</v>
      </c>
      <c r="AL912">
        <f t="shared" si="698"/>
        <v>4.9031089858717709E-4</v>
      </c>
      <c r="AM912">
        <f>('Real assumptions'!$B$33/12)*O911*AV911</f>
        <v>4.7149048218362932E-4</v>
      </c>
      <c r="AN912">
        <f t="shared" si="686"/>
        <v>6.8579111510429627E-2</v>
      </c>
      <c r="AO912">
        <f t="shared" si="665"/>
        <v>0</v>
      </c>
      <c r="AP912" s="121">
        <f t="shared" si="687"/>
        <v>0</v>
      </c>
      <c r="AQ912">
        <f t="shared" si="688"/>
        <v>0</v>
      </c>
      <c r="AR912">
        <v>0</v>
      </c>
      <c r="AS912">
        <f t="shared" si="671"/>
        <v>0</v>
      </c>
      <c r="AT912">
        <f t="shared" si="689"/>
        <v>0</v>
      </c>
      <c r="AU912">
        <f>IFERROR(HLOOKUP(B912,'Real assumptions'!$B$43:$AL$44,2,TRUE)*($W$3/$U$2),0)</f>
        <v>0</v>
      </c>
      <c r="AV912">
        <f>AV911*(1+'Real assumptions'!$B$35)^(1/12)</f>
        <v>2.5387935805040578</v>
      </c>
      <c r="AW912">
        <f t="shared" si="672"/>
        <v>2093</v>
      </c>
      <c r="AX912">
        <f t="shared" si="699"/>
        <v>6.8701489819432804E-2</v>
      </c>
      <c r="AY912">
        <f t="shared" si="700"/>
        <v>7.8243575532492137E-5</v>
      </c>
      <c r="AZ912">
        <f t="shared" si="673"/>
        <v>6.8802393152139388E-2</v>
      </c>
      <c r="BA912">
        <f t="shared" si="690"/>
        <v>2.2086527864580751E-4</v>
      </c>
      <c r="BB912">
        <f t="shared" si="691"/>
        <v>23.916666666666671</v>
      </c>
      <c r="BC912">
        <f t="shared" si="674"/>
        <v>14.350000000000003</v>
      </c>
      <c r="BD912">
        <f t="shared" si="692"/>
        <v>0</v>
      </c>
      <c r="BE912">
        <f t="shared" si="675"/>
        <v>24</v>
      </c>
      <c r="BF912">
        <f t="shared" si="701"/>
        <v>5000</v>
      </c>
      <c r="BU912"/>
      <c r="DW912" s="89"/>
      <c r="DX912" s="89"/>
      <c r="FD912"/>
      <c r="FE912"/>
    </row>
    <row r="913" spans="1:161" x14ac:dyDescent="0.25">
      <c r="A913" s="7">
        <f t="shared" si="693"/>
        <v>70890</v>
      </c>
      <c r="B913">
        <f t="shared" si="676"/>
        <v>902</v>
      </c>
      <c r="C913">
        <f t="shared" si="657"/>
        <v>75.083333333333329</v>
      </c>
      <c r="D913">
        <f t="shared" si="658"/>
        <v>0</v>
      </c>
      <c r="E913">
        <f t="shared" si="677"/>
        <v>127</v>
      </c>
      <c r="F913">
        <f>IF(C913&gt;=$T$2,0,VLOOKUP($E913,EKM_F05!$A$3:$C$128,2,TRUE))</f>
        <v>0</v>
      </c>
      <c r="G913">
        <f>F913*'Real assumptions'!$B$3</f>
        <v>0</v>
      </c>
      <c r="H913">
        <f t="shared" si="659"/>
        <v>0</v>
      </c>
      <c r="I913">
        <f t="shared" si="660"/>
        <v>0</v>
      </c>
      <c r="J913">
        <f>IF(B913&gt;$AJ$2,0,HLOOKUP(C913,'Real assumptions'!$B$5:$L$8,4,TRUE))</f>
        <v>3.7900000000000003E-2</v>
      </c>
      <c r="K913">
        <f t="shared" si="666"/>
        <v>1</v>
      </c>
      <c r="L913">
        <f t="shared" si="694"/>
        <v>8.3333333333333329E-2</v>
      </c>
      <c r="M913">
        <f t="shared" si="661"/>
        <v>3.2145624959929453E-3</v>
      </c>
      <c r="N913">
        <f t="shared" si="662"/>
        <v>5.956877686802248E-8</v>
      </c>
      <c r="O913" s="8">
        <f t="shared" si="678"/>
        <v>1.847134388769422E-5</v>
      </c>
      <c r="P913">
        <f t="shared" si="679"/>
        <v>4.4474190394949383E-4</v>
      </c>
      <c r="Q913">
        <f t="shared" si="695"/>
        <v>0</v>
      </c>
      <c r="R913" s="89">
        <f t="shared" si="667"/>
        <v>5000</v>
      </c>
      <c r="S913">
        <f t="shared" si="668"/>
        <v>0.8333333333333286</v>
      </c>
      <c r="U913">
        <f>O912*AV912*'Real assumptions'!$B$33/12+AX913*'Real assumptions'!$B$34</f>
        <v>4.8924460648634867E-4</v>
      </c>
      <c r="V913">
        <f>IF(P913=0,0,IF(E913&lt;=$C$7,$AN$5*O912,0))*'Real assumptions'!$D$28</f>
        <v>0</v>
      </c>
      <c r="X913" s="94">
        <f t="shared" si="680"/>
        <v>0</v>
      </c>
      <c r="Y913">
        <f t="shared" si="669"/>
        <v>24</v>
      </c>
      <c r="Z913">
        <f t="shared" si="696"/>
        <v>23</v>
      </c>
      <c r="AA913">
        <f t="shared" si="670"/>
        <v>23.833333333333329</v>
      </c>
      <c r="AB913">
        <f t="shared" si="681"/>
        <v>50.505050505050505</v>
      </c>
      <c r="AC913">
        <f t="shared" si="663"/>
        <v>1203.7037037037035</v>
      </c>
      <c r="AD913">
        <f t="shared" si="682"/>
        <v>80.505050505050505</v>
      </c>
      <c r="AE913">
        <f t="shared" si="683"/>
        <v>95.935185185185162</v>
      </c>
      <c r="AF913" s="94">
        <f t="shared" si="684"/>
        <v>3700.3611111111113</v>
      </c>
      <c r="AG913">
        <f t="shared" si="697"/>
        <v>2.2042598535888553E-4</v>
      </c>
      <c r="AH913">
        <f t="shared" si="685"/>
        <v>6.8350642591983618E-2</v>
      </c>
      <c r="AI913">
        <f>HLOOKUP(AW913,'Real assumptions'!$A$21:$AK$24,2,TRUE)</f>
        <v>0</v>
      </c>
      <c r="AJ913" s="123">
        <f t="shared" si="664"/>
        <v>0</v>
      </c>
      <c r="AK913" s="122">
        <f>(1+HLOOKUP(YEAR(A913),'Real assumptions'!$A$21:$AK$24,2,TRUE)/100)^(1/12)-1</f>
        <v>0</v>
      </c>
      <c r="AL913">
        <f t="shared" si="698"/>
        <v>4.8924460648634867E-4</v>
      </c>
      <c r="AM913">
        <f>('Real assumptions'!$B$33/12)*O912*AV912</f>
        <v>4.7046162113671962E-4</v>
      </c>
      <c r="AN913">
        <f t="shared" si="686"/>
        <v>6.844235785122009E-2</v>
      </c>
      <c r="AO913">
        <f t="shared" si="665"/>
        <v>0</v>
      </c>
      <c r="AP913" s="121">
        <f t="shared" si="687"/>
        <v>0</v>
      </c>
      <c r="AQ913">
        <f t="shared" si="688"/>
        <v>0</v>
      </c>
      <c r="AR913">
        <v>0</v>
      </c>
      <c r="AS913">
        <f t="shared" si="671"/>
        <v>0</v>
      </c>
      <c r="AT913">
        <f t="shared" si="689"/>
        <v>0</v>
      </c>
      <c r="AU913">
        <f>IFERROR(HLOOKUP(B913,'Real assumptions'!$B$43:$AL$44,2,TRUE)*($W$3/$U$2),0)</f>
        <v>0</v>
      </c>
      <c r="AV913">
        <f>AV912*(1+'Real assumptions'!$B$35)^(1/12)</f>
        <v>2.5414231258372064</v>
      </c>
      <c r="AW913">
        <f t="shared" si="672"/>
        <v>2094</v>
      </c>
      <c r="AX913">
        <f t="shared" si="699"/>
        <v>6.8564852610425969E-2</v>
      </c>
      <c r="AY913">
        <f t="shared" si="700"/>
        <v>7.7992056669033E-5</v>
      </c>
      <c r="AZ913">
        <f t="shared" si="673"/>
        <v>6.853746446424365E-2</v>
      </c>
      <c r="BA913">
        <f t="shared" si="690"/>
        <v>2.2042598535888553E-4</v>
      </c>
      <c r="BB913">
        <f t="shared" si="691"/>
        <v>23.833333333333329</v>
      </c>
      <c r="BC913">
        <f t="shared" si="674"/>
        <v>14.299999999999997</v>
      </c>
      <c r="BD913">
        <f t="shared" si="692"/>
        <v>0</v>
      </c>
      <c r="BE913">
        <f t="shared" si="675"/>
        <v>24</v>
      </c>
      <c r="BF913">
        <f t="shared" si="701"/>
        <v>5000</v>
      </c>
      <c r="BU913"/>
      <c r="DW913" s="89"/>
      <c r="DX913" s="89"/>
      <c r="FD913"/>
      <c r="FE913"/>
    </row>
    <row r="914" spans="1:161" x14ac:dyDescent="0.25">
      <c r="A914" s="7">
        <f t="shared" si="693"/>
        <v>70918</v>
      </c>
      <c r="B914">
        <f t="shared" si="676"/>
        <v>903</v>
      </c>
      <c r="C914">
        <f t="shared" si="657"/>
        <v>75.166666666666671</v>
      </c>
      <c r="D914">
        <f t="shared" si="658"/>
        <v>0</v>
      </c>
      <c r="E914">
        <f t="shared" si="677"/>
        <v>127</v>
      </c>
      <c r="F914">
        <f>IF(C914&gt;=$T$2,0,VLOOKUP($E914,EKM_F05!$A$3:$C$128,2,TRUE))</f>
        <v>0</v>
      </c>
      <c r="G914">
        <f>F914*'Real assumptions'!$B$3</f>
        <v>0</v>
      </c>
      <c r="H914">
        <f t="shared" si="659"/>
        <v>0</v>
      </c>
      <c r="I914">
        <f t="shared" si="660"/>
        <v>0</v>
      </c>
      <c r="J914">
        <f>IF(B914&gt;$AJ$2,0,HLOOKUP(C914,'Real assumptions'!$B$5:$L$8,4,TRUE))</f>
        <v>3.7900000000000003E-2</v>
      </c>
      <c r="K914">
        <f t="shared" si="666"/>
        <v>1</v>
      </c>
      <c r="L914">
        <f t="shared" si="694"/>
        <v>8.3333333333333329E-2</v>
      </c>
      <c r="M914">
        <f t="shared" si="661"/>
        <v>3.2145624959929453E-3</v>
      </c>
      <c r="N914">
        <f t="shared" si="662"/>
        <v>5.9377289311970366E-8</v>
      </c>
      <c r="O914" s="8">
        <f t="shared" si="678"/>
        <v>1.8411966598382251E-5</v>
      </c>
      <c r="P914">
        <f t="shared" si="679"/>
        <v>4.4331225330466128E-4</v>
      </c>
      <c r="Q914">
        <f t="shared" si="695"/>
        <v>0</v>
      </c>
      <c r="R914" s="89">
        <f t="shared" si="667"/>
        <v>5000</v>
      </c>
      <c r="S914">
        <f t="shared" si="668"/>
        <v>0.75</v>
      </c>
      <c r="U914">
        <f>O913*AV913*'Real assumptions'!$B$33/12+AX914*'Real assumptions'!$B$34</f>
        <v>4.8818060568029531E-4</v>
      </c>
      <c r="V914">
        <f>IF(P914=0,0,IF(E914&lt;=$C$7,$AN$5*O913,0))*'Real assumptions'!$D$28</f>
        <v>0</v>
      </c>
      <c r="X914" s="94">
        <f t="shared" si="680"/>
        <v>0</v>
      </c>
      <c r="Y914">
        <f t="shared" si="669"/>
        <v>24</v>
      </c>
      <c r="Z914">
        <f t="shared" si="696"/>
        <v>23</v>
      </c>
      <c r="AA914">
        <f t="shared" si="670"/>
        <v>23.75</v>
      </c>
      <c r="AB914">
        <f t="shared" si="681"/>
        <v>50.505050505050505</v>
      </c>
      <c r="AC914">
        <f t="shared" si="663"/>
        <v>1199.4949494949494</v>
      </c>
      <c r="AD914">
        <f t="shared" si="682"/>
        <v>80.505050505050505</v>
      </c>
      <c r="AE914">
        <f t="shared" si="683"/>
        <v>95.599747474747474</v>
      </c>
      <c r="AF914" s="94">
        <f t="shared" si="684"/>
        <v>3704.905303030303</v>
      </c>
      <c r="AG914">
        <f t="shared" si="697"/>
        <v>2.1998723405148354E-4</v>
      </c>
      <c r="AH914">
        <f t="shared" si="685"/>
        <v>6.8214592689563217E-2</v>
      </c>
      <c r="AI914">
        <f>HLOOKUP(AW914,'Real assumptions'!$A$21:$AK$24,2,TRUE)</f>
        <v>0</v>
      </c>
      <c r="AJ914" s="123">
        <f t="shared" si="664"/>
        <v>0</v>
      </c>
      <c r="AK914" s="122">
        <f>(1+HLOOKUP(YEAR(A914),'Real assumptions'!$A$21:$AK$24,2,TRUE)/100)^(1/12)-1</f>
        <v>0</v>
      </c>
      <c r="AL914">
        <f t="shared" si="698"/>
        <v>4.8818060568029531E-4</v>
      </c>
      <c r="AM914">
        <f>('Real assumptions'!$B$33/12)*O913*AV913</f>
        <v>4.6943500521477819E-4</v>
      </c>
      <c r="AN914">
        <f t="shared" si="686"/>
        <v>6.8305774239607986E-2</v>
      </c>
      <c r="AO914">
        <f t="shared" si="665"/>
        <v>0</v>
      </c>
      <c r="AP914" s="121">
        <f t="shared" si="687"/>
        <v>0</v>
      </c>
      <c r="AQ914">
        <f t="shared" si="688"/>
        <v>0</v>
      </c>
      <c r="AR914">
        <v>0</v>
      </c>
      <c r="AS914">
        <f t="shared" si="671"/>
        <v>0</v>
      </c>
      <c r="AT914">
        <f t="shared" si="689"/>
        <v>0</v>
      </c>
      <c r="AU914">
        <f>IFERROR(HLOOKUP(B914,'Real assumptions'!$B$43:$AL$44,2,TRUE)*($W$3/$U$2),0)</f>
        <v>0</v>
      </c>
      <c r="AV914">
        <f>AV913*(1+'Real assumptions'!$B$35)^(1/12)</f>
        <v>2.5440553947114544</v>
      </c>
      <c r="AW914">
        <f t="shared" si="672"/>
        <v>2094</v>
      </c>
      <c r="AX914">
        <f t="shared" si="699"/>
        <v>6.8428383938312298E-2</v>
      </c>
      <c r="AY914">
        <f t="shared" si="700"/>
        <v>7.7741346328679371E-5</v>
      </c>
      <c r="AZ914">
        <f t="shared" si="673"/>
        <v>6.827260887781654E-2</v>
      </c>
      <c r="BA914">
        <f t="shared" si="690"/>
        <v>2.1998723405148354E-4</v>
      </c>
      <c r="BB914">
        <f t="shared" si="691"/>
        <v>23.75</v>
      </c>
      <c r="BC914">
        <f t="shared" si="674"/>
        <v>14.25</v>
      </c>
      <c r="BD914">
        <f t="shared" si="692"/>
        <v>0</v>
      </c>
      <c r="BE914">
        <f t="shared" si="675"/>
        <v>24</v>
      </c>
      <c r="BF914">
        <f t="shared" si="701"/>
        <v>5000</v>
      </c>
      <c r="BU914"/>
      <c r="DW914" s="89"/>
      <c r="DX914" s="89"/>
      <c r="FD914"/>
      <c r="FE914"/>
    </row>
    <row r="915" spans="1:161" x14ac:dyDescent="0.25">
      <c r="A915" s="7">
        <f t="shared" si="693"/>
        <v>70949</v>
      </c>
      <c r="B915">
        <f t="shared" si="676"/>
        <v>904</v>
      </c>
      <c r="C915">
        <f t="shared" si="657"/>
        <v>75.25</v>
      </c>
      <c r="D915">
        <f t="shared" si="658"/>
        <v>0</v>
      </c>
      <c r="E915">
        <f t="shared" si="677"/>
        <v>127</v>
      </c>
      <c r="F915">
        <f>IF(C915&gt;=$T$2,0,VLOOKUP($E915,EKM_F05!$A$3:$C$128,2,TRUE))</f>
        <v>0</v>
      </c>
      <c r="G915">
        <f>F915*'Real assumptions'!$B$3</f>
        <v>0</v>
      </c>
      <c r="H915">
        <f t="shared" si="659"/>
        <v>0</v>
      </c>
      <c r="I915">
        <f t="shared" si="660"/>
        <v>0</v>
      </c>
      <c r="J915">
        <f>IF(B915&gt;$AJ$2,0,HLOOKUP(C915,'Real assumptions'!$B$5:$L$8,4,TRUE))</f>
        <v>3.7900000000000003E-2</v>
      </c>
      <c r="K915">
        <f t="shared" si="666"/>
        <v>1</v>
      </c>
      <c r="L915">
        <f t="shared" si="694"/>
        <v>8.3333333333333329E-2</v>
      </c>
      <c r="M915">
        <f t="shared" si="661"/>
        <v>3.2145624959929453E-3</v>
      </c>
      <c r="N915">
        <f t="shared" si="662"/>
        <v>5.9186417304634389E-8</v>
      </c>
      <c r="O915" s="8">
        <f t="shared" si="678"/>
        <v>1.8352780181077616E-5</v>
      </c>
      <c r="P915">
        <f t="shared" si="679"/>
        <v>4.4188719836117402E-4</v>
      </c>
      <c r="Q915">
        <f t="shared" si="695"/>
        <v>0</v>
      </c>
      <c r="R915" s="89">
        <f t="shared" si="667"/>
        <v>5000</v>
      </c>
      <c r="S915">
        <f t="shared" si="668"/>
        <v>0.6666666666666714</v>
      </c>
      <c r="U915">
        <f>O914*AV914*'Real assumptions'!$B$33/12+AX915*'Real assumptions'!$B$34</f>
        <v>4.8711889135978566E-4</v>
      </c>
      <c r="V915">
        <f>IF(P915=0,0,IF(E915&lt;=$C$7,$AN$5*O914,0))*'Real assumptions'!$D$28</f>
        <v>0</v>
      </c>
      <c r="X915" s="94">
        <f t="shared" si="680"/>
        <v>0</v>
      </c>
      <c r="Y915">
        <f t="shared" si="669"/>
        <v>24</v>
      </c>
      <c r="Z915">
        <f t="shared" si="696"/>
        <v>23</v>
      </c>
      <c r="AA915">
        <f t="shared" si="670"/>
        <v>23.666666666666671</v>
      </c>
      <c r="AB915">
        <f t="shared" si="681"/>
        <v>50.505050505050505</v>
      </c>
      <c r="AC915">
        <f t="shared" si="663"/>
        <v>1195.2861952861956</v>
      </c>
      <c r="AD915">
        <f t="shared" si="682"/>
        <v>80.505050505050505</v>
      </c>
      <c r="AE915">
        <f t="shared" si="683"/>
        <v>95.264309764309786</v>
      </c>
      <c r="AF915" s="94">
        <f t="shared" si="684"/>
        <v>3709.4494949494942</v>
      </c>
      <c r="AG915">
        <f t="shared" si="697"/>
        <v>2.1954902577854603E-4</v>
      </c>
      <c r="AH915">
        <f t="shared" si="685"/>
        <v>6.8078711173617454E-2</v>
      </c>
      <c r="AI915">
        <f>HLOOKUP(AW915,'Real assumptions'!$A$21:$AK$24,2,TRUE)</f>
        <v>0</v>
      </c>
      <c r="AJ915" s="123">
        <f t="shared" si="664"/>
        <v>0</v>
      </c>
      <c r="AK915" s="122">
        <f>(1+HLOOKUP(YEAR(A915),'Real assumptions'!$A$21:$AK$24,2,TRUE)/100)^(1/12)-1</f>
        <v>0</v>
      </c>
      <c r="AL915">
        <f t="shared" si="698"/>
        <v>4.8711889135978566E-4</v>
      </c>
      <c r="AM915">
        <f>('Real assumptions'!$B$33/12)*O914*AV914</f>
        <v>4.684106295186147E-4</v>
      </c>
      <c r="AN915">
        <f t="shared" si="686"/>
        <v>6.8169360996564607E-2</v>
      </c>
      <c r="AO915">
        <f t="shared" si="665"/>
        <v>0</v>
      </c>
      <c r="AP915" s="121">
        <f t="shared" si="687"/>
        <v>0</v>
      </c>
      <c r="AQ915">
        <f t="shared" si="688"/>
        <v>0</v>
      </c>
      <c r="AR915">
        <v>0</v>
      </c>
      <c r="AS915">
        <f t="shared" si="671"/>
        <v>0</v>
      </c>
      <c r="AT915">
        <f t="shared" si="689"/>
        <v>0</v>
      </c>
      <c r="AU915">
        <f>IFERROR(HLOOKUP(B915,'Real assumptions'!$B$43:$AL$44,2,TRUE)*($W$3/$U$2),0)</f>
        <v>0</v>
      </c>
      <c r="AV915">
        <f>AV914*(1+'Real assumptions'!$B$35)^(1/12)</f>
        <v>2.5466903899476985</v>
      </c>
      <c r="AW915">
        <f t="shared" si="672"/>
        <v>2094</v>
      </c>
      <c r="AX915">
        <f t="shared" si="699"/>
        <v>6.8292084131475597E-2</v>
      </c>
      <c r="AY915">
        <f t="shared" si="700"/>
        <v>7.74914419123832E-5</v>
      </c>
      <c r="AZ915">
        <f t="shared" si="673"/>
        <v>6.8007828159039385E-2</v>
      </c>
      <c r="BA915">
        <f t="shared" si="690"/>
        <v>2.1954902577854603E-4</v>
      </c>
      <c r="BB915">
        <f t="shared" si="691"/>
        <v>23.666666666666671</v>
      </c>
      <c r="BC915">
        <f t="shared" si="674"/>
        <v>14.200000000000003</v>
      </c>
      <c r="BD915">
        <f t="shared" si="692"/>
        <v>0</v>
      </c>
      <c r="BE915">
        <f t="shared" si="675"/>
        <v>24</v>
      </c>
      <c r="BF915">
        <f t="shared" si="701"/>
        <v>5000</v>
      </c>
      <c r="BU915"/>
      <c r="DW915" s="89"/>
      <c r="DX915" s="89"/>
      <c r="FD915"/>
      <c r="FE915"/>
    </row>
    <row r="916" spans="1:161" x14ac:dyDescent="0.25">
      <c r="A916" s="7">
        <f t="shared" si="693"/>
        <v>70979</v>
      </c>
      <c r="B916">
        <f t="shared" si="676"/>
        <v>905</v>
      </c>
      <c r="C916">
        <f t="shared" si="657"/>
        <v>75.333333333333329</v>
      </c>
      <c r="D916">
        <f t="shared" si="658"/>
        <v>0</v>
      </c>
      <c r="E916">
        <f t="shared" si="677"/>
        <v>127</v>
      </c>
      <c r="F916">
        <f>IF(C916&gt;=$T$2,0,VLOOKUP($E916,EKM_F05!$A$3:$C$128,2,TRUE))</f>
        <v>0</v>
      </c>
      <c r="G916">
        <f>F916*'Real assumptions'!$B$3</f>
        <v>0</v>
      </c>
      <c r="H916">
        <f t="shared" si="659"/>
        <v>0</v>
      </c>
      <c r="I916">
        <f t="shared" si="660"/>
        <v>0</v>
      </c>
      <c r="J916">
        <f>IF(B916&gt;$AJ$2,0,HLOOKUP(C916,'Real assumptions'!$B$5:$L$8,4,TRUE))</f>
        <v>3.7900000000000003E-2</v>
      </c>
      <c r="K916">
        <f t="shared" si="666"/>
        <v>1</v>
      </c>
      <c r="L916">
        <f t="shared" si="694"/>
        <v>8.3333333333333329E-2</v>
      </c>
      <c r="M916">
        <f t="shared" si="661"/>
        <v>3.2145624959929453E-3</v>
      </c>
      <c r="N916">
        <f t="shared" si="662"/>
        <v>5.8996158867294722E-8</v>
      </c>
      <c r="O916" s="8">
        <f t="shared" si="678"/>
        <v>1.8293784022210322E-5</v>
      </c>
      <c r="P916">
        <f t="shared" si="679"/>
        <v>4.4046672434586278E-4</v>
      </c>
      <c r="Q916">
        <f t="shared" si="695"/>
        <v>0</v>
      </c>
      <c r="R916" s="89">
        <f t="shared" si="667"/>
        <v>5000</v>
      </c>
      <c r="S916">
        <f t="shared" si="668"/>
        <v>0.5833333333333286</v>
      </c>
      <c r="U916">
        <f>O915*AV915*'Real assumptions'!$B$33/12+AX916*'Real assumptions'!$B$34</f>
        <v>4.8605945872522355E-4</v>
      </c>
      <c r="V916">
        <f>IF(P916=0,0,IF(E916&lt;=$C$7,$AN$5*O915,0))*'Real assumptions'!$D$28</f>
        <v>0</v>
      </c>
      <c r="X916" s="94">
        <f t="shared" si="680"/>
        <v>0</v>
      </c>
      <c r="Y916">
        <f t="shared" si="669"/>
        <v>24</v>
      </c>
      <c r="Z916">
        <f t="shared" si="696"/>
        <v>23</v>
      </c>
      <c r="AA916">
        <f t="shared" si="670"/>
        <v>23.583333333333329</v>
      </c>
      <c r="AB916">
        <f t="shared" si="681"/>
        <v>50.505050505050505</v>
      </c>
      <c r="AC916">
        <f t="shared" si="663"/>
        <v>1191.0774410774409</v>
      </c>
      <c r="AD916">
        <f t="shared" si="682"/>
        <v>80.505050505050505</v>
      </c>
      <c r="AE916">
        <f t="shared" si="683"/>
        <v>94.928872053872027</v>
      </c>
      <c r="AF916" s="94">
        <f t="shared" si="684"/>
        <v>3713.9936868686868</v>
      </c>
      <c r="AG916">
        <f t="shared" si="697"/>
        <v>2.1911136158263471E-4</v>
      </c>
      <c r="AH916">
        <f t="shared" si="685"/>
        <v>6.7942998367428384E-2</v>
      </c>
      <c r="AI916">
        <f>HLOOKUP(AW916,'Real assumptions'!$A$21:$AK$24,2,TRUE)</f>
        <v>0</v>
      </c>
      <c r="AJ916" s="123">
        <f t="shared" si="664"/>
        <v>0</v>
      </c>
      <c r="AK916" s="122">
        <f>(1+HLOOKUP(YEAR(A916),'Real assumptions'!$A$21:$AK$24,2,TRUE)/100)^(1/12)-1</f>
        <v>0</v>
      </c>
      <c r="AL916">
        <f t="shared" si="698"/>
        <v>4.8605945872522355E-4</v>
      </c>
      <c r="AM916">
        <f>('Real assumptions'!$B$33/12)*O915*AV915</f>
        <v>4.6738848915972944E-4</v>
      </c>
      <c r="AN916">
        <f t="shared" si="686"/>
        <v>6.8033118439238094E-2</v>
      </c>
      <c r="AO916">
        <f t="shared" si="665"/>
        <v>0</v>
      </c>
      <c r="AP916" s="121">
        <f t="shared" si="687"/>
        <v>0</v>
      </c>
      <c r="AQ916">
        <f t="shared" si="688"/>
        <v>0</v>
      </c>
      <c r="AR916">
        <v>0</v>
      </c>
      <c r="AS916">
        <f t="shared" si="671"/>
        <v>0</v>
      </c>
      <c r="AT916">
        <f t="shared" si="689"/>
        <v>0</v>
      </c>
      <c r="AU916">
        <f>IFERROR(HLOOKUP(B916,'Real assumptions'!$B$43:$AL$44,2,TRUE)*($W$3/$U$2),0)</f>
        <v>0</v>
      </c>
      <c r="AV916">
        <f>AV915*(1+'Real assumptions'!$B$35)^(1/12)</f>
        <v>2.5493281143697573</v>
      </c>
      <c r="AW916">
        <f t="shared" si="672"/>
        <v>2094</v>
      </c>
      <c r="AX916">
        <f t="shared" si="699"/>
        <v>6.8155953514446907E-2</v>
      </c>
      <c r="AY916">
        <f t="shared" si="700"/>
        <v>7.724234082945124E-5</v>
      </c>
      <c r="AZ916">
        <f t="shared" si="673"/>
        <v>6.7743124063077392E-2</v>
      </c>
      <c r="BA916">
        <f t="shared" si="690"/>
        <v>2.1911136158263471E-4</v>
      </c>
      <c r="BB916">
        <f t="shared" si="691"/>
        <v>23.583333333333329</v>
      </c>
      <c r="BC916">
        <f t="shared" si="674"/>
        <v>14.149999999999997</v>
      </c>
      <c r="BD916">
        <f t="shared" si="692"/>
        <v>0</v>
      </c>
      <c r="BE916">
        <f t="shared" si="675"/>
        <v>24</v>
      </c>
      <c r="BF916">
        <f t="shared" si="701"/>
        <v>5000</v>
      </c>
      <c r="BU916"/>
      <c r="DW916" s="89"/>
      <c r="DX916" s="89"/>
      <c r="FD916"/>
      <c r="FE916"/>
    </row>
    <row r="917" spans="1:161" x14ac:dyDescent="0.25">
      <c r="A917" s="7">
        <f t="shared" si="693"/>
        <v>71010</v>
      </c>
      <c r="B917">
        <f t="shared" si="676"/>
        <v>906</v>
      </c>
      <c r="C917">
        <f t="shared" si="657"/>
        <v>75.416666666666671</v>
      </c>
      <c r="D917">
        <f t="shared" si="658"/>
        <v>0</v>
      </c>
      <c r="E917">
        <f t="shared" si="677"/>
        <v>127</v>
      </c>
      <c r="F917">
        <f>IF(C917&gt;=$T$2,0,VLOOKUP($E917,EKM_F05!$A$3:$C$128,2,TRUE))</f>
        <v>0</v>
      </c>
      <c r="G917">
        <f>F917*'Real assumptions'!$B$3</f>
        <v>0</v>
      </c>
      <c r="H917">
        <f t="shared" si="659"/>
        <v>0</v>
      </c>
      <c r="I917">
        <f t="shared" si="660"/>
        <v>0</v>
      </c>
      <c r="J917">
        <f>IF(B917&gt;$AJ$2,0,HLOOKUP(C917,'Real assumptions'!$B$5:$L$8,4,TRUE))</f>
        <v>3.7900000000000003E-2</v>
      </c>
      <c r="K917">
        <f t="shared" si="666"/>
        <v>1</v>
      </c>
      <c r="L917">
        <f t="shared" si="694"/>
        <v>8.3333333333333329E-2</v>
      </c>
      <c r="M917">
        <f t="shared" si="661"/>
        <v>3.2145624959929453E-3</v>
      </c>
      <c r="N917">
        <f t="shared" si="662"/>
        <v>5.8806512027592279E-8</v>
      </c>
      <c r="O917" s="8">
        <f t="shared" si="678"/>
        <v>1.8234977510182731E-5</v>
      </c>
      <c r="P917">
        <f t="shared" si="679"/>
        <v>4.3905081653304774E-4</v>
      </c>
      <c r="Q917">
        <f t="shared" si="695"/>
        <v>0</v>
      </c>
      <c r="R917" s="89">
        <f t="shared" si="667"/>
        <v>5000</v>
      </c>
      <c r="S917">
        <f t="shared" si="668"/>
        <v>0.5</v>
      </c>
      <c r="U917">
        <f>O916*AV916*'Real assumptions'!$B$33/12+AX917*'Real assumptions'!$B$34</f>
        <v>4.8500230298663107E-4</v>
      </c>
      <c r="V917">
        <f>IF(P917=0,0,IF(E917&lt;=$C$7,$AN$5*O916,0))*'Real assumptions'!$D$28</f>
        <v>0</v>
      </c>
      <c r="X917" s="94">
        <f t="shared" si="680"/>
        <v>0</v>
      </c>
      <c r="Y917">
        <f t="shared" si="669"/>
        <v>24</v>
      </c>
      <c r="Z917">
        <f t="shared" si="696"/>
        <v>23</v>
      </c>
      <c r="AA917">
        <f t="shared" si="670"/>
        <v>23.5</v>
      </c>
      <c r="AB917">
        <f t="shared" si="681"/>
        <v>50.505050505050505</v>
      </c>
      <c r="AC917">
        <f t="shared" si="663"/>
        <v>1186.8686868686868</v>
      </c>
      <c r="AD917">
        <f t="shared" si="682"/>
        <v>80.505050505050505</v>
      </c>
      <c r="AE917">
        <f t="shared" si="683"/>
        <v>94.593434343434339</v>
      </c>
      <c r="AF917" s="94">
        <f t="shared" si="684"/>
        <v>3718.537878787879</v>
      </c>
      <c r="AG917">
        <f t="shared" si="697"/>
        <v>2.1867424249399689E-4</v>
      </c>
      <c r="AH917">
        <f t="shared" si="685"/>
        <v>6.7807454590459573E-2</v>
      </c>
      <c r="AI917">
        <f>HLOOKUP(AW917,'Real assumptions'!$A$21:$AK$24,2,TRUE)</f>
        <v>0</v>
      </c>
      <c r="AJ917" s="123">
        <f t="shared" si="664"/>
        <v>0</v>
      </c>
      <c r="AK917" s="122">
        <f>(1+HLOOKUP(YEAR(A917),'Real assumptions'!$A$21:$AK$24,2,TRUE)/100)^(1/12)-1</f>
        <v>0</v>
      </c>
      <c r="AL917">
        <f t="shared" si="698"/>
        <v>4.8500230298663107E-4</v>
      </c>
      <c r="AM917">
        <f>('Real assumptions'!$B$33/12)*O916*AV916</f>
        <v>4.6636857926029033E-4</v>
      </c>
      <c r="AN917">
        <f t="shared" si="686"/>
        <v>6.7897046880974796E-2</v>
      </c>
      <c r="AO917">
        <f t="shared" si="665"/>
        <v>0</v>
      </c>
      <c r="AP917" s="121">
        <f t="shared" si="687"/>
        <v>0</v>
      </c>
      <c r="AQ917">
        <f t="shared" si="688"/>
        <v>0</v>
      </c>
      <c r="AR917">
        <v>0</v>
      </c>
      <c r="AS917">
        <f t="shared" si="671"/>
        <v>0</v>
      </c>
      <c r="AT917">
        <f t="shared" si="689"/>
        <v>0</v>
      </c>
      <c r="AU917">
        <f>IFERROR(HLOOKUP(B917,'Real assumptions'!$B$43:$AL$44,2,TRUE)*($W$3/$U$2),0)</f>
        <v>0</v>
      </c>
      <c r="AV917">
        <f>AV916*(1+'Real assumptions'!$B$35)^(1/12)</f>
        <v>2.551968570804374</v>
      </c>
      <c r="AW917">
        <f t="shared" si="672"/>
        <v>2094</v>
      </c>
      <c r="AX917">
        <f t="shared" si="699"/>
        <v>6.8019992407925903E-2</v>
      </c>
      <c r="AY917">
        <f t="shared" si="700"/>
        <v>7.6994040497518182E-5</v>
      </c>
      <c r="AZ917">
        <f t="shared" si="673"/>
        <v>6.7478498334129805E-2</v>
      </c>
      <c r="BA917">
        <f t="shared" si="690"/>
        <v>2.1867424249399689E-4</v>
      </c>
      <c r="BB917">
        <f t="shared" si="691"/>
        <v>23.5</v>
      </c>
      <c r="BC917">
        <f t="shared" si="674"/>
        <v>14.1</v>
      </c>
      <c r="BD917">
        <f t="shared" si="692"/>
        <v>0</v>
      </c>
      <c r="BE917">
        <f t="shared" si="675"/>
        <v>24</v>
      </c>
      <c r="BF917">
        <f t="shared" si="701"/>
        <v>5000</v>
      </c>
      <c r="BU917"/>
      <c r="DW917" s="89"/>
      <c r="DX917" s="89"/>
      <c r="FD917"/>
      <c r="FE917"/>
    </row>
    <row r="918" spans="1:161" x14ac:dyDescent="0.25">
      <c r="A918" s="7">
        <f t="shared" si="693"/>
        <v>71040</v>
      </c>
      <c r="B918">
        <f t="shared" si="676"/>
        <v>907</v>
      </c>
      <c r="C918">
        <f t="shared" si="657"/>
        <v>75.5</v>
      </c>
      <c r="D918">
        <f t="shared" si="658"/>
        <v>0</v>
      </c>
      <c r="E918">
        <f t="shared" si="677"/>
        <v>127</v>
      </c>
      <c r="F918">
        <f>IF(C918&gt;=$T$2,0,VLOOKUP($E918,EKM_F05!$A$3:$C$128,2,TRUE))</f>
        <v>0</v>
      </c>
      <c r="G918">
        <f>F918*'Real assumptions'!$B$3</f>
        <v>0</v>
      </c>
      <c r="H918">
        <f t="shared" si="659"/>
        <v>0</v>
      </c>
      <c r="I918">
        <f t="shared" si="660"/>
        <v>0</v>
      </c>
      <c r="J918">
        <f>IF(B918&gt;$AJ$2,0,HLOOKUP(C918,'Real assumptions'!$B$5:$L$8,4,TRUE))</f>
        <v>3.7900000000000003E-2</v>
      </c>
      <c r="K918">
        <f t="shared" si="666"/>
        <v>1</v>
      </c>
      <c r="L918">
        <f t="shared" si="694"/>
        <v>8.3333333333333329E-2</v>
      </c>
      <c r="M918">
        <f t="shared" si="661"/>
        <v>3.2145624959929453E-3</v>
      </c>
      <c r="N918">
        <f t="shared" si="662"/>
        <v>5.8617474819508221E-8</v>
      </c>
      <c r="O918" s="8">
        <f t="shared" si="678"/>
        <v>1.8176360035363224E-5</v>
      </c>
      <c r="P918">
        <f t="shared" si="679"/>
        <v>4.3763946024438555E-4</v>
      </c>
      <c r="Q918">
        <f t="shared" si="695"/>
        <v>0</v>
      </c>
      <c r="R918" s="89">
        <f t="shared" si="667"/>
        <v>5000</v>
      </c>
      <c r="S918">
        <f t="shared" si="668"/>
        <v>0.4166666666666714</v>
      </c>
      <c r="U918">
        <f>O917*AV917*'Real assumptions'!$B$33/12+AX918*'Real assumptions'!$B$34</f>
        <v>4.8394741936363028E-4</v>
      </c>
      <c r="V918">
        <f>IF(P918=0,0,IF(E918&lt;=$C$7,$AN$5*O917,0))*'Real assumptions'!$D$28</f>
        <v>0</v>
      </c>
      <c r="X918" s="94">
        <f t="shared" si="680"/>
        <v>0</v>
      </c>
      <c r="Y918">
        <f t="shared" si="669"/>
        <v>24</v>
      </c>
      <c r="Z918">
        <f t="shared" si="696"/>
        <v>23</v>
      </c>
      <c r="AA918">
        <f t="shared" si="670"/>
        <v>23.416666666666671</v>
      </c>
      <c r="AB918">
        <f t="shared" si="681"/>
        <v>50.505050505050505</v>
      </c>
      <c r="AC918">
        <f t="shared" si="663"/>
        <v>1182.6599326599328</v>
      </c>
      <c r="AD918">
        <f t="shared" si="682"/>
        <v>80.505050505050505</v>
      </c>
      <c r="AE918">
        <f t="shared" si="683"/>
        <v>94.257996632996651</v>
      </c>
      <c r="AF918" s="94">
        <f t="shared" si="684"/>
        <v>3723.0820707070707</v>
      </c>
      <c r="AG918">
        <f t="shared" si="697"/>
        <v>2.1823766953063425E-4</v>
      </c>
      <c r="AH918">
        <f t="shared" si="685"/>
        <v>6.7672080158377362E-2</v>
      </c>
      <c r="AI918">
        <f>HLOOKUP(AW918,'Real assumptions'!$A$21:$AK$24,2,TRUE)</f>
        <v>0</v>
      </c>
      <c r="AJ918" s="123">
        <f t="shared" si="664"/>
        <v>0</v>
      </c>
      <c r="AK918" s="122">
        <f>(1+HLOOKUP(YEAR(A918),'Real assumptions'!$A$21:$AK$24,2,TRUE)/100)^(1/12)-1</f>
        <v>0</v>
      </c>
      <c r="AL918">
        <f t="shared" si="698"/>
        <v>4.8394741936363028E-4</v>
      </c>
      <c r="AM918">
        <f>('Real assumptions'!$B$33/12)*O917*AV917</f>
        <v>4.6535089495310924E-4</v>
      </c>
      <c r="AN918">
        <f t="shared" si="686"/>
        <v>6.7761146631340335E-2</v>
      </c>
      <c r="AO918">
        <f t="shared" si="665"/>
        <v>0</v>
      </c>
      <c r="AP918" s="121">
        <f t="shared" si="687"/>
        <v>0</v>
      </c>
      <c r="AQ918">
        <f t="shared" si="688"/>
        <v>0</v>
      </c>
      <c r="AR918">
        <v>0</v>
      </c>
      <c r="AS918">
        <f t="shared" si="671"/>
        <v>0</v>
      </c>
      <c r="AT918">
        <f t="shared" si="689"/>
        <v>0</v>
      </c>
      <c r="AU918">
        <f>IFERROR(HLOOKUP(B918,'Real assumptions'!$B$43:$AL$44,2,TRUE)*($W$3/$U$2),0)</f>
        <v>0</v>
      </c>
      <c r="AV918">
        <f>AV917*(1+'Real assumptions'!$B$35)^(1/12)</f>
        <v>2.5546117620812203</v>
      </c>
      <c r="AW918">
        <f t="shared" si="672"/>
        <v>2094</v>
      </c>
      <c r="AX918">
        <f t="shared" si="699"/>
        <v>6.7884201128802099E-2</v>
      </c>
      <c r="AY918">
        <f t="shared" si="700"/>
        <v>7.6746538342519909E-5</v>
      </c>
      <c r="AZ918">
        <f t="shared" si="673"/>
        <v>6.7213952705479932E-2</v>
      </c>
      <c r="BA918">
        <f t="shared" si="690"/>
        <v>2.1823766953063425E-4</v>
      </c>
      <c r="BB918">
        <f t="shared" si="691"/>
        <v>23.416666666666671</v>
      </c>
      <c r="BC918">
        <f t="shared" si="674"/>
        <v>14.050000000000002</v>
      </c>
      <c r="BD918">
        <f t="shared" si="692"/>
        <v>0</v>
      </c>
      <c r="BE918">
        <f t="shared" si="675"/>
        <v>24</v>
      </c>
      <c r="BF918">
        <f t="shared" si="701"/>
        <v>5000</v>
      </c>
      <c r="BU918"/>
      <c r="DW918" s="89"/>
      <c r="DX918" s="89"/>
      <c r="FD918"/>
      <c r="FE918"/>
    </row>
    <row r="919" spans="1:161" x14ac:dyDescent="0.25">
      <c r="A919" s="7">
        <f t="shared" si="693"/>
        <v>71071</v>
      </c>
      <c r="B919">
        <f t="shared" si="676"/>
        <v>908</v>
      </c>
      <c r="C919">
        <f t="shared" si="657"/>
        <v>75.583333333333329</v>
      </c>
      <c r="D919">
        <f t="shared" si="658"/>
        <v>0</v>
      </c>
      <c r="E919">
        <f t="shared" si="677"/>
        <v>127</v>
      </c>
      <c r="F919">
        <f>IF(C919&gt;=$T$2,0,VLOOKUP($E919,EKM_F05!$A$3:$C$128,2,TRUE))</f>
        <v>0</v>
      </c>
      <c r="G919">
        <f>F919*'Real assumptions'!$B$3</f>
        <v>0</v>
      </c>
      <c r="H919">
        <f t="shared" si="659"/>
        <v>0</v>
      </c>
      <c r="I919">
        <f t="shared" si="660"/>
        <v>0</v>
      </c>
      <c r="J919">
        <f>IF(B919&gt;$AJ$2,0,HLOOKUP(C919,'Real assumptions'!$B$5:$L$8,4,TRUE))</f>
        <v>3.7900000000000003E-2</v>
      </c>
      <c r="K919">
        <f t="shared" si="666"/>
        <v>1</v>
      </c>
      <c r="L919">
        <f t="shared" si="694"/>
        <v>8.3333333333333329E-2</v>
      </c>
      <c r="M919">
        <f t="shared" si="661"/>
        <v>3.2145624959929453E-3</v>
      </c>
      <c r="N919">
        <f t="shared" si="662"/>
        <v>5.8429045283343623E-8</v>
      </c>
      <c r="O919" s="8">
        <f t="shared" si="678"/>
        <v>1.8117930990079882E-5</v>
      </c>
      <c r="P919">
        <f t="shared" si="679"/>
        <v>4.3623264084871735E-4</v>
      </c>
      <c r="Q919">
        <f t="shared" si="695"/>
        <v>0</v>
      </c>
      <c r="R919" s="89">
        <f t="shared" si="667"/>
        <v>5000</v>
      </c>
      <c r="S919">
        <f t="shared" si="668"/>
        <v>0.3333333333333286</v>
      </c>
      <c r="U919">
        <f>O918*AV918*'Real assumptions'!$B$33/12+AX919*'Real assumptions'!$B$34</f>
        <v>4.8289480308542627E-4</v>
      </c>
      <c r="V919">
        <f>IF(P919=0,0,IF(E919&lt;=$C$7,$AN$5*O918,0))*'Real assumptions'!$D$28</f>
        <v>0</v>
      </c>
      <c r="X919" s="94">
        <f t="shared" si="680"/>
        <v>0</v>
      </c>
      <c r="Y919">
        <f t="shared" si="669"/>
        <v>24</v>
      </c>
      <c r="Z919">
        <f t="shared" si="696"/>
        <v>23</v>
      </c>
      <c r="AA919">
        <f t="shared" si="670"/>
        <v>23.333333333333329</v>
      </c>
      <c r="AB919">
        <f t="shared" si="681"/>
        <v>50.505050505050505</v>
      </c>
      <c r="AC919">
        <f t="shared" si="663"/>
        <v>1178.4511784511783</v>
      </c>
      <c r="AD919">
        <f t="shared" si="682"/>
        <v>80.505050505050505</v>
      </c>
      <c r="AE919">
        <f t="shared" si="683"/>
        <v>93.922558922558906</v>
      </c>
      <c r="AF919" s="94">
        <f t="shared" si="684"/>
        <v>3727.6262626262628</v>
      </c>
      <c r="AG919">
        <f t="shared" si="697"/>
        <v>2.1780164369837086E-4</v>
      </c>
      <c r="AH919">
        <f t="shared" si="685"/>
        <v>6.7536875383072015E-2</v>
      </c>
      <c r="AI919">
        <f>HLOOKUP(AW919,'Real assumptions'!$A$21:$AK$24,2,TRUE)</f>
        <v>0</v>
      </c>
      <c r="AJ919" s="123">
        <f t="shared" si="664"/>
        <v>0</v>
      </c>
      <c r="AK919" s="122">
        <f>(1+HLOOKUP(YEAR(A919),'Real assumptions'!$A$21:$AK$24,2,TRUE)/100)^(1/12)-1</f>
        <v>0</v>
      </c>
      <c r="AL919">
        <f t="shared" si="698"/>
        <v>4.8289480308542627E-4</v>
      </c>
      <c r="AM919">
        <f>('Real assumptions'!$B$33/12)*O918*AV918</f>
        <v>4.6433543138161919E-4</v>
      </c>
      <c r="AN919">
        <f t="shared" si="686"/>
        <v>6.7625417996140649E-2</v>
      </c>
      <c r="AO919">
        <f t="shared" si="665"/>
        <v>0</v>
      </c>
      <c r="AP919" s="121">
        <f t="shared" si="687"/>
        <v>0</v>
      </c>
      <c r="AQ919">
        <f t="shared" si="688"/>
        <v>0</v>
      </c>
      <c r="AR919">
        <v>0</v>
      </c>
      <c r="AS919">
        <f t="shared" si="671"/>
        <v>0</v>
      </c>
      <c r="AT919">
        <f t="shared" si="689"/>
        <v>0</v>
      </c>
      <c r="AU919">
        <f>IFERROR(HLOOKUP(B919,'Real assumptions'!$B$43:$AL$44,2,TRUE)*($W$3/$U$2),0)</f>
        <v>0</v>
      </c>
      <c r="AV919">
        <f>AV918*(1+'Real assumptions'!$B$35)^(1/12)</f>
        <v>2.5572576910328975</v>
      </c>
      <c r="AW919">
        <f t="shared" si="672"/>
        <v>2094</v>
      </c>
      <c r="AX919">
        <f t="shared" si="699"/>
        <v>6.7748579990176028E-2</v>
      </c>
      <c r="AY919">
        <f t="shared" si="700"/>
        <v>7.6499831798666757E-5</v>
      </c>
      <c r="AZ919">
        <f t="shared" si="673"/>
        <v>6.6949488899544843E-2</v>
      </c>
      <c r="BA919">
        <f t="shared" si="690"/>
        <v>2.1780164369837086E-4</v>
      </c>
      <c r="BB919">
        <f t="shared" si="691"/>
        <v>23.333333333333329</v>
      </c>
      <c r="BC919">
        <f t="shared" si="674"/>
        <v>13.999999999999996</v>
      </c>
      <c r="BD919">
        <f t="shared" si="692"/>
        <v>0</v>
      </c>
      <c r="BE919">
        <f t="shared" si="675"/>
        <v>24</v>
      </c>
      <c r="BF919">
        <f t="shared" si="701"/>
        <v>5000</v>
      </c>
      <c r="BU919"/>
      <c r="DW919" s="89"/>
      <c r="DX919" s="89"/>
      <c r="FD919"/>
      <c r="FE919"/>
    </row>
    <row r="920" spans="1:161" x14ac:dyDescent="0.25">
      <c r="A920" s="7">
        <f t="shared" si="693"/>
        <v>71102</v>
      </c>
      <c r="B920">
        <f t="shared" si="676"/>
        <v>909</v>
      </c>
      <c r="C920">
        <f t="shared" si="657"/>
        <v>75.666666666666671</v>
      </c>
      <c r="D920">
        <f t="shared" si="658"/>
        <v>0</v>
      </c>
      <c r="E920">
        <f t="shared" si="677"/>
        <v>127</v>
      </c>
      <c r="F920">
        <f>IF(C920&gt;=$T$2,0,VLOOKUP($E920,EKM_F05!$A$3:$C$128,2,TRUE))</f>
        <v>0</v>
      </c>
      <c r="G920">
        <f>F920*'Real assumptions'!$B$3</f>
        <v>0</v>
      </c>
      <c r="H920">
        <f t="shared" si="659"/>
        <v>0</v>
      </c>
      <c r="I920">
        <f t="shared" si="660"/>
        <v>0</v>
      </c>
      <c r="J920">
        <f>IF(B920&gt;$AJ$2,0,HLOOKUP(C920,'Real assumptions'!$B$5:$L$8,4,TRUE))</f>
        <v>3.7900000000000003E-2</v>
      </c>
      <c r="K920">
        <f t="shared" si="666"/>
        <v>1</v>
      </c>
      <c r="L920">
        <f t="shared" si="694"/>
        <v>8.3333333333333329E-2</v>
      </c>
      <c r="M920">
        <f t="shared" si="661"/>
        <v>3.2145624959929453E-3</v>
      </c>
      <c r="N920">
        <f t="shared" si="662"/>
        <v>5.8241221465699118E-8</v>
      </c>
      <c r="O920" s="8">
        <f t="shared" si="678"/>
        <v>1.8059689768614182E-5</v>
      </c>
      <c r="P920">
        <f t="shared" si="679"/>
        <v>4.3483034376191713E-4</v>
      </c>
      <c r="Q920">
        <f t="shared" si="695"/>
        <v>0</v>
      </c>
      <c r="R920" s="89">
        <f t="shared" si="667"/>
        <v>5000</v>
      </c>
      <c r="S920">
        <f t="shared" si="668"/>
        <v>0.25</v>
      </c>
      <c r="U920">
        <f>O919*AV919*'Real assumptions'!$B$33/12+AX920*'Real assumptions'!$B$34</f>
        <v>4.8184444939078987E-4</v>
      </c>
      <c r="V920">
        <f>IF(P920=0,0,IF(E920&lt;=$C$7,$AN$5*O919,0))*'Real assumptions'!$D$28</f>
        <v>0</v>
      </c>
      <c r="X920" s="94">
        <f t="shared" si="680"/>
        <v>0</v>
      </c>
      <c r="Y920">
        <f t="shared" si="669"/>
        <v>24</v>
      </c>
      <c r="Z920">
        <f t="shared" si="696"/>
        <v>23</v>
      </c>
      <c r="AA920">
        <f t="shared" si="670"/>
        <v>23.25</v>
      </c>
      <c r="AB920">
        <f t="shared" si="681"/>
        <v>50.505050505050505</v>
      </c>
      <c r="AC920">
        <f t="shared" si="663"/>
        <v>1174.2424242424242</v>
      </c>
      <c r="AD920">
        <f t="shared" si="682"/>
        <v>80.505050505050505</v>
      </c>
      <c r="AE920">
        <f t="shared" si="683"/>
        <v>93.587121212121204</v>
      </c>
      <c r="AF920" s="94">
        <f t="shared" si="684"/>
        <v>3732.170454545455</v>
      </c>
      <c r="AG920">
        <f t="shared" si="697"/>
        <v>2.1736616599092078E-4</v>
      </c>
      <c r="AH920">
        <f t="shared" si="685"/>
        <v>6.7401840572678701E-2</v>
      </c>
      <c r="AI920">
        <f>HLOOKUP(AW920,'Real assumptions'!$A$21:$AK$24,2,TRUE)</f>
        <v>0</v>
      </c>
      <c r="AJ920" s="123">
        <f t="shared" si="664"/>
        <v>0</v>
      </c>
      <c r="AK920" s="122">
        <f>(1+HLOOKUP(YEAR(A920),'Real assumptions'!$A$21:$AK$24,2,TRUE)/100)^(1/12)-1</f>
        <v>0</v>
      </c>
      <c r="AL920">
        <f t="shared" si="698"/>
        <v>4.8184444939078987E-4</v>
      </c>
      <c r="AM920">
        <f>('Real assumptions'!$B$33/12)*O919*AV919</f>
        <v>4.6332218369985059E-4</v>
      </c>
      <c r="AN920">
        <f t="shared" si="686"/>
        <v>6.748986127744315E-2</v>
      </c>
      <c r="AO920">
        <f t="shared" si="665"/>
        <v>0</v>
      </c>
      <c r="AP920" s="121">
        <f t="shared" si="687"/>
        <v>0</v>
      </c>
      <c r="AQ920">
        <f t="shared" si="688"/>
        <v>0</v>
      </c>
      <c r="AR920">
        <v>0</v>
      </c>
      <c r="AS920">
        <f t="shared" si="671"/>
        <v>0</v>
      </c>
      <c r="AT920">
        <f t="shared" si="689"/>
        <v>0</v>
      </c>
      <c r="AU920">
        <f>IFERROR(HLOOKUP(B920,'Real assumptions'!$B$43:$AL$44,2,TRUE)*($W$3/$U$2),0)</f>
        <v>0</v>
      </c>
      <c r="AV920">
        <f>AV919*(1+'Real assumptions'!$B$35)^(1/12)</f>
        <v>2.5599063604949417</v>
      </c>
      <c r="AW920">
        <f t="shared" si="672"/>
        <v>2094</v>
      </c>
      <c r="AX920">
        <f t="shared" si="699"/>
        <v>6.7613129301380429E-2</v>
      </c>
      <c r="AY920">
        <f t="shared" si="700"/>
        <v>7.625391830841701E-5</v>
      </c>
      <c r="AZ920">
        <f t="shared" si="673"/>
        <v>6.6685108627925052E-2</v>
      </c>
      <c r="BA920">
        <f t="shared" si="690"/>
        <v>2.1736616599092078E-4</v>
      </c>
      <c r="BB920">
        <f t="shared" si="691"/>
        <v>23.25</v>
      </c>
      <c r="BC920">
        <f t="shared" si="674"/>
        <v>13.95</v>
      </c>
      <c r="BD920">
        <f t="shared" si="692"/>
        <v>0</v>
      </c>
      <c r="BE920">
        <f t="shared" si="675"/>
        <v>24</v>
      </c>
      <c r="BF920">
        <f t="shared" si="701"/>
        <v>5000</v>
      </c>
      <c r="BU920"/>
      <c r="DW920" s="89"/>
      <c r="DX920" s="89"/>
      <c r="FD920"/>
      <c r="FE920"/>
    </row>
    <row r="921" spans="1:161" x14ac:dyDescent="0.25">
      <c r="A921" s="7">
        <f t="shared" si="693"/>
        <v>71132</v>
      </c>
      <c r="B921">
        <f t="shared" si="676"/>
        <v>910</v>
      </c>
      <c r="C921">
        <f t="shared" si="657"/>
        <v>75.75</v>
      </c>
      <c r="D921">
        <f t="shared" si="658"/>
        <v>0</v>
      </c>
      <c r="E921">
        <f t="shared" si="677"/>
        <v>127</v>
      </c>
      <c r="F921">
        <f>IF(C921&gt;=$T$2,0,VLOOKUP($E921,EKM_F05!$A$3:$C$128,2,TRUE))</f>
        <v>0</v>
      </c>
      <c r="G921">
        <f>F921*'Real assumptions'!$B$3</f>
        <v>0</v>
      </c>
      <c r="H921">
        <f t="shared" si="659"/>
        <v>0</v>
      </c>
      <c r="I921">
        <f t="shared" si="660"/>
        <v>0</v>
      </c>
      <c r="J921">
        <f>IF(B921&gt;$AJ$2,0,HLOOKUP(C921,'Real assumptions'!$B$5:$L$8,4,TRUE))</f>
        <v>3.7900000000000003E-2</v>
      </c>
      <c r="K921">
        <f t="shared" si="666"/>
        <v>1</v>
      </c>
      <c r="L921">
        <f t="shared" si="694"/>
        <v>8.3333333333333329E-2</v>
      </c>
      <c r="M921">
        <f t="shared" si="661"/>
        <v>3.2145624959929453E-3</v>
      </c>
      <c r="N921">
        <f t="shared" si="662"/>
        <v>5.8054001419454661E-8</v>
      </c>
      <c r="O921" s="8">
        <f t="shared" si="678"/>
        <v>1.8001635767194728E-5</v>
      </c>
      <c r="P921">
        <f t="shared" si="679"/>
        <v>4.3343255444674034E-4</v>
      </c>
      <c r="Q921">
        <f t="shared" si="695"/>
        <v>0</v>
      </c>
      <c r="R921" s="89">
        <f t="shared" si="667"/>
        <v>5000</v>
      </c>
      <c r="S921">
        <f t="shared" si="668"/>
        <v>0.1666666666666714</v>
      </c>
      <c r="U921">
        <f>O920*AV920*'Real assumptions'!$B$33/12+AX921*'Real assumptions'!$B$34</f>
        <v>4.8079635352803976E-4</v>
      </c>
      <c r="V921">
        <f>IF(P921=0,0,IF(E921&lt;=$C$7,$AN$5*O920,0))*'Real assumptions'!$D$28</f>
        <v>0</v>
      </c>
      <c r="X921" s="94">
        <f t="shared" si="680"/>
        <v>0</v>
      </c>
      <c r="Y921">
        <f t="shared" si="669"/>
        <v>24</v>
      </c>
      <c r="Z921">
        <f t="shared" si="696"/>
        <v>23</v>
      </c>
      <c r="AA921">
        <f t="shared" si="670"/>
        <v>23.166666666666671</v>
      </c>
      <c r="AB921">
        <f t="shared" si="681"/>
        <v>50.505050505050505</v>
      </c>
      <c r="AC921">
        <f t="shared" si="663"/>
        <v>1170.0336700336702</v>
      </c>
      <c r="AD921">
        <f t="shared" si="682"/>
        <v>80.505050505050505</v>
      </c>
      <c r="AE921">
        <f t="shared" si="683"/>
        <v>93.251683501683516</v>
      </c>
      <c r="AF921" s="94">
        <f t="shared" si="684"/>
        <v>3736.7146464646462</v>
      </c>
      <c r="AG921">
        <f t="shared" si="697"/>
        <v>2.1693123738995558E-4</v>
      </c>
      <c r="AH921">
        <f t="shared" si="685"/>
        <v>6.7266976031598383E-2</v>
      </c>
      <c r="AI921">
        <f>HLOOKUP(AW921,'Real assumptions'!$A$21:$AK$24,2,TRUE)</f>
        <v>0</v>
      </c>
      <c r="AJ921" s="123">
        <f t="shared" si="664"/>
        <v>0</v>
      </c>
      <c r="AK921" s="122">
        <f>(1+HLOOKUP(YEAR(A921),'Real assumptions'!$A$21:$AK$24,2,TRUE)/100)^(1/12)-1</f>
        <v>0</v>
      </c>
      <c r="AL921">
        <f t="shared" si="698"/>
        <v>4.8079635352803976E-4</v>
      </c>
      <c r="AM921">
        <f>('Real assumptions'!$B$33/12)*O920*AV920</f>
        <v>4.6231114707240869E-4</v>
      </c>
      <c r="AN921">
        <f t="shared" si="686"/>
        <v>6.7354476773597391E-2</v>
      </c>
      <c r="AO921">
        <f t="shared" si="665"/>
        <v>0</v>
      </c>
      <c r="AP921" s="121">
        <f t="shared" si="687"/>
        <v>0</v>
      </c>
      <c r="AQ921">
        <f t="shared" si="688"/>
        <v>0</v>
      </c>
      <c r="AR921">
        <v>0</v>
      </c>
      <c r="AS921">
        <f t="shared" si="671"/>
        <v>0</v>
      </c>
      <c r="AT921">
        <f t="shared" si="689"/>
        <v>0</v>
      </c>
      <c r="AU921">
        <f>IFERROR(HLOOKUP(B921,'Real assumptions'!$B$43:$AL$44,2,TRUE)*($W$3/$U$2),0)</f>
        <v>0</v>
      </c>
      <c r="AV921">
        <f>AV920*(1+'Real assumptions'!$B$35)^(1/12)</f>
        <v>2.5625577733058251</v>
      </c>
      <c r="AW921">
        <f t="shared" si="672"/>
        <v>2094</v>
      </c>
      <c r="AX921">
        <f t="shared" si="699"/>
        <v>6.747784936800115E-2</v>
      </c>
      <c r="AY921">
        <f t="shared" si="700"/>
        <v>7.6008795322450253E-5</v>
      </c>
      <c r="AZ921">
        <f t="shared" si="673"/>
        <v>6.6420813591453784E-2</v>
      </c>
      <c r="BA921">
        <f t="shared" si="690"/>
        <v>2.1693123738995558E-4</v>
      </c>
      <c r="BB921">
        <f t="shared" si="691"/>
        <v>23.166666666666671</v>
      </c>
      <c r="BC921">
        <f t="shared" si="674"/>
        <v>13.900000000000002</v>
      </c>
      <c r="BD921">
        <f t="shared" si="692"/>
        <v>0</v>
      </c>
      <c r="BE921">
        <f t="shared" si="675"/>
        <v>24</v>
      </c>
      <c r="BF921">
        <f t="shared" si="701"/>
        <v>5000</v>
      </c>
      <c r="BU921"/>
      <c r="DW921" s="89"/>
      <c r="DX921" s="89"/>
      <c r="FD921"/>
      <c r="FE921"/>
    </row>
    <row r="922" spans="1:161" x14ac:dyDescent="0.25">
      <c r="A922" s="7">
        <f t="shared" si="693"/>
        <v>71163</v>
      </c>
      <c r="B922">
        <f t="shared" si="676"/>
        <v>911</v>
      </c>
      <c r="C922">
        <f t="shared" si="657"/>
        <v>75.833333333333329</v>
      </c>
      <c r="D922">
        <f t="shared" si="658"/>
        <v>0</v>
      </c>
      <c r="E922">
        <f t="shared" si="677"/>
        <v>127</v>
      </c>
      <c r="F922">
        <f>IF(C922&gt;=$T$2,0,VLOOKUP($E922,EKM_F05!$A$3:$C$128,2,TRUE))</f>
        <v>0</v>
      </c>
      <c r="G922">
        <f>F922*'Real assumptions'!$B$3</f>
        <v>0</v>
      </c>
      <c r="H922">
        <f t="shared" si="659"/>
        <v>0</v>
      </c>
      <c r="I922">
        <f t="shared" si="660"/>
        <v>0</v>
      </c>
      <c r="J922">
        <f>IF(B922&gt;$AJ$2,0,HLOOKUP(C922,'Real assumptions'!$B$5:$L$8,4,TRUE))</f>
        <v>3.7900000000000003E-2</v>
      </c>
      <c r="K922">
        <f t="shared" si="666"/>
        <v>1</v>
      </c>
      <c r="L922">
        <f t="shared" si="694"/>
        <v>8.3333333333333329E-2</v>
      </c>
      <c r="M922">
        <f t="shared" si="661"/>
        <v>3.2145624959929453E-3</v>
      </c>
      <c r="N922">
        <f t="shared" si="662"/>
        <v>5.7867383203749366E-8</v>
      </c>
      <c r="O922" s="8">
        <f t="shared" si="678"/>
        <v>1.7943768383990981E-5</v>
      </c>
      <c r="P922">
        <f t="shared" si="679"/>
        <v>4.3203925841267348E-4</v>
      </c>
      <c r="Q922">
        <f t="shared" si="695"/>
        <v>0</v>
      </c>
      <c r="R922" s="89">
        <f t="shared" si="667"/>
        <v>5000</v>
      </c>
      <c r="S922">
        <f t="shared" si="668"/>
        <v>8.3333333333328596E-2</v>
      </c>
      <c r="U922">
        <f>O921*AV921*'Real assumptions'!$B$33/12+AX922*'Real assumptions'!$B$34</f>
        <v>4.7975051075502565E-4</v>
      </c>
      <c r="V922">
        <f>IF(P922=0,0,IF(E922&lt;=$C$7,$AN$5*O921,0))*'Real assumptions'!$D$28</f>
        <v>0</v>
      </c>
      <c r="X922" s="94">
        <f t="shared" si="680"/>
        <v>0</v>
      </c>
      <c r="Y922">
        <f t="shared" si="669"/>
        <v>24</v>
      </c>
      <c r="Z922">
        <f t="shared" si="696"/>
        <v>23</v>
      </c>
      <c r="AA922">
        <f t="shared" si="670"/>
        <v>23.083333333333329</v>
      </c>
      <c r="AB922">
        <f t="shared" si="681"/>
        <v>50.505050505050505</v>
      </c>
      <c r="AC922">
        <f t="shared" si="663"/>
        <v>1165.8249158249155</v>
      </c>
      <c r="AD922">
        <f t="shared" si="682"/>
        <v>80.505050505050505</v>
      </c>
      <c r="AE922">
        <f t="shared" si="683"/>
        <v>92.916245791245771</v>
      </c>
      <c r="AF922" s="94">
        <f t="shared" si="684"/>
        <v>3741.2588383838388</v>
      </c>
      <c r="AG922">
        <f t="shared" si="697"/>
        <v>2.1649685886517182E-4</v>
      </c>
      <c r="AH922">
        <f t="shared" si="685"/>
        <v>6.7132282060518744E-2</v>
      </c>
      <c r="AI922">
        <f>HLOOKUP(AW922,'Real assumptions'!$A$21:$AK$24,2,TRUE)</f>
        <v>0</v>
      </c>
      <c r="AJ922" s="123">
        <f t="shared" si="664"/>
        <v>0</v>
      </c>
      <c r="AK922" s="122">
        <f>(1+HLOOKUP(YEAR(A922),'Real assumptions'!$A$21:$AK$24,2,TRUE)/100)^(1/12)-1</f>
        <v>0</v>
      </c>
      <c r="AL922">
        <f t="shared" si="698"/>
        <v>4.7975051075502565E-4</v>
      </c>
      <c r="AM922">
        <f>('Real assumptions'!$B$33/12)*O921*AV921</f>
        <v>4.6130231667445019E-4</v>
      </c>
      <c r="AN922">
        <f t="shared" si="686"/>
        <v>6.7219264779256035E-2</v>
      </c>
      <c r="AO922">
        <f t="shared" si="665"/>
        <v>0</v>
      </c>
      <c r="AP922" s="121">
        <f t="shared" si="687"/>
        <v>0</v>
      </c>
      <c r="AQ922">
        <f t="shared" si="688"/>
        <v>0</v>
      </c>
      <c r="AR922">
        <v>0</v>
      </c>
      <c r="AS922">
        <f t="shared" si="671"/>
        <v>0</v>
      </c>
      <c r="AT922">
        <f t="shared" si="689"/>
        <v>0</v>
      </c>
      <c r="AU922">
        <f>IFERROR(HLOOKUP(B922,'Real assumptions'!$B$43:$AL$44,2,TRUE)*($W$3/$U$2),0)</f>
        <v>0</v>
      </c>
      <c r="AV922">
        <f>AV921*(1+'Real assumptions'!$B$35)^(1/12)</f>
        <v>2.5652119323069611</v>
      </c>
      <c r="AW922">
        <f t="shared" si="672"/>
        <v>2094</v>
      </c>
      <c r="AX922">
        <f t="shared" si="699"/>
        <v>6.734274049189802E-2</v>
      </c>
      <c r="AY922">
        <f t="shared" si="700"/>
        <v>7.576446029964111E-5</v>
      </c>
      <c r="AZ922">
        <f t="shared" si="673"/>
        <v>6.6156605480246267E-2</v>
      </c>
      <c r="BA922">
        <f t="shared" si="690"/>
        <v>2.1649685886517182E-4</v>
      </c>
      <c r="BB922">
        <f t="shared" si="691"/>
        <v>23.083333333333329</v>
      </c>
      <c r="BC922">
        <f t="shared" si="674"/>
        <v>13.849999999999996</v>
      </c>
      <c r="BD922">
        <f t="shared" si="692"/>
        <v>0</v>
      </c>
      <c r="BE922">
        <f t="shared" si="675"/>
        <v>24</v>
      </c>
      <c r="BF922">
        <f t="shared" si="701"/>
        <v>5000</v>
      </c>
      <c r="BU922"/>
      <c r="DW922" s="89"/>
      <c r="DX922" s="89"/>
      <c r="FD922"/>
      <c r="FE922"/>
    </row>
    <row r="923" spans="1:161" x14ac:dyDescent="0.25">
      <c r="A923" s="7">
        <f t="shared" si="693"/>
        <v>71193</v>
      </c>
      <c r="B923">
        <f t="shared" si="676"/>
        <v>912</v>
      </c>
      <c r="C923">
        <f t="shared" si="657"/>
        <v>75.916666666666671</v>
      </c>
      <c r="D923">
        <f t="shared" si="658"/>
        <v>0</v>
      </c>
      <c r="E923">
        <f t="shared" si="677"/>
        <v>127</v>
      </c>
      <c r="F923">
        <f>IF(C923&gt;=$T$2,0,VLOOKUP($E923,EKM_F05!$A$3:$C$128,2,TRUE))</f>
        <v>0</v>
      </c>
      <c r="G923">
        <f>F923*'Real assumptions'!$B$3</f>
        <v>0</v>
      </c>
      <c r="H923">
        <f t="shared" si="659"/>
        <v>0</v>
      </c>
      <c r="I923">
        <f t="shared" si="660"/>
        <v>0</v>
      </c>
      <c r="J923">
        <f>IF(B923&gt;$AJ$2,0,HLOOKUP(C923,'Real assumptions'!$B$5:$L$8,4,TRUE))</f>
        <v>3.7900000000000003E-2</v>
      </c>
      <c r="K923">
        <f t="shared" si="666"/>
        <v>1</v>
      </c>
      <c r="L923">
        <f t="shared" si="694"/>
        <v>8.3333333333333329E-2</v>
      </c>
      <c r="M923">
        <f t="shared" si="661"/>
        <v>3.2145624959929453E-3</v>
      </c>
      <c r="N923">
        <f t="shared" si="662"/>
        <v>5.7681364883961343E-8</v>
      </c>
      <c r="O923" s="8">
        <f t="shared" si="678"/>
        <v>1.7886087019107019E-5</v>
      </c>
      <c r="P923">
        <f t="shared" si="679"/>
        <v>4.306504412157835E-4</v>
      </c>
      <c r="Q923">
        <f t="shared" si="695"/>
        <v>0</v>
      </c>
      <c r="R923" s="89">
        <f t="shared" si="667"/>
        <v>5000</v>
      </c>
      <c r="S923">
        <f t="shared" si="668"/>
        <v>1</v>
      </c>
      <c r="U923">
        <f>O922*AV922*'Real assumptions'!$B$33/12+AX923*'Real assumptions'!$B$34</f>
        <v>4.78706916339111E-4</v>
      </c>
      <c r="V923">
        <f>IF(P923=0,0,IF(E923&lt;=$C$7,$AN$5*O922,0))*'Real assumptions'!$D$28</f>
        <v>0</v>
      </c>
      <c r="X923" s="94">
        <f t="shared" si="680"/>
        <v>0</v>
      </c>
      <c r="Y923">
        <f t="shared" si="669"/>
        <v>24</v>
      </c>
      <c r="Z923">
        <f t="shared" si="696"/>
        <v>23</v>
      </c>
      <c r="AA923">
        <f t="shared" si="670"/>
        <v>23</v>
      </c>
      <c r="AB923">
        <f t="shared" si="681"/>
        <v>50.505050505050505</v>
      </c>
      <c r="AC923">
        <f t="shared" si="663"/>
        <v>1161.6161616161617</v>
      </c>
      <c r="AD923">
        <f t="shared" si="682"/>
        <v>80.505050505050505</v>
      </c>
      <c r="AE923">
        <f t="shared" si="683"/>
        <v>92.580808080808083</v>
      </c>
      <c r="AF923" s="94">
        <f t="shared" si="684"/>
        <v>3745.80303030303</v>
      </c>
      <c r="AG923">
        <f t="shared" si="697"/>
        <v>2.1606303137435719E-4</v>
      </c>
      <c r="AH923">
        <f t="shared" si="685"/>
        <v>6.6997758956434769E-2</v>
      </c>
      <c r="AI923">
        <f>HLOOKUP(AW923,'Real assumptions'!$A$21:$AK$24,2,TRUE)</f>
        <v>0</v>
      </c>
      <c r="AJ923" s="123">
        <f t="shared" si="664"/>
        <v>0</v>
      </c>
      <c r="AK923" s="122">
        <f>(1+HLOOKUP(YEAR(A923),'Real assumptions'!$A$21:$AK$24,2,TRUE)/100)^(1/12)-1</f>
        <v>0</v>
      </c>
      <c r="AL923">
        <f t="shared" si="698"/>
        <v>4.78706916339111E-4</v>
      </c>
      <c r="AM923">
        <f>('Real assumptions'!$B$33/12)*O922*AV922</f>
        <v>4.6029568769166061E-4</v>
      </c>
      <c r="AN923">
        <f t="shared" si="686"/>
        <v>6.708422558539541E-2</v>
      </c>
      <c r="AO923">
        <f t="shared" si="665"/>
        <v>0</v>
      </c>
      <c r="AP923" s="121">
        <f t="shared" si="687"/>
        <v>0</v>
      </c>
      <c r="AQ923">
        <f t="shared" si="688"/>
        <v>0</v>
      </c>
      <c r="AR923">
        <v>0</v>
      </c>
      <c r="AS923">
        <f t="shared" si="671"/>
        <v>0</v>
      </c>
      <c r="AT923">
        <f t="shared" si="689"/>
        <v>0</v>
      </c>
      <c r="AU923">
        <f>IFERROR(HLOOKUP(B923,'Real assumptions'!$B$43:$AL$44,2,TRUE)*($W$3/$U$2),0)</f>
        <v>0</v>
      </c>
      <c r="AV923">
        <f>AV922*(1+'Real assumptions'!$B$35)^(1/12)</f>
        <v>2.5678688403427046</v>
      </c>
      <c r="AW923">
        <f t="shared" si="672"/>
        <v>2094</v>
      </c>
      <c r="AX923">
        <f t="shared" si="699"/>
        <v>6.7207802971225777E-2</v>
      </c>
      <c r="AY923">
        <f t="shared" si="700"/>
        <v>7.5520910707032744E-5</v>
      </c>
      <c r="AZ923">
        <f t="shared" si="673"/>
        <v>6.5892485973748569E-2</v>
      </c>
      <c r="BA923">
        <f t="shared" si="690"/>
        <v>2.1606303137435719E-4</v>
      </c>
      <c r="BB923">
        <f t="shared" si="691"/>
        <v>23</v>
      </c>
      <c r="BC923">
        <f t="shared" si="674"/>
        <v>13.799999999999999</v>
      </c>
      <c r="BD923">
        <f t="shared" si="692"/>
        <v>0</v>
      </c>
      <c r="BE923">
        <f t="shared" si="675"/>
        <v>24</v>
      </c>
      <c r="BF923">
        <f t="shared" si="701"/>
        <v>5000</v>
      </c>
      <c r="BU923"/>
      <c r="DW923" s="89"/>
      <c r="DX923" s="89"/>
      <c r="FD923"/>
      <c r="FE923"/>
    </row>
    <row r="924" spans="1:161" x14ac:dyDescent="0.25">
      <c r="A924" s="7">
        <f t="shared" si="693"/>
        <v>71224</v>
      </c>
      <c r="B924">
        <f t="shared" si="676"/>
        <v>913</v>
      </c>
      <c r="C924">
        <f t="shared" si="657"/>
        <v>76</v>
      </c>
      <c r="D924">
        <f t="shared" si="658"/>
        <v>1</v>
      </c>
      <c r="E924">
        <f t="shared" si="677"/>
        <v>128</v>
      </c>
      <c r="F924">
        <f>IF(C924&gt;=$T$2,0,VLOOKUP($E924,EKM_F05!$A$3:$C$128,2,TRUE))</f>
        <v>0</v>
      </c>
      <c r="G924">
        <f>F924*'Real assumptions'!$B$3</f>
        <v>0</v>
      </c>
      <c r="H924">
        <f t="shared" si="659"/>
        <v>0</v>
      </c>
      <c r="I924">
        <f t="shared" si="660"/>
        <v>0</v>
      </c>
      <c r="J924">
        <f>IF(B924&gt;$AJ$2,0,HLOOKUP(C924,'Real assumptions'!$B$5:$L$8,4,TRUE))</f>
        <v>3.7900000000000003E-2</v>
      </c>
      <c r="K924">
        <f t="shared" si="666"/>
        <v>1</v>
      </c>
      <c r="L924">
        <f t="shared" si="694"/>
        <v>8.3333333333333329E-2</v>
      </c>
      <c r="M924">
        <f t="shared" si="661"/>
        <v>3.2145624959929453E-3</v>
      </c>
      <c r="N924">
        <f t="shared" si="662"/>
        <v>5.7495944531687679E-8</v>
      </c>
      <c r="O924" s="8">
        <f t="shared" si="678"/>
        <v>1.7828591074575331E-5</v>
      </c>
      <c r="P924">
        <f t="shared" si="679"/>
        <v>4.2926608845856847E-4</v>
      </c>
      <c r="Q924">
        <f t="shared" si="695"/>
        <v>0</v>
      </c>
      <c r="R924" s="89">
        <f t="shared" si="667"/>
        <v>5000</v>
      </c>
      <c r="S924">
        <f t="shared" si="668"/>
        <v>0.9166666666666714</v>
      </c>
      <c r="U924">
        <f>O923*AV923*'Real assumptions'!$B$33/12+AX924*'Real assumptions'!$B$34</f>
        <v>4.7766556555715482E-4</v>
      </c>
      <c r="V924">
        <f>IF(P924=0,0,IF(E924&lt;=$C$7,$AN$5*O923,0))*'Real assumptions'!$D$28</f>
        <v>0</v>
      </c>
      <c r="X924" s="94">
        <f t="shared" si="680"/>
        <v>0</v>
      </c>
      <c r="Y924">
        <f t="shared" si="669"/>
        <v>24</v>
      </c>
      <c r="Z924">
        <f t="shared" si="696"/>
        <v>23</v>
      </c>
      <c r="AA924">
        <f t="shared" si="670"/>
        <v>22.916666666666671</v>
      </c>
      <c r="AB924">
        <f t="shared" si="681"/>
        <v>50.505050505050505</v>
      </c>
      <c r="AC924">
        <f t="shared" si="663"/>
        <v>1157.4074074074076</v>
      </c>
      <c r="AD924">
        <f t="shared" si="682"/>
        <v>80.505050505050505</v>
      </c>
      <c r="AE924">
        <f t="shared" si="683"/>
        <v>92.245370370370381</v>
      </c>
      <c r="AF924" s="94">
        <f t="shared" si="684"/>
        <v>3750.3472222222217</v>
      </c>
      <c r="AG924">
        <f t="shared" si="697"/>
        <v>2.1562975586345782E-4</v>
      </c>
      <c r="AH924">
        <f t="shared" si="685"/>
        <v>6.686340701266949E-2</v>
      </c>
      <c r="AI924">
        <f>HLOOKUP(AW924,'Real assumptions'!$A$21:$AK$24,2,TRUE)</f>
        <v>0</v>
      </c>
      <c r="AJ924" s="123">
        <f t="shared" si="664"/>
        <v>0</v>
      </c>
      <c r="AK924" s="122">
        <f>(1+HLOOKUP(YEAR(A924),'Real assumptions'!$A$21:$AK$24,2,TRUE)/100)^(1/12)-1</f>
        <v>0</v>
      </c>
      <c r="AL924">
        <f t="shared" si="698"/>
        <v>4.7766556555715482E-4</v>
      </c>
      <c r="AM924">
        <f>('Real assumptions'!$B$33/12)*O923*AV923</f>
        <v>4.5929125532023042E-4</v>
      </c>
      <c r="AN924">
        <f t="shared" si="686"/>
        <v>6.6949359479336182E-2</v>
      </c>
      <c r="AO924">
        <f t="shared" si="665"/>
        <v>0</v>
      </c>
      <c r="AP924" s="121">
        <f t="shared" si="687"/>
        <v>0</v>
      </c>
      <c r="AQ924">
        <f t="shared" si="688"/>
        <v>0</v>
      </c>
      <c r="AR924">
        <v>0</v>
      </c>
      <c r="AS924">
        <f t="shared" si="671"/>
        <v>0</v>
      </c>
      <c r="AT924">
        <f t="shared" si="689"/>
        <v>0</v>
      </c>
      <c r="AU924">
        <f>IFERROR(HLOOKUP(B924,'Real assumptions'!$B$43:$AL$44,2,TRUE)*($W$3/$U$2),0)</f>
        <v>0</v>
      </c>
      <c r="AV924">
        <f>AV923*(1+'Real assumptions'!$B$35)^(1/12)</f>
        <v>2.5705285002603575</v>
      </c>
      <c r="AW924">
        <f t="shared" si="672"/>
        <v>2094</v>
      </c>
      <c r="AX924">
        <f t="shared" si="699"/>
        <v>6.7073037100454577E-2</v>
      </c>
      <c r="AY924">
        <f t="shared" si="700"/>
        <v>7.5278144019810678E-5</v>
      </c>
      <c r="AZ924">
        <f t="shared" si="673"/>
        <v>6.5628456740786517E-2</v>
      </c>
      <c r="BA924">
        <f t="shared" si="690"/>
        <v>2.1562975586345782E-4</v>
      </c>
      <c r="BB924">
        <f t="shared" si="691"/>
        <v>22.916666666666671</v>
      </c>
      <c r="BC924">
        <f t="shared" si="674"/>
        <v>13.750000000000002</v>
      </c>
      <c r="BD924">
        <f t="shared" si="692"/>
        <v>0</v>
      </c>
      <c r="BE924">
        <f t="shared" si="675"/>
        <v>24</v>
      </c>
      <c r="BF924">
        <f t="shared" si="701"/>
        <v>5000</v>
      </c>
      <c r="BU924"/>
      <c r="DW924" s="89"/>
      <c r="DX924" s="89"/>
      <c r="FD924"/>
      <c r="FE924"/>
    </row>
    <row r="925" spans="1:161" x14ac:dyDescent="0.25">
      <c r="A925" s="7">
        <f t="shared" si="693"/>
        <v>71255</v>
      </c>
      <c r="B925">
        <f t="shared" si="676"/>
        <v>914</v>
      </c>
      <c r="C925">
        <f t="shared" si="657"/>
        <v>76.083333333333329</v>
      </c>
      <c r="D925">
        <f t="shared" si="658"/>
        <v>0</v>
      </c>
      <c r="E925">
        <f t="shared" si="677"/>
        <v>128</v>
      </c>
      <c r="F925">
        <f>IF(C925&gt;=$T$2,0,VLOOKUP($E925,EKM_F05!$A$3:$C$128,2,TRUE))</f>
        <v>0</v>
      </c>
      <c r="G925">
        <f>F925*'Real assumptions'!$B$3</f>
        <v>0</v>
      </c>
      <c r="H925">
        <f t="shared" si="659"/>
        <v>0</v>
      </c>
      <c r="I925">
        <f t="shared" si="660"/>
        <v>0</v>
      </c>
      <c r="J925">
        <f>IF(B925&gt;$AJ$2,0,HLOOKUP(C925,'Real assumptions'!$B$5:$L$8,4,TRUE))</f>
        <v>3.7900000000000003E-2</v>
      </c>
      <c r="K925">
        <f t="shared" si="666"/>
        <v>1</v>
      </c>
      <c r="L925">
        <f t="shared" si="694"/>
        <v>8.3333333333333329E-2</v>
      </c>
      <c r="M925">
        <f t="shared" si="661"/>
        <v>3.2145624959929453E-3</v>
      </c>
      <c r="N925">
        <f t="shared" si="662"/>
        <v>5.7311120224724427E-8</v>
      </c>
      <c r="O925" s="8">
        <f t="shared" si="678"/>
        <v>1.7771279954350608E-5</v>
      </c>
      <c r="P925">
        <f t="shared" si="679"/>
        <v>4.2788618578980795E-4</v>
      </c>
      <c r="Q925">
        <f t="shared" si="695"/>
        <v>0</v>
      </c>
      <c r="R925" s="89">
        <f t="shared" si="667"/>
        <v>5000</v>
      </c>
      <c r="S925">
        <f t="shared" si="668"/>
        <v>0.8333333333333286</v>
      </c>
      <c r="U925">
        <f>O924*AV924*'Real assumptions'!$B$33/12+AX925*'Real assumptions'!$B$34</f>
        <v>4.7662645369549557E-4</v>
      </c>
      <c r="V925">
        <f>IF(P925=0,0,IF(E925&lt;=$C$7,$AN$5*O924,0))*'Real assumptions'!$D$28</f>
        <v>0</v>
      </c>
      <c r="X925" s="94">
        <f t="shared" si="680"/>
        <v>0</v>
      </c>
      <c r="Y925">
        <f t="shared" si="669"/>
        <v>24</v>
      </c>
      <c r="Z925">
        <f t="shared" si="696"/>
        <v>22</v>
      </c>
      <c r="AA925">
        <f t="shared" si="670"/>
        <v>22.833333333333329</v>
      </c>
      <c r="AB925">
        <f t="shared" si="681"/>
        <v>50.505050505050505</v>
      </c>
      <c r="AC925">
        <f t="shared" si="663"/>
        <v>1153.1986531986529</v>
      </c>
      <c r="AD925">
        <f t="shared" si="682"/>
        <v>80.505050505050505</v>
      </c>
      <c r="AE925">
        <f t="shared" si="683"/>
        <v>91.909932659932636</v>
      </c>
      <c r="AF925" s="94">
        <f t="shared" si="684"/>
        <v>3754.8914141414143</v>
      </c>
      <c r="AG925">
        <f t="shared" si="697"/>
        <v>2.1519703326664411E-4</v>
      </c>
      <c r="AH925">
        <f t="shared" si="685"/>
        <v>6.6729226518894527E-2</v>
      </c>
      <c r="AI925">
        <f>HLOOKUP(AW925,'Real assumptions'!$A$21:$AK$24,2,TRUE)</f>
        <v>0</v>
      </c>
      <c r="AJ925" s="123">
        <f t="shared" si="664"/>
        <v>0</v>
      </c>
      <c r="AK925" s="122">
        <f>(1+HLOOKUP(YEAR(A925),'Real assumptions'!$A$21:$AK$24,2,TRUE)/100)^(1/12)-1</f>
        <v>0</v>
      </c>
      <c r="AL925">
        <f t="shared" si="698"/>
        <v>4.7662645369549557E-4</v>
      </c>
      <c r="AM925">
        <f>('Real assumptions'!$B$33/12)*O924*AV924</f>
        <v>4.5828901476683323E-4</v>
      </c>
      <c r="AN925">
        <f t="shared" si="686"/>
        <v>6.6814666744763801E-2</v>
      </c>
      <c r="AO925">
        <f t="shared" si="665"/>
        <v>0</v>
      </c>
      <c r="AP925" s="121">
        <f t="shared" si="687"/>
        <v>0</v>
      </c>
      <c r="AQ925">
        <f t="shared" si="688"/>
        <v>0</v>
      </c>
      <c r="AR925">
        <v>0</v>
      </c>
      <c r="AS925">
        <f t="shared" si="671"/>
        <v>0</v>
      </c>
      <c r="AT925">
        <f t="shared" si="689"/>
        <v>0</v>
      </c>
      <c r="AU925">
        <f>IFERROR(HLOOKUP(B925,'Real assumptions'!$B$43:$AL$44,2,TRUE)*($W$3/$U$2),0)</f>
        <v>0</v>
      </c>
      <c r="AV925">
        <f>AV924*(1+'Real assumptions'!$B$35)^(1/12)</f>
        <v>2.5731909149101706</v>
      </c>
      <c r="AW925">
        <f t="shared" si="672"/>
        <v>2095</v>
      </c>
      <c r="AX925">
        <f t="shared" si="699"/>
        <v>6.6938443170390771E-2</v>
      </c>
      <c r="AY925">
        <f t="shared" si="700"/>
        <v>7.5036157721276636E-5</v>
      </c>
      <c r="AZ925">
        <f t="shared" si="673"/>
        <v>6.5364519439614188E-2</v>
      </c>
      <c r="BA925">
        <f t="shared" si="690"/>
        <v>2.1519703326664411E-4</v>
      </c>
      <c r="BB925">
        <f t="shared" si="691"/>
        <v>22.833333333333329</v>
      </c>
      <c r="BC925">
        <f t="shared" si="674"/>
        <v>13.699999999999996</v>
      </c>
      <c r="BD925">
        <f t="shared" si="692"/>
        <v>0</v>
      </c>
      <c r="BE925">
        <f t="shared" si="675"/>
        <v>24</v>
      </c>
      <c r="BF925">
        <f t="shared" si="701"/>
        <v>5000</v>
      </c>
      <c r="BU925"/>
      <c r="DW925" s="89"/>
      <c r="DX925" s="89"/>
      <c r="FD925"/>
      <c r="FE925"/>
    </row>
    <row r="926" spans="1:161" x14ac:dyDescent="0.25">
      <c r="A926" s="7">
        <f t="shared" si="693"/>
        <v>71283</v>
      </c>
      <c r="B926">
        <f t="shared" si="676"/>
        <v>915</v>
      </c>
      <c r="C926">
        <f t="shared" si="657"/>
        <v>76.166666666666671</v>
      </c>
      <c r="D926">
        <f t="shared" si="658"/>
        <v>0</v>
      </c>
      <c r="E926">
        <f t="shared" si="677"/>
        <v>128</v>
      </c>
      <c r="F926">
        <f>IF(C926&gt;=$T$2,0,VLOOKUP($E926,EKM_F05!$A$3:$C$128,2,TRUE))</f>
        <v>0</v>
      </c>
      <c r="G926">
        <f>F926*'Real assumptions'!$B$3</f>
        <v>0</v>
      </c>
      <c r="H926">
        <f t="shared" si="659"/>
        <v>0</v>
      </c>
      <c r="I926">
        <f t="shared" si="660"/>
        <v>0</v>
      </c>
      <c r="J926">
        <f>IF(B926&gt;$AJ$2,0,HLOOKUP(C926,'Real assumptions'!$B$5:$L$8,4,TRUE))</f>
        <v>3.7900000000000003E-2</v>
      </c>
      <c r="K926">
        <f t="shared" si="666"/>
        <v>1</v>
      </c>
      <c r="L926">
        <f t="shared" si="694"/>
        <v>8.3333333333333329E-2</v>
      </c>
      <c r="M926">
        <f t="shared" si="661"/>
        <v>3.2145624959929453E-3</v>
      </c>
      <c r="N926">
        <f t="shared" si="662"/>
        <v>5.7126890047046689E-8</v>
      </c>
      <c r="O926" s="8">
        <f t="shared" si="678"/>
        <v>1.7714153064303562E-5</v>
      </c>
      <c r="P926">
        <f t="shared" si="679"/>
        <v>4.2651071890441458E-4</v>
      </c>
      <c r="Q926">
        <f t="shared" si="695"/>
        <v>0</v>
      </c>
      <c r="R926" s="89">
        <f t="shared" si="667"/>
        <v>5000</v>
      </c>
      <c r="S926">
        <f t="shared" si="668"/>
        <v>0.75</v>
      </c>
      <c r="U926">
        <f>O925*AV925*'Real assumptions'!$B$33/12+AX926*'Real assumptions'!$B$34</f>
        <v>4.7558957604993334E-4</v>
      </c>
      <c r="V926">
        <f>IF(P926=0,0,IF(E926&lt;=$C$7,$AN$5*O925,0))*'Real assumptions'!$D$28</f>
        <v>0</v>
      </c>
      <c r="X926" s="94">
        <f t="shared" si="680"/>
        <v>0</v>
      </c>
      <c r="Y926">
        <f t="shared" si="669"/>
        <v>24</v>
      </c>
      <c r="Z926">
        <f t="shared" si="696"/>
        <v>22</v>
      </c>
      <c r="AA926">
        <f t="shared" si="670"/>
        <v>22.75</v>
      </c>
      <c r="AB926">
        <f t="shared" si="681"/>
        <v>50.505050505050505</v>
      </c>
      <c r="AC926">
        <f t="shared" si="663"/>
        <v>1148.9898989898991</v>
      </c>
      <c r="AD926">
        <f t="shared" si="682"/>
        <v>80.505050505050505</v>
      </c>
      <c r="AE926">
        <f t="shared" si="683"/>
        <v>91.574494949494948</v>
      </c>
      <c r="AF926" s="94">
        <f t="shared" si="684"/>
        <v>3759.4356060606056</v>
      </c>
      <c r="AG926">
        <f t="shared" si="697"/>
        <v>2.1476486450637655E-4</v>
      </c>
      <c r="AH926">
        <f t="shared" si="685"/>
        <v>6.6595217761150391E-2</v>
      </c>
      <c r="AI926">
        <f>HLOOKUP(AW926,'Real assumptions'!$A$21:$AK$24,2,TRUE)</f>
        <v>0</v>
      </c>
      <c r="AJ926" s="123">
        <f t="shared" si="664"/>
        <v>0</v>
      </c>
      <c r="AK926" s="122">
        <f>(1+HLOOKUP(YEAR(A926),'Real assumptions'!$A$21:$AK$24,2,TRUE)/100)^(1/12)-1</f>
        <v>0</v>
      </c>
      <c r="AL926">
        <f t="shared" si="698"/>
        <v>4.7558957604993334E-4</v>
      </c>
      <c r="AM926">
        <f>('Real assumptions'!$B$33/12)*O925*AV925</f>
        <v>4.5728896124860218E-4</v>
      </c>
      <c r="AN926">
        <f t="shared" si="686"/>
        <v>6.6680147661749012E-2</v>
      </c>
      <c r="AO926">
        <f t="shared" si="665"/>
        <v>0</v>
      </c>
      <c r="AP926" s="121">
        <f t="shared" si="687"/>
        <v>0</v>
      </c>
      <c r="AQ926">
        <f t="shared" si="688"/>
        <v>0</v>
      </c>
      <c r="AR926">
        <v>0</v>
      </c>
      <c r="AS926">
        <f t="shared" si="671"/>
        <v>0</v>
      </c>
      <c r="AT926">
        <f t="shared" si="689"/>
        <v>0</v>
      </c>
      <c r="AU926">
        <f>IFERROR(HLOOKUP(B926,'Real assumptions'!$B$43:$AL$44,2,TRUE)*($W$3/$U$2),0)</f>
        <v>0</v>
      </c>
      <c r="AV926">
        <f>AV925*(1+'Real assumptions'!$B$35)^(1/12)</f>
        <v>2.5758560871453469</v>
      </c>
      <c r="AW926">
        <f t="shared" si="672"/>
        <v>2095</v>
      </c>
      <c r="AX926">
        <f t="shared" si="699"/>
        <v>6.6804021468197347E-2</v>
      </c>
      <c r="AY926">
        <f t="shared" si="700"/>
        <v>7.4794949302822415E-5</v>
      </c>
      <c r="AZ926">
        <f t="shared" si="673"/>
        <v>6.5100675717962297E-2</v>
      </c>
      <c r="BA926">
        <f t="shared" si="690"/>
        <v>2.1476486450637655E-4</v>
      </c>
      <c r="BB926">
        <f t="shared" si="691"/>
        <v>22.75</v>
      </c>
      <c r="BC926">
        <f t="shared" si="674"/>
        <v>13.649999999999999</v>
      </c>
      <c r="BD926">
        <f t="shared" si="692"/>
        <v>0</v>
      </c>
      <c r="BE926">
        <f t="shared" si="675"/>
        <v>24</v>
      </c>
      <c r="BF926">
        <f t="shared" si="701"/>
        <v>5000</v>
      </c>
      <c r="BU926"/>
      <c r="DW926" s="89"/>
      <c r="DX926" s="89"/>
      <c r="FD926"/>
      <c r="FE926"/>
    </row>
    <row r="927" spans="1:161" x14ac:dyDescent="0.25">
      <c r="A927" s="7">
        <f t="shared" si="693"/>
        <v>71314</v>
      </c>
      <c r="B927">
        <f t="shared" si="676"/>
        <v>916</v>
      </c>
      <c r="C927">
        <f t="shared" si="657"/>
        <v>76.25</v>
      </c>
      <c r="D927">
        <f t="shared" si="658"/>
        <v>0</v>
      </c>
      <c r="E927">
        <f t="shared" si="677"/>
        <v>128</v>
      </c>
      <c r="F927">
        <f>IF(C927&gt;=$T$2,0,VLOOKUP($E927,EKM_F05!$A$3:$C$128,2,TRUE))</f>
        <v>0</v>
      </c>
      <c r="G927">
        <f>F927*'Real assumptions'!$B$3</f>
        <v>0</v>
      </c>
      <c r="H927">
        <f t="shared" si="659"/>
        <v>0</v>
      </c>
      <c r="I927">
        <f t="shared" si="660"/>
        <v>0</v>
      </c>
      <c r="J927">
        <f>IF(B927&gt;$AJ$2,0,HLOOKUP(C927,'Real assumptions'!$B$5:$L$8,4,TRUE))</f>
        <v>3.7900000000000003E-2</v>
      </c>
      <c r="K927">
        <f t="shared" si="666"/>
        <v>1</v>
      </c>
      <c r="L927">
        <f t="shared" si="694"/>
        <v>8.3333333333333329E-2</v>
      </c>
      <c r="M927">
        <f t="shared" si="661"/>
        <v>3.2145624959929453E-3</v>
      </c>
      <c r="N927">
        <f t="shared" si="662"/>
        <v>5.6943252088788736E-8</v>
      </c>
      <c r="O927" s="8">
        <f t="shared" si="678"/>
        <v>1.7657209812214773E-5</v>
      </c>
      <c r="P927">
        <f t="shared" si="679"/>
        <v>4.2513967354328549E-4</v>
      </c>
      <c r="Q927">
        <f t="shared" si="695"/>
        <v>0</v>
      </c>
      <c r="R927" s="89">
        <f t="shared" si="667"/>
        <v>5000</v>
      </c>
      <c r="S927">
        <f t="shared" si="668"/>
        <v>0.6666666666666714</v>
      </c>
      <c r="U927">
        <f>O926*AV926*'Real assumptions'!$B$33/12+AX927*'Real assumptions'!$B$34</f>
        <v>4.7455492792571242E-4</v>
      </c>
      <c r="V927">
        <f>IF(P927=0,0,IF(E927&lt;=$C$7,$AN$5*O926,0))*'Real assumptions'!$D$28</f>
        <v>0</v>
      </c>
      <c r="X927" s="94">
        <f t="shared" si="680"/>
        <v>0</v>
      </c>
      <c r="Y927">
        <f t="shared" si="669"/>
        <v>24</v>
      </c>
      <c r="Z927">
        <f t="shared" si="696"/>
        <v>22</v>
      </c>
      <c r="AA927">
        <f t="shared" si="670"/>
        <v>22.666666666666671</v>
      </c>
      <c r="AB927">
        <f t="shared" si="681"/>
        <v>50.505050505050505</v>
      </c>
      <c r="AC927">
        <f t="shared" si="663"/>
        <v>1144.781144781145</v>
      </c>
      <c r="AD927">
        <f t="shared" si="682"/>
        <v>80.505050505050505</v>
      </c>
      <c r="AE927">
        <f t="shared" si="683"/>
        <v>91.23905723905726</v>
      </c>
      <c r="AF927" s="94">
        <f t="shared" si="684"/>
        <v>3763.9797979797977</v>
      </c>
      <c r="AG927">
        <f t="shared" si="697"/>
        <v>2.1433325049347173E-4</v>
      </c>
      <c r="AH927">
        <f t="shared" si="685"/>
        <v>6.6461381021867064E-2</v>
      </c>
      <c r="AI927">
        <f>HLOOKUP(AW927,'Real assumptions'!$A$21:$AK$24,2,TRUE)</f>
        <v>0</v>
      </c>
      <c r="AJ927" s="123">
        <f t="shared" si="664"/>
        <v>0</v>
      </c>
      <c r="AK927" s="122">
        <f>(1+HLOOKUP(YEAR(A927),'Real assumptions'!$A$21:$AK$24,2,TRUE)/100)^(1/12)-1</f>
        <v>0</v>
      </c>
      <c r="AL927">
        <f t="shared" si="698"/>
        <v>4.7455492792571242E-4</v>
      </c>
      <c r="AM927">
        <f>('Real assumptions'!$B$33/12)*O926*AV926</f>
        <v>4.5629108999310726E-4</v>
      </c>
      <c r="AN927">
        <f t="shared" si="686"/>
        <v>6.6545802506767962E-2</v>
      </c>
      <c r="AO927">
        <f t="shared" si="665"/>
        <v>0</v>
      </c>
      <c r="AP927" s="121">
        <f t="shared" si="687"/>
        <v>0</v>
      </c>
      <c r="AQ927">
        <f t="shared" si="688"/>
        <v>0</v>
      </c>
      <c r="AR927">
        <v>0</v>
      </c>
      <c r="AS927">
        <f t="shared" si="671"/>
        <v>0</v>
      </c>
      <c r="AT927">
        <f t="shared" si="689"/>
        <v>0</v>
      </c>
      <c r="AU927">
        <f>IFERROR(HLOOKUP(B927,'Real assumptions'!$B$43:$AL$44,2,TRUE)*($W$3/$U$2),0)</f>
        <v>0</v>
      </c>
      <c r="AV927">
        <f>AV926*(1+'Real assumptions'!$B$35)^(1/12)</f>
        <v>2.5785240198220443</v>
      </c>
      <c r="AW927">
        <f t="shared" si="672"/>
        <v>2095</v>
      </c>
      <c r="AX927">
        <f t="shared" si="699"/>
        <v>6.6669772277414288E-2</v>
      </c>
      <c r="AY927">
        <f t="shared" si="700"/>
        <v>7.4554516263903878E-5</v>
      </c>
      <c r="AZ927">
        <f t="shared" si="673"/>
        <v>6.4836927213086398E-2</v>
      </c>
      <c r="BA927">
        <f t="shared" si="690"/>
        <v>2.1433325049347173E-4</v>
      </c>
      <c r="BB927">
        <f t="shared" si="691"/>
        <v>22.666666666666671</v>
      </c>
      <c r="BC927">
        <f t="shared" si="674"/>
        <v>13.600000000000001</v>
      </c>
      <c r="BD927">
        <f t="shared" si="692"/>
        <v>0</v>
      </c>
      <c r="BE927">
        <f t="shared" si="675"/>
        <v>24</v>
      </c>
      <c r="BF927">
        <f t="shared" si="701"/>
        <v>5000</v>
      </c>
      <c r="BU927"/>
      <c r="DW927" s="89"/>
      <c r="DX927" s="89"/>
      <c r="FD927"/>
      <c r="FE927"/>
    </row>
    <row r="928" spans="1:161" x14ac:dyDescent="0.25">
      <c r="A928" s="7">
        <f t="shared" si="693"/>
        <v>71344</v>
      </c>
      <c r="B928">
        <f t="shared" si="676"/>
        <v>917</v>
      </c>
      <c r="C928">
        <f t="shared" si="657"/>
        <v>76.333333333333329</v>
      </c>
      <c r="D928">
        <f t="shared" si="658"/>
        <v>0</v>
      </c>
      <c r="E928">
        <f t="shared" si="677"/>
        <v>128</v>
      </c>
      <c r="F928">
        <f>IF(C928&gt;=$T$2,0,VLOOKUP($E928,EKM_F05!$A$3:$C$128,2,TRUE))</f>
        <v>0</v>
      </c>
      <c r="G928">
        <f>F928*'Real assumptions'!$B$3</f>
        <v>0</v>
      </c>
      <c r="H928">
        <f t="shared" si="659"/>
        <v>0</v>
      </c>
      <c r="I928">
        <f t="shared" si="660"/>
        <v>0</v>
      </c>
      <c r="J928">
        <f>IF(B928&gt;$AJ$2,0,HLOOKUP(C928,'Real assumptions'!$B$5:$L$8,4,TRUE))</f>
        <v>3.7900000000000003E-2</v>
      </c>
      <c r="K928">
        <f t="shared" si="666"/>
        <v>1</v>
      </c>
      <c r="L928">
        <f t="shared" si="694"/>
        <v>8.3333333333333329E-2</v>
      </c>
      <c r="M928">
        <f t="shared" si="661"/>
        <v>3.2145624959929453E-3</v>
      </c>
      <c r="N928">
        <f t="shared" si="662"/>
        <v>5.6760204446224241E-8</v>
      </c>
      <c r="O928" s="8">
        <f t="shared" si="678"/>
        <v>1.7600449607768548E-5</v>
      </c>
      <c r="P928">
        <f t="shared" si="679"/>
        <v>4.2377303549315454E-4</v>
      </c>
      <c r="Q928">
        <f t="shared" si="695"/>
        <v>0</v>
      </c>
      <c r="R928" s="89">
        <f t="shared" si="667"/>
        <v>5000</v>
      </c>
      <c r="S928">
        <f t="shared" si="668"/>
        <v>0.5833333333333286</v>
      </c>
      <c r="U928">
        <f>O927*AV927*'Real assumptions'!$B$33/12+AX928*'Real assumptions'!$B$34</f>
        <v>4.7352250463750435E-4</v>
      </c>
      <c r="V928">
        <f>IF(P928=0,0,IF(E928&lt;=$C$7,$AN$5*O927,0))*'Real assumptions'!$D$28</f>
        <v>0</v>
      </c>
      <c r="X928" s="94">
        <f t="shared" si="680"/>
        <v>0</v>
      </c>
      <c r="Y928">
        <f t="shared" si="669"/>
        <v>24</v>
      </c>
      <c r="Z928">
        <f t="shared" si="696"/>
        <v>22</v>
      </c>
      <c r="AA928">
        <f t="shared" si="670"/>
        <v>22.583333333333329</v>
      </c>
      <c r="AB928">
        <f t="shared" si="681"/>
        <v>50.505050505050505</v>
      </c>
      <c r="AC928">
        <f t="shared" si="663"/>
        <v>1140.5723905723903</v>
      </c>
      <c r="AD928">
        <f t="shared" si="682"/>
        <v>80.505050505050505</v>
      </c>
      <c r="AE928">
        <f t="shared" si="683"/>
        <v>90.903619528619501</v>
      </c>
      <c r="AF928" s="94">
        <f t="shared" si="684"/>
        <v>3768.5239898989903</v>
      </c>
      <c r="AG928">
        <f t="shared" si="697"/>
        <v>2.1390219212716739E-4</v>
      </c>
      <c r="AH928">
        <f t="shared" si="685"/>
        <v>6.6327716579884052E-2</v>
      </c>
      <c r="AI928">
        <f>HLOOKUP(AW928,'Real assumptions'!$A$21:$AK$24,2,TRUE)</f>
        <v>0</v>
      </c>
      <c r="AJ928" s="123">
        <f t="shared" si="664"/>
        <v>0</v>
      </c>
      <c r="AK928" s="122">
        <f>(1+HLOOKUP(YEAR(A928),'Real assumptions'!$A$21:$AK$24,2,TRUE)/100)^(1/12)-1</f>
        <v>0</v>
      </c>
      <c r="AL928">
        <f t="shared" si="698"/>
        <v>4.7352250463750435E-4</v>
      </c>
      <c r="AM928">
        <f>('Real assumptions'!$B$33/12)*O927*AV927</f>
        <v>4.5529539623833276E-4</v>
      </c>
      <c r="AN928">
        <f t="shared" si="686"/>
        <v>6.6411631552722714E-2</v>
      </c>
      <c r="AO928">
        <f t="shared" si="665"/>
        <v>0</v>
      </c>
      <c r="AP928" s="121">
        <f t="shared" si="687"/>
        <v>0</v>
      </c>
      <c r="AQ928">
        <f t="shared" si="688"/>
        <v>0</v>
      </c>
      <c r="AR928">
        <v>0</v>
      </c>
      <c r="AS928">
        <f t="shared" si="671"/>
        <v>0</v>
      </c>
      <c r="AT928">
        <f t="shared" si="689"/>
        <v>0</v>
      </c>
      <c r="AU928">
        <f>IFERROR(HLOOKUP(B928,'Real assumptions'!$B$43:$AL$44,2,TRUE)*($W$3/$U$2),0)</f>
        <v>0</v>
      </c>
      <c r="AV928">
        <f>AV927*(1+'Real assumptions'!$B$35)^(1/12)</f>
        <v>2.5811947157993789</v>
      </c>
      <c r="AW928">
        <f t="shared" si="672"/>
        <v>2095</v>
      </c>
      <c r="AX928">
        <f t="shared" si="699"/>
        <v>6.6535695877979084E-2</v>
      </c>
      <c r="AY928">
        <f t="shared" si="700"/>
        <v>7.4314856112015027E-5</v>
      </c>
      <c r="AZ928">
        <f t="shared" si="673"/>
        <v>6.4573275551814885E-2</v>
      </c>
      <c r="BA928">
        <f t="shared" si="690"/>
        <v>2.1390219212716739E-4</v>
      </c>
      <c r="BB928">
        <f t="shared" si="691"/>
        <v>22.583333333333329</v>
      </c>
      <c r="BC928">
        <f t="shared" si="674"/>
        <v>13.549999999999997</v>
      </c>
      <c r="BD928">
        <f t="shared" si="692"/>
        <v>0</v>
      </c>
      <c r="BE928">
        <f t="shared" si="675"/>
        <v>24</v>
      </c>
      <c r="BF928">
        <f t="shared" si="701"/>
        <v>5000</v>
      </c>
      <c r="BU928"/>
      <c r="DW928" s="89"/>
      <c r="DX928" s="89"/>
      <c r="FD928"/>
      <c r="FE928"/>
    </row>
    <row r="929" spans="1:161" x14ac:dyDescent="0.25">
      <c r="A929" s="7">
        <f t="shared" si="693"/>
        <v>71375</v>
      </c>
      <c r="B929">
        <f t="shared" si="676"/>
        <v>918</v>
      </c>
      <c r="C929">
        <f t="shared" si="657"/>
        <v>76.416666666666671</v>
      </c>
      <c r="D929">
        <f t="shared" si="658"/>
        <v>0</v>
      </c>
      <c r="E929">
        <f t="shared" si="677"/>
        <v>128</v>
      </c>
      <c r="F929">
        <f>IF(C929&gt;=$T$2,0,VLOOKUP($E929,EKM_F05!$A$3:$C$128,2,TRUE))</f>
        <v>0</v>
      </c>
      <c r="G929">
        <f>F929*'Real assumptions'!$B$3</f>
        <v>0</v>
      </c>
      <c r="H929">
        <f t="shared" si="659"/>
        <v>0</v>
      </c>
      <c r="I929">
        <f t="shared" si="660"/>
        <v>0</v>
      </c>
      <c r="J929">
        <f>IF(B929&gt;$AJ$2,0,HLOOKUP(C929,'Real assumptions'!$B$5:$L$8,4,TRUE))</f>
        <v>3.7900000000000003E-2</v>
      </c>
      <c r="K929">
        <f t="shared" si="666"/>
        <v>1</v>
      </c>
      <c r="L929">
        <f t="shared" si="694"/>
        <v>8.3333333333333329E-2</v>
      </c>
      <c r="M929">
        <f t="shared" si="661"/>
        <v>3.2145624959929453E-3</v>
      </c>
      <c r="N929">
        <f t="shared" si="662"/>
        <v>5.6577745221746516E-8</v>
      </c>
      <c r="O929" s="8">
        <f t="shared" si="678"/>
        <v>1.75438718625468E-5</v>
      </c>
      <c r="P929">
        <f t="shared" si="679"/>
        <v>4.2241079058644518E-4</v>
      </c>
      <c r="Q929">
        <f t="shared" si="695"/>
        <v>0</v>
      </c>
      <c r="R929" s="89">
        <f t="shared" si="667"/>
        <v>5000</v>
      </c>
      <c r="S929">
        <f t="shared" si="668"/>
        <v>0.5</v>
      </c>
      <c r="U929">
        <f>O928*AV928*'Real assumptions'!$B$33/12+AX929*'Real assumptions'!$B$34</f>
        <v>4.7249230150939073E-4</v>
      </c>
      <c r="V929">
        <f>IF(P929=0,0,IF(E929&lt;=$C$7,$AN$5*O928,0))*'Real assumptions'!$D$28</f>
        <v>0</v>
      </c>
      <c r="X929" s="94">
        <f t="shared" si="680"/>
        <v>0</v>
      </c>
      <c r="Y929">
        <f t="shared" si="669"/>
        <v>24</v>
      </c>
      <c r="Z929">
        <f t="shared" si="696"/>
        <v>22</v>
      </c>
      <c r="AA929">
        <f t="shared" si="670"/>
        <v>22.5</v>
      </c>
      <c r="AB929">
        <f t="shared" si="681"/>
        <v>50.505050505050505</v>
      </c>
      <c r="AC929">
        <f t="shared" si="663"/>
        <v>1136.3636363636363</v>
      </c>
      <c r="AD929">
        <f t="shared" si="682"/>
        <v>80.505050505050505</v>
      </c>
      <c r="AE929">
        <f t="shared" si="683"/>
        <v>90.568181818181813</v>
      </c>
      <c r="AF929" s="94">
        <f t="shared" si="684"/>
        <v>3773.068181818182</v>
      </c>
      <c r="AG929">
        <f t="shared" si="697"/>
        <v>2.1347169029518746E-4</v>
      </c>
      <c r="AH929">
        <f t="shared" si="685"/>
        <v>6.6194224710470623E-2</v>
      </c>
      <c r="AI929">
        <f>HLOOKUP(AW929,'Real assumptions'!$A$21:$AK$24,2,TRUE)</f>
        <v>0</v>
      </c>
      <c r="AJ929" s="123">
        <f t="shared" si="664"/>
        <v>0</v>
      </c>
      <c r="AK929" s="122">
        <f>(1+HLOOKUP(YEAR(A929),'Real assumptions'!$A$21:$AK$24,2,TRUE)/100)^(1/12)-1</f>
        <v>0</v>
      </c>
      <c r="AL929">
        <f t="shared" si="698"/>
        <v>4.7249230150939073E-4</v>
      </c>
      <c r="AM929">
        <f>('Real assumptions'!$B$33/12)*O928*AV928</f>
        <v>4.5430187523265425E-4</v>
      </c>
      <c r="AN929">
        <f t="shared" si="686"/>
        <v>6.6277635068961102E-2</v>
      </c>
      <c r="AO929">
        <f t="shared" si="665"/>
        <v>0</v>
      </c>
      <c r="AP929" s="121">
        <f t="shared" si="687"/>
        <v>0</v>
      </c>
      <c r="AQ929">
        <f t="shared" si="688"/>
        <v>0</v>
      </c>
      <c r="AR929">
        <v>0</v>
      </c>
      <c r="AS929">
        <f t="shared" si="671"/>
        <v>0</v>
      </c>
      <c r="AT929">
        <f t="shared" si="689"/>
        <v>0</v>
      </c>
      <c r="AU929">
        <f>IFERROR(HLOOKUP(B929,'Real assumptions'!$B$43:$AL$44,2,TRUE)*($W$3/$U$2),0)</f>
        <v>0</v>
      </c>
      <c r="AV929">
        <f>AV928*(1+'Real assumptions'!$B$35)^(1/12)</f>
        <v>2.5838681779394284</v>
      </c>
      <c r="AW929">
        <f t="shared" si="672"/>
        <v>2095</v>
      </c>
      <c r="AX929">
        <f t="shared" si="699"/>
        <v>6.6401792546246716E-2</v>
      </c>
      <c r="AY929">
        <f t="shared" si="700"/>
        <v>7.4075966362662239E-5</v>
      </c>
      <c r="AZ929">
        <f t="shared" si="673"/>
        <v>6.4309722350596746E-2</v>
      </c>
      <c r="BA929">
        <f t="shared" si="690"/>
        <v>2.1347169029518746E-4</v>
      </c>
      <c r="BB929">
        <f t="shared" si="691"/>
        <v>22.5</v>
      </c>
      <c r="BC929">
        <f t="shared" si="674"/>
        <v>13.5</v>
      </c>
      <c r="BD929">
        <f t="shared" si="692"/>
        <v>0</v>
      </c>
      <c r="BE929">
        <f t="shared" si="675"/>
        <v>24</v>
      </c>
      <c r="BF929">
        <f t="shared" si="701"/>
        <v>5000</v>
      </c>
      <c r="BU929"/>
      <c r="DW929" s="89"/>
      <c r="DX929" s="89"/>
      <c r="FD929"/>
      <c r="FE929"/>
    </row>
    <row r="930" spans="1:161" x14ac:dyDescent="0.25">
      <c r="A930" s="7">
        <f t="shared" si="693"/>
        <v>71405</v>
      </c>
      <c r="B930">
        <f t="shared" si="676"/>
        <v>919</v>
      </c>
      <c r="C930">
        <f t="shared" si="657"/>
        <v>76.5</v>
      </c>
      <c r="D930">
        <f t="shared" si="658"/>
        <v>0</v>
      </c>
      <c r="E930">
        <f t="shared" si="677"/>
        <v>128</v>
      </c>
      <c r="F930">
        <f>IF(C930&gt;=$T$2,0,VLOOKUP($E930,EKM_F05!$A$3:$C$128,2,TRUE))</f>
        <v>0</v>
      </c>
      <c r="G930">
        <f>F930*'Real assumptions'!$B$3</f>
        <v>0</v>
      </c>
      <c r="H930">
        <f t="shared" si="659"/>
        <v>0</v>
      </c>
      <c r="I930">
        <f t="shared" si="660"/>
        <v>0</v>
      </c>
      <c r="J930">
        <f>IF(B930&gt;$AJ$2,0,HLOOKUP(C930,'Real assumptions'!$B$5:$L$8,4,TRUE))</f>
        <v>3.7900000000000003E-2</v>
      </c>
      <c r="K930">
        <f t="shared" si="666"/>
        <v>1</v>
      </c>
      <c r="L930">
        <f t="shared" si="694"/>
        <v>8.3333333333333329E-2</v>
      </c>
      <c r="M930">
        <f t="shared" si="661"/>
        <v>3.2145624959929453E-3</v>
      </c>
      <c r="N930">
        <f t="shared" si="662"/>
        <v>5.6395872523848846E-8</v>
      </c>
      <c r="O930" s="8">
        <f t="shared" si="678"/>
        <v>1.7487475990022951E-5</v>
      </c>
      <c r="P930">
        <f t="shared" si="679"/>
        <v>4.2105292470112317E-4</v>
      </c>
      <c r="Q930">
        <f t="shared" si="695"/>
        <v>0</v>
      </c>
      <c r="R930" s="89">
        <f t="shared" si="667"/>
        <v>5000</v>
      </c>
      <c r="S930">
        <f t="shared" si="668"/>
        <v>0.4166666666666714</v>
      </c>
      <c r="U930">
        <f>O929*AV929*'Real assumptions'!$B$33/12+AX930*'Real assumptions'!$B$34</f>
        <v>4.714643138748462E-4</v>
      </c>
      <c r="V930">
        <f>IF(P930=0,0,IF(E930&lt;=$C$7,$AN$5*O929,0))*'Real assumptions'!$D$28</f>
        <v>0</v>
      </c>
      <c r="X930" s="94">
        <f t="shared" si="680"/>
        <v>0</v>
      </c>
      <c r="Y930">
        <f t="shared" si="669"/>
        <v>24</v>
      </c>
      <c r="Z930">
        <f t="shared" si="696"/>
        <v>22</v>
      </c>
      <c r="AA930">
        <f t="shared" si="670"/>
        <v>22.416666666666671</v>
      </c>
      <c r="AB930">
        <f t="shared" si="681"/>
        <v>50.505050505050505</v>
      </c>
      <c r="AC930">
        <f t="shared" si="663"/>
        <v>1132.1548821548824</v>
      </c>
      <c r="AD930">
        <f t="shared" si="682"/>
        <v>80.505050505050505</v>
      </c>
      <c r="AE930">
        <f t="shared" si="683"/>
        <v>90.232744107744125</v>
      </c>
      <c r="AF930" s="94">
        <f t="shared" si="684"/>
        <v>3777.6123737373737</v>
      </c>
      <c r="AG930">
        <f t="shared" si="697"/>
        <v>2.1304174587380697E-4</v>
      </c>
      <c r="AH930">
        <f t="shared" si="685"/>
        <v>6.6060905685345922E-2</v>
      </c>
      <c r="AI930">
        <f>HLOOKUP(AW930,'Real assumptions'!$A$21:$AK$24,2,TRUE)</f>
        <v>0</v>
      </c>
      <c r="AJ930" s="123">
        <f t="shared" si="664"/>
        <v>0</v>
      </c>
      <c r="AK930" s="122">
        <f>(1+HLOOKUP(YEAR(A930),'Real assumptions'!$A$21:$AK$24,2,TRUE)/100)^(1/12)-1</f>
        <v>0</v>
      </c>
      <c r="AL930">
        <f t="shared" si="698"/>
        <v>4.714643138748462E-4</v>
      </c>
      <c r="AM930">
        <f>('Real assumptions'!$B$33/12)*O929*AV929</f>
        <v>4.5331052223481606E-4</v>
      </c>
      <c r="AN930">
        <f t="shared" si="686"/>
        <v>6.6143813321296901E-2</v>
      </c>
      <c r="AO930">
        <f t="shared" si="665"/>
        <v>0</v>
      </c>
      <c r="AP930" s="121">
        <f t="shared" si="687"/>
        <v>0</v>
      </c>
      <c r="AQ930">
        <f t="shared" si="688"/>
        <v>0</v>
      </c>
      <c r="AR930">
        <v>0</v>
      </c>
      <c r="AS930">
        <f t="shared" si="671"/>
        <v>0</v>
      </c>
      <c r="AT930">
        <f t="shared" si="689"/>
        <v>0</v>
      </c>
      <c r="AU930">
        <f>IFERROR(HLOOKUP(B930,'Real assumptions'!$B$43:$AL$44,2,TRUE)*($W$3/$U$2),0)</f>
        <v>0</v>
      </c>
      <c r="AV930">
        <f>AV929*(1+'Real assumptions'!$B$35)^(1/12)</f>
        <v>2.5865444091072352</v>
      </c>
      <c r="AW930">
        <f t="shared" si="672"/>
        <v>2095</v>
      </c>
      <c r="AX930">
        <f t="shared" si="699"/>
        <v>6.6268062555009957E-2</v>
      </c>
      <c r="AY930">
        <f t="shared" si="700"/>
        <v>7.3837844539338383E-5</v>
      </c>
      <c r="AZ930">
        <f t="shared" si="673"/>
        <v>6.404626921554922E-2</v>
      </c>
      <c r="BA930">
        <f t="shared" si="690"/>
        <v>2.1304174587380697E-4</v>
      </c>
      <c r="BB930">
        <f t="shared" si="691"/>
        <v>22.416666666666671</v>
      </c>
      <c r="BC930">
        <f t="shared" si="674"/>
        <v>13.450000000000003</v>
      </c>
      <c r="BD930">
        <f t="shared" si="692"/>
        <v>0</v>
      </c>
      <c r="BE930">
        <f t="shared" si="675"/>
        <v>24</v>
      </c>
      <c r="BF930">
        <f t="shared" si="701"/>
        <v>5000</v>
      </c>
      <c r="BU930"/>
      <c r="DW930" s="89"/>
      <c r="DX930" s="89"/>
      <c r="FD930"/>
      <c r="FE930"/>
    </row>
    <row r="931" spans="1:161" x14ac:dyDescent="0.25">
      <c r="A931" s="7">
        <f t="shared" si="693"/>
        <v>71436</v>
      </c>
      <c r="B931">
        <f t="shared" si="676"/>
        <v>920</v>
      </c>
      <c r="C931">
        <f t="shared" si="657"/>
        <v>76.583333333333329</v>
      </c>
      <c r="D931">
        <f t="shared" si="658"/>
        <v>0</v>
      </c>
      <c r="E931">
        <f t="shared" si="677"/>
        <v>128</v>
      </c>
      <c r="F931">
        <f>IF(C931&gt;=$T$2,0,VLOOKUP($E931,EKM_F05!$A$3:$C$128,2,TRUE))</f>
        <v>0</v>
      </c>
      <c r="G931">
        <f>F931*'Real assumptions'!$B$3</f>
        <v>0</v>
      </c>
      <c r="H931">
        <f t="shared" si="659"/>
        <v>0</v>
      </c>
      <c r="I931">
        <f t="shared" si="660"/>
        <v>0</v>
      </c>
      <c r="J931">
        <f>IF(B931&gt;$AJ$2,0,HLOOKUP(C931,'Real assumptions'!$B$5:$L$8,4,TRUE))</f>
        <v>3.7900000000000003E-2</v>
      </c>
      <c r="K931">
        <f t="shared" si="666"/>
        <v>1</v>
      </c>
      <c r="L931">
        <f t="shared" si="694"/>
        <v>8.3333333333333329E-2</v>
      </c>
      <c r="M931">
        <f t="shared" si="661"/>
        <v>3.2145624959929453E-3</v>
      </c>
      <c r="N931">
        <f t="shared" si="662"/>
        <v>5.6214584467104879E-8</v>
      </c>
      <c r="O931" s="8">
        <f t="shared" si="678"/>
        <v>1.7431261405555845E-5</v>
      </c>
      <c r="P931">
        <f t="shared" si="679"/>
        <v>4.1969942376055079E-4</v>
      </c>
      <c r="Q931">
        <f t="shared" si="695"/>
        <v>0</v>
      </c>
      <c r="R931" s="89">
        <f t="shared" si="667"/>
        <v>5000</v>
      </c>
      <c r="S931">
        <f t="shared" si="668"/>
        <v>0.3333333333333286</v>
      </c>
      <c r="U931">
        <f>O930*AV930*'Real assumptions'!$B$33/12+AX931*'Real assumptions'!$B$34</f>
        <v>4.7043853707672104E-4</v>
      </c>
      <c r="V931">
        <f>IF(P931=0,0,IF(E931&lt;=$C$7,$AN$5*O930,0))*'Real assumptions'!$D$28</f>
        <v>0</v>
      </c>
      <c r="X931" s="94">
        <f t="shared" si="680"/>
        <v>0</v>
      </c>
      <c r="Y931">
        <f t="shared" si="669"/>
        <v>24</v>
      </c>
      <c r="Z931">
        <f t="shared" si="696"/>
        <v>22</v>
      </c>
      <c r="AA931">
        <f t="shared" si="670"/>
        <v>22.333333333333329</v>
      </c>
      <c r="AB931">
        <f t="shared" si="681"/>
        <v>50.505050505050505</v>
      </c>
      <c r="AC931">
        <f t="shared" si="663"/>
        <v>1127.9461279461277</v>
      </c>
      <c r="AD931">
        <f t="shared" si="682"/>
        <v>80.505050505050505</v>
      </c>
      <c r="AE931">
        <f t="shared" si="683"/>
        <v>89.89730639730638</v>
      </c>
      <c r="AF931" s="94">
        <f t="shared" si="684"/>
        <v>3782.1565656565663</v>
      </c>
      <c r="AG931">
        <f t="shared" si="697"/>
        <v>2.1261235972791634E-4</v>
      </c>
      <c r="AH931">
        <f t="shared" si="685"/>
        <v>6.5927759772698949E-2</v>
      </c>
      <c r="AI931">
        <f>HLOOKUP(AW931,'Real assumptions'!$A$21:$AK$24,2,TRUE)</f>
        <v>0</v>
      </c>
      <c r="AJ931" s="123">
        <f t="shared" si="664"/>
        <v>0</v>
      </c>
      <c r="AK931" s="122">
        <f>(1+HLOOKUP(YEAR(A931),'Real assumptions'!$A$21:$AK$24,2,TRUE)/100)^(1/12)-1</f>
        <v>0</v>
      </c>
      <c r="AL931">
        <f t="shared" si="698"/>
        <v>4.7043853707672104E-4</v>
      </c>
      <c r="AM931">
        <f>('Real assumptions'!$B$33/12)*O930*AV930</f>
        <v>4.5232133251390876E-4</v>
      </c>
      <c r="AN931">
        <f t="shared" si="686"/>
        <v>6.6010166572029752E-2</v>
      </c>
      <c r="AO931">
        <f t="shared" si="665"/>
        <v>0</v>
      </c>
      <c r="AP931" s="121">
        <f t="shared" si="687"/>
        <v>0</v>
      </c>
      <c r="AQ931">
        <f t="shared" si="688"/>
        <v>0</v>
      </c>
      <c r="AR931">
        <v>0</v>
      </c>
      <c r="AS931">
        <f t="shared" si="671"/>
        <v>0</v>
      </c>
      <c r="AT931">
        <f t="shared" si="689"/>
        <v>0</v>
      </c>
      <c r="AU931">
        <f>IFERROR(HLOOKUP(B931,'Real assumptions'!$B$43:$AL$44,2,TRUE)*($W$3/$U$2),0)</f>
        <v>0</v>
      </c>
      <c r="AV931">
        <f>AV930*(1+'Real assumptions'!$B$35)^(1/12)</f>
        <v>2.5892234121708082</v>
      </c>
      <c r="AW931">
        <f t="shared" si="672"/>
        <v>2095</v>
      </c>
      <c r="AX931">
        <f t="shared" si="699"/>
        <v>6.6134506173519417E-2</v>
      </c>
      <c r="AY931">
        <f t="shared" si="700"/>
        <v>7.3600488173497259E-5</v>
      </c>
      <c r="AZ931">
        <f t="shared" si="673"/>
        <v>6.3782917742505135E-2</v>
      </c>
      <c r="BA931">
        <f t="shared" si="690"/>
        <v>2.1261235972791634E-4</v>
      </c>
      <c r="BB931">
        <f t="shared" si="691"/>
        <v>22.333333333333329</v>
      </c>
      <c r="BC931">
        <f t="shared" si="674"/>
        <v>13.399999999999997</v>
      </c>
      <c r="BD931">
        <f t="shared" si="692"/>
        <v>0</v>
      </c>
      <c r="BE931">
        <f t="shared" si="675"/>
        <v>24</v>
      </c>
      <c r="BF931">
        <f t="shared" si="701"/>
        <v>5000</v>
      </c>
      <c r="BU931"/>
      <c r="DW931" s="89"/>
      <c r="DX931" s="89"/>
      <c r="FD931"/>
      <c r="FE931"/>
    </row>
    <row r="932" spans="1:161" x14ac:dyDescent="0.25">
      <c r="A932" s="7">
        <f t="shared" si="693"/>
        <v>71467</v>
      </c>
      <c r="B932">
        <f t="shared" si="676"/>
        <v>921</v>
      </c>
      <c r="C932">
        <f t="shared" si="657"/>
        <v>76.666666666666671</v>
      </c>
      <c r="D932">
        <f t="shared" si="658"/>
        <v>0</v>
      </c>
      <c r="E932">
        <f t="shared" si="677"/>
        <v>128</v>
      </c>
      <c r="F932">
        <f>IF(C932&gt;=$T$2,0,VLOOKUP($E932,EKM_F05!$A$3:$C$128,2,TRUE))</f>
        <v>0</v>
      </c>
      <c r="G932">
        <f>F932*'Real assumptions'!$B$3</f>
        <v>0</v>
      </c>
      <c r="H932">
        <f t="shared" si="659"/>
        <v>0</v>
      </c>
      <c r="I932">
        <f t="shared" si="660"/>
        <v>0</v>
      </c>
      <c r="J932">
        <f>IF(B932&gt;$AJ$2,0,HLOOKUP(C932,'Real assumptions'!$B$5:$L$8,4,TRUE))</f>
        <v>3.7900000000000003E-2</v>
      </c>
      <c r="K932">
        <f t="shared" si="666"/>
        <v>1</v>
      </c>
      <c r="L932">
        <f t="shared" si="694"/>
        <v>8.3333333333333329E-2</v>
      </c>
      <c r="M932">
        <f t="shared" si="661"/>
        <v>3.2145624959929453E-3</v>
      </c>
      <c r="N932">
        <f t="shared" si="662"/>
        <v>5.6033879172149092E-8</v>
      </c>
      <c r="O932" s="8">
        <f t="shared" si="678"/>
        <v>1.7375227526383695E-5</v>
      </c>
      <c r="P932">
        <f t="shared" si="679"/>
        <v>4.1835027373334031E-4</v>
      </c>
      <c r="Q932">
        <f t="shared" si="695"/>
        <v>0</v>
      </c>
      <c r="R932" s="89">
        <f t="shared" si="667"/>
        <v>5000</v>
      </c>
      <c r="S932">
        <f t="shared" si="668"/>
        <v>0.25</v>
      </c>
      <c r="U932">
        <f>O931*AV931*'Real assumptions'!$B$33/12+AX932*'Real assumptions'!$B$34</f>
        <v>4.6941496646722415E-4</v>
      </c>
      <c r="V932">
        <f>IF(P932=0,0,IF(E932&lt;=$C$7,$AN$5*O931,0))*'Real assumptions'!$D$28</f>
        <v>0</v>
      </c>
      <c r="X932" s="94">
        <f t="shared" si="680"/>
        <v>0</v>
      </c>
      <c r="Y932">
        <f t="shared" si="669"/>
        <v>24</v>
      </c>
      <c r="Z932">
        <f t="shared" si="696"/>
        <v>22</v>
      </c>
      <c r="AA932">
        <f t="shared" si="670"/>
        <v>22.25</v>
      </c>
      <c r="AB932">
        <f t="shared" si="681"/>
        <v>50.505050505050505</v>
      </c>
      <c r="AC932">
        <f t="shared" si="663"/>
        <v>1123.7373737373737</v>
      </c>
      <c r="AD932">
        <f t="shared" si="682"/>
        <v>80.505050505050505</v>
      </c>
      <c r="AE932">
        <f t="shared" si="683"/>
        <v>89.561868686868678</v>
      </c>
      <c r="AF932" s="94">
        <f t="shared" si="684"/>
        <v>3786.7007575757575</v>
      </c>
      <c r="AG932">
        <f t="shared" si="697"/>
        <v>2.1218353271108543E-4</v>
      </c>
      <c r="AH932">
        <f t="shared" si="685"/>
        <v>6.5794787237208288E-2</v>
      </c>
      <c r="AI932">
        <f>HLOOKUP(AW932,'Real assumptions'!$A$21:$AK$24,2,TRUE)</f>
        <v>0</v>
      </c>
      <c r="AJ932" s="123">
        <f t="shared" si="664"/>
        <v>0</v>
      </c>
      <c r="AK932" s="122">
        <f>(1+HLOOKUP(YEAR(A932),'Real assumptions'!$A$21:$AK$24,2,TRUE)/100)^(1/12)-1</f>
        <v>0</v>
      </c>
      <c r="AL932">
        <f t="shared" si="698"/>
        <v>4.6941496646722415E-4</v>
      </c>
      <c r="AM932">
        <f>('Real assumptions'!$B$33/12)*O931*AV931</f>
        <v>4.5133430134934621E-4</v>
      </c>
      <c r="AN932">
        <f t="shared" si="686"/>
        <v>6.5876695079965061E-2</v>
      </c>
      <c r="AO932">
        <f t="shared" si="665"/>
        <v>0</v>
      </c>
      <c r="AP932" s="121">
        <f t="shared" si="687"/>
        <v>0</v>
      </c>
      <c r="AQ932">
        <f t="shared" si="688"/>
        <v>0</v>
      </c>
      <c r="AR932">
        <v>0</v>
      </c>
      <c r="AS932">
        <f t="shared" si="671"/>
        <v>0</v>
      </c>
      <c r="AT932">
        <f t="shared" si="689"/>
        <v>0</v>
      </c>
      <c r="AU932">
        <f>IFERROR(HLOOKUP(B932,'Real assumptions'!$B$43:$AL$44,2,TRUE)*($W$3/$U$2),0)</f>
        <v>0</v>
      </c>
      <c r="AV932">
        <f>AV931*(1+'Real assumptions'!$B$35)^(1/12)</f>
        <v>2.5919051900011278</v>
      </c>
      <c r="AW932">
        <f t="shared" si="672"/>
        <v>2095</v>
      </c>
      <c r="AX932">
        <f t="shared" si="699"/>
        <v>6.6001123667503478E-2</v>
      </c>
      <c r="AY932">
        <f t="shared" si="700"/>
        <v>7.3363894804527968E-5</v>
      </c>
      <c r="AZ932">
        <f t="shared" si="673"/>
        <v>6.3519669517060159E-2</v>
      </c>
      <c r="BA932">
        <f t="shared" si="690"/>
        <v>2.1218353271108543E-4</v>
      </c>
      <c r="BB932">
        <f t="shared" si="691"/>
        <v>22.25</v>
      </c>
      <c r="BC932">
        <f t="shared" si="674"/>
        <v>13.35</v>
      </c>
      <c r="BD932">
        <f t="shared" si="692"/>
        <v>0</v>
      </c>
      <c r="BE932">
        <f t="shared" si="675"/>
        <v>24</v>
      </c>
      <c r="BF932">
        <f t="shared" si="701"/>
        <v>5000</v>
      </c>
      <c r="BU932"/>
      <c r="DW932" s="89"/>
      <c r="DX932" s="89"/>
      <c r="FD932"/>
      <c r="FE932"/>
    </row>
    <row r="933" spans="1:161" x14ac:dyDescent="0.25">
      <c r="A933" s="7">
        <f t="shared" si="693"/>
        <v>71497</v>
      </c>
      <c r="B933">
        <f t="shared" si="676"/>
        <v>922</v>
      </c>
      <c r="C933">
        <f t="shared" si="657"/>
        <v>76.75</v>
      </c>
      <c r="D933">
        <f t="shared" si="658"/>
        <v>0</v>
      </c>
      <c r="E933">
        <f t="shared" si="677"/>
        <v>128</v>
      </c>
      <c r="F933">
        <f>IF(C933&gt;=$T$2,0,VLOOKUP($E933,EKM_F05!$A$3:$C$128,2,TRUE))</f>
        <v>0</v>
      </c>
      <c r="G933">
        <f>F933*'Real assumptions'!$B$3</f>
        <v>0</v>
      </c>
      <c r="H933">
        <f t="shared" si="659"/>
        <v>0</v>
      </c>
      <c r="I933">
        <f t="shared" si="660"/>
        <v>0</v>
      </c>
      <c r="J933">
        <f>IF(B933&gt;$AJ$2,0,HLOOKUP(C933,'Real assumptions'!$B$5:$L$8,4,TRUE))</f>
        <v>3.7900000000000003E-2</v>
      </c>
      <c r="K933">
        <f t="shared" si="666"/>
        <v>1</v>
      </c>
      <c r="L933">
        <f t="shared" si="694"/>
        <v>8.3333333333333329E-2</v>
      </c>
      <c r="M933">
        <f t="shared" si="661"/>
        <v>3.2145624959929453E-3</v>
      </c>
      <c r="N933">
        <f t="shared" si="662"/>
        <v>5.58537547656573E-8</v>
      </c>
      <c r="O933" s="8">
        <f t="shared" si="678"/>
        <v>1.7319373771618038E-5</v>
      </c>
      <c r="P933">
        <f t="shared" si="679"/>
        <v>4.1700546063320868E-4</v>
      </c>
      <c r="Q933">
        <f t="shared" si="695"/>
        <v>0</v>
      </c>
      <c r="R933" s="89">
        <f t="shared" si="667"/>
        <v>5000</v>
      </c>
      <c r="S933">
        <f t="shared" si="668"/>
        <v>0.1666666666666714</v>
      </c>
      <c r="U933">
        <f>O932*AV932*'Real assumptions'!$B$33/12+AX933*'Real assumptions'!$B$34</f>
        <v>4.6839359740790591E-4</v>
      </c>
      <c r="V933">
        <f>IF(P933=0,0,IF(E933&lt;=$C$7,$AN$5*O932,0))*'Real assumptions'!$D$28</f>
        <v>0</v>
      </c>
      <c r="X933" s="94">
        <f t="shared" si="680"/>
        <v>0</v>
      </c>
      <c r="Y933">
        <f t="shared" si="669"/>
        <v>24</v>
      </c>
      <c r="Z933">
        <f t="shared" si="696"/>
        <v>22</v>
      </c>
      <c r="AA933">
        <f t="shared" si="670"/>
        <v>22.166666666666671</v>
      </c>
      <c r="AB933">
        <f t="shared" si="681"/>
        <v>50.505050505050505</v>
      </c>
      <c r="AC933">
        <f t="shared" si="663"/>
        <v>1119.5286195286199</v>
      </c>
      <c r="AD933">
        <f t="shared" si="682"/>
        <v>80.505050505050505</v>
      </c>
      <c r="AE933">
        <f t="shared" si="683"/>
        <v>89.22643097643099</v>
      </c>
      <c r="AF933" s="94">
        <f t="shared" si="684"/>
        <v>3791.2449494949492</v>
      </c>
      <c r="AG933">
        <f t="shared" si="697"/>
        <v>2.117552656656277E-4</v>
      </c>
      <c r="AH933">
        <f t="shared" si="685"/>
        <v>6.5661988340062177E-2</v>
      </c>
      <c r="AI933">
        <f>HLOOKUP(AW933,'Real assumptions'!$A$21:$AK$24,2,TRUE)</f>
        <v>0</v>
      </c>
      <c r="AJ933" s="123">
        <f t="shared" si="664"/>
        <v>0</v>
      </c>
      <c r="AK933" s="122">
        <f>(1+HLOOKUP(YEAR(A933),'Real assumptions'!$A$21:$AK$24,2,TRUE)/100)^(1/12)-1</f>
        <v>0</v>
      </c>
      <c r="AL933">
        <f t="shared" si="698"/>
        <v>4.6839359740790591E-4</v>
      </c>
      <c r="AM933">
        <f>('Real assumptions'!$B$33/12)*O932*AV932</f>
        <v>4.5034942403084359E-4</v>
      </c>
      <c r="AN933">
        <f t="shared" si="686"/>
        <v>6.5743399100433586E-2</v>
      </c>
      <c r="AO933">
        <f t="shared" si="665"/>
        <v>0</v>
      </c>
      <c r="AP933" s="121">
        <f t="shared" si="687"/>
        <v>0</v>
      </c>
      <c r="AQ933">
        <f t="shared" si="688"/>
        <v>0</v>
      </c>
      <c r="AR933">
        <v>0</v>
      </c>
      <c r="AS933">
        <f t="shared" si="671"/>
        <v>0</v>
      </c>
      <c r="AT933">
        <f t="shared" si="689"/>
        <v>0</v>
      </c>
      <c r="AU933">
        <f>IFERROR(HLOOKUP(B933,'Real assumptions'!$B$43:$AL$44,2,TRUE)*($W$3/$U$2),0)</f>
        <v>0</v>
      </c>
      <c r="AV933">
        <f>AV932*(1+'Real assumptions'!$B$35)^(1/12)</f>
        <v>2.5945897454721476</v>
      </c>
      <c r="AW933">
        <f t="shared" si="672"/>
        <v>2095</v>
      </c>
      <c r="AX933">
        <f t="shared" si="699"/>
        <v>6.5867915299188021E-2</v>
      </c>
      <c r="AY933">
        <f t="shared" si="700"/>
        <v>7.3128061979729354E-5</v>
      </c>
      <c r="AZ933">
        <f t="shared" si="673"/>
        <v>6.3256526114619835E-2</v>
      </c>
      <c r="BA933">
        <f t="shared" si="690"/>
        <v>2.117552656656277E-4</v>
      </c>
      <c r="BB933">
        <f t="shared" si="691"/>
        <v>22.166666666666671</v>
      </c>
      <c r="BC933">
        <f t="shared" si="674"/>
        <v>13.300000000000002</v>
      </c>
      <c r="BD933">
        <f t="shared" si="692"/>
        <v>0</v>
      </c>
      <c r="BE933">
        <f t="shared" si="675"/>
        <v>24</v>
      </c>
      <c r="BF933">
        <f t="shared" si="701"/>
        <v>5000</v>
      </c>
      <c r="BU933"/>
      <c r="DW933" s="89"/>
      <c r="DX933" s="89"/>
      <c r="FD933"/>
      <c r="FE933"/>
    </row>
    <row r="934" spans="1:161" x14ac:dyDescent="0.25">
      <c r="A934" s="7">
        <f t="shared" si="693"/>
        <v>71528</v>
      </c>
      <c r="B934">
        <f t="shared" si="676"/>
        <v>923</v>
      </c>
      <c r="C934">
        <f t="shared" si="657"/>
        <v>76.833333333333329</v>
      </c>
      <c r="D934">
        <f t="shared" si="658"/>
        <v>0</v>
      </c>
      <c r="E934">
        <f t="shared" si="677"/>
        <v>128</v>
      </c>
      <c r="F934">
        <f>IF(C934&gt;=$T$2,0,VLOOKUP($E934,EKM_F05!$A$3:$C$128,2,TRUE))</f>
        <v>0</v>
      </c>
      <c r="G934">
        <f>F934*'Real assumptions'!$B$3</f>
        <v>0</v>
      </c>
      <c r="H934">
        <f t="shared" si="659"/>
        <v>0</v>
      </c>
      <c r="I934">
        <f t="shared" si="660"/>
        <v>0</v>
      </c>
      <c r="J934">
        <f>IF(B934&gt;$AJ$2,0,HLOOKUP(C934,'Real assumptions'!$B$5:$L$8,4,TRUE))</f>
        <v>3.7900000000000003E-2</v>
      </c>
      <c r="K934">
        <f t="shared" si="666"/>
        <v>1</v>
      </c>
      <c r="L934">
        <f t="shared" si="694"/>
        <v>8.3333333333333329E-2</v>
      </c>
      <c r="M934">
        <f t="shared" si="661"/>
        <v>3.2145624959929453E-3</v>
      </c>
      <c r="N934">
        <f t="shared" si="662"/>
        <v>5.5674209380327233E-8</v>
      </c>
      <c r="O934" s="8">
        <f t="shared" si="678"/>
        <v>1.7263699562237712E-5</v>
      </c>
      <c r="P934">
        <f t="shared" si="679"/>
        <v>4.1566497051883288E-4</v>
      </c>
      <c r="Q934">
        <f t="shared" si="695"/>
        <v>0</v>
      </c>
      <c r="R934" s="89">
        <f t="shared" si="667"/>
        <v>5000</v>
      </c>
      <c r="S934">
        <f t="shared" si="668"/>
        <v>8.3333333333328596E-2</v>
      </c>
      <c r="U934">
        <f>O933*AV933*'Real assumptions'!$B$33/12+AX934*'Real assumptions'!$B$34</f>
        <v>4.6737442526964144E-4</v>
      </c>
      <c r="V934">
        <f>IF(P934=0,0,IF(E934&lt;=$C$7,$AN$5*O933,0))*'Real assumptions'!$D$28</f>
        <v>0</v>
      </c>
      <c r="X934" s="94">
        <f t="shared" si="680"/>
        <v>0</v>
      </c>
      <c r="Y934">
        <f t="shared" si="669"/>
        <v>24</v>
      </c>
      <c r="Z934">
        <f t="shared" si="696"/>
        <v>22</v>
      </c>
      <c r="AA934">
        <f t="shared" si="670"/>
        <v>22.083333333333329</v>
      </c>
      <c r="AB934">
        <f t="shared" si="681"/>
        <v>50.505050505050505</v>
      </c>
      <c r="AC934">
        <f t="shared" si="663"/>
        <v>1115.3198653198651</v>
      </c>
      <c r="AD934">
        <f t="shared" si="682"/>
        <v>80.505050505050505</v>
      </c>
      <c r="AE934">
        <f t="shared" si="683"/>
        <v>88.890993265993245</v>
      </c>
      <c r="AF934" s="94">
        <f t="shared" si="684"/>
        <v>3795.7891414141418</v>
      </c>
      <c r="AG934">
        <f t="shared" si="697"/>
        <v>2.1132755942266347E-4</v>
      </c>
      <c r="AH934">
        <f t="shared" si="685"/>
        <v>6.5529363338977978E-2</v>
      </c>
      <c r="AI934">
        <f>HLOOKUP(AW934,'Real assumptions'!$A$21:$AK$24,2,TRUE)</f>
        <v>0</v>
      </c>
      <c r="AJ934" s="123">
        <f t="shared" si="664"/>
        <v>0</v>
      </c>
      <c r="AK934" s="122">
        <f>(1+HLOOKUP(YEAR(A934),'Real assumptions'!$A$21:$AK$24,2,TRUE)/100)^(1/12)-1</f>
        <v>0</v>
      </c>
      <c r="AL934">
        <f t="shared" si="698"/>
        <v>4.6737442526964144E-4</v>
      </c>
      <c r="AM934">
        <f>('Real assumptions'!$B$33/12)*O933*AV933</f>
        <v>4.4936669585839438E-4</v>
      </c>
      <c r="AN934">
        <f t="shared" si="686"/>
        <v>6.561027888531136E-2</v>
      </c>
      <c r="AO934">
        <f t="shared" si="665"/>
        <v>0</v>
      </c>
      <c r="AP934" s="121">
        <f t="shared" si="687"/>
        <v>0</v>
      </c>
      <c r="AQ934">
        <f t="shared" si="688"/>
        <v>0</v>
      </c>
      <c r="AR934">
        <v>0</v>
      </c>
      <c r="AS934">
        <f t="shared" si="671"/>
        <v>0</v>
      </c>
      <c r="AT934">
        <f t="shared" si="689"/>
        <v>0</v>
      </c>
      <c r="AU934">
        <f>IFERROR(HLOOKUP(B934,'Real assumptions'!$B$43:$AL$44,2,TRUE)*($W$3/$U$2),0)</f>
        <v>0</v>
      </c>
      <c r="AV934">
        <f>AV933*(1+'Real assumptions'!$B$35)^(1/12)</f>
        <v>2.5972770814607977</v>
      </c>
      <c r="AW934">
        <f t="shared" si="672"/>
        <v>2095</v>
      </c>
      <c r="AX934">
        <f t="shared" si="699"/>
        <v>6.5734881327316461E-2</v>
      </c>
      <c r="AY934">
        <f t="shared" si="700"/>
        <v>7.2892987254284664E-5</v>
      </c>
      <c r="AZ934">
        <f t="shared" si="673"/>
        <v>6.2993489100446359E-2</v>
      </c>
      <c r="BA934">
        <f t="shared" si="690"/>
        <v>2.1132755942266347E-4</v>
      </c>
      <c r="BB934">
        <f t="shared" si="691"/>
        <v>22.083333333333329</v>
      </c>
      <c r="BC934">
        <f t="shared" si="674"/>
        <v>13.249999999999996</v>
      </c>
      <c r="BD934">
        <f t="shared" si="692"/>
        <v>0</v>
      </c>
      <c r="BE934">
        <f t="shared" si="675"/>
        <v>24</v>
      </c>
      <c r="BF934">
        <f t="shared" si="701"/>
        <v>5000</v>
      </c>
      <c r="BU934"/>
      <c r="DW934" s="89"/>
      <c r="DX934" s="89"/>
      <c r="FD934"/>
      <c r="FE934"/>
    </row>
    <row r="935" spans="1:161" x14ac:dyDescent="0.25">
      <c r="A935" s="7">
        <f t="shared" si="693"/>
        <v>71558</v>
      </c>
      <c r="B935">
        <f t="shared" si="676"/>
        <v>924</v>
      </c>
      <c r="C935">
        <f t="shared" si="657"/>
        <v>76.916666666666671</v>
      </c>
      <c r="D935">
        <f t="shared" si="658"/>
        <v>0</v>
      </c>
      <c r="E935">
        <f t="shared" si="677"/>
        <v>128</v>
      </c>
      <c r="F935">
        <f>IF(C935&gt;=$T$2,0,VLOOKUP($E935,EKM_F05!$A$3:$C$128,2,TRUE))</f>
        <v>0</v>
      </c>
      <c r="G935">
        <f>F935*'Real assumptions'!$B$3</f>
        <v>0</v>
      </c>
      <c r="H935">
        <f t="shared" si="659"/>
        <v>0</v>
      </c>
      <c r="I935">
        <f t="shared" si="660"/>
        <v>0</v>
      </c>
      <c r="J935">
        <f>IF(B935&gt;$AJ$2,0,HLOOKUP(C935,'Real assumptions'!$B$5:$L$8,4,TRUE))</f>
        <v>3.7900000000000003E-2</v>
      </c>
      <c r="K935">
        <f t="shared" si="666"/>
        <v>1</v>
      </c>
      <c r="L935">
        <f t="shared" si="694"/>
        <v>8.3333333333333329E-2</v>
      </c>
      <c r="M935">
        <f t="shared" si="661"/>
        <v>3.2145624959929453E-3</v>
      </c>
      <c r="N935">
        <f t="shared" si="662"/>
        <v>5.5495241154859178E-8</v>
      </c>
      <c r="O935" s="8">
        <f t="shared" si="678"/>
        <v>1.7208204321082851E-5</v>
      </c>
      <c r="P935">
        <f t="shared" si="679"/>
        <v>4.1432878949370505E-4</v>
      </c>
      <c r="Q935">
        <f t="shared" si="695"/>
        <v>0</v>
      </c>
      <c r="R935" s="89">
        <f t="shared" si="667"/>
        <v>5000</v>
      </c>
      <c r="S935">
        <f t="shared" si="668"/>
        <v>1</v>
      </c>
      <c r="U935">
        <f>O934*AV934*'Real assumptions'!$B$33/12+AX935*'Real assumptions'!$B$34</f>
        <v>4.6635744543261292E-4</v>
      </c>
      <c r="V935">
        <f>IF(P935=0,0,IF(E935&lt;=$C$7,$AN$5*O934,0))*'Real assumptions'!$D$28</f>
        <v>0</v>
      </c>
      <c r="X935" s="94">
        <f t="shared" si="680"/>
        <v>0</v>
      </c>
      <c r="Y935">
        <f t="shared" si="669"/>
        <v>24</v>
      </c>
      <c r="Z935">
        <f t="shared" si="696"/>
        <v>22</v>
      </c>
      <c r="AA935">
        <f t="shared" si="670"/>
        <v>22</v>
      </c>
      <c r="AB935">
        <f t="shared" si="681"/>
        <v>50.505050505050505</v>
      </c>
      <c r="AC935">
        <f t="shared" si="663"/>
        <v>1111.1111111111111</v>
      </c>
      <c r="AD935">
        <f t="shared" si="682"/>
        <v>80.505050505050505</v>
      </c>
      <c r="AE935">
        <f t="shared" si="683"/>
        <v>88.555555555555557</v>
      </c>
      <c r="AF935" s="94">
        <f t="shared" si="684"/>
        <v>3800.333333333333</v>
      </c>
      <c r="AG935">
        <f t="shared" si="697"/>
        <v>2.1090041480218314E-4</v>
      </c>
      <c r="AH935">
        <f t="shared" si="685"/>
        <v>6.5396912488221853E-2</v>
      </c>
      <c r="AI935">
        <f>HLOOKUP(AW935,'Real assumptions'!$A$21:$AK$24,2,TRUE)</f>
        <v>0</v>
      </c>
      <c r="AJ935" s="123">
        <f t="shared" si="664"/>
        <v>0</v>
      </c>
      <c r="AK935" s="122">
        <f>(1+HLOOKUP(YEAR(A935),'Real assumptions'!$A$21:$AK$24,2,TRUE)/100)^(1/12)-1</f>
        <v>0</v>
      </c>
      <c r="AL935">
        <f t="shared" si="698"/>
        <v>4.6635744543261292E-4</v>
      </c>
      <c r="AM935">
        <f>('Real assumptions'!$B$33/12)*O934*AV934</f>
        <v>4.4838611214224818E-4</v>
      </c>
      <c r="AN935">
        <f t="shared" si="686"/>
        <v>6.5477334683039068E-2</v>
      </c>
      <c r="AO935">
        <f t="shared" si="665"/>
        <v>0</v>
      </c>
      <c r="AP935" s="121">
        <f t="shared" si="687"/>
        <v>0</v>
      </c>
      <c r="AQ935">
        <f t="shared" si="688"/>
        <v>0</v>
      </c>
      <c r="AR935">
        <v>0</v>
      </c>
      <c r="AS935">
        <f t="shared" si="671"/>
        <v>0</v>
      </c>
      <c r="AT935">
        <f t="shared" si="689"/>
        <v>0</v>
      </c>
      <c r="AU935">
        <f>IFERROR(HLOOKUP(B935,'Real assumptions'!$B$43:$AL$44,2,TRUE)*($W$3/$U$2),0)</f>
        <v>0</v>
      </c>
      <c r="AV935">
        <f>AV934*(1+'Real assumptions'!$B$35)^(1/12)</f>
        <v>2.5999672008469883</v>
      </c>
      <c r="AW935">
        <f t="shared" si="672"/>
        <v>2095</v>
      </c>
      <c r="AX935">
        <f t="shared" si="699"/>
        <v>6.5602022007169219E-2</v>
      </c>
      <c r="AY935">
        <f t="shared" si="700"/>
        <v>7.2658668191236155E-5</v>
      </c>
      <c r="AZ935">
        <f t="shared" si="673"/>
        <v>6.2730560029705271E-2</v>
      </c>
      <c r="BA935">
        <f t="shared" si="690"/>
        <v>2.1090041480218314E-4</v>
      </c>
      <c r="BB935">
        <f t="shared" si="691"/>
        <v>22</v>
      </c>
      <c r="BC935">
        <f t="shared" si="674"/>
        <v>13.2</v>
      </c>
      <c r="BD935">
        <f t="shared" si="692"/>
        <v>0</v>
      </c>
      <c r="BE935">
        <f t="shared" si="675"/>
        <v>24</v>
      </c>
      <c r="BF935">
        <f t="shared" si="701"/>
        <v>5000</v>
      </c>
      <c r="BU935"/>
      <c r="DW935" s="89"/>
      <c r="DX935" s="89"/>
      <c r="FD935"/>
      <c r="FE935"/>
    </row>
    <row r="936" spans="1:161" x14ac:dyDescent="0.25">
      <c r="A936" s="7">
        <f t="shared" si="693"/>
        <v>71589</v>
      </c>
      <c r="B936">
        <f t="shared" si="676"/>
        <v>925</v>
      </c>
      <c r="C936">
        <f t="shared" si="657"/>
        <v>77</v>
      </c>
      <c r="D936">
        <f t="shared" si="658"/>
        <v>1</v>
      </c>
      <c r="E936">
        <f t="shared" si="677"/>
        <v>129</v>
      </c>
      <c r="F936">
        <f>IF(C936&gt;=$T$2,0,VLOOKUP($E936,EKM_F05!$A$3:$C$128,2,TRUE))</f>
        <v>0</v>
      </c>
      <c r="G936">
        <f>F936*'Real assumptions'!$B$3</f>
        <v>0</v>
      </c>
      <c r="H936">
        <f t="shared" si="659"/>
        <v>0</v>
      </c>
      <c r="I936">
        <f t="shared" si="660"/>
        <v>0</v>
      </c>
      <c r="J936">
        <f>IF(B936&gt;$AJ$2,0,HLOOKUP(C936,'Real assumptions'!$B$5:$L$8,4,TRUE))</f>
        <v>3.7900000000000003E-2</v>
      </c>
      <c r="K936">
        <f t="shared" si="666"/>
        <v>1</v>
      </c>
      <c r="L936">
        <f t="shared" si="694"/>
        <v>8.3333333333333329E-2</v>
      </c>
      <c r="M936">
        <f t="shared" si="661"/>
        <v>3.2145624959929453E-3</v>
      </c>
      <c r="N936">
        <f t="shared" si="662"/>
        <v>5.5316848233936679E-8</v>
      </c>
      <c r="O936" s="8">
        <f t="shared" si="678"/>
        <v>1.7152887472848913E-5</v>
      </c>
      <c r="P936">
        <f t="shared" si="679"/>
        <v>4.1299690370598841E-4</v>
      </c>
      <c r="Q936">
        <f t="shared" si="695"/>
        <v>0</v>
      </c>
      <c r="R936" s="89">
        <f t="shared" si="667"/>
        <v>5000</v>
      </c>
      <c r="S936">
        <f t="shared" si="668"/>
        <v>0.9166666666666714</v>
      </c>
      <c r="U936">
        <f>O935*AV935*'Real assumptions'!$B$33/12+AX936*'Real assumptions'!$B$34</f>
        <v>4.6534265328629316E-4</v>
      </c>
      <c r="V936">
        <f>IF(P936=0,0,IF(E936&lt;=$C$7,$AN$5*O935,0))*'Real assumptions'!$D$28</f>
        <v>0</v>
      </c>
      <c r="X936" s="94">
        <f t="shared" si="680"/>
        <v>0</v>
      </c>
      <c r="Y936">
        <f t="shared" si="669"/>
        <v>24</v>
      </c>
      <c r="Z936">
        <f t="shared" si="696"/>
        <v>22</v>
      </c>
      <c r="AA936">
        <f t="shared" si="670"/>
        <v>21.916666666666671</v>
      </c>
      <c r="AB936">
        <f t="shared" si="681"/>
        <v>50.505050505050505</v>
      </c>
      <c r="AC936">
        <f t="shared" si="663"/>
        <v>1106.902356902357</v>
      </c>
      <c r="AD936">
        <f t="shared" si="682"/>
        <v>80.505050505050505</v>
      </c>
      <c r="AE936">
        <f t="shared" si="683"/>
        <v>88.220117845117855</v>
      </c>
      <c r="AF936" s="94">
        <f t="shared" si="684"/>
        <v>3804.8775252525252</v>
      </c>
      <c r="AG936">
        <f t="shared" si="697"/>
        <v>2.1047383261311051E-4</v>
      </c>
      <c r="AH936">
        <f t="shared" si="685"/>
        <v>6.5264636038628421E-2</v>
      </c>
      <c r="AI936">
        <f>HLOOKUP(AW936,'Real assumptions'!$A$21:$AK$24,2,TRUE)</f>
        <v>0</v>
      </c>
      <c r="AJ936" s="123">
        <f t="shared" si="664"/>
        <v>0</v>
      </c>
      <c r="AK936" s="122">
        <f>(1+HLOOKUP(YEAR(A936),'Real assumptions'!$A$21:$AK$24,2,TRUE)/100)^(1/12)-1</f>
        <v>0</v>
      </c>
      <c r="AL936">
        <f t="shared" si="698"/>
        <v>4.6534265328629316E-4</v>
      </c>
      <c r="AM936">
        <f>('Real assumptions'!$B$33/12)*O935*AV935</f>
        <v>4.4740766820288829E-4</v>
      </c>
      <c r="AN936">
        <f t="shared" si="686"/>
        <v>6.5344566738641544E-2</v>
      </c>
      <c r="AO936">
        <f t="shared" si="665"/>
        <v>0</v>
      </c>
      <c r="AP936" s="121">
        <f t="shared" si="687"/>
        <v>0</v>
      </c>
      <c r="AQ936">
        <f t="shared" si="688"/>
        <v>0</v>
      </c>
      <c r="AR936">
        <v>0</v>
      </c>
      <c r="AS936">
        <f t="shared" si="671"/>
        <v>0</v>
      </c>
      <c r="AT936">
        <f t="shared" si="689"/>
        <v>0</v>
      </c>
      <c r="AU936">
        <f>IFERROR(HLOOKUP(B936,'Real assumptions'!$B$43:$AL$44,2,TRUE)*($W$3/$U$2),0)</f>
        <v>0</v>
      </c>
      <c r="AV936">
        <f>AV935*(1+'Real assumptions'!$B$35)^(1/12)</f>
        <v>2.6026601065136119</v>
      </c>
      <c r="AW936">
        <f t="shared" si="672"/>
        <v>2095</v>
      </c>
      <c r="AX936">
        <f t="shared" si="699"/>
        <v>6.5469337590583307E-2</v>
      </c>
      <c r="AY936">
        <f t="shared" si="700"/>
        <v>7.2425102361459802E-5</v>
      </c>
      <c r="AZ936">
        <f t="shared" si="673"/>
        <v>6.2467740447511869E-2</v>
      </c>
      <c r="BA936">
        <f t="shared" si="690"/>
        <v>2.1047383261311051E-4</v>
      </c>
      <c r="BB936">
        <f t="shared" si="691"/>
        <v>21.916666666666671</v>
      </c>
      <c r="BC936">
        <f t="shared" si="674"/>
        <v>13.150000000000002</v>
      </c>
      <c r="BD936">
        <f t="shared" si="692"/>
        <v>0</v>
      </c>
      <c r="BE936">
        <f t="shared" si="675"/>
        <v>24</v>
      </c>
      <c r="BF936">
        <f t="shared" si="701"/>
        <v>5000</v>
      </c>
      <c r="BU936"/>
      <c r="DW936" s="89"/>
      <c r="DX936" s="89"/>
      <c r="FD936"/>
      <c r="FE936"/>
    </row>
    <row r="937" spans="1:161" x14ac:dyDescent="0.25">
      <c r="A937" s="7">
        <f t="shared" si="693"/>
        <v>71620</v>
      </c>
      <c r="B937">
        <f t="shared" si="676"/>
        <v>926</v>
      </c>
      <c r="C937">
        <f t="shared" si="657"/>
        <v>77.083333333333329</v>
      </c>
      <c r="D937">
        <f t="shared" si="658"/>
        <v>0</v>
      </c>
      <c r="E937">
        <f t="shared" si="677"/>
        <v>129</v>
      </c>
      <c r="F937">
        <f>IF(C937&gt;=$T$2,0,VLOOKUP($E937,EKM_F05!$A$3:$C$128,2,TRUE))</f>
        <v>0</v>
      </c>
      <c r="G937">
        <f>F937*'Real assumptions'!$B$3</f>
        <v>0</v>
      </c>
      <c r="H937">
        <f t="shared" si="659"/>
        <v>0</v>
      </c>
      <c r="I937">
        <f t="shared" si="660"/>
        <v>0</v>
      </c>
      <c r="J937">
        <f>IF(B937&gt;$AJ$2,0,HLOOKUP(C937,'Real assumptions'!$B$5:$L$8,4,TRUE))</f>
        <v>3.7900000000000003E-2</v>
      </c>
      <c r="K937">
        <f t="shared" si="666"/>
        <v>1</v>
      </c>
      <c r="L937">
        <f t="shared" si="694"/>
        <v>8.3333333333333329E-2</v>
      </c>
      <c r="M937">
        <f t="shared" si="661"/>
        <v>3.2145624959929453E-3</v>
      </c>
      <c r="N937">
        <f t="shared" si="662"/>
        <v>5.5139028768207324E-8</v>
      </c>
      <c r="O937" s="8">
        <f t="shared" si="678"/>
        <v>1.7097748444080708E-5</v>
      </c>
      <c r="P937">
        <f t="shared" si="679"/>
        <v>4.1166929934837392E-4</v>
      </c>
      <c r="Q937">
        <f t="shared" si="695"/>
        <v>0</v>
      </c>
      <c r="R937" s="89">
        <f t="shared" si="667"/>
        <v>5000</v>
      </c>
      <c r="S937">
        <f t="shared" si="668"/>
        <v>0.8333333333333286</v>
      </c>
      <c r="U937">
        <f>O936*AV936*'Real assumptions'!$B$33/12+AX937*'Real assumptions'!$B$34</f>
        <v>4.6433004422942849E-4</v>
      </c>
      <c r="V937">
        <f>IF(P937=0,0,IF(E937&lt;=$C$7,$AN$5*O936,0))*'Real assumptions'!$D$28</f>
        <v>0</v>
      </c>
      <c r="X937" s="94">
        <f t="shared" si="680"/>
        <v>0</v>
      </c>
      <c r="Y937">
        <f t="shared" si="669"/>
        <v>24</v>
      </c>
      <c r="Z937">
        <f t="shared" si="696"/>
        <v>21</v>
      </c>
      <c r="AA937">
        <f t="shared" si="670"/>
        <v>21.833333333333329</v>
      </c>
      <c r="AB937">
        <f t="shared" si="681"/>
        <v>50.505050505050505</v>
      </c>
      <c r="AC937">
        <f t="shared" si="663"/>
        <v>1102.6936026936025</v>
      </c>
      <c r="AD937">
        <f t="shared" si="682"/>
        <v>80.505050505050505</v>
      </c>
      <c r="AE937">
        <f t="shared" si="683"/>
        <v>87.88468013468011</v>
      </c>
      <c r="AF937" s="94">
        <f t="shared" si="684"/>
        <v>3809.4217171717173</v>
      </c>
      <c r="AG937">
        <f t="shared" si="697"/>
        <v>2.1004781365336508E-4</v>
      </c>
      <c r="AH937">
        <f t="shared" si="685"/>
        <v>6.5132534237619985E-2</v>
      </c>
      <c r="AI937">
        <f>HLOOKUP(AW937,'Real assumptions'!$A$21:$AK$24,2,TRUE)</f>
        <v>0</v>
      </c>
      <c r="AJ937" s="123">
        <f t="shared" si="664"/>
        <v>0</v>
      </c>
      <c r="AK937" s="122">
        <f>(1+HLOOKUP(YEAR(A937),'Real assumptions'!$A$21:$AK$24,2,TRUE)/100)^(1/12)-1</f>
        <v>0</v>
      </c>
      <c r="AL937">
        <f t="shared" si="698"/>
        <v>4.6433004422942849E-4</v>
      </c>
      <c r="AM937">
        <f>('Real assumptions'!$B$33/12)*O936*AV936</f>
        <v>4.4643135937100952E-4</v>
      </c>
      <c r="AN937">
        <f t="shared" si="686"/>
        <v>6.5211975293747365E-2</v>
      </c>
      <c r="AO937">
        <f t="shared" si="665"/>
        <v>0</v>
      </c>
      <c r="AP937" s="121">
        <f t="shared" si="687"/>
        <v>0</v>
      </c>
      <c r="AQ937">
        <f t="shared" si="688"/>
        <v>0</v>
      </c>
      <c r="AR937">
        <v>0</v>
      </c>
      <c r="AS937">
        <f t="shared" si="671"/>
        <v>0</v>
      </c>
      <c r="AT937">
        <f t="shared" si="689"/>
        <v>0</v>
      </c>
      <c r="AU937">
        <f>IFERROR(HLOOKUP(B937,'Real assumptions'!$B$43:$AL$44,2,TRUE)*($W$3/$U$2),0)</f>
        <v>0</v>
      </c>
      <c r="AV937">
        <f>AV936*(1+'Real assumptions'!$B$35)^(1/12)</f>
        <v>2.6053558013465477</v>
      </c>
      <c r="AW937">
        <f t="shared" si="672"/>
        <v>2096</v>
      </c>
      <c r="AX937">
        <f t="shared" si="699"/>
        <v>6.5336828325972054E-2</v>
      </c>
      <c r="AY937">
        <f t="shared" si="700"/>
        <v>7.2192287343640204E-5</v>
      </c>
      <c r="AZ937">
        <f t="shared" si="673"/>
        <v>6.2205031888977448E-2</v>
      </c>
      <c r="BA937">
        <f t="shared" si="690"/>
        <v>2.1004781365336508E-4</v>
      </c>
      <c r="BB937">
        <f t="shared" si="691"/>
        <v>21.833333333333329</v>
      </c>
      <c r="BC937">
        <f t="shared" si="674"/>
        <v>13.099999999999998</v>
      </c>
      <c r="BD937">
        <f t="shared" si="692"/>
        <v>0</v>
      </c>
      <c r="BE937">
        <f t="shared" si="675"/>
        <v>24</v>
      </c>
      <c r="BF937">
        <f t="shared" si="701"/>
        <v>5000</v>
      </c>
      <c r="BU937"/>
      <c r="DW937" s="89"/>
      <c r="DX937" s="89"/>
      <c r="FD937"/>
      <c r="FE937"/>
    </row>
    <row r="938" spans="1:161" x14ac:dyDescent="0.25">
      <c r="A938" s="7">
        <f t="shared" si="693"/>
        <v>71649</v>
      </c>
      <c r="B938">
        <f t="shared" si="676"/>
        <v>927</v>
      </c>
      <c r="C938">
        <f t="shared" ref="C938:C1001" si="702">(B938+11)/12-1</f>
        <v>77.166666666666671</v>
      </c>
      <c r="D938">
        <f t="shared" ref="D938:D1001" si="703">IF(C938-INT(C938)=0,1,0)</f>
        <v>0</v>
      </c>
      <c r="E938">
        <f t="shared" si="677"/>
        <v>129</v>
      </c>
      <c r="F938">
        <f>IF(C938&gt;=$T$2,0,VLOOKUP($E938,EKM_F05!$A$3:$C$128,2,TRUE))</f>
        <v>0</v>
      </c>
      <c r="G938">
        <f>F938*'Real assumptions'!$B$3</f>
        <v>0</v>
      </c>
      <c r="H938">
        <f t="shared" ref="H938:H1001" si="704">(1-(1-G938)^(1/12))</f>
        <v>0</v>
      </c>
      <c r="I938">
        <f t="shared" ref="I938:I1001" si="705">H938*O937*(1-M938/2)</f>
        <v>0</v>
      </c>
      <c r="J938">
        <f>IF(B938&gt;$AJ$2,0,HLOOKUP(C938,'Real assumptions'!$B$5:$L$8,4,TRUE))</f>
        <v>3.7900000000000003E-2</v>
      </c>
      <c r="K938">
        <f t="shared" si="666"/>
        <v>1</v>
      </c>
      <c r="L938">
        <f t="shared" si="694"/>
        <v>8.3333333333333329E-2</v>
      </c>
      <c r="M938">
        <f t="shared" ref="M938:M1001" si="706">(1-(1-J938)^L938)</f>
        <v>3.2145624959929453E-3</v>
      </c>
      <c r="N938">
        <f t="shared" ref="N938:N1001" si="707">M938*O937*(1-H938/2)</f>
        <v>5.4961780914263576E-8</v>
      </c>
      <c r="O938" s="8">
        <f t="shared" si="678"/>
        <v>1.7042786663166445E-5</v>
      </c>
      <c r="P938">
        <f t="shared" si="679"/>
        <v>4.1034596265793698E-4</v>
      </c>
      <c r="Q938">
        <f t="shared" si="695"/>
        <v>0</v>
      </c>
      <c r="R938" s="89">
        <f t="shared" si="667"/>
        <v>5000</v>
      </c>
      <c r="S938">
        <f t="shared" si="668"/>
        <v>0.75</v>
      </c>
      <c r="U938">
        <f>O937*AV937*'Real assumptions'!$B$33/12+AX938*'Real assumptions'!$B$34</f>
        <v>4.6331961367002171E-4</v>
      </c>
      <c r="V938">
        <f>IF(P938=0,0,IF(E938&lt;=$C$7,$AN$5*O937,0))*'Real assumptions'!$D$28</f>
        <v>0</v>
      </c>
      <c r="X938" s="94">
        <f t="shared" si="680"/>
        <v>0</v>
      </c>
      <c r="Y938">
        <f t="shared" si="669"/>
        <v>24</v>
      </c>
      <c r="Z938">
        <f t="shared" si="696"/>
        <v>21</v>
      </c>
      <c r="AA938">
        <f t="shared" si="670"/>
        <v>21.75</v>
      </c>
      <c r="AB938">
        <f t="shared" si="681"/>
        <v>50.505050505050505</v>
      </c>
      <c r="AC938">
        <f t="shared" ref="AC938:AC1001" si="708">AB938*AA938</f>
        <v>1098.4848484848485</v>
      </c>
      <c r="AD938">
        <f t="shared" si="682"/>
        <v>80.505050505050505</v>
      </c>
      <c r="AE938">
        <f t="shared" si="683"/>
        <v>87.549242424242422</v>
      </c>
      <c r="AF938" s="94">
        <f t="shared" si="684"/>
        <v>3813.965909090909</v>
      </c>
      <c r="AG938">
        <f t="shared" si="697"/>
        <v>2.0962235870992466E-4</v>
      </c>
      <c r="AH938">
        <f t="shared" si="685"/>
        <v>6.5000607329226037E-2</v>
      </c>
      <c r="AI938">
        <f>HLOOKUP(AW938,'Real assumptions'!$A$21:$AK$24,2,TRUE)</f>
        <v>0</v>
      </c>
      <c r="AJ938" s="123">
        <f t="shared" ref="AJ938:AJ1001" si="709">((1+AI938/100)^(1/12))-1</f>
        <v>0</v>
      </c>
      <c r="AK938" s="122">
        <f>(1+HLOOKUP(YEAR(A938),'Real assumptions'!$A$21:$AK$24,2,TRUE)/100)^(1/12)-1</f>
        <v>0</v>
      </c>
      <c r="AL938">
        <f t="shared" si="698"/>
        <v>4.6331961367002171E-4</v>
      </c>
      <c r="AM938">
        <f>('Real assumptions'!$B$33/12)*O937*AV937</f>
        <v>4.4545718098749578E-4</v>
      </c>
      <c r="AN938">
        <f t="shared" si="686"/>
        <v>6.5079560586607896E-2</v>
      </c>
      <c r="AO938">
        <f t="shared" ref="AO938:AO1001" si="710">AN938*AJ938</f>
        <v>0</v>
      </c>
      <c r="AP938" s="121">
        <f t="shared" si="687"/>
        <v>0</v>
      </c>
      <c r="AQ938">
        <f t="shared" si="688"/>
        <v>0</v>
      </c>
      <c r="AR938">
        <v>0</v>
      </c>
      <c r="AS938">
        <f t="shared" si="671"/>
        <v>0</v>
      </c>
      <c r="AT938">
        <f t="shared" si="689"/>
        <v>0</v>
      </c>
      <c r="AU938">
        <f>IFERROR(HLOOKUP(B938,'Real assumptions'!$B$43:$AL$44,2,TRUE)*($W$3/$U$2),0)</f>
        <v>0</v>
      </c>
      <c r="AV938">
        <f>AV937*(1+'Real assumptions'!$B$35)^(1/12)</f>
        <v>2.6080542882346638</v>
      </c>
      <c r="AW938">
        <f t="shared" si="672"/>
        <v>2096</v>
      </c>
      <c r="AX938">
        <f t="shared" si="699"/>
        <v>6.5204494458344225E-2</v>
      </c>
      <c r="AY938">
        <f t="shared" si="700"/>
        <v>7.1960220724245395E-5</v>
      </c>
      <c r="AZ938">
        <f t="shared" si="673"/>
        <v>6.1942435879255443E-2</v>
      </c>
      <c r="BA938">
        <f t="shared" si="690"/>
        <v>2.0962235870992466E-4</v>
      </c>
      <c r="BB938">
        <f t="shared" si="691"/>
        <v>21.75</v>
      </c>
      <c r="BC938">
        <f t="shared" si="674"/>
        <v>13.05</v>
      </c>
      <c r="BD938">
        <f t="shared" si="692"/>
        <v>0</v>
      </c>
      <c r="BE938">
        <f t="shared" si="675"/>
        <v>24</v>
      </c>
      <c r="BF938">
        <f t="shared" si="701"/>
        <v>5000</v>
      </c>
      <c r="BU938"/>
      <c r="DW938" s="89"/>
      <c r="DX938" s="89"/>
      <c r="FD938"/>
      <c r="FE938"/>
    </row>
    <row r="939" spans="1:161" x14ac:dyDescent="0.25">
      <c r="A939" s="7">
        <f t="shared" si="693"/>
        <v>71680</v>
      </c>
      <c r="B939">
        <f t="shared" si="676"/>
        <v>928</v>
      </c>
      <c r="C939">
        <f t="shared" si="702"/>
        <v>77.25</v>
      </c>
      <c r="D939">
        <f t="shared" si="703"/>
        <v>0</v>
      </c>
      <c r="E939">
        <f t="shared" si="677"/>
        <v>129</v>
      </c>
      <c r="F939">
        <f>IF(C939&gt;=$T$2,0,VLOOKUP($E939,EKM_F05!$A$3:$C$128,2,TRUE))</f>
        <v>0</v>
      </c>
      <c r="G939">
        <f>F939*'Real assumptions'!$B$3</f>
        <v>0</v>
      </c>
      <c r="H939">
        <f t="shared" si="704"/>
        <v>0</v>
      </c>
      <c r="I939">
        <f t="shared" si="705"/>
        <v>0</v>
      </c>
      <c r="J939">
        <f>IF(B939&gt;$AJ$2,0,HLOOKUP(C939,'Real assumptions'!$B$5:$L$8,4,TRUE))</f>
        <v>3.7900000000000003E-2</v>
      </c>
      <c r="K939">
        <f t="shared" si="666"/>
        <v>1</v>
      </c>
      <c r="L939">
        <f t="shared" si="694"/>
        <v>8.3333333333333329E-2</v>
      </c>
      <c r="M939">
        <f t="shared" si="706"/>
        <v>3.2145624959929453E-3</v>
      </c>
      <c r="N939">
        <f t="shared" si="707"/>
        <v>5.4785102834623607E-8</v>
      </c>
      <c r="O939" s="8">
        <f t="shared" si="678"/>
        <v>1.698800156033182E-5</v>
      </c>
      <c r="P939">
        <f t="shared" si="679"/>
        <v>4.0902687991599472E-4</v>
      </c>
      <c r="Q939">
        <f t="shared" si="695"/>
        <v>0</v>
      </c>
      <c r="R939" s="89">
        <f t="shared" si="667"/>
        <v>5000</v>
      </c>
      <c r="S939">
        <f t="shared" si="668"/>
        <v>0.6666666666666714</v>
      </c>
      <c r="U939">
        <f>O938*AV938*'Real assumptions'!$B$33/12+AX939*'Real assumptions'!$B$34</f>
        <v>4.6231135702531521E-4</v>
      </c>
      <c r="V939">
        <f>IF(P939=0,0,IF(E939&lt;=$C$7,$AN$5*O938,0))*'Real assumptions'!$D$28</f>
        <v>0</v>
      </c>
      <c r="X939" s="94">
        <f t="shared" si="680"/>
        <v>0</v>
      </c>
      <c r="Y939">
        <f t="shared" si="669"/>
        <v>24</v>
      </c>
      <c r="Z939">
        <f t="shared" si="696"/>
        <v>21</v>
      </c>
      <c r="AA939">
        <f t="shared" si="670"/>
        <v>21.666666666666671</v>
      </c>
      <c r="AB939">
        <f t="shared" si="681"/>
        <v>50.505050505050505</v>
      </c>
      <c r="AC939">
        <f t="shared" si="708"/>
        <v>1094.2760942760945</v>
      </c>
      <c r="AD939">
        <f t="shared" si="682"/>
        <v>80.505050505050505</v>
      </c>
      <c r="AE939">
        <f t="shared" si="683"/>
        <v>87.213804713804734</v>
      </c>
      <c r="AF939" s="94">
        <f t="shared" si="684"/>
        <v>3818.5101010101012</v>
      </c>
      <c r="AG939">
        <f t="shared" si="697"/>
        <v>2.0919746855888738E-4</v>
      </c>
      <c r="AH939">
        <f t="shared" si="685"/>
        <v>6.486885555410242E-2</v>
      </c>
      <c r="AI939">
        <f>HLOOKUP(AW939,'Real assumptions'!$A$21:$AK$24,2,TRUE)</f>
        <v>0</v>
      </c>
      <c r="AJ939" s="123">
        <f t="shared" si="709"/>
        <v>0</v>
      </c>
      <c r="AK939" s="122">
        <f>(1+HLOOKUP(YEAR(A939),'Real assumptions'!$A$21:$AK$24,2,TRUE)/100)^(1/12)-1</f>
        <v>0</v>
      </c>
      <c r="AL939">
        <f t="shared" si="698"/>
        <v>4.6231135702531521E-4</v>
      </c>
      <c r="AM939">
        <f>('Real assumptions'!$B$33/12)*O938*AV938</f>
        <v>4.4448512840339783E-4</v>
      </c>
      <c r="AN939">
        <f t="shared" si="686"/>
        <v>6.4947322852116712E-2</v>
      </c>
      <c r="AO939">
        <f t="shared" si="710"/>
        <v>0</v>
      </c>
      <c r="AP939" s="121">
        <f t="shared" si="687"/>
        <v>0</v>
      </c>
      <c r="AQ939">
        <f t="shared" si="688"/>
        <v>0</v>
      </c>
      <c r="AR939">
        <v>0</v>
      </c>
      <c r="AS939">
        <f t="shared" si="671"/>
        <v>0</v>
      </c>
      <c r="AT939">
        <f t="shared" si="689"/>
        <v>0</v>
      </c>
      <c r="AU939">
        <f>IFERROR(HLOOKUP(B939,'Real assumptions'!$B$43:$AL$44,2,TRUE)*($W$3/$U$2),0)</f>
        <v>0</v>
      </c>
      <c r="AV939">
        <f>AV938*(1+'Real assumptions'!$B$35)^(1/12)</f>
        <v>2.61075557006982</v>
      </c>
      <c r="AW939">
        <f t="shared" si="672"/>
        <v>2096</v>
      </c>
      <c r="AX939">
        <f t="shared" si="699"/>
        <v>6.5072336229323541E-2</v>
      </c>
      <c r="AY939">
        <f t="shared" si="700"/>
        <v>7.1728900097501865E-5</v>
      </c>
      <c r="AZ939">
        <f t="shared" si="673"/>
        <v>6.1679953933587238E-2</v>
      </c>
      <c r="BA939">
        <f t="shared" si="690"/>
        <v>2.0919746855888738E-4</v>
      </c>
      <c r="BB939">
        <f t="shared" si="691"/>
        <v>21.666666666666671</v>
      </c>
      <c r="BC939">
        <f t="shared" si="674"/>
        <v>13.000000000000004</v>
      </c>
      <c r="BD939">
        <f t="shared" si="692"/>
        <v>0</v>
      </c>
      <c r="BE939">
        <f t="shared" si="675"/>
        <v>24</v>
      </c>
      <c r="BF939">
        <f t="shared" si="701"/>
        <v>5000</v>
      </c>
      <c r="BU939"/>
      <c r="DW939" s="89"/>
      <c r="DX939" s="89"/>
      <c r="FD939"/>
      <c r="FE939"/>
    </row>
    <row r="940" spans="1:161" x14ac:dyDescent="0.25">
      <c r="A940" s="7">
        <f t="shared" si="693"/>
        <v>71710</v>
      </c>
      <c r="B940">
        <f t="shared" si="676"/>
        <v>929</v>
      </c>
      <c r="C940">
        <f t="shared" si="702"/>
        <v>77.333333333333329</v>
      </c>
      <c r="D940">
        <f t="shared" si="703"/>
        <v>0</v>
      </c>
      <c r="E940">
        <f t="shared" si="677"/>
        <v>129</v>
      </c>
      <c r="F940">
        <f>IF(C940&gt;=$T$2,0,VLOOKUP($E940,EKM_F05!$A$3:$C$128,2,TRUE))</f>
        <v>0</v>
      </c>
      <c r="G940">
        <f>F940*'Real assumptions'!$B$3</f>
        <v>0</v>
      </c>
      <c r="H940">
        <f t="shared" si="704"/>
        <v>0</v>
      </c>
      <c r="I940">
        <f t="shared" si="705"/>
        <v>0</v>
      </c>
      <c r="J940">
        <f>IF(B940&gt;$AJ$2,0,HLOOKUP(C940,'Real assumptions'!$B$5:$L$8,4,TRUE))</f>
        <v>3.7900000000000003E-2</v>
      </c>
      <c r="K940">
        <f t="shared" si="666"/>
        <v>1</v>
      </c>
      <c r="L940">
        <f t="shared" si="694"/>
        <v>8.3333333333333329E-2</v>
      </c>
      <c r="M940">
        <f t="shared" si="706"/>
        <v>3.2145624959929453E-3</v>
      </c>
      <c r="N940">
        <f t="shared" si="707"/>
        <v>5.4608992697712308E-8</v>
      </c>
      <c r="O940" s="8">
        <f t="shared" si="678"/>
        <v>1.6933392567634109E-5</v>
      </c>
      <c r="P940">
        <f t="shared" si="679"/>
        <v>4.0771203744796369E-4</v>
      </c>
      <c r="Q940">
        <f t="shared" si="695"/>
        <v>0</v>
      </c>
      <c r="R940" s="89">
        <f t="shared" si="667"/>
        <v>5000</v>
      </c>
      <c r="S940">
        <f t="shared" si="668"/>
        <v>0.5833333333333286</v>
      </c>
      <c r="U940">
        <f>O939*AV939*'Real assumptions'!$B$33/12+AX940*'Real assumptions'!$B$34</f>
        <v>4.6130526972177352E-4</v>
      </c>
      <c r="V940">
        <f>IF(P940=0,0,IF(E940&lt;=$C$7,$AN$5*O939,0))*'Real assumptions'!$D$28</f>
        <v>0</v>
      </c>
      <c r="X940" s="94">
        <f t="shared" si="680"/>
        <v>0</v>
      </c>
      <c r="Y940">
        <f t="shared" si="669"/>
        <v>24</v>
      </c>
      <c r="Z940">
        <f t="shared" si="696"/>
        <v>21</v>
      </c>
      <c r="AA940">
        <f t="shared" si="670"/>
        <v>21.583333333333329</v>
      </c>
      <c r="AB940">
        <f t="shared" si="681"/>
        <v>50.505050505050505</v>
      </c>
      <c r="AC940">
        <f t="shared" si="708"/>
        <v>1090.0673400673397</v>
      </c>
      <c r="AD940">
        <f t="shared" si="682"/>
        <v>80.505050505050505</v>
      </c>
      <c r="AE940">
        <f t="shared" si="683"/>
        <v>86.878367003366975</v>
      </c>
      <c r="AF940" s="94">
        <f t="shared" si="684"/>
        <v>3823.0542929292933</v>
      </c>
      <c r="AG940">
        <f t="shared" si="697"/>
        <v>2.0877314396553347E-4</v>
      </c>
      <c r="AH940">
        <f t="shared" si="685"/>
        <v>6.4737279149550575E-2</v>
      </c>
      <c r="AI940">
        <f>HLOOKUP(AW940,'Real assumptions'!$A$21:$AK$24,2,TRUE)</f>
        <v>0</v>
      </c>
      <c r="AJ940" s="123">
        <f t="shared" si="709"/>
        <v>0</v>
      </c>
      <c r="AK940" s="122">
        <f>(1+HLOOKUP(YEAR(A940),'Real assumptions'!$A$21:$AK$24,2,TRUE)/100)^(1/12)-1</f>
        <v>0</v>
      </c>
      <c r="AL940">
        <f t="shared" si="698"/>
        <v>4.6130526972177352E-4</v>
      </c>
      <c r="AM940">
        <f>('Real assumptions'!$B$33/12)*O939*AV939</f>
        <v>4.4351519697991091E-4</v>
      </c>
      <c r="AN940">
        <f t="shared" si="686"/>
        <v>6.4815262321828618E-2</v>
      </c>
      <c r="AO940">
        <f t="shared" si="710"/>
        <v>0</v>
      </c>
      <c r="AP940" s="121">
        <f t="shared" si="687"/>
        <v>0</v>
      </c>
      <c r="AQ940">
        <f t="shared" si="688"/>
        <v>0</v>
      </c>
      <c r="AR940">
        <v>0</v>
      </c>
      <c r="AS940">
        <f t="shared" si="671"/>
        <v>0</v>
      </c>
      <c r="AT940">
        <f t="shared" si="689"/>
        <v>0</v>
      </c>
      <c r="AU940">
        <f>IFERROR(HLOOKUP(B940,'Real assumptions'!$B$43:$AL$44,2,TRUE)*($W$3/$U$2),0)</f>
        <v>0</v>
      </c>
      <c r="AV940">
        <f>AV939*(1+'Real assumptions'!$B$35)^(1/12)</f>
        <v>2.6134596497468712</v>
      </c>
      <c r="AW940">
        <f t="shared" si="672"/>
        <v>2096</v>
      </c>
      <c r="AX940">
        <f t="shared" si="699"/>
        <v>6.4940353877167789E-2</v>
      </c>
      <c r="AY940">
        <f t="shared" si="700"/>
        <v>7.1498323065369608E-5</v>
      </c>
      <c r="AZ940">
        <f t="shared" si="673"/>
        <v>6.1417587557347893E-2</v>
      </c>
      <c r="BA940">
        <f t="shared" si="690"/>
        <v>2.0877314396553347E-4</v>
      </c>
      <c r="BB940">
        <f t="shared" si="691"/>
        <v>21.583333333333329</v>
      </c>
      <c r="BC940">
        <f t="shared" si="674"/>
        <v>12.949999999999996</v>
      </c>
      <c r="BD940">
        <f t="shared" si="692"/>
        <v>0</v>
      </c>
      <c r="BE940">
        <f t="shared" si="675"/>
        <v>24</v>
      </c>
      <c r="BF940">
        <f t="shared" si="701"/>
        <v>5000</v>
      </c>
      <c r="BU940"/>
      <c r="DW940" s="89"/>
      <c r="DX940" s="89"/>
      <c r="FD940"/>
      <c r="FE940"/>
    </row>
    <row r="941" spans="1:161" x14ac:dyDescent="0.25">
      <c r="A941" s="7">
        <f t="shared" si="693"/>
        <v>71741</v>
      </c>
      <c r="B941">
        <f t="shared" si="676"/>
        <v>930</v>
      </c>
      <c r="C941">
        <f t="shared" si="702"/>
        <v>77.416666666666671</v>
      </c>
      <c r="D941">
        <f t="shared" si="703"/>
        <v>0</v>
      </c>
      <c r="E941">
        <f t="shared" si="677"/>
        <v>129</v>
      </c>
      <c r="F941">
        <f>IF(C941&gt;=$T$2,0,VLOOKUP($E941,EKM_F05!$A$3:$C$128,2,TRUE))</f>
        <v>0</v>
      </c>
      <c r="G941">
        <f>F941*'Real assumptions'!$B$3</f>
        <v>0</v>
      </c>
      <c r="H941">
        <f t="shared" si="704"/>
        <v>0</v>
      </c>
      <c r="I941">
        <f t="shared" si="705"/>
        <v>0</v>
      </c>
      <c r="J941">
        <f>IF(B941&gt;$AJ$2,0,HLOOKUP(C941,'Real assumptions'!$B$5:$L$8,4,TRUE))</f>
        <v>3.7900000000000003E-2</v>
      </c>
      <c r="K941">
        <f t="shared" si="666"/>
        <v>1</v>
      </c>
      <c r="L941">
        <f t="shared" si="694"/>
        <v>8.3333333333333329E-2</v>
      </c>
      <c r="M941">
        <f t="shared" si="706"/>
        <v>3.2145624959929453E-3</v>
      </c>
      <c r="N941">
        <f t="shared" si="707"/>
        <v>5.4433448677842291E-8</v>
      </c>
      <c r="O941" s="8">
        <f t="shared" si="678"/>
        <v>1.6878959118956267E-5</v>
      </c>
      <c r="P941">
        <f t="shared" si="679"/>
        <v>4.0640142162321863E-4</v>
      </c>
      <c r="Q941">
        <f t="shared" si="695"/>
        <v>0</v>
      </c>
      <c r="R941" s="89">
        <f t="shared" si="667"/>
        <v>5000</v>
      </c>
      <c r="S941">
        <f t="shared" si="668"/>
        <v>0.5</v>
      </c>
      <c r="U941">
        <f>O940*AV940*'Real assumptions'!$B$33/12+AX941*'Real assumptions'!$B$34</f>
        <v>4.603013471950676E-4</v>
      </c>
      <c r="V941">
        <f>IF(P941=0,0,IF(E941&lt;=$C$7,$AN$5*O940,0))*'Real assumptions'!$D$28</f>
        <v>0</v>
      </c>
      <c r="X941" s="94">
        <f t="shared" si="680"/>
        <v>0</v>
      </c>
      <c r="Y941">
        <f t="shared" si="669"/>
        <v>24</v>
      </c>
      <c r="Z941">
        <f t="shared" si="696"/>
        <v>21</v>
      </c>
      <c r="AA941">
        <f t="shared" si="670"/>
        <v>21.5</v>
      </c>
      <c r="AB941">
        <f t="shared" si="681"/>
        <v>50.505050505050505</v>
      </c>
      <c r="AC941">
        <f t="shared" si="708"/>
        <v>1085.8585858585859</v>
      </c>
      <c r="AD941">
        <f t="shared" si="682"/>
        <v>80.505050505050505</v>
      </c>
      <c r="AE941">
        <f t="shared" si="683"/>
        <v>86.542929292929287</v>
      </c>
      <c r="AF941" s="94">
        <f t="shared" si="684"/>
        <v>3827.598484848485</v>
      </c>
      <c r="AG941">
        <f t="shared" si="697"/>
        <v>2.0834938568438691E-4</v>
      </c>
      <c r="AH941">
        <f t="shared" si="685"/>
        <v>6.460587834953653E-2</v>
      </c>
      <c r="AI941">
        <f>HLOOKUP(AW941,'Real assumptions'!$A$21:$AK$24,2,TRUE)</f>
        <v>0</v>
      </c>
      <c r="AJ941" s="123">
        <f t="shared" si="709"/>
        <v>0</v>
      </c>
      <c r="AK941" s="122">
        <f>(1+HLOOKUP(YEAR(A941),'Real assumptions'!$A$21:$AK$24,2,TRUE)/100)^(1/12)-1</f>
        <v>0</v>
      </c>
      <c r="AL941">
        <f t="shared" si="698"/>
        <v>4.603013471950676E-4</v>
      </c>
      <c r="AM941">
        <f>('Real assumptions'!$B$33/12)*O940*AV940</f>
        <v>4.4254738208835315E-4</v>
      </c>
      <c r="AN941">
        <f t="shared" si="686"/>
        <v>6.4683379223978738E-2</v>
      </c>
      <c r="AO941">
        <f t="shared" si="710"/>
        <v>0</v>
      </c>
      <c r="AP941" s="121">
        <f t="shared" si="687"/>
        <v>0</v>
      </c>
      <c r="AQ941">
        <f t="shared" si="688"/>
        <v>0</v>
      </c>
      <c r="AR941">
        <v>0</v>
      </c>
      <c r="AS941">
        <f t="shared" si="671"/>
        <v>0</v>
      </c>
      <c r="AT941">
        <f t="shared" si="689"/>
        <v>0</v>
      </c>
      <c r="AU941">
        <f>IFERROR(HLOOKUP(B941,'Real assumptions'!$B$43:$AL$44,2,TRUE)*($W$3/$U$2),0)</f>
        <v>0</v>
      </c>
      <c r="AV941">
        <f>AV940*(1+'Real assumptions'!$B$35)^(1/12)</f>
        <v>2.6161665301636714</v>
      </c>
      <c r="AW941">
        <f t="shared" si="672"/>
        <v>2096</v>
      </c>
      <c r="AX941">
        <f t="shared" si="699"/>
        <v>6.4808547636788089E-2</v>
      </c>
      <c r="AY941">
        <f t="shared" si="700"/>
        <v>7.1268487237517296E-5</v>
      </c>
      <c r="AZ941">
        <f t="shared" si="673"/>
        <v>6.1155338246091658E-2</v>
      </c>
      <c r="BA941">
        <f t="shared" si="690"/>
        <v>2.0834938568438691E-4</v>
      </c>
      <c r="BB941">
        <f t="shared" si="691"/>
        <v>21.5</v>
      </c>
      <c r="BC941">
        <f t="shared" si="674"/>
        <v>12.899999999999999</v>
      </c>
      <c r="BD941">
        <f t="shared" si="692"/>
        <v>0</v>
      </c>
      <c r="BE941">
        <f t="shared" si="675"/>
        <v>24</v>
      </c>
      <c r="BF941">
        <f t="shared" si="701"/>
        <v>5000</v>
      </c>
      <c r="BU941"/>
      <c r="DW941" s="89"/>
      <c r="DX941" s="89"/>
      <c r="FD941"/>
      <c r="FE941"/>
    </row>
    <row r="942" spans="1:161" x14ac:dyDescent="0.25">
      <c r="A942" s="7">
        <f t="shared" si="693"/>
        <v>71771</v>
      </c>
      <c r="B942">
        <f t="shared" si="676"/>
        <v>931</v>
      </c>
      <c r="C942">
        <f t="shared" si="702"/>
        <v>77.5</v>
      </c>
      <c r="D942">
        <f t="shared" si="703"/>
        <v>0</v>
      </c>
      <c r="E942">
        <f t="shared" si="677"/>
        <v>129</v>
      </c>
      <c r="F942">
        <f>IF(C942&gt;=$T$2,0,VLOOKUP($E942,EKM_F05!$A$3:$C$128,2,TRUE))</f>
        <v>0</v>
      </c>
      <c r="G942">
        <f>F942*'Real assumptions'!$B$3</f>
        <v>0</v>
      </c>
      <c r="H942">
        <f t="shared" si="704"/>
        <v>0</v>
      </c>
      <c r="I942">
        <f t="shared" si="705"/>
        <v>0</v>
      </c>
      <c r="J942">
        <f>IF(B942&gt;$AJ$2,0,HLOOKUP(C942,'Real assumptions'!$B$5:$L$8,4,TRUE))</f>
        <v>3.7900000000000003E-2</v>
      </c>
      <c r="K942">
        <f t="shared" si="666"/>
        <v>1</v>
      </c>
      <c r="L942">
        <f t="shared" si="694"/>
        <v>8.3333333333333329E-2</v>
      </c>
      <c r="M942">
        <f t="shared" si="706"/>
        <v>3.2145624959929453E-3</v>
      </c>
      <c r="N942">
        <f t="shared" si="707"/>
        <v>5.4258468955194944E-8</v>
      </c>
      <c r="O942" s="8">
        <f t="shared" si="678"/>
        <v>1.6824700650001071E-5</v>
      </c>
      <c r="P942">
        <f t="shared" si="679"/>
        <v>4.0509501885495043E-4</v>
      </c>
      <c r="Q942">
        <f t="shared" si="695"/>
        <v>0</v>
      </c>
      <c r="R942" s="89">
        <f t="shared" si="667"/>
        <v>5000</v>
      </c>
      <c r="S942">
        <f t="shared" si="668"/>
        <v>0.4166666666666714</v>
      </c>
      <c r="U942">
        <f>O941*AV941*'Real assumptions'!$B$33/12+AX942*'Real assumptions'!$B$34</f>
        <v>4.5929958489005678E-4</v>
      </c>
      <c r="V942">
        <f>IF(P942=0,0,IF(E942&lt;=$C$7,$AN$5*O941,0))*'Real assumptions'!$D$28</f>
        <v>0</v>
      </c>
      <c r="X942" s="94">
        <f t="shared" si="680"/>
        <v>0</v>
      </c>
      <c r="Y942">
        <f t="shared" si="669"/>
        <v>24</v>
      </c>
      <c r="Z942">
        <f t="shared" si="696"/>
        <v>21</v>
      </c>
      <c r="AA942">
        <f t="shared" si="670"/>
        <v>21.416666666666671</v>
      </c>
      <c r="AB942">
        <f t="shared" si="681"/>
        <v>50.505050505050505</v>
      </c>
      <c r="AC942">
        <f t="shared" si="708"/>
        <v>1081.6498316498319</v>
      </c>
      <c r="AD942">
        <f t="shared" si="682"/>
        <v>80.505050505050505</v>
      </c>
      <c r="AE942">
        <f t="shared" si="683"/>
        <v>86.207491582491599</v>
      </c>
      <c r="AF942" s="94">
        <f t="shared" si="684"/>
        <v>3832.1426767676767</v>
      </c>
      <c r="AG942">
        <f t="shared" si="697"/>
        <v>2.0792619445927663E-4</v>
      </c>
      <c r="AH942">
        <f t="shared" si="685"/>
        <v>6.4474653384709979E-2</v>
      </c>
      <c r="AI942">
        <f>HLOOKUP(AW942,'Real assumptions'!$A$21:$AK$24,2,TRUE)</f>
        <v>0</v>
      </c>
      <c r="AJ942" s="123">
        <f t="shared" si="709"/>
        <v>0</v>
      </c>
      <c r="AK942" s="122">
        <f>(1+HLOOKUP(YEAR(A942),'Real assumptions'!$A$21:$AK$24,2,TRUE)/100)^(1/12)-1</f>
        <v>0</v>
      </c>
      <c r="AL942">
        <f t="shared" si="698"/>
        <v>4.5929958489005678E-4</v>
      </c>
      <c r="AM942">
        <f>('Real assumptions'!$B$33/12)*O941*AV941</f>
        <v>4.4158167911014277E-4</v>
      </c>
      <c r="AN942">
        <f t="shared" si="686"/>
        <v>6.455167378350142E-2</v>
      </c>
      <c r="AO942">
        <f t="shared" si="710"/>
        <v>0</v>
      </c>
      <c r="AP942" s="121">
        <f t="shared" si="687"/>
        <v>0</v>
      </c>
      <c r="AQ942">
        <f t="shared" si="688"/>
        <v>0</v>
      </c>
      <c r="AR942">
        <v>0</v>
      </c>
      <c r="AS942">
        <f t="shared" si="671"/>
        <v>0</v>
      </c>
      <c r="AT942">
        <f t="shared" si="689"/>
        <v>0</v>
      </c>
      <c r="AU942">
        <f>IFERROR(HLOOKUP(B942,'Real assumptions'!$B$43:$AL$44,2,TRUE)*($W$3/$U$2),0)</f>
        <v>0</v>
      </c>
      <c r="AV942">
        <f>AV941*(1+'Real assumptions'!$B$35)^(1/12)</f>
        <v>2.6188762142210757</v>
      </c>
      <c r="AW942">
        <f t="shared" si="672"/>
        <v>2096</v>
      </c>
      <c r="AX942">
        <f t="shared" si="699"/>
        <v>6.4676917739767831E-2</v>
      </c>
      <c r="AY942">
        <f t="shared" si="700"/>
        <v>7.1039390231297412E-5</v>
      </c>
      <c r="AZ942">
        <f t="shared" si="673"/>
        <v>6.0893207485597275E-2</v>
      </c>
      <c r="BA942">
        <f t="shared" si="690"/>
        <v>2.0792619445927663E-4</v>
      </c>
      <c r="BB942">
        <f t="shared" si="691"/>
        <v>21.416666666666671</v>
      </c>
      <c r="BC942">
        <f t="shared" si="674"/>
        <v>12.850000000000001</v>
      </c>
      <c r="BD942">
        <f t="shared" si="692"/>
        <v>0</v>
      </c>
      <c r="BE942">
        <f t="shared" si="675"/>
        <v>24</v>
      </c>
      <c r="BF942">
        <f t="shared" si="701"/>
        <v>5000</v>
      </c>
      <c r="BU942"/>
      <c r="DW942" s="89"/>
      <c r="DX942" s="89"/>
      <c r="FD942"/>
      <c r="FE942"/>
    </row>
    <row r="943" spans="1:161" x14ac:dyDescent="0.25">
      <c r="A943" s="7">
        <f t="shared" si="693"/>
        <v>71802</v>
      </c>
      <c r="B943">
        <f t="shared" si="676"/>
        <v>932</v>
      </c>
      <c r="C943">
        <f t="shared" si="702"/>
        <v>77.583333333333329</v>
      </c>
      <c r="D943">
        <f t="shared" si="703"/>
        <v>0</v>
      </c>
      <c r="E943">
        <f t="shared" si="677"/>
        <v>129</v>
      </c>
      <c r="F943">
        <f>IF(C943&gt;=$T$2,0,VLOOKUP($E943,EKM_F05!$A$3:$C$128,2,TRUE))</f>
        <v>0</v>
      </c>
      <c r="G943">
        <f>F943*'Real assumptions'!$B$3</f>
        <v>0</v>
      </c>
      <c r="H943">
        <f t="shared" si="704"/>
        <v>0</v>
      </c>
      <c r="I943">
        <f t="shared" si="705"/>
        <v>0</v>
      </c>
      <c r="J943">
        <f>IF(B943&gt;$AJ$2,0,HLOOKUP(C943,'Real assumptions'!$B$5:$L$8,4,TRUE))</f>
        <v>3.7900000000000003E-2</v>
      </c>
      <c r="K943">
        <f t="shared" si="666"/>
        <v>1</v>
      </c>
      <c r="L943">
        <f t="shared" si="694"/>
        <v>8.3333333333333329E-2</v>
      </c>
      <c r="M943">
        <f t="shared" si="706"/>
        <v>3.2145624959929453E-3</v>
      </c>
      <c r="N943">
        <f t="shared" si="707"/>
        <v>5.4084051715801573E-8</v>
      </c>
      <c r="O943" s="8">
        <f t="shared" si="678"/>
        <v>1.6770616598285268E-5</v>
      </c>
      <c r="P943">
        <f t="shared" si="679"/>
        <v>4.0379281560002571E-4</v>
      </c>
      <c r="Q943">
        <f t="shared" si="695"/>
        <v>0</v>
      </c>
      <c r="R943" s="89">
        <f t="shared" si="667"/>
        <v>5000</v>
      </c>
      <c r="S943">
        <f t="shared" si="668"/>
        <v>0.3333333333333286</v>
      </c>
      <c r="U943">
        <f>O942*AV942*'Real assumptions'!$B$33/12+AX943*'Real assumptions'!$B$34</f>
        <v>4.5829997826077269E-4</v>
      </c>
      <c r="V943">
        <f>IF(P943=0,0,IF(E943&lt;=$C$7,$AN$5*O942,0))*'Real assumptions'!$D$28</f>
        <v>0</v>
      </c>
      <c r="X943" s="94">
        <f t="shared" si="680"/>
        <v>0</v>
      </c>
      <c r="Y943">
        <f t="shared" si="669"/>
        <v>24</v>
      </c>
      <c r="Z943">
        <f t="shared" si="696"/>
        <v>21</v>
      </c>
      <c r="AA943">
        <f t="shared" si="670"/>
        <v>21.333333333333329</v>
      </c>
      <c r="AB943">
        <f t="shared" si="681"/>
        <v>50.505050505050505</v>
      </c>
      <c r="AC943">
        <f t="shared" si="708"/>
        <v>1077.4410774410771</v>
      </c>
      <c r="AD943">
        <f t="shared" si="682"/>
        <v>80.505050505050505</v>
      </c>
      <c r="AE943">
        <f t="shared" si="683"/>
        <v>85.872053872053854</v>
      </c>
      <c r="AF943" s="94">
        <f t="shared" si="684"/>
        <v>3836.6868686868688</v>
      </c>
      <c r="AG943">
        <f t="shared" si="697"/>
        <v>2.0750357102339743E-4</v>
      </c>
      <c r="AH943">
        <f t="shared" si="685"/>
        <v>6.4343604482423128E-2</v>
      </c>
      <c r="AI943">
        <f>HLOOKUP(AW943,'Real assumptions'!$A$21:$AK$24,2,TRUE)</f>
        <v>0</v>
      </c>
      <c r="AJ943" s="123">
        <f t="shared" si="709"/>
        <v>0</v>
      </c>
      <c r="AK943" s="122">
        <f>(1+HLOOKUP(YEAR(A943),'Real assumptions'!$A$21:$AK$24,2,TRUE)/100)^(1/12)-1</f>
        <v>0</v>
      </c>
      <c r="AL943">
        <f t="shared" si="698"/>
        <v>4.5829997826077269E-4</v>
      </c>
      <c r="AM943">
        <f>('Real assumptions'!$B$33/12)*O942*AV942</f>
        <v>4.4061808343677679E-4</v>
      </c>
      <c r="AN943">
        <f t="shared" si="686"/>
        <v>6.4420146222049238E-2</v>
      </c>
      <c r="AO943">
        <f t="shared" si="710"/>
        <v>0</v>
      </c>
      <c r="AP943" s="121">
        <f t="shared" si="687"/>
        <v>0</v>
      </c>
      <c r="AQ943">
        <f t="shared" si="688"/>
        <v>0</v>
      </c>
      <c r="AR943">
        <v>0</v>
      </c>
      <c r="AS943">
        <f t="shared" si="671"/>
        <v>0</v>
      </c>
      <c r="AT943">
        <f t="shared" si="689"/>
        <v>0</v>
      </c>
      <c r="AU943">
        <f>IFERROR(HLOOKUP(B943,'Real assumptions'!$B$43:$AL$44,2,TRUE)*($W$3/$U$2),0)</f>
        <v>0</v>
      </c>
      <c r="AV943">
        <f>AV942*(1+'Real assumptions'!$B$35)^(1/12)</f>
        <v>2.6215887048229436</v>
      </c>
      <c r="AW943">
        <f t="shared" si="672"/>
        <v>2096</v>
      </c>
      <c r="AX943">
        <f t="shared" si="699"/>
        <v>6.4545464414381706E-2</v>
      </c>
      <c r="AY943">
        <f t="shared" si="700"/>
        <v>7.0811029671721674E-5</v>
      </c>
      <c r="AZ943">
        <f t="shared" si="673"/>
        <v>6.0631196751913127E-2</v>
      </c>
      <c r="BA943">
        <f t="shared" si="690"/>
        <v>2.0750357102339743E-4</v>
      </c>
      <c r="BB943">
        <f t="shared" si="691"/>
        <v>21.333333333333329</v>
      </c>
      <c r="BC943">
        <f t="shared" si="674"/>
        <v>12.799999999999997</v>
      </c>
      <c r="BD943">
        <f t="shared" si="692"/>
        <v>0</v>
      </c>
      <c r="BE943">
        <f t="shared" si="675"/>
        <v>24</v>
      </c>
      <c r="BF943">
        <f t="shared" si="701"/>
        <v>5000</v>
      </c>
      <c r="BU943"/>
      <c r="DW943" s="89"/>
      <c r="DX943" s="89"/>
      <c r="FD943"/>
      <c r="FE943"/>
    </row>
    <row r="944" spans="1:161" x14ac:dyDescent="0.25">
      <c r="A944" s="7">
        <f t="shared" si="693"/>
        <v>71833</v>
      </c>
      <c r="B944">
        <f t="shared" si="676"/>
        <v>933</v>
      </c>
      <c r="C944">
        <f t="shared" si="702"/>
        <v>77.666666666666671</v>
      </c>
      <c r="D944">
        <f t="shared" si="703"/>
        <v>0</v>
      </c>
      <c r="E944">
        <f t="shared" si="677"/>
        <v>129</v>
      </c>
      <c r="F944">
        <f>IF(C944&gt;=$T$2,0,VLOOKUP($E944,EKM_F05!$A$3:$C$128,2,TRUE))</f>
        <v>0</v>
      </c>
      <c r="G944">
        <f>F944*'Real assumptions'!$B$3</f>
        <v>0</v>
      </c>
      <c r="H944">
        <f t="shared" si="704"/>
        <v>0</v>
      </c>
      <c r="I944">
        <f t="shared" si="705"/>
        <v>0</v>
      </c>
      <c r="J944">
        <f>IF(B944&gt;$AJ$2,0,HLOOKUP(C944,'Real assumptions'!$B$5:$L$8,4,TRUE))</f>
        <v>3.7900000000000003E-2</v>
      </c>
      <c r="K944">
        <f t="shared" si="666"/>
        <v>1</v>
      </c>
      <c r="L944">
        <f t="shared" si="694"/>
        <v>8.3333333333333329E-2</v>
      </c>
      <c r="M944">
        <f t="shared" si="706"/>
        <v>3.2145624959929453E-3</v>
      </c>
      <c r="N944">
        <f t="shared" si="707"/>
        <v>5.3910195151524609E-8</v>
      </c>
      <c r="O944" s="8">
        <f t="shared" si="678"/>
        <v>1.6716706403133742E-5</v>
      </c>
      <c r="P944">
        <f t="shared" si="679"/>
        <v>4.0249479835884647E-4</v>
      </c>
      <c r="Q944">
        <f t="shared" si="695"/>
        <v>0</v>
      </c>
      <c r="R944" s="89">
        <f t="shared" si="667"/>
        <v>5000</v>
      </c>
      <c r="S944">
        <f t="shared" si="668"/>
        <v>0.25</v>
      </c>
      <c r="U944">
        <f>O943*AV943*'Real assumptions'!$B$33/12+AX944*'Real assumptions'!$B$34</f>
        <v>4.5730252277040187E-4</v>
      </c>
      <c r="V944">
        <f>IF(P944=0,0,IF(E944&lt;=$C$7,$AN$5*O943,0))*'Real assumptions'!$D$28</f>
        <v>0</v>
      </c>
      <c r="X944" s="94">
        <f t="shared" si="680"/>
        <v>0</v>
      </c>
      <c r="Y944">
        <f t="shared" si="669"/>
        <v>24</v>
      </c>
      <c r="Z944">
        <f t="shared" si="696"/>
        <v>21</v>
      </c>
      <c r="AA944">
        <f t="shared" si="670"/>
        <v>21.25</v>
      </c>
      <c r="AB944">
        <f t="shared" si="681"/>
        <v>50.505050505050505</v>
      </c>
      <c r="AC944">
        <f t="shared" si="708"/>
        <v>1073.2323232323233</v>
      </c>
      <c r="AD944">
        <f t="shared" si="682"/>
        <v>80.505050505050505</v>
      </c>
      <c r="AE944">
        <f t="shared" si="683"/>
        <v>85.536616161616152</v>
      </c>
      <c r="AF944" s="94">
        <f t="shared" si="684"/>
        <v>3841.2310606060605</v>
      </c>
      <c r="AG944">
        <f t="shared" si="697"/>
        <v>2.0708151609937059E-4</v>
      </c>
      <c r="AH944">
        <f t="shared" si="685"/>
        <v>6.4212731866749542E-2</v>
      </c>
      <c r="AI944">
        <f>HLOOKUP(AW944,'Real assumptions'!$A$21:$AK$24,2,TRUE)</f>
        <v>0</v>
      </c>
      <c r="AJ944" s="123">
        <f t="shared" si="709"/>
        <v>0</v>
      </c>
      <c r="AK944" s="122">
        <f>(1+HLOOKUP(YEAR(A944),'Real assumptions'!$A$21:$AK$24,2,TRUE)/100)^(1/12)-1</f>
        <v>0</v>
      </c>
      <c r="AL944">
        <f t="shared" si="698"/>
        <v>4.5730252277040187E-4</v>
      </c>
      <c r="AM944">
        <f>('Real assumptions'!$B$33/12)*O943*AV943</f>
        <v>4.3965659046980832E-4</v>
      </c>
      <c r="AN944">
        <f t="shared" si="686"/>
        <v>6.4288796758011565E-2</v>
      </c>
      <c r="AO944">
        <f t="shared" si="710"/>
        <v>0</v>
      </c>
      <c r="AP944" s="121">
        <f t="shared" si="687"/>
        <v>0</v>
      </c>
      <c r="AQ944">
        <f t="shared" si="688"/>
        <v>0</v>
      </c>
      <c r="AR944">
        <v>0</v>
      </c>
      <c r="AS944">
        <f t="shared" si="671"/>
        <v>0</v>
      </c>
      <c r="AT944">
        <f t="shared" si="689"/>
        <v>0</v>
      </c>
      <c r="AU944">
        <f>IFERROR(HLOOKUP(B944,'Real assumptions'!$B$43:$AL$44,2,TRUE)*($W$3/$U$2),0)</f>
        <v>0</v>
      </c>
      <c r="AV944">
        <f>AV943*(1+'Real assumptions'!$B$35)^(1/12)</f>
        <v>2.6243040048761421</v>
      </c>
      <c r="AW944">
        <f t="shared" si="672"/>
        <v>2096</v>
      </c>
      <c r="AX944">
        <f t="shared" si="699"/>
        <v>6.4414187885614566E-2</v>
      </c>
      <c r="AY944">
        <f t="shared" si="700"/>
        <v>7.0583403191436304E-5</v>
      </c>
      <c r="AZ944">
        <f t="shared" si="673"/>
        <v>6.0369307511402202E-2</v>
      </c>
      <c r="BA944">
        <f t="shared" si="690"/>
        <v>2.0708151609937059E-4</v>
      </c>
      <c r="BB944">
        <f t="shared" si="691"/>
        <v>21.25</v>
      </c>
      <c r="BC944">
        <f t="shared" si="674"/>
        <v>12.75</v>
      </c>
      <c r="BD944">
        <f t="shared" si="692"/>
        <v>0</v>
      </c>
      <c r="BE944">
        <f t="shared" si="675"/>
        <v>24</v>
      </c>
      <c r="BF944">
        <f t="shared" si="701"/>
        <v>5000</v>
      </c>
      <c r="BU944"/>
      <c r="DW944" s="89"/>
      <c r="DX944" s="89"/>
      <c r="FD944"/>
      <c r="FE944"/>
    </row>
    <row r="945" spans="1:161" x14ac:dyDescent="0.25">
      <c r="A945" s="7">
        <f t="shared" si="693"/>
        <v>71863</v>
      </c>
      <c r="B945">
        <f t="shared" si="676"/>
        <v>934</v>
      </c>
      <c r="C945">
        <f t="shared" si="702"/>
        <v>77.75</v>
      </c>
      <c r="D945">
        <f t="shared" si="703"/>
        <v>0</v>
      </c>
      <c r="E945">
        <f t="shared" si="677"/>
        <v>129</v>
      </c>
      <c r="F945">
        <f>IF(C945&gt;=$T$2,0,VLOOKUP($E945,EKM_F05!$A$3:$C$128,2,TRUE))</f>
        <v>0</v>
      </c>
      <c r="G945">
        <f>F945*'Real assumptions'!$B$3</f>
        <v>0</v>
      </c>
      <c r="H945">
        <f t="shared" si="704"/>
        <v>0</v>
      </c>
      <c r="I945">
        <f t="shared" si="705"/>
        <v>0</v>
      </c>
      <c r="J945">
        <f>IF(B945&gt;$AJ$2,0,HLOOKUP(C945,'Real assumptions'!$B$5:$L$8,4,TRUE))</f>
        <v>3.7900000000000003E-2</v>
      </c>
      <c r="K945">
        <f t="shared" si="666"/>
        <v>1</v>
      </c>
      <c r="L945">
        <f t="shared" si="694"/>
        <v>8.3333333333333329E-2</v>
      </c>
      <c r="M945">
        <f t="shared" si="706"/>
        <v>3.2145624959929453E-3</v>
      </c>
      <c r="N945">
        <f t="shared" si="707"/>
        <v>5.373689746003885E-8</v>
      </c>
      <c r="O945" s="8">
        <f t="shared" si="678"/>
        <v>1.6662969505673704E-5</v>
      </c>
      <c r="P945">
        <f t="shared" si="679"/>
        <v>4.0120095367520981E-4</v>
      </c>
      <c r="Q945">
        <f t="shared" si="695"/>
        <v>0</v>
      </c>
      <c r="R945" s="89">
        <f t="shared" si="667"/>
        <v>5000</v>
      </c>
      <c r="S945">
        <f t="shared" si="668"/>
        <v>0.1666666666666714</v>
      </c>
      <c r="U945">
        <f>O944*AV944*'Real assumptions'!$B$33/12+AX945*'Real assumptions'!$B$34</f>
        <v>4.5630721389126953E-4</v>
      </c>
      <c r="V945">
        <f>IF(P945=0,0,IF(E945&lt;=$C$7,$AN$5*O944,0))*'Real assumptions'!$D$28</f>
        <v>0</v>
      </c>
      <c r="X945" s="94">
        <f t="shared" si="680"/>
        <v>0</v>
      </c>
      <c r="Y945">
        <f t="shared" si="669"/>
        <v>24</v>
      </c>
      <c r="Z945">
        <f t="shared" si="696"/>
        <v>21</v>
      </c>
      <c r="AA945">
        <f t="shared" si="670"/>
        <v>21.166666666666671</v>
      </c>
      <c r="AB945">
        <f t="shared" si="681"/>
        <v>50.505050505050505</v>
      </c>
      <c r="AC945">
        <f t="shared" si="708"/>
        <v>1069.0235690235693</v>
      </c>
      <c r="AD945">
        <f t="shared" si="682"/>
        <v>80.505050505050505</v>
      </c>
      <c r="AE945">
        <f t="shared" si="683"/>
        <v>85.201178451178464</v>
      </c>
      <c r="AF945" s="94">
        <f t="shared" si="684"/>
        <v>3845.7752525252522</v>
      </c>
      <c r="AG945">
        <f t="shared" si="697"/>
        <v>2.066600303993045E-4</v>
      </c>
      <c r="AH945">
        <f t="shared" si="685"/>
        <v>6.4082035758502867E-2</v>
      </c>
      <c r="AI945">
        <f>HLOOKUP(AW945,'Real assumptions'!$A$21:$AK$24,2,TRUE)</f>
        <v>0</v>
      </c>
      <c r="AJ945" s="123">
        <f t="shared" si="709"/>
        <v>0</v>
      </c>
      <c r="AK945" s="122">
        <f>(1+HLOOKUP(YEAR(A945),'Real assumptions'!$A$21:$AK$24,2,TRUE)/100)^(1/12)-1</f>
        <v>0</v>
      </c>
      <c r="AL945">
        <f t="shared" si="698"/>
        <v>4.5630721389126953E-4</v>
      </c>
      <c r="AM945">
        <f>('Real assumptions'!$B$33/12)*O944*AV944</f>
        <v>4.386971956208253E-4</v>
      </c>
      <c r="AN945">
        <f t="shared" si="686"/>
        <v>6.4157625606533486E-2</v>
      </c>
      <c r="AO945">
        <f t="shared" si="710"/>
        <v>0</v>
      </c>
      <c r="AP945" s="121">
        <f t="shared" si="687"/>
        <v>0</v>
      </c>
      <c r="AQ945">
        <f t="shared" si="688"/>
        <v>0</v>
      </c>
      <c r="AR945">
        <v>0</v>
      </c>
      <c r="AS945">
        <f t="shared" si="671"/>
        <v>0</v>
      </c>
      <c r="AT945">
        <f t="shared" si="689"/>
        <v>0</v>
      </c>
      <c r="AU945">
        <f>IFERROR(HLOOKUP(B945,'Real assumptions'!$B$43:$AL$44,2,TRUE)*($W$3/$U$2),0)</f>
        <v>0</v>
      </c>
      <c r="AV945">
        <f>AV944*(1+'Real assumptions'!$B$35)^(1/12)</f>
        <v>2.6270221172905495</v>
      </c>
      <c r="AW945">
        <f t="shared" si="672"/>
        <v>2096</v>
      </c>
      <c r="AX945">
        <f t="shared" si="699"/>
        <v>6.4283088375180236E-2</v>
      </c>
      <c r="AY945">
        <f t="shared" si="700"/>
        <v>7.035650843069757E-5</v>
      </c>
      <c r="AZ945">
        <f t="shared" si="673"/>
        <v>6.0107541220786841E-2</v>
      </c>
      <c r="BA945">
        <f t="shared" si="690"/>
        <v>2.066600303993045E-4</v>
      </c>
      <c r="BB945">
        <f t="shared" si="691"/>
        <v>21.166666666666671</v>
      </c>
      <c r="BC945">
        <f t="shared" si="674"/>
        <v>12.700000000000003</v>
      </c>
      <c r="BD945">
        <f t="shared" si="692"/>
        <v>0</v>
      </c>
      <c r="BE945">
        <f t="shared" si="675"/>
        <v>24</v>
      </c>
      <c r="BF945">
        <f t="shared" si="701"/>
        <v>5000</v>
      </c>
      <c r="BU945"/>
      <c r="DW945" s="89"/>
      <c r="DX945" s="89"/>
      <c r="FD945"/>
      <c r="FE945"/>
    </row>
    <row r="946" spans="1:161" x14ac:dyDescent="0.25">
      <c r="A946" s="7">
        <f t="shared" si="693"/>
        <v>71894</v>
      </c>
      <c r="B946">
        <f t="shared" si="676"/>
        <v>935</v>
      </c>
      <c r="C946">
        <f t="shared" si="702"/>
        <v>77.833333333333329</v>
      </c>
      <c r="D946">
        <f t="shared" si="703"/>
        <v>0</v>
      </c>
      <c r="E946">
        <f t="shared" si="677"/>
        <v>129</v>
      </c>
      <c r="F946">
        <f>IF(C946&gt;=$T$2,0,VLOOKUP($E946,EKM_F05!$A$3:$C$128,2,TRUE))</f>
        <v>0</v>
      </c>
      <c r="G946">
        <f>F946*'Real assumptions'!$B$3</f>
        <v>0</v>
      </c>
      <c r="H946">
        <f t="shared" si="704"/>
        <v>0</v>
      </c>
      <c r="I946">
        <f t="shared" si="705"/>
        <v>0</v>
      </c>
      <c r="J946">
        <f>IF(B946&gt;$AJ$2,0,HLOOKUP(C946,'Real assumptions'!$B$5:$L$8,4,TRUE))</f>
        <v>3.7900000000000003E-2</v>
      </c>
      <c r="K946">
        <f t="shared" si="666"/>
        <v>1</v>
      </c>
      <c r="L946">
        <f t="shared" si="694"/>
        <v>8.3333333333333329E-2</v>
      </c>
      <c r="M946">
        <f t="shared" si="706"/>
        <v>3.2145624959929453E-3</v>
      </c>
      <c r="N946">
        <f t="shared" si="707"/>
        <v>5.3564156844812794E-8</v>
      </c>
      <c r="O946" s="8">
        <f t="shared" si="678"/>
        <v>1.660940534882889E-5</v>
      </c>
      <c r="P946">
        <f t="shared" si="679"/>
        <v>3.9991126813616889E-4</v>
      </c>
      <c r="Q946">
        <f t="shared" si="695"/>
        <v>0</v>
      </c>
      <c r="R946" s="89">
        <f t="shared" si="667"/>
        <v>5000</v>
      </c>
      <c r="S946">
        <f t="shared" si="668"/>
        <v>8.3333333333328596E-2</v>
      </c>
      <c r="U946">
        <f>O945*AV945*'Real assumptions'!$B$33/12+AX946*'Real assumptions'!$B$34</f>
        <v>4.5531404710482239E-4</v>
      </c>
      <c r="V946">
        <f>IF(P946=0,0,IF(E946&lt;=$C$7,$AN$5*O945,0))*'Real assumptions'!$D$28</f>
        <v>0</v>
      </c>
      <c r="X946" s="94">
        <f t="shared" si="680"/>
        <v>0</v>
      </c>
      <c r="Y946">
        <f t="shared" si="669"/>
        <v>24</v>
      </c>
      <c r="Z946">
        <f t="shared" si="696"/>
        <v>21</v>
      </c>
      <c r="AA946">
        <f t="shared" si="670"/>
        <v>21.083333333333329</v>
      </c>
      <c r="AB946">
        <f t="shared" si="681"/>
        <v>50.505050505050505</v>
      </c>
      <c r="AC946">
        <f t="shared" si="708"/>
        <v>1064.8148148148146</v>
      </c>
      <c r="AD946">
        <f t="shared" si="682"/>
        <v>80.505050505050505</v>
      </c>
      <c r="AE946">
        <f t="shared" si="683"/>
        <v>84.865740740740719</v>
      </c>
      <c r="AF946" s="94">
        <f t="shared" si="684"/>
        <v>3850.3194444444443</v>
      </c>
      <c r="AG946">
        <f t="shared" si="697"/>
        <v>2.0623911462485468E-4</v>
      </c>
      <c r="AH946">
        <f t="shared" si="685"/>
        <v>6.3951516375255438E-2</v>
      </c>
      <c r="AI946">
        <f>HLOOKUP(AW946,'Real assumptions'!$A$21:$AK$24,2,TRUE)</f>
        <v>0</v>
      </c>
      <c r="AJ946" s="123">
        <f t="shared" si="709"/>
        <v>0</v>
      </c>
      <c r="AK946" s="122">
        <f>(1+HLOOKUP(YEAR(A946),'Real assumptions'!$A$21:$AK$24,2,TRUE)/100)^(1/12)-1</f>
        <v>0</v>
      </c>
      <c r="AL946">
        <f t="shared" si="698"/>
        <v>4.5531404710482239E-4</v>
      </c>
      <c r="AM946">
        <f>('Real assumptions'!$B$33/12)*O945*AV945</f>
        <v>4.3773989431142795E-4</v>
      </c>
      <c r="AN946">
        <f t="shared" si="686"/>
        <v>6.4026632979534218E-2</v>
      </c>
      <c r="AO946">
        <f t="shared" si="710"/>
        <v>0</v>
      </c>
      <c r="AP946" s="121">
        <f t="shared" si="687"/>
        <v>0</v>
      </c>
      <c r="AQ946">
        <f t="shared" si="688"/>
        <v>0</v>
      </c>
      <c r="AR946">
        <v>0</v>
      </c>
      <c r="AS946">
        <f t="shared" si="671"/>
        <v>0</v>
      </c>
      <c r="AT946">
        <f t="shared" si="689"/>
        <v>0</v>
      </c>
      <c r="AU946">
        <f>IFERROR(HLOOKUP(B946,'Real assumptions'!$B$43:$AL$44,2,TRUE)*($W$3/$U$2),0)</f>
        <v>0</v>
      </c>
      <c r="AV946">
        <f>AV945*(1+'Real assumptions'!$B$35)^(1/12)</f>
        <v>2.6297430449790578</v>
      </c>
      <c r="AW946">
        <f t="shared" si="672"/>
        <v>2096</v>
      </c>
      <c r="AX946">
        <f t="shared" si="699"/>
        <v>6.4152166101540217E-2</v>
      </c>
      <c r="AY946">
        <f t="shared" si="700"/>
        <v>7.0130343037347234E-5</v>
      </c>
      <c r="AZ946">
        <f t="shared" si="673"/>
        <v>5.9845899327193329E-2</v>
      </c>
      <c r="BA946">
        <f t="shared" si="690"/>
        <v>2.0623911462485468E-4</v>
      </c>
      <c r="BB946">
        <f t="shared" si="691"/>
        <v>21.083333333333329</v>
      </c>
      <c r="BC946">
        <f t="shared" si="674"/>
        <v>12.649999999999997</v>
      </c>
      <c r="BD946">
        <f t="shared" si="692"/>
        <v>0</v>
      </c>
      <c r="BE946">
        <f t="shared" si="675"/>
        <v>24</v>
      </c>
      <c r="BF946">
        <f t="shared" si="701"/>
        <v>5000</v>
      </c>
      <c r="BU946"/>
      <c r="DW946" s="89"/>
      <c r="DX946" s="89"/>
      <c r="FD946"/>
      <c r="FE946"/>
    </row>
    <row r="947" spans="1:161" x14ac:dyDescent="0.25">
      <c r="A947" s="7">
        <f t="shared" si="693"/>
        <v>71924</v>
      </c>
      <c r="B947">
        <f t="shared" si="676"/>
        <v>936</v>
      </c>
      <c r="C947">
        <f t="shared" si="702"/>
        <v>77.916666666666671</v>
      </c>
      <c r="D947">
        <f t="shared" si="703"/>
        <v>0</v>
      </c>
      <c r="E947">
        <f t="shared" si="677"/>
        <v>129</v>
      </c>
      <c r="F947">
        <f>IF(C947&gt;=$T$2,0,VLOOKUP($E947,EKM_F05!$A$3:$C$128,2,TRUE))</f>
        <v>0</v>
      </c>
      <c r="G947">
        <f>F947*'Real assumptions'!$B$3</f>
        <v>0</v>
      </c>
      <c r="H947">
        <f t="shared" si="704"/>
        <v>0</v>
      </c>
      <c r="I947">
        <f t="shared" si="705"/>
        <v>0</v>
      </c>
      <c r="J947">
        <f>IF(B947&gt;$AJ$2,0,HLOOKUP(C947,'Real assumptions'!$B$5:$L$8,4,TRUE))</f>
        <v>3.7900000000000003E-2</v>
      </c>
      <c r="K947">
        <f t="shared" si="666"/>
        <v>1</v>
      </c>
      <c r="L947">
        <f t="shared" si="694"/>
        <v>8.3333333333333329E-2</v>
      </c>
      <c r="M947">
        <f t="shared" si="706"/>
        <v>3.2145624959929453E-3</v>
      </c>
      <c r="N947">
        <f t="shared" si="707"/>
        <v>5.3391971515089973E-8</v>
      </c>
      <c r="O947" s="8">
        <f t="shared" si="678"/>
        <v>1.6556013377313802E-5</v>
      </c>
      <c r="P947">
        <f t="shared" si="679"/>
        <v>3.986257283718934E-4</v>
      </c>
      <c r="Q947">
        <f t="shared" si="695"/>
        <v>0</v>
      </c>
      <c r="R947" s="89">
        <f t="shared" si="667"/>
        <v>5000</v>
      </c>
      <c r="S947">
        <f t="shared" si="668"/>
        <v>1</v>
      </c>
      <c r="U947">
        <f>O946*AV946*'Real assumptions'!$B$33/12+AX947*'Real assumptions'!$B$34</f>
        <v>4.5432301790161202E-4</v>
      </c>
      <c r="V947">
        <f>IF(P947=0,0,IF(E947&lt;=$C$7,$AN$5*O946,0))*'Real assumptions'!$D$28</f>
        <v>0</v>
      </c>
      <c r="X947" s="94">
        <f t="shared" si="680"/>
        <v>0</v>
      </c>
      <c r="Y947">
        <f t="shared" si="669"/>
        <v>24</v>
      </c>
      <c r="Z947">
        <f t="shared" si="696"/>
        <v>21</v>
      </c>
      <c r="AA947">
        <f t="shared" si="670"/>
        <v>21</v>
      </c>
      <c r="AB947">
        <f t="shared" si="681"/>
        <v>50.505050505050505</v>
      </c>
      <c r="AC947">
        <f t="shared" si="708"/>
        <v>1060.6060606060605</v>
      </c>
      <c r="AD947">
        <f t="shared" si="682"/>
        <v>80.505050505050505</v>
      </c>
      <c r="AE947">
        <f t="shared" si="683"/>
        <v>84.530303030303031</v>
      </c>
      <c r="AF947" s="94">
        <f t="shared" si="684"/>
        <v>3854.8636363636365</v>
      </c>
      <c r="AG947">
        <f t="shared" si="697"/>
        <v>2.0581876946728343E-4</v>
      </c>
      <c r="AH947">
        <f t="shared" si="685"/>
        <v>6.3821173931356889E-2</v>
      </c>
      <c r="AI947">
        <f>HLOOKUP(AW947,'Real assumptions'!$A$21:$AK$24,2,TRUE)</f>
        <v>0</v>
      </c>
      <c r="AJ947" s="123">
        <f t="shared" si="709"/>
        <v>0</v>
      </c>
      <c r="AK947" s="122">
        <f>(1+HLOOKUP(YEAR(A947),'Real assumptions'!$A$21:$AK$24,2,TRUE)/100)^(1/12)-1</f>
        <v>0</v>
      </c>
      <c r="AL947">
        <f t="shared" si="698"/>
        <v>4.5432301790161202E-4</v>
      </c>
      <c r="AM947">
        <f>('Real assumptions'!$B$33/12)*O946*AV946</f>
        <v>4.3678468197320736E-4</v>
      </c>
      <c r="AN947">
        <f t="shared" si="686"/>
        <v>6.3895819085725711E-2</v>
      </c>
      <c r="AO947">
        <f t="shared" si="710"/>
        <v>0</v>
      </c>
      <c r="AP947" s="121">
        <f t="shared" si="687"/>
        <v>0</v>
      </c>
      <c r="AQ947">
        <f t="shared" si="688"/>
        <v>0</v>
      </c>
      <c r="AR947">
        <v>0</v>
      </c>
      <c r="AS947">
        <f t="shared" si="671"/>
        <v>0</v>
      </c>
      <c r="AT947">
        <f t="shared" si="689"/>
        <v>0</v>
      </c>
      <c r="AU947">
        <f>IFERROR(HLOOKUP(B947,'Real assumptions'!$B$43:$AL$44,2,TRUE)*($W$3/$U$2),0)</f>
        <v>0</v>
      </c>
      <c r="AV947">
        <f>AV946*(1+'Real assumptions'!$B$35)^(1/12)</f>
        <v>2.6324667908575754</v>
      </c>
      <c r="AW947">
        <f t="shared" si="672"/>
        <v>2096</v>
      </c>
      <c r="AX947">
        <f t="shared" si="699"/>
        <v>6.4021421279922219E-2</v>
      </c>
      <c r="AY947">
        <f t="shared" si="700"/>
        <v>6.9904904666788259E-5</v>
      </c>
      <c r="AZ947">
        <f t="shared" si="673"/>
        <v>5.9584383268196324E-2</v>
      </c>
      <c r="BA947">
        <f t="shared" si="690"/>
        <v>2.0581876946728343E-4</v>
      </c>
      <c r="BB947">
        <f t="shared" si="691"/>
        <v>21</v>
      </c>
      <c r="BC947">
        <f t="shared" si="674"/>
        <v>12.6</v>
      </c>
      <c r="BD947">
        <f t="shared" si="692"/>
        <v>0</v>
      </c>
      <c r="BE947">
        <f t="shared" si="675"/>
        <v>24</v>
      </c>
      <c r="BF947">
        <f t="shared" si="701"/>
        <v>5000</v>
      </c>
      <c r="BU947"/>
      <c r="DW947" s="89"/>
      <c r="DX947" s="89"/>
      <c r="FD947"/>
      <c r="FE947"/>
    </row>
    <row r="948" spans="1:161" x14ac:dyDescent="0.25">
      <c r="A948" s="7">
        <f t="shared" si="693"/>
        <v>71955</v>
      </c>
      <c r="B948">
        <f t="shared" si="676"/>
        <v>937</v>
      </c>
      <c r="C948">
        <f t="shared" si="702"/>
        <v>78</v>
      </c>
      <c r="D948">
        <f t="shared" si="703"/>
        <v>1</v>
      </c>
      <c r="E948">
        <f t="shared" si="677"/>
        <v>130</v>
      </c>
      <c r="F948">
        <f>IF(C948&gt;=$T$2,0,VLOOKUP($E948,EKM_F05!$A$3:$C$128,2,TRUE))</f>
        <v>0</v>
      </c>
      <c r="G948">
        <f>F948*'Real assumptions'!$B$3</f>
        <v>0</v>
      </c>
      <c r="H948">
        <f t="shared" si="704"/>
        <v>0</v>
      </c>
      <c r="I948">
        <f t="shared" si="705"/>
        <v>0</v>
      </c>
      <c r="J948">
        <f>IF(B948&gt;$AJ$2,0,HLOOKUP(C948,'Real assumptions'!$B$5:$L$8,4,TRUE))</f>
        <v>3.7900000000000003E-2</v>
      </c>
      <c r="K948">
        <f t="shared" si="666"/>
        <v>1</v>
      </c>
      <c r="L948">
        <f t="shared" si="694"/>
        <v>8.3333333333333329E-2</v>
      </c>
      <c r="M948">
        <f t="shared" si="706"/>
        <v>3.2145624959929453E-3</v>
      </c>
      <c r="N948">
        <f t="shared" si="707"/>
        <v>5.3220339685870445E-8</v>
      </c>
      <c r="O948" s="8">
        <f t="shared" si="678"/>
        <v>1.6502793037627932E-5</v>
      </c>
      <c r="P948">
        <f t="shared" si="679"/>
        <v>3.9734432105553122E-4</v>
      </c>
      <c r="Q948">
        <f t="shared" si="695"/>
        <v>0</v>
      </c>
      <c r="R948" s="89">
        <f t="shared" si="667"/>
        <v>5000</v>
      </c>
      <c r="S948">
        <f t="shared" si="668"/>
        <v>0.9166666666666714</v>
      </c>
      <c r="U948">
        <f>O947*AV947*'Real assumptions'!$B$33/12+AX948*'Real assumptions'!$B$34</f>
        <v>4.5333412178127827E-4</v>
      </c>
      <c r="V948">
        <f>IF(P948=0,0,IF(E948&lt;=$C$7,$AN$5*O947,0))*'Real assumptions'!$D$28</f>
        <v>0</v>
      </c>
      <c r="X948" s="94">
        <f t="shared" si="680"/>
        <v>0</v>
      </c>
      <c r="Y948">
        <f t="shared" si="669"/>
        <v>24</v>
      </c>
      <c r="Z948">
        <f t="shared" si="696"/>
        <v>21</v>
      </c>
      <c r="AA948">
        <f t="shared" si="670"/>
        <v>20.916666666666671</v>
      </c>
      <c r="AB948">
        <f t="shared" si="681"/>
        <v>50.505050505050505</v>
      </c>
      <c r="AC948">
        <f t="shared" si="708"/>
        <v>1056.3973063973067</v>
      </c>
      <c r="AD948">
        <f t="shared" si="682"/>
        <v>80.505050505050505</v>
      </c>
      <c r="AE948">
        <f t="shared" si="683"/>
        <v>84.194865319865329</v>
      </c>
      <c r="AF948" s="94">
        <f t="shared" si="684"/>
        <v>3859.4078282828282</v>
      </c>
      <c r="AG948">
        <f t="shared" si="697"/>
        <v>2.0539899560751966E-4</v>
      </c>
      <c r="AH948">
        <f t="shared" si="685"/>
        <v>6.3691008637952601E-2</v>
      </c>
      <c r="AI948">
        <f>HLOOKUP(AW948,'Real assumptions'!$A$21:$AK$24,2,TRUE)</f>
        <v>0</v>
      </c>
      <c r="AJ948" s="123">
        <f t="shared" si="709"/>
        <v>0</v>
      </c>
      <c r="AK948" s="122">
        <f>(1+HLOOKUP(YEAR(A948),'Real assumptions'!$A$21:$AK$24,2,TRUE)/100)^(1/12)-1</f>
        <v>0</v>
      </c>
      <c r="AL948">
        <f t="shared" si="698"/>
        <v>4.5333412178127827E-4</v>
      </c>
      <c r="AM948">
        <f>('Real assumptions'!$B$33/12)*O947*AV947</f>
        <v>4.3583155404772358E-4</v>
      </c>
      <c r="AN948">
        <f t="shared" si="686"/>
        <v>6.3765184130631147E-2</v>
      </c>
      <c r="AO948">
        <f t="shared" si="710"/>
        <v>0</v>
      </c>
      <c r="AP948" s="121">
        <f t="shared" si="687"/>
        <v>0</v>
      </c>
      <c r="AQ948">
        <f t="shared" si="688"/>
        <v>0</v>
      </c>
      <c r="AR948">
        <v>0</v>
      </c>
      <c r="AS948">
        <f t="shared" si="671"/>
        <v>0</v>
      </c>
      <c r="AT948">
        <f t="shared" si="689"/>
        <v>0</v>
      </c>
      <c r="AU948">
        <f>IFERROR(HLOOKUP(B948,'Real assumptions'!$B$43:$AL$44,2,TRUE)*($W$3/$U$2),0)</f>
        <v>0</v>
      </c>
      <c r="AV948">
        <f>AV947*(1+'Real assumptions'!$B$35)^(1/12)</f>
        <v>2.6351933578450319</v>
      </c>
      <c r="AW948">
        <f t="shared" si="672"/>
        <v>2096</v>
      </c>
      <c r="AX948">
        <f t="shared" si="699"/>
        <v>6.3890854122338844E-2</v>
      </c>
      <c r="AY948">
        <f t="shared" si="700"/>
        <v>6.9680190981960441E-5</v>
      </c>
      <c r="AZ948">
        <f t="shared" si="673"/>
        <v>5.9322994471863053E-2</v>
      </c>
      <c r="BA948">
        <f t="shared" si="690"/>
        <v>2.0539899560751966E-4</v>
      </c>
      <c r="BB948">
        <f t="shared" si="691"/>
        <v>20.916666666666671</v>
      </c>
      <c r="BC948">
        <f t="shared" si="674"/>
        <v>12.550000000000002</v>
      </c>
      <c r="BD948">
        <f t="shared" si="692"/>
        <v>0</v>
      </c>
      <c r="BE948">
        <f t="shared" si="675"/>
        <v>24</v>
      </c>
      <c r="BF948">
        <f t="shared" si="701"/>
        <v>5000</v>
      </c>
      <c r="BU948"/>
      <c r="DW948" s="89"/>
      <c r="DX948" s="89"/>
      <c r="FD948"/>
      <c r="FE948"/>
    </row>
    <row r="949" spans="1:161" x14ac:dyDescent="0.25">
      <c r="A949" s="7">
        <f t="shared" si="693"/>
        <v>71986</v>
      </c>
      <c r="B949">
        <f t="shared" si="676"/>
        <v>938</v>
      </c>
      <c r="C949">
        <f t="shared" si="702"/>
        <v>78.083333333333329</v>
      </c>
      <c r="D949">
        <f t="shared" si="703"/>
        <v>0</v>
      </c>
      <c r="E949">
        <f t="shared" si="677"/>
        <v>130</v>
      </c>
      <c r="F949">
        <f>IF(C949&gt;=$T$2,0,VLOOKUP($E949,EKM_F05!$A$3:$C$128,2,TRUE))</f>
        <v>0</v>
      </c>
      <c r="G949">
        <f>F949*'Real assumptions'!$B$3</f>
        <v>0</v>
      </c>
      <c r="H949">
        <f t="shared" si="704"/>
        <v>0</v>
      </c>
      <c r="I949">
        <f t="shared" si="705"/>
        <v>0</v>
      </c>
      <c r="J949">
        <f>IF(B949&gt;$AJ$2,0,HLOOKUP(C949,'Real assumptions'!$B$5:$L$8,4,TRUE))</f>
        <v>3.7900000000000003E-2</v>
      </c>
      <c r="K949">
        <f t="shared" si="666"/>
        <v>1</v>
      </c>
      <c r="L949">
        <f t="shared" si="694"/>
        <v>8.3333333333333329E-2</v>
      </c>
      <c r="M949">
        <f t="shared" si="706"/>
        <v>3.2145624959929453E-3</v>
      </c>
      <c r="N949">
        <f t="shared" si="707"/>
        <v>5.3049259577892246E-8</v>
      </c>
      <c r="O949" s="8">
        <f t="shared" si="678"/>
        <v>1.6449743778050039E-5</v>
      </c>
      <c r="P949">
        <f t="shared" si="679"/>
        <v>3.9606703290307041E-4</v>
      </c>
      <c r="Q949">
        <f t="shared" si="695"/>
        <v>0</v>
      </c>
      <c r="R949" s="89">
        <f t="shared" si="667"/>
        <v>5000</v>
      </c>
      <c r="S949">
        <f t="shared" si="668"/>
        <v>0.8333333333333286</v>
      </c>
      <c r="U949">
        <f>O948*AV948*'Real assumptions'!$B$33/12+AX949*'Real assumptions'!$B$34</f>
        <v>4.5234735425253217E-4</v>
      </c>
      <c r="V949">
        <f>IF(P949=0,0,IF(E949&lt;=$C$7,$AN$5*O948,0))*'Real assumptions'!$D$28</f>
        <v>0</v>
      </c>
      <c r="X949" s="94">
        <f t="shared" si="680"/>
        <v>0</v>
      </c>
      <c r="Y949">
        <f t="shared" si="669"/>
        <v>24</v>
      </c>
      <c r="Z949">
        <f t="shared" si="696"/>
        <v>20</v>
      </c>
      <c r="AA949">
        <f t="shared" si="670"/>
        <v>20.833333333333329</v>
      </c>
      <c r="AB949">
        <f t="shared" si="681"/>
        <v>50.505050505050505</v>
      </c>
      <c r="AC949">
        <f t="shared" si="708"/>
        <v>1052.188552188552</v>
      </c>
      <c r="AD949">
        <f t="shared" si="682"/>
        <v>80.505050505050505</v>
      </c>
      <c r="AE949">
        <f t="shared" si="683"/>
        <v>83.859427609427584</v>
      </c>
      <c r="AF949" s="94">
        <f t="shared" si="684"/>
        <v>3863.9520202020203</v>
      </c>
      <c r="AG949">
        <f t="shared" si="697"/>
        <v>2.0497979371621812E-4</v>
      </c>
      <c r="AH949">
        <f t="shared" si="685"/>
        <v>6.3561020703002055E-2</v>
      </c>
      <c r="AI949">
        <f>HLOOKUP(AW949,'Real assumptions'!$A$21:$AK$24,2,TRUE)</f>
        <v>0</v>
      </c>
      <c r="AJ949" s="123">
        <f t="shared" si="709"/>
        <v>0</v>
      </c>
      <c r="AK949" s="122">
        <f>(1+HLOOKUP(YEAR(A949),'Real assumptions'!$A$21:$AK$24,2,TRUE)/100)^(1/12)-1</f>
        <v>0</v>
      </c>
      <c r="AL949">
        <f t="shared" si="698"/>
        <v>4.5234735425253217E-4</v>
      </c>
      <c r="AM949">
        <f>('Real assumptions'!$B$33/12)*O948*AV948</f>
        <v>4.3488050598648363E-4</v>
      </c>
      <c r="AN949">
        <f t="shared" si="686"/>
        <v>6.3634728316603134E-2</v>
      </c>
      <c r="AO949">
        <f t="shared" si="710"/>
        <v>0</v>
      </c>
      <c r="AP949" s="121">
        <f t="shared" si="687"/>
        <v>0</v>
      </c>
      <c r="AQ949">
        <f t="shared" si="688"/>
        <v>0</v>
      </c>
      <c r="AR949">
        <v>0</v>
      </c>
      <c r="AS949">
        <f t="shared" si="671"/>
        <v>0</v>
      </c>
      <c r="AT949">
        <f t="shared" si="689"/>
        <v>0</v>
      </c>
      <c r="AU949">
        <f>IFERROR(HLOOKUP(B949,'Real assumptions'!$B$43:$AL$44,2,TRUE)*($W$3/$U$2),0)</f>
        <v>0</v>
      </c>
      <c r="AV949">
        <f>AV948*(1+'Real assumptions'!$B$35)^(1/12)</f>
        <v>2.6379227488633794</v>
      </c>
      <c r="AW949">
        <f t="shared" si="672"/>
        <v>2097</v>
      </c>
      <c r="AX949">
        <f t="shared" si="699"/>
        <v>6.3760464837605918E-2</v>
      </c>
      <c r="AY949">
        <f t="shared" si="700"/>
        <v>6.9456199653316212E-5</v>
      </c>
      <c r="AZ949">
        <f t="shared" si="673"/>
        <v>5.9061734356797374E-2</v>
      </c>
      <c r="BA949">
        <f t="shared" si="690"/>
        <v>2.0497979371621812E-4</v>
      </c>
      <c r="BB949">
        <f t="shared" si="691"/>
        <v>20.833333333333329</v>
      </c>
      <c r="BC949">
        <f t="shared" si="674"/>
        <v>12.499999999999996</v>
      </c>
      <c r="BD949">
        <f t="shared" si="692"/>
        <v>0</v>
      </c>
      <c r="BE949">
        <f t="shared" si="675"/>
        <v>24</v>
      </c>
      <c r="BF949">
        <f t="shared" si="701"/>
        <v>5000</v>
      </c>
      <c r="BU949"/>
      <c r="DW949" s="89"/>
      <c r="DX949" s="89"/>
      <c r="FD949"/>
      <c r="FE949"/>
    </row>
    <row r="950" spans="1:161" x14ac:dyDescent="0.25">
      <c r="A950" s="7">
        <f t="shared" si="693"/>
        <v>72014</v>
      </c>
      <c r="B950">
        <f t="shared" si="676"/>
        <v>939</v>
      </c>
      <c r="C950">
        <f t="shared" si="702"/>
        <v>78.166666666666671</v>
      </c>
      <c r="D950">
        <f t="shared" si="703"/>
        <v>0</v>
      </c>
      <c r="E950">
        <f t="shared" si="677"/>
        <v>130</v>
      </c>
      <c r="F950">
        <f>IF(C950&gt;=$T$2,0,VLOOKUP($E950,EKM_F05!$A$3:$C$128,2,TRUE))</f>
        <v>0</v>
      </c>
      <c r="G950">
        <f>F950*'Real assumptions'!$B$3</f>
        <v>0</v>
      </c>
      <c r="H950">
        <f t="shared" si="704"/>
        <v>0</v>
      </c>
      <c r="I950">
        <f t="shared" si="705"/>
        <v>0</v>
      </c>
      <c r="J950">
        <f>IF(B950&gt;$AJ$2,0,HLOOKUP(C950,'Real assumptions'!$B$5:$L$8,4,TRUE))</f>
        <v>3.7900000000000003E-2</v>
      </c>
      <c r="K950">
        <f t="shared" si="666"/>
        <v>1</v>
      </c>
      <c r="L950">
        <f t="shared" si="694"/>
        <v>8.3333333333333329E-2</v>
      </c>
      <c r="M950">
        <f t="shared" si="706"/>
        <v>3.2145624959929453E-3</v>
      </c>
      <c r="N950">
        <f t="shared" si="707"/>
        <v>5.2878729417612955E-8</v>
      </c>
      <c r="O950" s="8">
        <f t="shared" si="678"/>
        <v>1.6396865048632427E-5</v>
      </c>
      <c r="P950">
        <f t="shared" si="679"/>
        <v>3.9479385067320093E-4</v>
      </c>
      <c r="Q950">
        <f t="shared" si="695"/>
        <v>0</v>
      </c>
      <c r="R950" s="89">
        <f t="shared" si="667"/>
        <v>5000</v>
      </c>
      <c r="S950">
        <f t="shared" si="668"/>
        <v>0.75</v>
      </c>
      <c r="U950">
        <f>O949*AV949*'Real assumptions'!$B$33/12+AX950*'Real assumptions'!$B$34</f>
        <v>4.513627108331396E-4</v>
      </c>
      <c r="V950">
        <f>IF(P950=0,0,IF(E950&lt;=$C$7,$AN$5*O949,0))*'Real assumptions'!$D$28</f>
        <v>0</v>
      </c>
      <c r="X950" s="94">
        <f t="shared" si="680"/>
        <v>0</v>
      </c>
      <c r="Y950">
        <f t="shared" si="669"/>
        <v>24</v>
      </c>
      <c r="Z950">
        <f t="shared" si="696"/>
        <v>20</v>
      </c>
      <c r="AA950">
        <f t="shared" si="670"/>
        <v>20.75</v>
      </c>
      <c r="AB950">
        <f t="shared" si="681"/>
        <v>50.505050505050505</v>
      </c>
      <c r="AC950">
        <f t="shared" si="708"/>
        <v>1047.9797979797979</v>
      </c>
      <c r="AD950">
        <f t="shared" si="682"/>
        <v>80.505050505050505</v>
      </c>
      <c r="AE950">
        <f t="shared" si="683"/>
        <v>83.523989898989896</v>
      </c>
      <c r="AF950" s="94">
        <f t="shared" si="684"/>
        <v>3868.4962121212125</v>
      </c>
      <c r="AG950">
        <f t="shared" si="697"/>
        <v>2.0456116445381823E-4</v>
      </c>
      <c r="AH950">
        <f t="shared" si="685"/>
        <v>6.3431210331297241E-2</v>
      </c>
      <c r="AI950">
        <f>HLOOKUP(AW950,'Real assumptions'!$A$21:$AK$24,2,TRUE)</f>
        <v>0</v>
      </c>
      <c r="AJ950" s="123">
        <f t="shared" si="709"/>
        <v>0</v>
      </c>
      <c r="AK950" s="122">
        <f>(1+HLOOKUP(YEAR(A950),'Real assumptions'!$A$21:$AK$24,2,TRUE)/100)^(1/12)-1</f>
        <v>0</v>
      </c>
      <c r="AL950">
        <f t="shared" si="698"/>
        <v>4.513627108331396E-4</v>
      </c>
      <c r="AM950">
        <f>('Real assumptions'!$B$33/12)*O949*AV949</f>
        <v>4.3393153325092028E-4</v>
      </c>
      <c r="AN950">
        <f t="shared" si="686"/>
        <v>6.3504451842842119E-2</v>
      </c>
      <c r="AO950">
        <f t="shared" si="710"/>
        <v>0</v>
      </c>
      <c r="AP950" s="121">
        <f t="shared" si="687"/>
        <v>0</v>
      </c>
      <c r="AQ950">
        <f t="shared" si="688"/>
        <v>0</v>
      </c>
      <c r="AR950">
        <v>0</v>
      </c>
      <c r="AS950">
        <f t="shared" si="671"/>
        <v>0</v>
      </c>
      <c r="AT950">
        <f t="shared" si="689"/>
        <v>0</v>
      </c>
      <c r="AU950">
        <f>IFERROR(HLOOKUP(B950,'Real assumptions'!$B$43:$AL$44,2,TRUE)*($W$3/$U$2),0)</f>
        <v>0</v>
      </c>
      <c r="AV950">
        <f>AV949*(1+'Real assumptions'!$B$35)^(1/12)</f>
        <v>2.6406549668375967</v>
      </c>
      <c r="AW950">
        <f t="shared" si="672"/>
        <v>2097</v>
      </c>
      <c r="AX950">
        <f t="shared" si="699"/>
        <v>6.363025363136085E-2</v>
      </c>
      <c r="AY950">
        <f t="shared" si="700"/>
        <v>6.9232928358796457E-5</v>
      </c>
      <c r="AZ950">
        <f t="shared" si="673"/>
        <v>5.880060433218362E-2</v>
      </c>
      <c r="BA950">
        <f t="shared" si="690"/>
        <v>2.0456116445381823E-4</v>
      </c>
      <c r="BB950">
        <f t="shared" si="691"/>
        <v>20.75</v>
      </c>
      <c r="BC950">
        <f t="shared" si="674"/>
        <v>12.45</v>
      </c>
      <c r="BD950">
        <f t="shared" si="692"/>
        <v>0</v>
      </c>
      <c r="BE950">
        <f t="shared" si="675"/>
        <v>24</v>
      </c>
      <c r="BF950">
        <f t="shared" si="701"/>
        <v>5000</v>
      </c>
      <c r="BU950"/>
      <c r="DW950" s="89"/>
      <c r="DX950" s="89"/>
      <c r="FD950"/>
      <c r="FE950"/>
    </row>
    <row r="951" spans="1:161" x14ac:dyDescent="0.25">
      <c r="A951" s="7">
        <f t="shared" si="693"/>
        <v>72045</v>
      </c>
      <c r="B951">
        <f t="shared" si="676"/>
        <v>940</v>
      </c>
      <c r="C951">
        <f t="shared" si="702"/>
        <v>78.25</v>
      </c>
      <c r="D951">
        <f t="shared" si="703"/>
        <v>0</v>
      </c>
      <c r="E951">
        <f t="shared" si="677"/>
        <v>130</v>
      </c>
      <c r="F951">
        <f>IF(C951&gt;=$T$2,0,VLOOKUP($E951,EKM_F05!$A$3:$C$128,2,TRUE))</f>
        <v>0</v>
      </c>
      <c r="G951">
        <f>F951*'Real assumptions'!$B$3</f>
        <v>0</v>
      </c>
      <c r="H951">
        <f t="shared" si="704"/>
        <v>0</v>
      </c>
      <c r="I951">
        <f t="shared" si="705"/>
        <v>0</v>
      </c>
      <c r="J951">
        <f>IF(B951&gt;$AJ$2,0,HLOOKUP(C951,'Real assumptions'!$B$5:$L$8,4,TRUE))</f>
        <v>3.7900000000000003E-2</v>
      </c>
      <c r="K951">
        <f t="shared" si="666"/>
        <v>1</v>
      </c>
      <c r="L951">
        <f t="shared" si="694"/>
        <v>8.3333333333333329E-2</v>
      </c>
      <c r="M951">
        <f t="shared" si="706"/>
        <v>3.2145624959929453E-3</v>
      </c>
      <c r="N951">
        <f t="shared" si="707"/>
        <v>5.2708747437191339E-8</v>
      </c>
      <c r="O951" s="8">
        <f t="shared" si="678"/>
        <v>1.6344156301195234E-5</v>
      </c>
      <c r="P951">
        <f t="shared" si="679"/>
        <v>3.9352476116717825E-4</v>
      </c>
      <c r="Q951">
        <f t="shared" si="695"/>
        <v>0</v>
      </c>
      <c r="R951" s="89">
        <f t="shared" si="667"/>
        <v>5000</v>
      </c>
      <c r="S951">
        <f t="shared" si="668"/>
        <v>0.6666666666666714</v>
      </c>
      <c r="U951">
        <f>O950*AV950*'Real assumptions'!$B$33/12+AX951*'Real assumptions'!$B$34</f>
        <v>4.5038018704990503E-4</v>
      </c>
      <c r="V951">
        <f>IF(P951=0,0,IF(E951&lt;=$C$7,$AN$5*O950,0))*'Real assumptions'!$D$28</f>
        <v>0</v>
      </c>
      <c r="X951" s="94">
        <f t="shared" si="680"/>
        <v>0</v>
      </c>
      <c r="Y951">
        <f t="shared" si="669"/>
        <v>24</v>
      </c>
      <c r="Z951">
        <f t="shared" si="696"/>
        <v>20</v>
      </c>
      <c r="AA951">
        <f t="shared" si="670"/>
        <v>20.666666666666671</v>
      </c>
      <c r="AB951">
        <f t="shared" si="681"/>
        <v>50.505050505050505</v>
      </c>
      <c r="AC951">
        <f t="shared" si="708"/>
        <v>1043.7710437710441</v>
      </c>
      <c r="AD951">
        <f t="shared" si="682"/>
        <v>80.505050505050505</v>
      </c>
      <c r="AE951">
        <f t="shared" si="683"/>
        <v>83.188552188552208</v>
      </c>
      <c r="AF951" s="94">
        <f t="shared" si="684"/>
        <v>3873.0404040404037</v>
      </c>
      <c r="AG951">
        <f t="shared" si="697"/>
        <v>2.0414310847060313E-4</v>
      </c>
      <c r="AH951">
        <f t="shared" si="685"/>
        <v>6.3301577724480695E-2</v>
      </c>
      <c r="AI951">
        <f>HLOOKUP(AW951,'Real assumptions'!$A$21:$AK$24,2,TRUE)</f>
        <v>0</v>
      </c>
      <c r="AJ951" s="123">
        <f t="shared" si="709"/>
        <v>0</v>
      </c>
      <c r="AK951" s="122">
        <f>(1+HLOOKUP(YEAR(A951),'Real assumptions'!$A$21:$AK$24,2,TRUE)/100)^(1/12)-1</f>
        <v>0</v>
      </c>
      <c r="AL951">
        <f t="shared" si="698"/>
        <v>4.5038018704990503E-4</v>
      </c>
      <c r="AM951">
        <f>('Real assumptions'!$B$33/12)*O950*AV950</f>
        <v>4.3298463131237008E-4</v>
      </c>
      <c r="AN951">
        <f t="shared" si="686"/>
        <v>6.3374354905414515E-2</v>
      </c>
      <c r="AO951">
        <f t="shared" si="710"/>
        <v>0</v>
      </c>
      <c r="AP951" s="121">
        <f t="shared" si="687"/>
        <v>0</v>
      </c>
      <c r="AQ951">
        <f t="shared" si="688"/>
        <v>0</v>
      </c>
      <c r="AR951">
        <v>0</v>
      </c>
      <c r="AS951">
        <f t="shared" si="671"/>
        <v>0</v>
      </c>
      <c r="AT951">
        <f t="shared" si="689"/>
        <v>0</v>
      </c>
      <c r="AU951">
        <f>IFERROR(HLOOKUP(B951,'Real assumptions'!$B$43:$AL$44,2,TRUE)*($W$3/$U$2),0)</f>
        <v>0</v>
      </c>
      <c r="AV951">
        <f>AV950*(1+'Real assumptions'!$B$35)^(1/12)</f>
        <v>2.6433900146956923</v>
      </c>
      <c r="AW951">
        <f t="shared" si="672"/>
        <v>2097</v>
      </c>
      <c r="AX951">
        <f t="shared" si="699"/>
        <v>6.3500220706081051E-2</v>
      </c>
      <c r="AY951">
        <f t="shared" si="700"/>
        <v>6.9010374783806506E-5</v>
      </c>
      <c r="AZ951">
        <f t="shared" si="673"/>
        <v>5.8539605797830289E-2</v>
      </c>
      <c r="BA951">
        <f t="shared" si="690"/>
        <v>2.0414310847060313E-4</v>
      </c>
      <c r="BB951">
        <f t="shared" si="691"/>
        <v>20.666666666666671</v>
      </c>
      <c r="BC951">
        <f t="shared" si="674"/>
        <v>12.400000000000002</v>
      </c>
      <c r="BD951">
        <f t="shared" si="692"/>
        <v>0</v>
      </c>
      <c r="BE951">
        <f t="shared" si="675"/>
        <v>24</v>
      </c>
      <c r="BF951">
        <f t="shared" si="701"/>
        <v>5000</v>
      </c>
      <c r="BU951"/>
      <c r="DW951" s="89"/>
      <c r="DX951" s="89"/>
      <c r="FD951"/>
      <c r="FE951"/>
    </row>
    <row r="952" spans="1:161" x14ac:dyDescent="0.25">
      <c r="A952" s="7">
        <f t="shared" si="693"/>
        <v>72075</v>
      </c>
      <c r="B952">
        <f t="shared" si="676"/>
        <v>941</v>
      </c>
      <c r="C952">
        <f t="shared" si="702"/>
        <v>78.333333333333329</v>
      </c>
      <c r="D952">
        <f t="shared" si="703"/>
        <v>0</v>
      </c>
      <c r="E952">
        <f t="shared" si="677"/>
        <v>130</v>
      </c>
      <c r="F952">
        <f>IF(C952&gt;=$T$2,0,VLOOKUP($E952,EKM_F05!$A$3:$C$128,2,TRUE))</f>
        <v>0</v>
      </c>
      <c r="G952">
        <f>F952*'Real assumptions'!$B$3</f>
        <v>0</v>
      </c>
      <c r="H952">
        <f t="shared" si="704"/>
        <v>0</v>
      </c>
      <c r="I952">
        <f t="shared" si="705"/>
        <v>0</v>
      </c>
      <c r="J952">
        <f>IF(B952&gt;$AJ$2,0,HLOOKUP(C952,'Real assumptions'!$B$5:$L$8,4,TRUE))</f>
        <v>3.7900000000000003E-2</v>
      </c>
      <c r="K952">
        <f t="shared" si="666"/>
        <v>1</v>
      </c>
      <c r="L952">
        <f t="shared" si="694"/>
        <v>8.3333333333333329E-2</v>
      </c>
      <c r="M952">
        <f t="shared" si="706"/>
        <v>3.2145624959929453E-3</v>
      </c>
      <c r="N952">
        <f t="shared" si="707"/>
        <v>5.2539311874468974E-8</v>
      </c>
      <c r="O952" s="8">
        <f t="shared" si="678"/>
        <v>1.6291616989320766E-5</v>
      </c>
      <c r="P952">
        <f t="shared" si="679"/>
        <v>3.9225975122868565E-4</v>
      </c>
      <c r="Q952">
        <f t="shared" si="695"/>
        <v>0</v>
      </c>
      <c r="R952" s="89">
        <f t="shared" si="667"/>
        <v>5000</v>
      </c>
      <c r="S952">
        <f t="shared" si="668"/>
        <v>0.5833333333333286</v>
      </c>
      <c r="U952">
        <f>O951*AV951*'Real assumptions'!$B$33/12+AX952*'Real assumptions'!$B$34</f>
        <v>4.4939977843865366E-4</v>
      </c>
      <c r="V952">
        <f>IF(P952=0,0,IF(E952&lt;=$C$7,$AN$5*O951,0))*'Real assumptions'!$D$28</f>
        <v>0</v>
      </c>
      <c r="X952" s="94">
        <f t="shared" si="680"/>
        <v>0</v>
      </c>
      <c r="Y952">
        <f t="shared" si="669"/>
        <v>24</v>
      </c>
      <c r="Z952">
        <f t="shared" si="696"/>
        <v>20</v>
      </c>
      <c r="AA952">
        <f t="shared" si="670"/>
        <v>20.583333333333329</v>
      </c>
      <c r="AB952">
        <f t="shared" si="681"/>
        <v>50.505050505050505</v>
      </c>
      <c r="AC952">
        <f t="shared" si="708"/>
        <v>1039.5622895622894</v>
      </c>
      <c r="AD952">
        <f t="shared" si="682"/>
        <v>80.505050505050505</v>
      </c>
      <c r="AE952">
        <f t="shared" si="683"/>
        <v>82.853114478114449</v>
      </c>
      <c r="AF952" s="94">
        <f t="shared" si="684"/>
        <v>3877.5845959595963</v>
      </c>
      <c r="AG952">
        <f t="shared" si="697"/>
        <v>2.0372562640675799E-4</v>
      </c>
      <c r="AH952">
        <f t="shared" si="685"/>
        <v>6.3172123081063861E-2</v>
      </c>
      <c r="AI952">
        <f>HLOOKUP(AW952,'Real assumptions'!$A$21:$AK$24,2,TRUE)</f>
        <v>0</v>
      </c>
      <c r="AJ952" s="123">
        <f t="shared" si="709"/>
        <v>0</v>
      </c>
      <c r="AK952" s="122">
        <f>(1+HLOOKUP(YEAR(A952),'Real assumptions'!$A$21:$AK$24,2,TRUE)/100)^(1/12)-1</f>
        <v>0</v>
      </c>
      <c r="AL952">
        <f t="shared" si="698"/>
        <v>4.4939977843865366E-4</v>
      </c>
      <c r="AM952">
        <f>('Real assumptions'!$B$33/12)*O951*AV951</f>
        <v>4.3203979565205162E-4</v>
      </c>
      <c r="AN952">
        <f t="shared" si="686"/>
        <v>6.3244437697270728E-2</v>
      </c>
      <c r="AO952">
        <f t="shared" si="710"/>
        <v>0</v>
      </c>
      <c r="AP952" s="121">
        <f t="shared" si="687"/>
        <v>0</v>
      </c>
      <c r="AQ952">
        <f t="shared" si="688"/>
        <v>0</v>
      </c>
      <c r="AR952">
        <v>0</v>
      </c>
      <c r="AS952">
        <f t="shared" si="671"/>
        <v>0</v>
      </c>
      <c r="AT952">
        <f t="shared" si="689"/>
        <v>0</v>
      </c>
      <c r="AU952">
        <f>IFERROR(HLOOKUP(B952,'Real assumptions'!$B$43:$AL$44,2,TRUE)*($W$3/$U$2),0)</f>
        <v>0</v>
      </c>
      <c r="AV952">
        <f>AV951*(1+'Real assumptions'!$B$35)^(1/12)</f>
        <v>2.6461278953687066</v>
      </c>
      <c r="AW952">
        <f t="shared" si="672"/>
        <v>2097</v>
      </c>
      <c r="AX952">
        <f t="shared" si="699"/>
        <v>6.3370366261101888E-2</v>
      </c>
      <c r="AY952">
        <f t="shared" si="700"/>
        <v>6.8788536621192055E-5</v>
      </c>
      <c r="AZ952">
        <f t="shared" si="673"/>
        <v>5.827874014421356E-2</v>
      </c>
      <c r="BA952">
        <f t="shared" si="690"/>
        <v>2.0372562640675799E-4</v>
      </c>
      <c r="BB952">
        <f t="shared" si="691"/>
        <v>20.583333333333329</v>
      </c>
      <c r="BC952">
        <f t="shared" si="674"/>
        <v>12.349999999999998</v>
      </c>
      <c r="BD952">
        <f t="shared" si="692"/>
        <v>0</v>
      </c>
      <c r="BE952">
        <f t="shared" si="675"/>
        <v>24</v>
      </c>
      <c r="BF952">
        <f t="shared" si="701"/>
        <v>5000</v>
      </c>
      <c r="BU952"/>
      <c r="DW952" s="89"/>
      <c r="DX952" s="89"/>
      <c r="FD952"/>
      <c r="FE952"/>
    </row>
    <row r="953" spans="1:161" x14ac:dyDescent="0.25">
      <c r="A953" s="7">
        <f t="shared" si="693"/>
        <v>72106</v>
      </c>
      <c r="B953">
        <f t="shared" si="676"/>
        <v>942</v>
      </c>
      <c r="C953">
        <f t="shared" si="702"/>
        <v>78.416666666666671</v>
      </c>
      <c r="D953">
        <f t="shared" si="703"/>
        <v>0</v>
      </c>
      <c r="E953">
        <f t="shared" si="677"/>
        <v>130</v>
      </c>
      <c r="F953">
        <f>IF(C953&gt;=$T$2,0,VLOOKUP($E953,EKM_F05!$A$3:$C$128,2,TRUE))</f>
        <v>0</v>
      </c>
      <c r="G953">
        <f>F953*'Real assumptions'!$B$3</f>
        <v>0</v>
      </c>
      <c r="H953">
        <f t="shared" si="704"/>
        <v>0</v>
      </c>
      <c r="I953">
        <f t="shared" si="705"/>
        <v>0</v>
      </c>
      <c r="J953">
        <f>IF(B953&gt;$AJ$2,0,HLOOKUP(C953,'Real assumptions'!$B$5:$L$8,4,TRUE))</f>
        <v>3.7900000000000003E-2</v>
      </c>
      <c r="K953">
        <f t="shared" si="666"/>
        <v>1</v>
      </c>
      <c r="L953">
        <f t="shared" si="694"/>
        <v>8.3333333333333329E-2</v>
      </c>
      <c r="M953">
        <f t="shared" si="706"/>
        <v>3.2145624959929453E-3</v>
      </c>
      <c r="N953">
        <f t="shared" si="707"/>
        <v>5.2370420972952031E-8</v>
      </c>
      <c r="O953" s="8">
        <f t="shared" si="678"/>
        <v>1.6239246568347813E-5</v>
      </c>
      <c r="P953">
        <f t="shared" si="679"/>
        <v>3.9099880774369836E-4</v>
      </c>
      <c r="Q953">
        <f t="shared" si="695"/>
        <v>0</v>
      </c>
      <c r="R953" s="89">
        <f t="shared" si="667"/>
        <v>5000</v>
      </c>
      <c r="S953">
        <f t="shared" si="668"/>
        <v>0.5</v>
      </c>
      <c r="U953">
        <f>O952*AV952*'Real assumptions'!$B$33/12+AX953*'Real assumptions'!$B$34</f>
        <v>4.4842148054421619E-4</v>
      </c>
      <c r="V953">
        <f>IF(P953=0,0,IF(E953&lt;=$C$7,$AN$5*O952,0))*'Real assumptions'!$D$28</f>
        <v>0</v>
      </c>
      <c r="X953" s="94">
        <f t="shared" si="680"/>
        <v>0</v>
      </c>
      <c r="Y953">
        <f t="shared" si="669"/>
        <v>24</v>
      </c>
      <c r="Z953">
        <f t="shared" si="696"/>
        <v>20</v>
      </c>
      <c r="AA953">
        <f t="shared" si="670"/>
        <v>20.5</v>
      </c>
      <c r="AB953">
        <f t="shared" si="681"/>
        <v>50.505050505050505</v>
      </c>
      <c r="AC953">
        <f t="shared" si="708"/>
        <v>1035.3535353535353</v>
      </c>
      <c r="AD953">
        <f t="shared" si="682"/>
        <v>80.505050505050505</v>
      </c>
      <c r="AE953">
        <f t="shared" si="683"/>
        <v>82.517676767676761</v>
      </c>
      <c r="AF953" s="94">
        <f t="shared" si="684"/>
        <v>3882.128787878788</v>
      </c>
      <c r="AG953">
        <f t="shared" si="697"/>
        <v>2.0330871889242812E-4</v>
      </c>
      <c r="AH953">
        <f t="shared" si="685"/>
        <v>6.3042846596444865E-2</v>
      </c>
      <c r="AI953">
        <f>HLOOKUP(AW953,'Real assumptions'!$A$21:$AK$24,2,TRUE)</f>
        <v>0</v>
      </c>
      <c r="AJ953" s="123">
        <f t="shared" si="709"/>
        <v>0</v>
      </c>
      <c r="AK953" s="122">
        <f>(1+HLOOKUP(YEAR(A953),'Real assumptions'!$A$21:$AK$24,2,TRUE)/100)^(1/12)-1</f>
        <v>0</v>
      </c>
      <c r="AL953">
        <f t="shared" si="698"/>
        <v>4.4842148054421619E-4</v>
      </c>
      <c r="AM953">
        <f>('Real assumptions'!$B$33/12)*O952*AV952</f>
        <v>4.3109702176104427E-4</v>
      </c>
      <c r="AN953">
        <f t="shared" si="686"/>
        <v>6.3114700408263336E-2</v>
      </c>
      <c r="AO953">
        <f t="shared" si="710"/>
        <v>0</v>
      </c>
      <c r="AP953" s="121">
        <f t="shared" si="687"/>
        <v>0</v>
      </c>
      <c r="AQ953">
        <f t="shared" si="688"/>
        <v>0</v>
      </c>
      <c r="AR953">
        <v>0</v>
      </c>
      <c r="AS953">
        <f t="shared" si="671"/>
        <v>0</v>
      </c>
      <c r="AT953">
        <f t="shared" si="689"/>
        <v>0</v>
      </c>
      <c r="AU953">
        <f>IFERROR(HLOOKUP(B953,'Real assumptions'!$B$43:$AL$44,2,TRUE)*($W$3/$U$2),0)</f>
        <v>0</v>
      </c>
      <c r="AV953">
        <f>AV952*(1+'Real assumptions'!$B$35)^(1/12)</f>
        <v>2.648868611790717</v>
      </c>
      <c r="AW953">
        <f t="shared" si="672"/>
        <v>2097</v>
      </c>
      <c r="AX953">
        <f t="shared" si="699"/>
        <v>6.3240690492635074E-2</v>
      </c>
      <c r="AY953">
        <f t="shared" si="700"/>
        <v>6.8567411571215337E-5</v>
      </c>
      <c r="AZ953">
        <f t="shared" si="673"/>
        <v>5.8018008752520618E-2</v>
      </c>
      <c r="BA953">
        <f t="shared" si="690"/>
        <v>2.0330871889242812E-4</v>
      </c>
      <c r="BB953">
        <f t="shared" si="691"/>
        <v>20.5</v>
      </c>
      <c r="BC953">
        <f t="shared" si="674"/>
        <v>12.3</v>
      </c>
      <c r="BD953">
        <f t="shared" si="692"/>
        <v>0</v>
      </c>
      <c r="BE953">
        <f t="shared" si="675"/>
        <v>24</v>
      </c>
      <c r="BF953">
        <f t="shared" si="701"/>
        <v>5000</v>
      </c>
      <c r="BU953"/>
      <c r="DW953" s="89"/>
      <c r="DX953" s="89"/>
      <c r="FD953"/>
      <c r="FE953"/>
    </row>
    <row r="954" spans="1:161" x14ac:dyDescent="0.25">
      <c r="A954" s="7">
        <f t="shared" si="693"/>
        <v>72136</v>
      </c>
      <c r="B954">
        <f t="shared" si="676"/>
        <v>943</v>
      </c>
      <c r="C954">
        <f t="shared" si="702"/>
        <v>78.5</v>
      </c>
      <c r="D954">
        <f t="shared" si="703"/>
        <v>0</v>
      </c>
      <c r="E954">
        <f t="shared" si="677"/>
        <v>130</v>
      </c>
      <c r="F954">
        <f>IF(C954&gt;=$T$2,0,VLOOKUP($E954,EKM_F05!$A$3:$C$128,2,TRUE))</f>
        <v>0</v>
      </c>
      <c r="G954">
        <f>F954*'Real assumptions'!$B$3</f>
        <v>0</v>
      </c>
      <c r="H954">
        <f t="shared" si="704"/>
        <v>0</v>
      </c>
      <c r="I954">
        <f t="shared" si="705"/>
        <v>0</v>
      </c>
      <c r="J954">
        <f>IF(B954&gt;$AJ$2,0,HLOOKUP(C954,'Real assumptions'!$B$5:$L$8,4,TRUE))</f>
        <v>3.7900000000000003E-2</v>
      </c>
      <c r="K954">
        <f t="shared" si="666"/>
        <v>1</v>
      </c>
      <c r="L954">
        <f t="shared" si="694"/>
        <v>8.3333333333333329E-2</v>
      </c>
      <c r="M954">
        <f t="shared" si="706"/>
        <v>3.2145624959929453E-3</v>
      </c>
      <c r="N954">
        <f t="shared" si="707"/>
        <v>5.2202072981793014E-8</v>
      </c>
      <c r="O954" s="8">
        <f t="shared" si="678"/>
        <v>1.6187044495366019E-5</v>
      </c>
      <c r="P954">
        <f t="shared" si="679"/>
        <v>3.8974191764034748E-4</v>
      </c>
      <c r="Q954">
        <f t="shared" si="695"/>
        <v>0</v>
      </c>
      <c r="R954" s="89">
        <f t="shared" si="667"/>
        <v>5000</v>
      </c>
      <c r="S954">
        <f t="shared" si="668"/>
        <v>0.4166666666666714</v>
      </c>
      <c r="U954">
        <f>O953*AV953*'Real assumptions'!$B$33/12+AX954*'Real assumptions'!$B$34</f>
        <v>4.4744528892041145E-4</v>
      </c>
      <c r="V954">
        <f>IF(P954=0,0,IF(E954&lt;=$C$7,$AN$5*O953,0))*'Real assumptions'!$D$28</f>
        <v>0</v>
      </c>
      <c r="X954" s="94">
        <f t="shared" si="680"/>
        <v>0</v>
      </c>
      <c r="Y954">
        <f t="shared" si="669"/>
        <v>24</v>
      </c>
      <c r="Z954">
        <f t="shared" si="696"/>
        <v>20</v>
      </c>
      <c r="AA954">
        <f t="shared" si="670"/>
        <v>20.416666666666671</v>
      </c>
      <c r="AB954">
        <f t="shared" si="681"/>
        <v>50.505050505050505</v>
      </c>
      <c r="AC954">
        <f t="shared" si="708"/>
        <v>1031.1447811447813</v>
      </c>
      <c r="AD954">
        <f t="shared" si="682"/>
        <v>80.505050505050505</v>
      </c>
      <c r="AE954">
        <f t="shared" si="683"/>
        <v>82.182239057239073</v>
      </c>
      <c r="AF954" s="94">
        <f t="shared" si="684"/>
        <v>3886.6729797979792</v>
      </c>
      <c r="AG954">
        <f t="shared" si="697"/>
        <v>2.0289238654777703E-4</v>
      </c>
      <c r="AH954">
        <f t="shared" si="685"/>
        <v>6.291374846292673E-2</v>
      </c>
      <c r="AI954">
        <f>HLOOKUP(AW954,'Real assumptions'!$A$21:$AK$24,2,TRUE)</f>
        <v>0</v>
      </c>
      <c r="AJ954" s="123">
        <f t="shared" si="709"/>
        <v>0</v>
      </c>
      <c r="AK954" s="122">
        <f>(1+HLOOKUP(YEAR(A954),'Real assumptions'!$A$21:$AK$24,2,TRUE)/100)^(1/12)-1</f>
        <v>0</v>
      </c>
      <c r="AL954">
        <f t="shared" si="698"/>
        <v>4.4744528892041145E-4</v>
      </c>
      <c r="AM954">
        <f>('Real assumptions'!$B$33/12)*O953*AV953</f>
        <v>4.3015630514026636E-4</v>
      </c>
      <c r="AN954">
        <f t="shared" si="686"/>
        <v>6.2985143225164811E-2</v>
      </c>
      <c r="AO954">
        <f t="shared" si="710"/>
        <v>0</v>
      </c>
      <c r="AP954" s="121">
        <f t="shared" si="687"/>
        <v>0</v>
      </c>
      <c r="AQ954">
        <f t="shared" si="688"/>
        <v>0</v>
      </c>
      <c r="AR954">
        <v>0</v>
      </c>
      <c r="AS954">
        <f t="shared" si="671"/>
        <v>0</v>
      </c>
      <c r="AT954">
        <f t="shared" si="689"/>
        <v>0</v>
      </c>
      <c r="AU954">
        <f>IFERROR(HLOOKUP(B954,'Real assumptions'!$B$43:$AL$44,2,TRUE)*($W$3/$U$2),0)</f>
        <v>0</v>
      </c>
      <c r="AV954">
        <f>AV953*(1+'Real assumptions'!$B$35)^(1/12)</f>
        <v>2.6516121668988388</v>
      </c>
      <c r="AW954">
        <f t="shared" si="672"/>
        <v>2097</v>
      </c>
      <c r="AX954">
        <f t="shared" si="699"/>
        <v>6.3111193593786391E-2</v>
      </c>
      <c r="AY954">
        <f t="shared" si="700"/>
        <v>6.8346997341531192E-5</v>
      </c>
      <c r="AZ954">
        <f t="shared" si="673"/>
        <v>5.7757412994692774E-2</v>
      </c>
      <c r="BA954">
        <f t="shared" si="690"/>
        <v>2.0289238654777703E-4</v>
      </c>
      <c r="BB954">
        <f t="shared" si="691"/>
        <v>20.416666666666671</v>
      </c>
      <c r="BC954">
        <f t="shared" si="674"/>
        <v>12.250000000000004</v>
      </c>
      <c r="BD954">
        <f t="shared" si="692"/>
        <v>0</v>
      </c>
      <c r="BE954">
        <f t="shared" si="675"/>
        <v>24</v>
      </c>
      <c r="BF954">
        <f t="shared" si="701"/>
        <v>5000</v>
      </c>
      <c r="BU954"/>
      <c r="DW954" s="89"/>
      <c r="DX954" s="89"/>
      <c r="FD954"/>
      <c r="FE954"/>
    </row>
    <row r="955" spans="1:161" x14ac:dyDescent="0.25">
      <c r="A955" s="7">
        <f t="shared" si="693"/>
        <v>72167</v>
      </c>
      <c r="B955">
        <f t="shared" si="676"/>
        <v>944</v>
      </c>
      <c r="C955">
        <f t="shared" si="702"/>
        <v>78.583333333333329</v>
      </c>
      <c r="D955">
        <f t="shared" si="703"/>
        <v>0</v>
      </c>
      <c r="E955">
        <f t="shared" si="677"/>
        <v>130</v>
      </c>
      <c r="F955">
        <f>IF(C955&gt;=$T$2,0,VLOOKUP($E955,EKM_F05!$A$3:$C$128,2,TRUE))</f>
        <v>0</v>
      </c>
      <c r="G955">
        <f>F955*'Real assumptions'!$B$3</f>
        <v>0</v>
      </c>
      <c r="H955">
        <f t="shared" si="704"/>
        <v>0</v>
      </c>
      <c r="I955">
        <f t="shared" si="705"/>
        <v>0</v>
      </c>
      <c r="J955">
        <f>IF(B955&gt;$AJ$2,0,HLOOKUP(C955,'Real assumptions'!$B$5:$L$8,4,TRUE))</f>
        <v>3.7900000000000003E-2</v>
      </c>
      <c r="K955">
        <f t="shared" si="666"/>
        <v>1</v>
      </c>
      <c r="L955">
        <f t="shared" si="694"/>
        <v>8.3333333333333329E-2</v>
      </c>
      <c r="M955">
        <f t="shared" si="706"/>
        <v>3.2145624959929453E-3</v>
      </c>
      <c r="N955">
        <f t="shared" si="707"/>
        <v>5.2034266155772655E-8</v>
      </c>
      <c r="O955" s="8">
        <f t="shared" si="678"/>
        <v>1.6135010229210247E-5</v>
      </c>
      <c r="P955">
        <f t="shared" si="679"/>
        <v>3.8848906788878444E-4</v>
      </c>
      <c r="Q955">
        <f t="shared" si="695"/>
        <v>0</v>
      </c>
      <c r="R955" s="89">
        <f t="shared" si="667"/>
        <v>5000</v>
      </c>
      <c r="S955">
        <f t="shared" si="668"/>
        <v>0.3333333333333286</v>
      </c>
      <c r="U955">
        <f>O954*AV954*'Real assumptions'!$B$33/12+AX955*'Real assumptions'!$B$34</f>
        <v>4.4647119913002978E-4</v>
      </c>
      <c r="V955">
        <f>IF(P955=0,0,IF(E955&lt;=$C$7,$AN$5*O954,0))*'Real assumptions'!$D$28</f>
        <v>0</v>
      </c>
      <c r="X955" s="94">
        <f t="shared" si="680"/>
        <v>0</v>
      </c>
      <c r="Y955">
        <f t="shared" si="669"/>
        <v>24</v>
      </c>
      <c r="Z955">
        <f t="shared" si="696"/>
        <v>20</v>
      </c>
      <c r="AA955">
        <f t="shared" si="670"/>
        <v>20.333333333333329</v>
      </c>
      <c r="AB955">
        <f t="shared" si="681"/>
        <v>50.505050505050505</v>
      </c>
      <c r="AC955">
        <f t="shared" si="708"/>
        <v>1026.9360269360268</v>
      </c>
      <c r="AD955">
        <f t="shared" si="682"/>
        <v>80.505050505050505</v>
      </c>
      <c r="AE955">
        <f t="shared" si="683"/>
        <v>81.846801346801328</v>
      </c>
      <c r="AF955" s="94">
        <f t="shared" si="684"/>
        <v>3891.2171717171718</v>
      </c>
      <c r="AG955">
        <f t="shared" si="697"/>
        <v>2.0247662998304421E-4</v>
      </c>
      <c r="AH955">
        <f t="shared" si="685"/>
        <v>6.2784828869735132E-2</v>
      </c>
      <c r="AI955">
        <f>HLOOKUP(AW955,'Real assumptions'!$A$21:$AK$24,2,TRUE)</f>
        <v>0</v>
      </c>
      <c r="AJ955" s="123">
        <f t="shared" si="709"/>
        <v>0</v>
      </c>
      <c r="AK955" s="122">
        <f>(1+HLOOKUP(YEAR(A955),'Real assumptions'!$A$21:$AK$24,2,TRUE)/100)^(1/12)-1</f>
        <v>0</v>
      </c>
      <c r="AL955">
        <f t="shared" si="698"/>
        <v>4.4647119913002978E-4</v>
      </c>
      <c r="AM955">
        <f>('Real assumptions'!$B$33/12)*O954*AV954</f>
        <v>4.2921764130045411E-4</v>
      </c>
      <c r="AN955">
        <f t="shared" si="686"/>
        <v>6.2855766331685478E-2</v>
      </c>
      <c r="AO955">
        <f t="shared" si="710"/>
        <v>0</v>
      </c>
      <c r="AP955" s="121">
        <f t="shared" si="687"/>
        <v>0</v>
      </c>
      <c r="AQ955">
        <f t="shared" si="688"/>
        <v>0</v>
      </c>
      <c r="AR955">
        <v>0</v>
      </c>
      <c r="AS955">
        <f t="shared" si="671"/>
        <v>0</v>
      </c>
      <c r="AT955">
        <f t="shared" si="689"/>
        <v>0</v>
      </c>
      <c r="AU955">
        <f>IFERROR(HLOOKUP(B955,'Real assumptions'!$B$43:$AL$44,2,TRUE)*($W$3/$U$2),0)</f>
        <v>0</v>
      </c>
      <c r="AV955">
        <f>AV954*(1+'Real assumptions'!$B$35)^(1/12)</f>
        <v>2.6543585636332301</v>
      </c>
      <c r="AW955">
        <f t="shared" si="672"/>
        <v>2097</v>
      </c>
      <c r="AX955">
        <f t="shared" si="699"/>
        <v>6.2981875754573896E-2</v>
      </c>
      <c r="AY955">
        <f t="shared" si="700"/>
        <v>6.8127291647163376E-5</v>
      </c>
      <c r="AZ955">
        <f t="shared" si="673"/>
        <v>5.7496954233468484E-2</v>
      </c>
      <c r="BA955">
        <f t="shared" si="690"/>
        <v>2.0247662998304421E-4</v>
      </c>
      <c r="BB955">
        <f t="shared" si="691"/>
        <v>20.333333333333329</v>
      </c>
      <c r="BC955">
        <f t="shared" si="674"/>
        <v>12.199999999999996</v>
      </c>
      <c r="BD955">
        <f t="shared" si="692"/>
        <v>0</v>
      </c>
      <c r="BE955">
        <f t="shared" si="675"/>
        <v>24</v>
      </c>
      <c r="BF955">
        <f t="shared" si="701"/>
        <v>5000</v>
      </c>
      <c r="BU955"/>
      <c r="DW955" s="89"/>
      <c r="DX955" s="89"/>
      <c r="FD955"/>
      <c r="FE955"/>
    </row>
    <row r="956" spans="1:161" x14ac:dyDescent="0.25">
      <c r="A956" s="7">
        <f t="shared" si="693"/>
        <v>72198</v>
      </c>
      <c r="B956">
        <f t="shared" si="676"/>
        <v>945</v>
      </c>
      <c r="C956">
        <f t="shared" si="702"/>
        <v>78.666666666666671</v>
      </c>
      <c r="D956">
        <f t="shared" si="703"/>
        <v>0</v>
      </c>
      <c r="E956">
        <f t="shared" si="677"/>
        <v>130</v>
      </c>
      <c r="F956">
        <f>IF(C956&gt;=$T$2,0,VLOOKUP($E956,EKM_F05!$A$3:$C$128,2,TRUE))</f>
        <v>0</v>
      </c>
      <c r="G956">
        <f>F956*'Real assumptions'!$B$3</f>
        <v>0</v>
      </c>
      <c r="H956">
        <f t="shared" si="704"/>
        <v>0</v>
      </c>
      <c r="I956">
        <f t="shared" si="705"/>
        <v>0</v>
      </c>
      <c r="J956">
        <f>IF(B956&gt;$AJ$2,0,HLOOKUP(C956,'Real assumptions'!$B$5:$L$8,4,TRUE))</f>
        <v>3.7900000000000003E-2</v>
      </c>
      <c r="K956">
        <f t="shared" si="666"/>
        <v>1</v>
      </c>
      <c r="L956">
        <f t="shared" si="694"/>
        <v>8.3333333333333329E-2</v>
      </c>
      <c r="M956">
        <f t="shared" si="706"/>
        <v>3.2145624959929453E-3</v>
      </c>
      <c r="N956">
        <f t="shared" si="707"/>
        <v>5.1866998755281799E-8</v>
      </c>
      <c r="O956" s="8">
        <f t="shared" si="678"/>
        <v>1.6083143230454964E-5</v>
      </c>
      <c r="P956">
        <f t="shared" si="679"/>
        <v>3.8724024550104594E-4</v>
      </c>
      <c r="Q956">
        <f t="shared" si="695"/>
        <v>0</v>
      </c>
      <c r="R956" s="89">
        <f t="shared" si="667"/>
        <v>5000</v>
      </c>
      <c r="S956">
        <f t="shared" si="668"/>
        <v>0.25</v>
      </c>
      <c r="U956">
        <f>O955*AV955*'Real assumptions'!$B$33/12+AX956*'Real assumptions'!$B$34</f>
        <v>4.4549920674481715E-4</v>
      </c>
      <c r="V956">
        <f>IF(P956=0,0,IF(E956&lt;=$C$7,$AN$5*O955,0))*'Real assumptions'!$D$28</f>
        <v>0</v>
      </c>
      <c r="X956" s="94">
        <f t="shared" si="680"/>
        <v>0</v>
      </c>
      <c r="Y956">
        <f t="shared" si="669"/>
        <v>24</v>
      </c>
      <c r="Z956">
        <f t="shared" si="696"/>
        <v>20</v>
      </c>
      <c r="AA956">
        <f t="shared" si="670"/>
        <v>20.25</v>
      </c>
      <c r="AB956">
        <f t="shared" si="681"/>
        <v>50.505050505050505</v>
      </c>
      <c r="AC956">
        <f t="shared" si="708"/>
        <v>1022.7272727272727</v>
      </c>
      <c r="AD956">
        <f t="shared" si="682"/>
        <v>80.505050505050505</v>
      </c>
      <c r="AE956">
        <f t="shared" si="683"/>
        <v>81.511363636363626</v>
      </c>
      <c r="AF956" s="94">
        <f t="shared" si="684"/>
        <v>3895.7613636363635</v>
      </c>
      <c r="AG956">
        <f t="shared" si="697"/>
        <v>2.0206144979860219E-4</v>
      </c>
      <c r="AH956">
        <f t="shared" si="685"/>
        <v>6.2656088003036181E-2</v>
      </c>
      <c r="AI956">
        <f>HLOOKUP(AW956,'Real assumptions'!$A$21:$AK$24,2,TRUE)</f>
        <v>0</v>
      </c>
      <c r="AJ956" s="123">
        <f t="shared" si="709"/>
        <v>0</v>
      </c>
      <c r="AK956" s="122">
        <f>(1+HLOOKUP(YEAR(A956),'Real assumptions'!$A$21:$AK$24,2,TRUE)/100)^(1/12)-1</f>
        <v>0</v>
      </c>
      <c r="AL956">
        <f t="shared" si="698"/>
        <v>4.4549920674481715E-4</v>
      </c>
      <c r="AM956">
        <f>('Real assumptions'!$B$33/12)*O955*AV955</f>
        <v>4.2828102576213985E-4</v>
      </c>
      <c r="AN956">
        <f t="shared" si="686"/>
        <v>6.2726569908491361E-2</v>
      </c>
      <c r="AO956">
        <f t="shared" si="710"/>
        <v>0</v>
      </c>
      <c r="AP956" s="121">
        <f t="shared" si="687"/>
        <v>0</v>
      </c>
      <c r="AQ956">
        <f t="shared" si="688"/>
        <v>0</v>
      </c>
      <c r="AR956">
        <v>0</v>
      </c>
      <c r="AS956">
        <f t="shared" si="671"/>
        <v>0</v>
      </c>
      <c r="AT956">
        <f t="shared" si="689"/>
        <v>0</v>
      </c>
      <c r="AU956">
        <f>IFERROR(HLOOKUP(B956,'Real assumptions'!$B$43:$AL$44,2,TRUE)*($W$3/$U$2),0)</f>
        <v>0</v>
      </c>
      <c r="AV956">
        <f>AV955*(1+'Real assumptions'!$B$35)^(1/12)</f>
        <v>2.6571078049370938</v>
      </c>
      <c r="AW956">
        <f t="shared" si="672"/>
        <v>2097</v>
      </c>
      <c r="AX956">
        <f t="shared" si="699"/>
        <v>6.2852737161945615E-2</v>
      </c>
      <c r="AY956">
        <f t="shared" si="700"/>
        <v>6.790829221048083E-5</v>
      </c>
      <c r="AZ956">
        <f t="shared" si="673"/>
        <v>5.7236633822426108E-2</v>
      </c>
      <c r="BA956">
        <f t="shared" si="690"/>
        <v>2.0206144979860219E-4</v>
      </c>
      <c r="BB956">
        <f t="shared" si="691"/>
        <v>20.25</v>
      </c>
      <c r="BC956">
        <f t="shared" si="674"/>
        <v>12.149999999999999</v>
      </c>
      <c r="BD956">
        <f t="shared" si="692"/>
        <v>0</v>
      </c>
      <c r="BE956">
        <f t="shared" si="675"/>
        <v>24</v>
      </c>
      <c r="BF956">
        <f t="shared" si="701"/>
        <v>5000</v>
      </c>
      <c r="BU956"/>
      <c r="DW956" s="89"/>
      <c r="DX956" s="89"/>
      <c r="FD956"/>
      <c r="FE956"/>
    </row>
    <row r="957" spans="1:161" x14ac:dyDescent="0.25">
      <c r="A957" s="7">
        <f t="shared" si="693"/>
        <v>72228</v>
      </c>
      <c r="B957">
        <f t="shared" si="676"/>
        <v>946</v>
      </c>
      <c r="C957">
        <f t="shared" si="702"/>
        <v>78.75</v>
      </c>
      <c r="D957">
        <f t="shared" si="703"/>
        <v>0</v>
      </c>
      <c r="E957">
        <f t="shared" si="677"/>
        <v>130</v>
      </c>
      <c r="F957">
        <f>IF(C957&gt;=$T$2,0,VLOOKUP($E957,EKM_F05!$A$3:$C$128,2,TRUE))</f>
        <v>0</v>
      </c>
      <c r="G957">
        <f>F957*'Real assumptions'!$B$3</f>
        <v>0</v>
      </c>
      <c r="H957">
        <f t="shared" si="704"/>
        <v>0</v>
      </c>
      <c r="I957">
        <f t="shared" si="705"/>
        <v>0</v>
      </c>
      <c r="J957">
        <f>IF(B957&gt;$AJ$2,0,HLOOKUP(C957,'Real assumptions'!$B$5:$L$8,4,TRUE))</f>
        <v>3.7900000000000003E-2</v>
      </c>
      <c r="K957">
        <f t="shared" si="666"/>
        <v>1</v>
      </c>
      <c r="L957">
        <f t="shared" si="694"/>
        <v>8.3333333333333329E-2</v>
      </c>
      <c r="M957">
        <f t="shared" si="706"/>
        <v>3.2145624959929453E-3</v>
      </c>
      <c r="N957">
        <f t="shared" si="707"/>
        <v>5.170026904630335E-8</v>
      </c>
      <c r="O957" s="8">
        <f t="shared" si="678"/>
        <v>1.6031442961408662E-5</v>
      </c>
      <c r="P957">
        <f t="shared" si="679"/>
        <v>3.8599543753091914E-4</v>
      </c>
      <c r="Q957">
        <f t="shared" si="695"/>
        <v>0</v>
      </c>
      <c r="R957" s="89">
        <f t="shared" si="667"/>
        <v>5000</v>
      </c>
      <c r="S957">
        <f t="shared" si="668"/>
        <v>0.1666666666666714</v>
      </c>
      <c r="U957">
        <f>O956*AV956*'Real assumptions'!$B$33/12+AX957*'Real assumptions'!$B$34</f>
        <v>4.4452930734545788E-4</v>
      </c>
      <c r="V957">
        <f>IF(P957=0,0,IF(E957&lt;=$C$7,$AN$5*O956,0))*'Real assumptions'!$D$28</f>
        <v>0</v>
      </c>
      <c r="X957" s="94">
        <f t="shared" si="680"/>
        <v>0</v>
      </c>
      <c r="Y957">
        <f t="shared" si="669"/>
        <v>24</v>
      </c>
      <c r="Z957">
        <f t="shared" si="696"/>
        <v>20</v>
      </c>
      <c r="AA957">
        <f t="shared" si="670"/>
        <v>20.166666666666671</v>
      </c>
      <c r="AB957">
        <f t="shared" si="681"/>
        <v>50.505050505050505</v>
      </c>
      <c r="AC957">
        <f t="shared" si="708"/>
        <v>1018.5185185185187</v>
      </c>
      <c r="AD957">
        <f t="shared" si="682"/>
        <v>80.505050505050505</v>
      </c>
      <c r="AE957">
        <f t="shared" si="683"/>
        <v>81.175925925925938</v>
      </c>
      <c r="AF957" s="94">
        <f t="shared" si="684"/>
        <v>3900.3055555555552</v>
      </c>
      <c r="AG957">
        <f t="shared" si="697"/>
        <v>2.0164684658501386E-4</v>
      </c>
      <c r="AH957">
        <f t="shared" si="685"/>
        <v>6.2527526045954213E-2</v>
      </c>
      <c r="AI957">
        <f>HLOOKUP(AW957,'Real assumptions'!$A$21:$AK$24,2,TRUE)</f>
        <v>0</v>
      </c>
      <c r="AJ957" s="123">
        <f t="shared" si="709"/>
        <v>0</v>
      </c>
      <c r="AK957" s="122">
        <f>(1+HLOOKUP(YEAR(A957),'Real assumptions'!$A$21:$AK$24,2,TRUE)/100)^(1/12)-1</f>
        <v>0</v>
      </c>
      <c r="AL957">
        <f t="shared" si="698"/>
        <v>4.4452930734545788E-4</v>
      </c>
      <c r="AM957">
        <f>('Real assumptions'!$B$33/12)*O956*AV956</f>
        <v>4.2734645405563066E-4</v>
      </c>
      <c r="AN957">
        <f t="shared" si="686"/>
        <v>6.2597554133221642E-2</v>
      </c>
      <c r="AO957">
        <f t="shared" si="710"/>
        <v>0</v>
      </c>
      <c r="AP957" s="121">
        <f t="shared" si="687"/>
        <v>0</v>
      </c>
      <c r="AQ957">
        <f t="shared" si="688"/>
        <v>0</v>
      </c>
      <c r="AR957">
        <v>0</v>
      </c>
      <c r="AS957">
        <f t="shared" si="671"/>
        <v>0</v>
      </c>
      <c r="AT957">
        <f t="shared" si="689"/>
        <v>0</v>
      </c>
      <c r="AU957">
        <f>IFERROR(HLOOKUP(B957,'Real assumptions'!$B$43:$AL$44,2,TRUE)*($W$3/$U$2),0)</f>
        <v>0</v>
      </c>
      <c r="AV957">
        <f>AV956*(1+'Real assumptions'!$B$35)^(1/12)</f>
        <v>2.6598598937566811</v>
      </c>
      <c r="AW957">
        <f t="shared" si="672"/>
        <v>2097</v>
      </c>
      <c r="AX957">
        <f t="shared" si="699"/>
        <v>6.272377799979735E-2</v>
      </c>
      <c r="AY957">
        <f t="shared" si="700"/>
        <v>6.7689996761174083E-5</v>
      </c>
      <c r="AZ957">
        <f t="shared" si="673"/>
        <v>5.6976453106026552E-2</v>
      </c>
      <c r="BA957">
        <f t="shared" si="690"/>
        <v>2.0164684658501386E-4</v>
      </c>
      <c r="BB957">
        <f t="shared" si="691"/>
        <v>20.166666666666671</v>
      </c>
      <c r="BC957">
        <f t="shared" si="674"/>
        <v>12.100000000000001</v>
      </c>
      <c r="BD957">
        <f t="shared" si="692"/>
        <v>0</v>
      </c>
      <c r="BE957">
        <f t="shared" si="675"/>
        <v>24</v>
      </c>
      <c r="BF957">
        <f t="shared" si="701"/>
        <v>5000</v>
      </c>
      <c r="BU957"/>
      <c r="DW957" s="89"/>
      <c r="DX957" s="89"/>
      <c r="FD957"/>
      <c r="FE957"/>
    </row>
    <row r="958" spans="1:161" x14ac:dyDescent="0.25">
      <c r="A958" s="7">
        <f t="shared" si="693"/>
        <v>72259</v>
      </c>
      <c r="B958">
        <f t="shared" si="676"/>
        <v>947</v>
      </c>
      <c r="C958">
        <f t="shared" si="702"/>
        <v>78.833333333333329</v>
      </c>
      <c r="D958">
        <f t="shared" si="703"/>
        <v>0</v>
      </c>
      <c r="E958">
        <f t="shared" si="677"/>
        <v>130</v>
      </c>
      <c r="F958">
        <f>IF(C958&gt;=$T$2,0,VLOOKUP($E958,EKM_F05!$A$3:$C$128,2,TRUE))</f>
        <v>0</v>
      </c>
      <c r="G958">
        <f>F958*'Real assumptions'!$B$3</f>
        <v>0</v>
      </c>
      <c r="H958">
        <f t="shared" si="704"/>
        <v>0</v>
      </c>
      <c r="I958">
        <f t="shared" si="705"/>
        <v>0</v>
      </c>
      <c r="J958">
        <f>IF(B958&gt;$AJ$2,0,HLOOKUP(C958,'Real assumptions'!$B$5:$L$8,4,TRUE))</f>
        <v>3.7900000000000003E-2</v>
      </c>
      <c r="K958">
        <f t="shared" si="666"/>
        <v>1</v>
      </c>
      <c r="L958">
        <f t="shared" si="694"/>
        <v>8.3333333333333329E-2</v>
      </c>
      <c r="M958">
        <f t="shared" si="706"/>
        <v>3.2145624959929453E-3</v>
      </c>
      <c r="N958">
        <f t="shared" si="707"/>
        <v>5.1534075300394363E-8</v>
      </c>
      <c r="O958" s="8">
        <f t="shared" si="678"/>
        <v>1.5979908886108269E-5</v>
      </c>
      <c r="P958">
        <f t="shared" si="679"/>
        <v>3.8475463107380786E-4</v>
      </c>
      <c r="Q958">
        <f t="shared" si="695"/>
        <v>0</v>
      </c>
      <c r="R958" s="89">
        <f t="shared" si="667"/>
        <v>5000</v>
      </c>
      <c r="S958">
        <f t="shared" si="668"/>
        <v>8.3333333333328596E-2</v>
      </c>
      <c r="U958">
        <f>O957*AV957*'Real assumptions'!$B$33/12+AX958*'Real assumptions'!$B$34</f>
        <v>4.4356149652155882E-4</v>
      </c>
      <c r="V958">
        <f>IF(P958=0,0,IF(E958&lt;=$C$7,$AN$5*O957,0))*'Real assumptions'!$D$28</f>
        <v>0</v>
      </c>
      <c r="X958" s="94">
        <f t="shared" si="680"/>
        <v>0</v>
      </c>
      <c r="Y958">
        <f t="shared" si="669"/>
        <v>24</v>
      </c>
      <c r="Z958">
        <f t="shared" si="696"/>
        <v>20</v>
      </c>
      <c r="AA958">
        <f t="shared" si="670"/>
        <v>20.083333333333329</v>
      </c>
      <c r="AB958">
        <f t="shared" si="681"/>
        <v>50.505050505050505</v>
      </c>
      <c r="AC958">
        <f t="shared" si="708"/>
        <v>1014.3097643097641</v>
      </c>
      <c r="AD958">
        <f t="shared" si="682"/>
        <v>80.505050505050505</v>
      </c>
      <c r="AE958">
        <f t="shared" si="683"/>
        <v>80.840488215488193</v>
      </c>
      <c r="AF958" s="94">
        <f t="shared" si="684"/>
        <v>3904.8497474747478</v>
      </c>
      <c r="AG958">
        <f t="shared" si="697"/>
        <v>2.0123282092308957E-4</v>
      </c>
      <c r="AH958">
        <f t="shared" si="685"/>
        <v>6.2399143178589356E-2</v>
      </c>
      <c r="AI958">
        <f>HLOOKUP(AW958,'Real assumptions'!$A$21:$AK$24,2,TRUE)</f>
        <v>0</v>
      </c>
      <c r="AJ958" s="123">
        <f t="shared" si="709"/>
        <v>0</v>
      </c>
      <c r="AK958" s="122">
        <f>(1+HLOOKUP(YEAR(A958),'Real assumptions'!$A$21:$AK$24,2,TRUE)/100)^(1/12)-1</f>
        <v>0</v>
      </c>
      <c r="AL958">
        <f t="shared" si="698"/>
        <v>4.4356149652155882E-4</v>
      </c>
      <c r="AM958">
        <f>('Real assumptions'!$B$33/12)*O957*AV957</f>
        <v>4.264139217209874E-4</v>
      </c>
      <c r="AN958">
        <f t="shared" si="686"/>
        <v>6.2468719180506456E-2</v>
      </c>
      <c r="AO958">
        <f t="shared" si="710"/>
        <v>0</v>
      </c>
      <c r="AP958" s="121">
        <f t="shared" si="687"/>
        <v>0</v>
      </c>
      <c r="AQ958">
        <f t="shared" si="688"/>
        <v>0</v>
      </c>
      <c r="AR958">
        <v>0</v>
      </c>
      <c r="AS958">
        <f t="shared" si="671"/>
        <v>0</v>
      </c>
      <c r="AT958">
        <f t="shared" si="689"/>
        <v>0</v>
      </c>
      <c r="AU958">
        <f>IFERROR(HLOOKUP(B958,'Real assumptions'!$B$43:$AL$44,2,TRUE)*($W$3/$U$2),0)</f>
        <v>0</v>
      </c>
      <c r="AV958">
        <f>AV957*(1+'Real assumptions'!$B$35)^(1/12)</f>
        <v>2.6626148330412955</v>
      </c>
      <c r="AW958">
        <f t="shared" si="672"/>
        <v>2097</v>
      </c>
      <c r="AX958">
        <f t="shared" si="699"/>
        <v>6.2594998448990441E-2</v>
      </c>
      <c r="AY958">
        <f t="shared" si="700"/>
        <v>6.7472403036231742E-5</v>
      </c>
      <c r="AZ958">
        <f t="shared" si="673"/>
        <v>5.6716413419655706E-2</v>
      </c>
      <c r="BA958">
        <f t="shared" si="690"/>
        <v>2.0123282092308957E-4</v>
      </c>
      <c r="BB958">
        <f t="shared" si="691"/>
        <v>20.083333333333329</v>
      </c>
      <c r="BC958">
        <f t="shared" si="674"/>
        <v>12.049999999999997</v>
      </c>
      <c r="BD958">
        <f t="shared" si="692"/>
        <v>0</v>
      </c>
      <c r="BE958">
        <f t="shared" si="675"/>
        <v>24</v>
      </c>
      <c r="BF958">
        <f t="shared" si="701"/>
        <v>5000</v>
      </c>
      <c r="BU958"/>
      <c r="DW958" s="89"/>
      <c r="DX958" s="89"/>
      <c r="FD958"/>
      <c r="FE958"/>
    </row>
    <row r="959" spans="1:161" x14ac:dyDescent="0.25">
      <c r="A959" s="7">
        <f t="shared" si="693"/>
        <v>72289</v>
      </c>
      <c r="B959">
        <f t="shared" si="676"/>
        <v>948</v>
      </c>
      <c r="C959">
        <f t="shared" si="702"/>
        <v>78.916666666666671</v>
      </c>
      <c r="D959">
        <f t="shared" si="703"/>
        <v>0</v>
      </c>
      <c r="E959">
        <f t="shared" si="677"/>
        <v>130</v>
      </c>
      <c r="F959">
        <f>IF(C959&gt;=$T$2,0,VLOOKUP($E959,EKM_F05!$A$3:$C$128,2,TRUE))</f>
        <v>0</v>
      </c>
      <c r="G959">
        <f>F959*'Real assumptions'!$B$3</f>
        <v>0</v>
      </c>
      <c r="H959">
        <f t="shared" si="704"/>
        <v>0</v>
      </c>
      <c r="I959">
        <f t="shared" si="705"/>
        <v>0</v>
      </c>
      <c r="J959">
        <f>IF(B959&gt;$AJ$2,0,HLOOKUP(C959,'Real assumptions'!$B$5:$L$8,4,TRUE))</f>
        <v>3.7900000000000003E-2</v>
      </c>
      <c r="K959">
        <f t="shared" si="666"/>
        <v>1</v>
      </c>
      <c r="L959">
        <f t="shared" si="694"/>
        <v>8.3333333333333329E-2</v>
      </c>
      <c r="M959">
        <f t="shared" si="706"/>
        <v>3.2145624959929453E-3</v>
      </c>
      <c r="N959">
        <f t="shared" si="707"/>
        <v>5.1368415794668044E-8</v>
      </c>
      <c r="O959" s="8">
        <f t="shared" si="678"/>
        <v>1.5928540470313602E-5</v>
      </c>
      <c r="P959">
        <f t="shared" si="679"/>
        <v>3.8351781326659848E-4</v>
      </c>
      <c r="Q959">
        <f t="shared" si="695"/>
        <v>0</v>
      </c>
      <c r="R959" s="89">
        <f t="shared" si="667"/>
        <v>5000</v>
      </c>
      <c r="S959">
        <f t="shared" si="668"/>
        <v>1</v>
      </c>
      <c r="U959">
        <f>O958*AV958*'Real assumptions'!$B$33/12+AX959*'Real assumptions'!$B$34</f>
        <v>4.4259576987163243E-4</v>
      </c>
      <c r="V959">
        <f>IF(P959=0,0,IF(E959&lt;=$C$7,$AN$5*O958,0))*'Real assumptions'!$D$28</f>
        <v>0</v>
      </c>
      <c r="X959" s="94">
        <f t="shared" si="680"/>
        <v>0</v>
      </c>
      <c r="Y959">
        <f t="shared" si="669"/>
        <v>24</v>
      </c>
      <c r="Z959">
        <f t="shared" si="696"/>
        <v>20</v>
      </c>
      <c r="AA959">
        <f t="shared" si="670"/>
        <v>20</v>
      </c>
      <c r="AB959">
        <f t="shared" si="681"/>
        <v>50.505050505050505</v>
      </c>
      <c r="AC959">
        <f t="shared" si="708"/>
        <v>1010.1010101010102</v>
      </c>
      <c r="AD959">
        <f t="shared" si="682"/>
        <v>80.505050505050505</v>
      </c>
      <c r="AE959">
        <f t="shared" si="683"/>
        <v>80.505050505050505</v>
      </c>
      <c r="AF959" s="94">
        <f t="shared" si="684"/>
        <v>3909.3939393939395</v>
      </c>
      <c r="AG959">
        <f t="shared" si="697"/>
        <v>2.0081937338394318E-4</v>
      </c>
      <c r="AH959">
        <f t="shared" si="685"/>
        <v>6.2270939578035082E-2</v>
      </c>
      <c r="AI959">
        <f>HLOOKUP(AW959,'Real assumptions'!$A$21:$AK$24,2,TRUE)</f>
        <v>0</v>
      </c>
      <c r="AJ959" s="123">
        <f t="shared" si="709"/>
        <v>0</v>
      </c>
      <c r="AK959" s="122">
        <f>(1+HLOOKUP(YEAR(A959),'Real assumptions'!$A$21:$AK$24,2,TRUE)/100)^(1/12)-1</f>
        <v>0</v>
      </c>
      <c r="AL959">
        <f t="shared" si="698"/>
        <v>4.4259576987163243E-4</v>
      </c>
      <c r="AM959">
        <f>('Real assumptions'!$B$33/12)*O958*AV958</f>
        <v>4.2548342430800284E-4</v>
      </c>
      <c r="AN959">
        <f t="shared" si="686"/>
        <v>6.2340065221984313E-2</v>
      </c>
      <c r="AO959">
        <f t="shared" si="710"/>
        <v>0</v>
      </c>
      <c r="AP959" s="121">
        <f t="shared" si="687"/>
        <v>0</v>
      </c>
      <c r="AQ959">
        <f t="shared" si="688"/>
        <v>0</v>
      </c>
      <c r="AR959">
        <v>0</v>
      </c>
      <c r="AS959">
        <f t="shared" si="671"/>
        <v>0</v>
      </c>
      <c r="AT959">
        <f t="shared" si="689"/>
        <v>0</v>
      </c>
      <c r="AU959">
        <f>IFERROR(HLOOKUP(B959,'Real assumptions'!$B$43:$AL$44,2,TRUE)*($W$3/$U$2),0)</f>
        <v>0</v>
      </c>
      <c r="AV959">
        <f>AV958*(1+'Real assumptions'!$B$35)^(1/12)</f>
        <v>2.6653726257432946</v>
      </c>
      <c r="AW959">
        <f t="shared" si="672"/>
        <v>2097</v>
      </c>
      <c r="AX959">
        <f t="shared" si="699"/>
        <v>6.2466398687369272E-2</v>
      </c>
      <c r="AY959">
        <f t="shared" si="700"/>
        <v>6.7255508779916952E-5</v>
      </c>
      <c r="AZ959">
        <f t="shared" si="673"/>
        <v>5.6456516089666731E-2</v>
      </c>
      <c r="BA959">
        <f t="shared" si="690"/>
        <v>2.0081937338394318E-4</v>
      </c>
      <c r="BB959">
        <f t="shared" si="691"/>
        <v>20</v>
      </c>
      <c r="BC959">
        <f t="shared" si="674"/>
        <v>12</v>
      </c>
      <c r="BD959">
        <f t="shared" si="692"/>
        <v>0</v>
      </c>
      <c r="BE959">
        <f t="shared" si="675"/>
        <v>24</v>
      </c>
      <c r="BF959">
        <f t="shared" si="701"/>
        <v>5000</v>
      </c>
      <c r="BU959"/>
      <c r="DW959" s="89"/>
      <c r="DX959" s="89"/>
      <c r="FD959"/>
      <c r="FE959"/>
    </row>
    <row r="960" spans="1:161" x14ac:dyDescent="0.25">
      <c r="A960" s="7">
        <f t="shared" si="693"/>
        <v>72320</v>
      </c>
      <c r="B960">
        <f t="shared" si="676"/>
        <v>949</v>
      </c>
      <c r="C960">
        <f t="shared" si="702"/>
        <v>79</v>
      </c>
      <c r="D960">
        <f t="shared" si="703"/>
        <v>1</v>
      </c>
      <c r="E960">
        <f t="shared" si="677"/>
        <v>131</v>
      </c>
      <c r="F960">
        <f>IF(C960&gt;=$T$2,0,VLOOKUP($E960,EKM_F05!$A$3:$C$128,2,TRUE))</f>
        <v>0</v>
      </c>
      <c r="G960">
        <f>F960*'Real assumptions'!$B$3</f>
        <v>0</v>
      </c>
      <c r="H960">
        <f t="shared" si="704"/>
        <v>0</v>
      </c>
      <c r="I960">
        <f t="shared" si="705"/>
        <v>0</v>
      </c>
      <c r="J960">
        <f>IF(B960&gt;$AJ$2,0,HLOOKUP(C960,'Real assumptions'!$B$5:$L$8,4,TRUE))</f>
        <v>3.7900000000000003E-2</v>
      </c>
      <c r="K960">
        <f t="shared" si="666"/>
        <v>1</v>
      </c>
      <c r="L960">
        <f t="shared" si="694"/>
        <v>8.3333333333333329E-2</v>
      </c>
      <c r="M960">
        <f t="shared" si="706"/>
        <v>3.2145624959929453E-3</v>
      </c>
      <c r="N960">
        <f t="shared" si="707"/>
        <v>5.1203288811775933E-8</v>
      </c>
      <c r="O960" s="8">
        <f t="shared" si="678"/>
        <v>1.5877337181501826E-5</v>
      </c>
      <c r="P960">
        <f t="shared" si="679"/>
        <v>3.8228497128752642E-4</v>
      </c>
      <c r="Q960">
        <f t="shared" si="695"/>
        <v>0</v>
      </c>
      <c r="R960" s="89">
        <f t="shared" si="667"/>
        <v>5000</v>
      </c>
      <c r="S960">
        <f t="shared" si="668"/>
        <v>0.9166666666666714</v>
      </c>
      <c r="U960">
        <f>O959*AV959*'Real assumptions'!$B$33/12+AX960*'Real assumptions'!$B$34</f>
        <v>4.4163212300308045E-4</v>
      </c>
      <c r="V960">
        <f>IF(P960=0,0,IF(E960&lt;=$C$7,$AN$5*O959,0))*'Real assumptions'!$D$28</f>
        <v>0</v>
      </c>
      <c r="X960" s="94">
        <f t="shared" si="680"/>
        <v>0</v>
      </c>
      <c r="Y960">
        <f t="shared" si="669"/>
        <v>24</v>
      </c>
      <c r="Z960">
        <f t="shared" si="696"/>
        <v>20</v>
      </c>
      <c r="AA960">
        <f t="shared" si="670"/>
        <v>19.916666666666671</v>
      </c>
      <c r="AB960">
        <f t="shared" si="681"/>
        <v>50.505050505050505</v>
      </c>
      <c r="AC960">
        <f t="shared" si="708"/>
        <v>1005.8922558922561</v>
      </c>
      <c r="AD960">
        <f t="shared" si="682"/>
        <v>80.505050505050505</v>
      </c>
      <c r="AE960">
        <f t="shared" si="683"/>
        <v>80.169612794612817</v>
      </c>
      <c r="AF960" s="94">
        <f t="shared" si="684"/>
        <v>3913.9381313131312</v>
      </c>
      <c r="AG960">
        <f t="shared" si="697"/>
        <v>2.0040650452904886E-4</v>
      </c>
      <c r="AH960">
        <f t="shared" si="685"/>
        <v>6.2142915418395756E-2</v>
      </c>
      <c r="AI960">
        <f>HLOOKUP(AW960,'Real assumptions'!$A$21:$AK$24,2,TRUE)</f>
        <v>0</v>
      </c>
      <c r="AJ960" s="123">
        <f t="shared" si="709"/>
        <v>0</v>
      </c>
      <c r="AK960" s="122">
        <f>(1+HLOOKUP(YEAR(A960),'Real assumptions'!$A$21:$AK$24,2,TRUE)/100)^(1/12)-1</f>
        <v>0</v>
      </c>
      <c r="AL960">
        <f t="shared" si="698"/>
        <v>4.4163212300308045E-4</v>
      </c>
      <c r="AM960">
        <f>('Real assumptions'!$B$33/12)*O959*AV959</f>
        <v>4.2455495737618099E-4</v>
      </c>
      <c r="AN960">
        <f t="shared" si="686"/>
        <v>6.2211592426319531E-2</v>
      </c>
      <c r="AO960">
        <f t="shared" si="710"/>
        <v>0</v>
      </c>
      <c r="AP960" s="121">
        <f t="shared" si="687"/>
        <v>0</v>
      </c>
      <c r="AQ960">
        <f t="shared" si="688"/>
        <v>0</v>
      </c>
      <c r="AR960">
        <v>0</v>
      </c>
      <c r="AS960">
        <f t="shared" si="671"/>
        <v>0</v>
      </c>
      <c r="AT960">
        <f t="shared" si="689"/>
        <v>0</v>
      </c>
      <c r="AU960">
        <f>IFERROR(HLOOKUP(B960,'Real assumptions'!$B$43:$AL$44,2,TRUE)*($W$3/$U$2),0)</f>
        <v>0</v>
      </c>
      <c r="AV960">
        <f>AV959*(1+'Real assumptions'!$B$35)^(1/12)</f>
        <v>2.6681332748180941</v>
      </c>
      <c r="AW960">
        <f t="shared" si="672"/>
        <v>2097</v>
      </c>
      <c r="AX960">
        <f t="shared" si="699"/>
        <v>6.2337978889778829E-2</v>
      </c>
      <c r="AY960">
        <f t="shared" si="700"/>
        <v>6.7039311743744107E-5</v>
      </c>
      <c r="AZ960">
        <f t="shared" si="673"/>
        <v>5.6196762433422129E-2</v>
      </c>
      <c r="BA960">
        <f t="shared" si="690"/>
        <v>2.0040650452904886E-4</v>
      </c>
      <c r="BB960">
        <f t="shared" si="691"/>
        <v>19.916666666666671</v>
      </c>
      <c r="BC960">
        <f t="shared" si="674"/>
        <v>11.950000000000003</v>
      </c>
      <c r="BD960">
        <f t="shared" si="692"/>
        <v>0</v>
      </c>
      <c r="BE960">
        <f t="shared" si="675"/>
        <v>24</v>
      </c>
      <c r="BF960">
        <f t="shared" si="701"/>
        <v>5000</v>
      </c>
      <c r="BU960"/>
      <c r="DW960" s="89"/>
      <c r="DX960" s="89"/>
      <c r="FD960"/>
      <c r="FE960"/>
    </row>
    <row r="961" spans="1:161" x14ac:dyDescent="0.25">
      <c r="A961" s="7">
        <f t="shared" si="693"/>
        <v>72351</v>
      </c>
      <c r="B961">
        <f t="shared" si="676"/>
        <v>950</v>
      </c>
      <c r="C961">
        <f t="shared" si="702"/>
        <v>79.083333333333329</v>
      </c>
      <c r="D961">
        <f t="shared" si="703"/>
        <v>0</v>
      </c>
      <c r="E961">
        <f t="shared" si="677"/>
        <v>131</v>
      </c>
      <c r="F961">
        <f>IF(C961&gt;=$T$2,0,VLOOKUP($E961,EKM_F05!$A$3:$C$128,2,TRUE))</f>
        <v>0</v>
      </c>
      <c r="G961">
        <f>F961*'Real assumptions'!$B$3</f>
        <v>0</v>
      </c>
      <c r="H961">
        <f t="shared" si="704"/>
        <v>0</v>
      </c>
      <c r="I961">
        <f t="shared" si="705"/>
        <v>0</v>
      </c>
      <c r="J961">
        <f>IF(B961&gt;$AJ$2,0,HLOOKUP(C961,'Real assumptions'!$B$5:$L$8,4,TRUE))</f>
        <v>3.7900000000000003E-2</v>
      </c>
      <c r="K961">
        <f t="shared" si="666"/>
        <v>1</v>
      </c>
      <c r="L961">
        <f t="shared" si="694"/>
        <v>8.3333333333333329E-2</v>
      </c>
      <c r="M961">
        <f t="shared" si="706"/>
        <v>3.2145624959929453E-3</v>
      </c>
      <c r="N961">
        <f t="shared" si="707"/>
        <v>5.1038692639890106E-8</v>
      </c>
      <c r="O961" s="8">
        <f t="shared" si="678"/>
        <v>1.5826298488861937E-5</v>
      </c>
      <c r="P961">
        <f t="shared" si="679"/>
        <v>3.8105609235604382E-4</v>
      </c>
      <c r="Q961">
        <f t="shared" si="695"/>
        <v>0</v>
      </c>
      <c r="R961" s="89">
        <f t="shared" si="667"/>
        <v>5000</v>
      </c>
      <c r="S961">
        <f t="shared" si="668"/>
        <v>0.8333333333333286</v>
      </c>
      <c r="U961">
        <f>O960*AV960*'Real assumptions'!$B$33/12+AX961*'Real assumptions'!$B$34</f>
        <v>4.4067055153217778E-4</v>
      </c>
      <c r="V961">
        <f>IF(P961=0,0,IF(E961&lt;=$C$7,$AN$5*O960,0))*'Real assumptions'!$D$28</f>
        <v>0</v>
      </c>
      <c r="X961" s="94">
        <f t="shared" si="680"/>
        <v>0</v>
      </c>
      <c r="Y961">
        <f t="shared" si="669"/>
        <v>24</v>
      </c>
      <c r="Z961">
        <f t="shared" si="696"/>
        <v>19</v>
      </c>
      <c r="AA961">
        <f t="shared" si="670"/>
        <v>19.833333333333329</v>
      </c>
      <c r="AB961">
        <f t="shared" si="681"/>
        <v>50.505050505050505</v>
      </c>
      <c r="AC961">
        <f t="shared" si="708"/>
        <v>1001.6835016835014</v>
      </c>
      <c r="AD961">
        <f t="shared" si="682"/>
        <v>80.505050505050505</v>
      </c>
      <c r="AE961">
        <f t="shared" si="683"/>
        <v>79.834175084175058</v>
      </c>
      <c r="AF961" s="94">
        <f t="shared" si="684"/>
        <v>3918.4823232323238</v>
      </c>
      <c r="AG961">
        <f t="shared" si="697"/>
        <v>1.9999421491029707E-4</v>
      </c>
      <c r="AH961">
        <f t="shared" si="685"/>
        <v>6.2015070870803941E-2</v>
      </c>
      <c r="AI961">
        <f>HLOOKUP(AW961,'Real assumptions'!$A$21:$AK$24,2,TRUE)</f>
        <v>0</v>
      </c>
      <c r="AJ961" s="123">
        <f t="shared" si="709"/>
        <v>0</v>
      </c>
      <c r="AK961" s="122">
        <f>(1+HLOOKUP(YEAR(A961),'Real assumptions'!$A$21:$AK$24,2,TRUE)/100)^(1/12)-1</f>
        <v>0</v>
      </c>
      <c r="AL961">
        <f t="shared" si="698"/>
        <v>4.4067055153217778E-4</v>
      </c>
      <c r="AM961">
        <f>('Real assumptions'!$B$33/12)*O960*AV960</f>
        <v>4.2362851649471554E-4</v>
      </c>
      <c r="AN961">
        <f t="shared" si="686"/>
        <v>6.2083300959219621E-2</v>
      </c>
      <c r="AO961">
        <f t="shared" si="710"/>
        <v>0</v>
      </c>
      <c r="AP961" s="121">
        <f t="shared" si="687"/>
        <v>0</v>
      </c>
      <c r="AQ961">
        <f t="shared" si="688"/>
        <v>0</v>
      </c>
      <c r="AR961">
        <v>0</v>
      </c>
      <c r="AS961">
        <f t="shared" si="671"/>
        <v>0</v>
      </c>
      <c r="AT961">
        <f t="shared" si="689"/>
        <v>0</v>
      </c>
      <c r="AU961">
        <f>IFERROR(HLOOKUP(B961,'Real assumptions'!$B$43:$AL$44,2,TRUE)*($W$3/$U$2),0)</f>
        <v>0</v>
      </c>
      <c r="AV961">
        <f>AV960*(1+'Real assumptions'!$B$35)^(1/12)</f>
        <v>2.6708967832241712</v>
      </c>
      <c r="AW961">
        <f t="shared" si="672"/>
        <v>2098</v>
      </c>
      <c r="AX961">
        <f t="shared" si="699"/>
        <v>6.2209739228082213E-2</v>
      </c>
      <c r="AY961">
        <f t="shared" si="700"/>
        <v>6.6823809686455491E-5</v>
      </c>
      <c r="AZ961">
        <f t="shared" si="673"/>
        <v>5.5937153759335695E-2</v>
      </c>
      <c r="BA961">
        <f t="shared" si="690"/>
        <v>1.9999421491029707E-4</v>
      </c>
      <c r="BB961">
        <f t="shared" si="691"/>
        <v>19.833333333333329</v>
      </c>
      <c r="BC961">
        <f t="shared" si="674"/>
        <v>11.899999999999997</v>
      </c>
      <c r="BD961">
        <f t="shared" si="692"/>
        <v>0</v>
      </c>
      <c r="BE961">
        <f t="shared" si="675"/>
        <v>24</v>
      </c>
      <c r="BF961">
        <f t="shared" si="701"/>
        <v>5000</v>
      </c>
      <c r="BU961"/>
      <c r="DW961" s="89"/>
      <c r="DX961" s="89"/>
      <c r="FD961"/>
      <c r="FE961"/>
    </row>
    <row r="962" spans="1:161" x14ac:dyDescent="0.25">
      <c r="A962" s="7">
        <f t="shared" si="693"/>
        <v>72379</v>
      </c>
      <c r="B962">
        <f t="shared" si="676"/>
        <v>951</v>
      </c>
      <c r="C962">
        <f t="shared" si="702"/>
        <v>79.166666666666671</v>
      </c>
      <c r="D962">
        <f t="shared" si="703"/>
        <v>0</v>
      </c>
      <c r="E962">
        <f t="shared" si="677"/>
        <v>131</v>
      </c>
      <c r="F962">
        <f>IF(C962&gt;=$T$2,0,VLOOKUP($E962,EKM_F05!$A$3:$C$128,2,TRUE))</f>
        <v>0</v>
      </c>
      <c r="G962">
        <f>F962*'Real assumptions'!$B$3</f>
        <v>0</v>
      </c>
      <c r="H962">
        <f t="shared" si="704"/>
        <v>0</v>
      </c>
      <c r="I962">
        <f t="shared" si="705"/>
        <v>0</v>
      </c>
      <c r="J962">
        <f>IF(B962&gt;$AJ$2,0,HLOOKUP(C962,'Real assumptions'!$B$5:$L$8,4,TRUE))</f>
        <v>3.7900000000000003E-2</v>
      </c>
      <c r="K962">
        <f t="shared" si="666"/>
        <v>1</v>
      </c>
      <c r="L962">
        <f t="shared" si="694"/>
        <v>8.3333333333333329E-2</v>
      </c>
      <c r="M962">
        <f t="shared" si="706"/>
        <v>3.2145624959929453E-3</v>
      </c>
      <c r="N962">
        <f t="shared" si="707"/>
        <v>5.0874625572685408E-8</v>
      </c>
      <c r="O962" s="8">
        <f t="shared" si="678"/>
        <v>1.5775423863289252E-5</v>
      </c>
      <c r="P962">
        <f t="shared" si="679"/>
        <v>3.798311637326865E-4</v>
      </c>
      <c r="Q962">
        <f t="shared" si="695"/>
        <v>0</v>
      </c>
      <c r="R962" s="89">
        <f t="shared" si="667"/>
        <v>5000</v>
      </c>
      <c r="S962">
        <f t="shared" si="668"/>
        <v>0.75</v>
      </c>
      <c r="U962">
        <f>O961*AV961*'Real assumptions'!$B$33/12+AX962*'Real assumptions'!$B$34</f>
        <v>4.3971105108405557E-4</v>
      </c>
      <c r="V962">
        <f>IF(P962=0,0,IF(E962&lt;=$C$7,$AN$5*O961,0))*'Real assumptions'!$D$28</f>
        <v>0</v>
      </c>
      <c r="X962" s="94">
        <f t="shared" si="680"/>
        <v>0</v>
      </c>
      <c r="Y962">
        <f t="shared" si="669"/>
        <v>24</v>
      </c>
      <c r="Z962">
        <f t="shared" si="696"/>
        <v>19</v>
      </c>
      <c r="AA962">
        <f t="shared" si="670"/>
        <v>19.75</v>
      </c>
      <c r="AB962">
        <f t="shared" si="681"/>
        <v>50.505050505050505</v>
      </c>
      <c r="AC962">
        <f t="shared" si="708"/>
        <v>997.47474747474746</v>
      </c>
      <c r="AD962">
        <f t="shared" si="682"/>
        <v>80.505050505050505</v>
      </c>
      <c r="AE962">
        <f t="shared" si="683"/>
        <v>79.49873737373737</v>
      </c>
      <c r="AF962" s="94">
        <f t="shared" si="684"/>
        <v>3923.0265151515155</v>
      </c>
      <c r="AG962">
        <f t="shared" si="697"/>
        <v>1.995825050700502E-4</v>
      </c>
      <c r="AH962">
        <f t="shared" si="685"/>
        <v>6.1887406103437695E-2</v>
      </c>
      <c r="AI962">
        <f>HLOOKUP(AW962,'Real assumptions'!$A$21:$AK$24,2,TRUE)</f>
        <v>0</v>
      </c>
      <c r="AJ962" s="123">
        <f t="shared" si="709"/>
        <v>0</v>
      </c>
      <c r="AK962" s="122">
        <f>(1+HLOOKUP(YEAR(A962),'Real assumptions'!$A$21:$AK$24,2,TRUE)/100)^(1/12)-1</f>
        <v>0</v>
      </c>
      <c r="AL962">
        <f t="shared" si="698"/>
        <v>4.3971105108405557E-4</v>
      </c>
      <c r="AM962">
        <f>('Real assumptions'!$B$33/12)*O961*AV961</f>
        <v>4.2270409724246916E-4</v>
      </c>
      <c r="AN962">
        <f t="shared" si="686"/>
        <v>6.195519098345257E-2</v>
      </c>
      <c r="AO962">
        <f t="shared" si="710"/>
        <v>0</v>
      </c>
      <c r="AP962" s="121">
        <f t="shared" si="687"/>
        <v>0</v>
      </c>
      <c r="AQ962">
        <f t="shared" si="688"/>
        <v>0</v>
      </c>
      <c r="AR962">
        <v>0</v>
      </c>
      <c r="AS962">
        <f t="shared" si="671"/>
        <v>0</v>
      </c>
      <c r="AT962">
        <f t="shared" si="689"/>
        <v>0</v>
      </c>
      <c r="AU962">
        <f>IFERROR(HLOOKUP(B962,'Real assumptions'!$B$43:$AL$44,2,TRUE)*($W$3/$U$2),0)</f>
        <v>0</v>
      </c>
      <c r="AV962">
        <f>AV961*(1+'Real assumptions'!$B$35)^(1/12)</f>
        <v>2.6736631539230662</v>
      </c>
      <c r="AW962">
        <f t="shared" si="672"/>
        <v>2098</v>
      </c>
      <c r="AX962">
        <f t="shared" si="699"/>
        <v>6.2081679871177936E-2</v>
      </c>
      <c r="AY962">
        <f t="shared" si="700"/>
        <v>6.6609000373998045E-5</v>
      </c>
      <c r="AZ962">
        <f t="shared" si="673"/>
        <v>5.5677691366914271E-2</v>
      </c>
      <c r="BA962">
        <f t="shared" si="690"/>
        <v>1.995825050700502E-4</v>
      </c>
      <c r="BB962">
        <f t="shared" si="691"/>
        <v>19.75</v>
      </c>
      <c r="BC962">
        <f t="shared" si="674"/>
        <v>11.85</v>
      </c>
      <c r="BD962">
        <f t="shared" si="692"/>
        <v>0</v>
      </c>
      <c r="BE962">
        <f t="shared" si="675"/>
        <v>24</v>
      </c>
      <c r="BF962">
        <f t="shared" si="701"/>
        <v>5000</v>
      </c>
      <c r="BU962"/>
      <c r="DW962" s="89"/>
      <c r="DX962" s="89"/>
      <c r="FD962"/>
      <c r="FE962"/>
    </row>
    <row r="963" spans="1:161" x14ac:dyDescent="0.25">
      <c r="A963" s="7">
        <f t="shared" si="693"/>
        <v>72410</v>
      </c>
      <c r="B963">
        <f t="shared" si="676"/>
        <v>952</v>
      </c>
      <c r="C963">
        <f t="shared" si="702"/>
        <v>79.25</v>
      </c>
      <c r="D963">
        <f t="shared" si="703"/>
        <v>0</v>
      </c>
      <c r="E963">
        <f t="shared" si="677"/>
        <v>131</v>
      </c>
      <c r="F963">
        <f>IF(C963&gt;=$T$2,0,VLOOKUP($E963,EKM_F05!$A$3:$C$128,2,TRUE))</f>
        <v>0</v>
      </c>
      <c r="G963">
        <f>F963*'Real assumptions'!$B$3</f>
        <v>0</v>
      </c>
      <c r="H963">
        <f t="shared" si="704"/>
        <v>0</v>
      </c>
      <c r="I963">
        <f t="shared" si="705"/>
        <v>0</v>
      </c>
      <c r="J963">
        <f>IF(B963&gt;$AJ$2,0,HLOOKUP(C963,'Real assumptions'!$B$5:$L$8,4,TRUE))</f>
        <v>3.7900000000000003E-2</v>
      </c>
      <c r="K963">
        <f t="shared" si="666"/>
        <v>1</v>
      </c>
      <c r="L963">
        <f t="shared" si="694"/>
        <v>8.3333333333333329E-2</v>
      </c>
      <c r="M963">
        <f t="shared" si="706"/>
        <v>3.2145624959929453E-3</v>
      </c>
      <c r="N963">
        <f t="shared" si="707"/>
        <v>5.0711085909321772E-8</v>
      </c>
      <c r="O963" s="8">
        <f t="shared" si="678"/>
        <v>1.5724712777379929E-5</v>
      </c>
      <c r="P963">
        <f t="shared" si="679"/>
        <v>3.7861017271894205E-4</v>
      </c>
      <c r="Q963">
        <f t="shared" si="695"/>
        <v>0</v>
      </c>
      <c r="R963" s="89">
        <f t="shared" si="667"/>
        <v>5000</v>
      </c>
      <c r="S963">
        <f t="shared" si="668"/>
        <v>0.6666666666666714</v>
      </c>
      <c r="U963">
        <f>O962*AV962*'Real assumptions'!$B$33/12+AX963*'Real assumptions'!$B$34</f>
        <v>4.3875361729268529E-4</v>
      </c>
      <c r="V963">
        <f>IF(P963=0,0,IF(E963&lt;=$C$7,$AN$5*O962,0))*'Real assumptions'!$D$28</f>
        <v>0</v>
      </c>
      <c r="X963" s="94">
        <f t="shared" si="680"/>
        <v>0</v>
      </c>
      <c r="Y963">
        <f t="shared" si="669"/>
        <v>24</v>
      </c>
      <c r="Z963">
        <f t="shared" si="696"/>
        <v>19</v>
      </c>
      <c r="AA963">
        <f t="shared" si="670"/>
        <v>19.666666666666671</v>
      </c>
      <c r="AB963">
        <f t="shared" si="681"/>
        <v>50.505050505050505</v>
      </c>
      <c r="AC963">
        <f t="shared" si="708"/>
        <v>993.26599326599353</v>
      </c>
      <c r="AD963">
        <f t="shared" si="682"/>
        <v>80.505050505050505</v>
      </c>
      <c r="AE963">
        <f t="shared" si="683"/>
        <v>79.163299663299682</v>
      </c>
      <c r="AF963" s="94">
        <f t="shared" si="684"/>
        <v>3927.5707070707067</v>
      </c>
      <c r="AG963">
        <f t="shared" si="697"/>
        <v>1.9917137554119826E-4</v>
      </c>
      <c r="AH963">
        <f t="shared" si="685"/>
        <v>6.1759921281537865E-2</v>
      </c>
      <c r="AI963">
        <f>HLOOKUP(AW963,'Real assumptions'!$A$21:$AK$24,2,TRUE)</f>
        <v>0</v>
      </c>
      <c r="AJ963" s="123">
        <f t="shared" si="709"/>
        <v>0</v>
      </c>
      <c r="AK963" s="122">
        <f>(1+HLOOKUP(YEAR(A963),'Real assumptions'!$A$21:$AK$24,2,TRUE)/100)^(1/12)-1</f>
        <v>0</v>
      </c>
      <c r="AL963">
        <f t="shared" si="698"/>
        <v>4.3875361729268529E-4</v>
      </c>
      <c r="AM963">
        <f>('Real assumptions'!$B$33/12)*O962*AV962</f>
        <v>4.2178169520795141E-4</v>
      </c>
      <c r="AN963">
        <f t="shared" si="686"/>
        <v>6.1827262658863957E-2</v>
      </c>
      <c r="AO963">
        <f t="shared" si="710"/>
        <v>0</v>
      </c>
      <c r="AP963" s="121">
        <f t="shared" si="687"/>
        <v>0</v>
      </c>
      <c r="AQ963">
        <f t="shared" si="688"/>
        <v>0</v>
      </c>
      <c r="AR963">
        <v>0</v>
      </c>
      <c r="AS963">
        <f t="shared" si="671"/>
        <v>0</v>
      </c>
      <c r="AT963">
        <f t="shared" si="689"/>
        <v>0</v>
      </c>
      <c r="AU963">
        <f>IFERROR(HLOOKUP(B963,'Real assumptions'!$B$43:$AL$44,2,TRUE)*($W$3/$U$2),0)</f>
        <v>0</v>
      </c>
      <c r="AV963">
        <f>AV962*(1+'Real assumptions'!$B$35)^(1/12)</f>
        <v>2.676432389879388</v>
      </c>
      <c r="AW963">
        <f t="shared" si="672"/>
        <v>2098</v>
      </c>
      <c r="AX963">
        <f t="shared" si="699"/>
        <v>6.1953800985017196E-2</v>
      </c>
      <c r="AY963">
        <f t="shared" si="700"/>
        <v>6.6394881579500211E-5</v>
      </c>
      <c r="AZ963">
        <f t="shared" si="673"/>
        <v>5.5418376546799333E-2</v>
      </c>
      <c r="BA963">
        <f t="shared" si="690"/>
        <v>1.9917137554119826E-4</v>
      </c>
      <c r="BB963">
        <f t="shared" si="691"/>
        <v>19.666666666666671</v>
      </c>
      <c r="BC963">
        <f t="shared" si="674"/>
        <v>11.800000000000002</v>
      </c>
      <c r="BD963">
        <f t="shared" si="692"/>
        <v>0</v>
      </c>
      <c r="BE963">
        <f t="shared" si="675"/>
        <v>24</v>
      </c>
      <c r="BF963">
        <f t="shared" si="701"/>
        <v>5000</v>
      </c>
      <c r="BU963"/>
      <c r="DW963" s="89"/>
      <c r="DX963" s="89"/>
      <c r="FD963"/>
      <c r="FE963"/>
    </row>
    <row r="964" spans="1:161" x14ac:dyDescent="0.25">
      <c r="A964" s="7">
        <f t="shared" si="693"/>
        <v>72440</v>
      </c>
      <c r="B964">
        <f t="shared" si="676"/>
        <v>953</v>
      </c>
      <c r="C964">
        <f t="shared" si="702"/>
        <v>79.333333333333329</v>
      </c>
      <c r="D964">
        <f t="shared" si="703"/>
        <v>0</v>
      </c>
      <c r="E964">
        <f t="shared" si="677"/>
        <v>131</v>
      </c>
      <c r="F964">
        <f>IF(C964&gt;=$T$2,0,VLOOKUP($E964,EKM_F05!$A$3:$C$128,2,TRUE))</f>
        <v>0</v>
      </c>
      <c r="G964">
        <f>F964*'Real assumptions'!$B$3</f>
        <v>0</v>
      </c>
      <c r="H964">
        <f t="shared" si="704"/>
        <v>0</v>
      </c>
      <c r="I964">
        <f t="shared" si="705"/>
        <v>0</v>
      </c>
      <c r="J964">
        <f>IF(B964&gt;$AJ$2,0,HLOOKUP(C964,'Real assumptions'!$B$5:$L$8,4,TRUE))</f>
        <v>3.7900000000000003E-2</v>
      </c>
      <c r="K964">
        <f t="shared" si="666"/>
        <v>1</v>
      </c>
      <c r="L964">
        <f t="shared" si="694"/>
        <v>8.3333333333333329E-2</v>
      </c>
      <c r="M964">
        <f t="shared" si="706"/>
        <v>3.2145624959929453E-3</v>
      </c>
      <c r="N964">
        <f t="shared" si="707"/>
        <v>5.0548071954426584E-8</v>
      </c>
      <c r="O964" s="8">
        <f t="shared" si="678"/>
        <v>1.5674164705425503E-5</v>
      </c>
      <c r="P964">
        <f t="shared" si="679"/>
        <v>3.7739310665711831E-4</v>
      </c>
      <c r="Q964">
        <f t="shared" si="695"/>
        <v>0</v>
      </c>
      <c r="R964" s="89">
        <f t="shared" si="667"/>
        <v>5000</v>
      </c>
      <c r="S964">
        <f t="shared" si="668"/>
        <v>0.5833333333333286</v>
      </c>
      <c r="U964">
        <f>O963*AV963*'Real assumptions'!$B$33/12+AX964*'Real assumptions'!$B$34</f>
        <v>4.3779824580086229E-4</v>
      </c>
      <c r="V964">
        <f>IF(P964=0,0,IF(E964&lt;=$C$7,$AN$5*O963,0))*'Real assumptions'!$D$28</f>
        <v>0</v>
      </c>
      <c r="X964" s="94">
        <f t="shared" si="680"/>
        <v>0</v>
      </c>
      <c r="Y964">
        <f t="shared" si="669"/>
        <v>24</v>
      </c>
      <c r="Z964">
        <f t="shared" si="696"/>
        <v>19</v>
      </c>
      <c r="AA964">
        <f t="shared" si="670"/>
        <v>19.583333333333329</v>
      </c>
      <c r="AB964">
        <f t="shared" si="681"/>
        <v>50.505050505050505</v>
      </c>
      <c r="AC964">
        <f t="shared" si="708"/>
        <v>989.0572390572388</v>
      </c>
      <c r="AD964">
        <f t="shared" si="682"/>
        <v>80.505050505050505</v>
      </c>
      <c r="AE964">
        <f t="shared" si="683"/>
        <v>78.827861952861937</v>
      </c>
      <c r="AF964" s="94">
        <f t="shared" si="684"/>
        <v>3932.1148989898993</v>
      </c>
      <c r="AG964">
        <f t="shared" si="697"/>
        <v>1.9876082684721426E-4</v>
      </c>
      <c r="AH964">
        <f t="shared" si="685"/>
        <v>6.1632616567425247E-2</v>
      </c>
      <c r="AI964">
        <f>HLOOKUP(AW964,'Real assumptions'!$A$21:$AK$24,2,TRUE)</f>
        <v>0</v>
      </c>
      <c r="AJ964" s="123">
        <f t="shared" si="709"/>
        <v>0</v>
      </c>
      <c r="AK964" s="122">
        <f>(1+HLOOKUP(YEAR(A964),'Real assumptions'!$A$21:$AK$24,2,TRUE)/100)^(1/12)-1</f>
        <v>0</v>
      </c>
      <c r="AL964">
        <f t="shared" si="698"/>
        <v>4.3779824580086229E-4</v>
      </c>
      <c r="AM964">
        <f>('Real assumptions'!$B$33/12)*O963*AV963</f>
        <v>4.2086130598929908E-4</v>
      </c>
      <c r="AN964">
        <f t="shared" si="686"/>
        <v>6.169951614239412E-2</v>
      </c>
      <c r="AO964">
        <f t="shared" si="710"/>
        <v>0</v>
      </c>
      <c r="AP964" s="121">
        <f t="shared" si="687"/>
        <v>0</v>
      </c>
      <c r="AQ964">
        <f t="shared" si="688"/>
        <v>0</v>
      </c>
      <c r="AR964">
        <v>0</v>
      </c>
      <c r="AS964">
        <f t="shared" si="671"/>
        <v>0</v>
      </c>
      <c r="AT964">
        <f t="shared" si="689"/>
        <v>0</v>
      </c>
      <c r="AU964">
        <f>IFERROR(HLOOKUP(B964,'Real assumptions'!$B$43:$AL$44,2,TRUE)*($W$3/$U$2),0)</f>
        <v>0</v>
      </c>
      <c r="AV964">
        <f>AV963*(1+'Real assumptions'!$B$35)^(1/12)</f>
        <v>2.6792044940608153</v>
      </c>
      <c r="AW964">
        <f t="shared" si="672"/>
        <v>2098</v>
      </c>
      <c r="AX964">
        <f t="shared" si="699"/>
        <v>6.182610273262111E-2</v>
      </c>
      <c r="AY964">
        <f t="shared" si="700"/>
        <v>6.6181451083248847E-5</v>
      </c>
      <c r="AZ964">
        <f t="shared" si="673"/>
        <v>5.5159210580808374E-2</v>
      </c>
      <c r="BA964">
        <f t="shared" si="690"/>
        <v>1.9876082684721426E-4</v>
      </c>
      <c r="BB964">
        <f t="shared" si="691"/>
        <v>19.583333333333329</v>
      </c>
      <c r="BC964">
        <f t="shared" si="674"/>
        <v>11.749999999999996</v>
      </c>
      <c r="BD964">
        <f t="shared" si="692"/>
        <v>0</v>
      </c>
      <c r="BE964">
        <f t="shared" si="675"/>
        <v>24</v>
      </c>
      <c r="BF964">
        <f t="shared" si="701"/>
        <v>5000</v>
      </c>
      <c r="BU964"/>
      <c r="DW964" s="89"/>
      <c r="DX964" s="89"/>
      <c r="FD964"/>
      <c r="FE964"/>
    </row>
    <row r="965" spans="1:161" x14ac:dyDescent="0.25">
      <c r="A965" s="7">
        <f t="shared" si="693"/>
        <v>72471</v>
      </c>
      <c r="B965">
        <f t="shared" si="676"/>
        <v>954</v>
      </c>
      <c r="C965">
        <f t="shared" si="702"/>
        <v>79.416666666666671</v>
      </c>
      <c r="D965">
        <f t="shared" si="703"/>
        <v>0</v>
      </c>
      <c r="E965">
        <f t="shared" si="677"/>
        <v>131</v>
      </c>
      <c r="F965">
        <f>IF(C965&gt;=$T$2,0,VLOOKUP($E965,EKM_F05!$A$3:$C$128,2,TRUE))</f>
        <v>0</v>
      </c>
      <c r="G965">
        <f>F965*'Real assumptions'!$B$3</f>
        <v>0</v>
      </c>
      <c r="H965">
        <f t="shared" si="704"/>
        <v>0</v>
      </c>
      <c r="I965">
        <f t="shared" si="705"/>
        <v>0</v>
      </c>
      <c r="J965">
        <f>IF(B965&gt;$AJ$2,0,HLOOKUP(C965,'Real assumptions'!$B$5:$L$8,4,TRUE))</f>
        <v>3.7900000000000003E-2</v>
      </c>
      <c r="K965">
        <f t="shared" si="666"/>
        <v>1</v>
      </c>
      <c r="L965">
        <f t="shared" si="694"/>
        <v>8.3333333333333329E-2</v>
      </c>
      <c r="M965">
        <f t="shared" si="706"/>
        <v>3.2145624959929453E-3</v>
      </c>
      <c r="N965">
        <f t="shared" si="707"/>
        <v>5.038558201807713E-8</v>
      </c>
      <c r="O965" s="8">
        <f t="shared" si="678"/>
        <v>1.5623779123407425E-5</v>
      </c>
      <c r="P965">
        <f t="shared" si="679"/>
        <v>3.7617995293021209E-4</v>
      </c>
      <c r="Q965">
        <f t="shared" si="695"/>
        <v>0</v>
      </c>
      <c r="R965" s="89">
        <f t="shared" si="667"/>
        <v>5000</v>
      </c>
      <c r="S965">
        <f t="shared" si="668"/>
        <v>0.5</v>
      </c>
      <c r="U965">
        <f>O964*AV964*'Real assumptions'!$B$33/12+AX965*'Real assumptions'!$B$34</f>
        <v>4.3684493226018933E-4</v>
      </c>
      <c r="V965">
        <f>IF(P965=0,0,IF(E965&lt;=$C$7,$AN$5*O964,0))*'Real assumptions'!$D$28</f>
        <v>0</v>
      </c>
      <c r="X965" s="94">
        <f t="shared" si="680"/>
        <v>0</v>
      </c>
      <c r="Y965">
        <f t="shared" si="669"/>
        <v>24</v>
      </c>
      <c r="Z965">
        <f t="shared" si="696"/>
        <v>19</v>
      </c>
      <c r="AA965">
        <f t="shared" si="670"/>
        <v>19.5</v>
      </c>
      <c r="AB965">
        <f t="shared" si="681"/>
        <v>50.505050505050505</v>
      </c>
      <c r="AC965">
        <f t="shared" si="708"/>
        <v>984.84848484848487</v>
      </c>
      <c r="AD965">
        <f t="shared" si="682"/>
        <v>80.505050505050505</v>
      </c>
      <c r="AE965">
        <f t="shared" si="683"/>
        <v>78.492424242424235</v>
      </c>
      <c r="AF965" s="94">
        <f t="shared" si="684"/>
        <v>3936.659090909091</v>
      </c>
      <c r="AG965">
        <f t="shared" si="697"/>
        <v>1.9835085950220896E-4</v>
      </c>
      <c r="AH965">
        <f t="shared" si="685"/>
        <v>6.1505492120517508E-2</v>
      </c>
      <c r="AI965">
        <f>HLOOKUP(AW965,'Real assumptions'!$A$21:$AK$24,2,TRUE)</f>
        <v>0</v>
      </c>
      <c r="AJ965" s="123">
        <f t="shared" si="709"/>
        <v>0</v>
      </c>
      <c r="AK965" s="122">
        <f>(1+HLOOKUP(YEAR(A965),'Real assumptions'!$A$21:$AK$24,2,TRUE)/100)^(1/12)-1</f>
        <v>0</v>
      </c>
      <c r="AL965">
        <f t="shared" si="698"/>
        <v>4.3684493226018933E-4</v>
      </c>
      <c r="AM965">
        <f>('Real assumptions'!$B$33/12)*O964*AV964</f>
        <v>4.1994292519425419E-4</v>
      </c>
      <c r="AN965">
        <f t="shared" si="686"/>
        <v>6.1571951588095267E-2</v>
      </c>
      <c r="AO965">
        <f t="shared" si="710"/>
        <v>0</v>
      </c>
      <c r="AP965" s="121">
        <f t="shared" si="687"/>
        <v>0</v>
      </c>
      <c r="AQ965">
        <f t="shared" si="688"/>
        <v>0</v>
      </c>
      <c r="AR965">
        <v>0</v>
      </c>
      <c r="AS965">
        <f t="shared" si="671"/>
        <v>0</v>
      </c>
      <c r="AT965">
        <f t="shared" si="689"/>
        <v>0</v>
      </c>
      <c r="AU965">
        <f>IFERROR(HLOOKUP(B965,'Real assumptions'!$B$43:$AL$44,2,TRUE)*($W$3/$U$2),0)</f>
        <v>0</v>
      </c>
      <c r="AV965">
        <f>AV964*(1+'Real assumptions'!$B$35)^(1/12)</f>
        <v>2.6819794694381005</v>
      </c>
      <c r="AW965">
        <f t="shared" si="672"/>
        <v>2098</v>
      </c>
      <c r="AX965">
        <f t="shared" si="699"/>
        <v>6.1698585274097911E-2</v>
      </c>
      <c r="AY965">
        <f t="shared" si="700"/>
        <v>6.5968706672666255E-5</v>
      </c>
      <c r="AZ965">
        <f t="shared" si="673"/>
        <v>5.4900194741976181E-2</v>
      </c>
      <c r="BA965">
        <f t="shared" si="690"/>
        <v>1.9835085950220896E-4</v>
      </c>
      <c r="BB965">
        <f t="shared" si="691"/>
        <v>19.5</v>
      </c>
      <c r="BC965">
        <f t="shared" si="674"/>
        <v>11.7</v>
      </c>
      <c r="BD965">
        <f t="shared" si="692"/>
        <v>0</v>
      </c>
      <c r="BE965">
        <f t="shared" si="675"/>
        <v>24</v>
      </c>
      <c r="BF965">
        <f t="shared" si="701"/>
        <v>5000</v>
      </c>
      <c r="BU965"/>
      <c r="DW965" s="89"/>
      <c r="DX965" s="89"/>
      <c r="FD965"/>
      <c r="FE965"/>
    </row>
    <row r="966" spans="1:161" x14ac:dyDescent="0.25">
      <c r="A966" s="7">
        <f t="shared" si="693"/>
        <v>72501</v>
      </c>
      <c r="B966">
        <f t="shared" si="676"/>
        <v>955</v>
      </c>
      <c r="C966">
        <f t="shared" si="702"/>
        <v>79.5</v>
      </c>
      <c r="D966">
        <f t="shared" si="703"/>
        <v>0</v>
      </c>
      <c r="E966">
        <f t="shared" si="677"/>
        <v>131</v>
      </c>
      <c r="F966">
        <f>IF(C966&gt;=$T$2,0,VLOOKUP($E966,EKM_F05!$A$3:$C$128,2,TRUE))</f>
        <v>0</v>
      </c>
      <c r="G966">
        <f>F966*'Real assumptions'!$B$3</f>
        <v>0</v>
      </c>
      <c r="H966">
        <f t="shared" si="704"/>
        <v>0</v>
      </c>
      <c r="I966">
        <f t="shared" si="705"/>
        <v>0</v>
      </c>
      <c r="J966">
        <f>IF(B966&gt;$AJ$2,0,HLOOKUP(C966,'Real assumptions'!$B$5:$L$8,4,TRUE))</f>
        <v>3.7900000000000003E-2</v>
      </c>
      <c r="K966">
        <f t="shared" si="666"/>
        <v>1</v>
      </c>
      <c r="L966">
        <f t="shared" si="694"/>
        <v>8.3333333333333329E-2</v>
      </c>
      <c r="M966">
        <f t="shared" si="706"/>
        <v>3.2145624959929453E-3</v>
      </c>
      <c r="N966">
        <f t="shared" si="707"/>
        <v>5.0223614415783046E-8</v>
      </c>
      <c r="O966" s="8">
        <f t="shared" si="678"/>
        <v>1.5573555508991642E-5</v>
      </c>
      <c r="P966">
        <f t="shared" si="679"/>
        <v>3.7497069896177818E-4</v>
      </c>
      <c r="Q966">
        <f t="shared" si="695"/>
        <v>0</v>
      </c>
      <c r="R966" s="89">
        <f t="shared" si="667"/>
        <v>5000</v>
      </c>
      <c r="S966">
        <f t="shared" si="668"/>
        <v>0.4166666666666714</v>
      </c>
      <c r="U966">
        <f>O965*AV965*'Real assumptions'!$B$33/12+AX966*'Real assumptions'!$B$34</f>
        <v>4.3589367233106042E-4</v>
      </c>
      <c r="V966">
        <f>IF(P966=0,0,IF(E966&lt;=$C$7,$AN$5*O965,0))*'Real assumptions'!$D$28</f>
        <v>0</v>
      </c>
      <c r="X966" s="94">
        <f t="shared" si="680"/>
        <v>0</v>
      </c>
      <c r="Y966">
        <f t="shared" si="669"/>
        <v>24</v>
      </c>
      <c r="Z966">
        <f t="shared" si="696"/>
        <v>19</v>
      </c>
      <c r="AA966">
        <f t="shared" si="670"/>
        <v>19.416666666666671</v>
      </c>
      <c r="AB966">
        <f t="shared" si="681"/>
        <v>50.505050505050505</v>
      </c>
      <c r="AC966">
        <f t="shared" si="708"/>
        <v>980.63973063973083</v>
      </c>
      <c r="AD966">
        <f t="shared" si="682"/>
        <v>80.505050505050505</v>
      </c>
      <c r="AE966">
        <f t="shared" si="683"/>
        <v>78.156986531986547</v>
      </c>
      <c r="AF966" s="94">
        <f t="shared" si="684"/>
        <v>3941.2032828282827</v>
      </c>
      <c r="AG966">
        <f t="shared" si="697"/>
        <v>1.9794147401098601E-4</v>
      </c>
      <c r="AH966">
        <f t="shared" si="685"/>
        <v>6.1378548097346344E-2</v>
      </c>
      <c r="AI966">
        <f>HLOOKUP(AW966,'Real assumptions'!$A$21:$AK$24,2,TRUE)</f>
        <v>0</v>
      </c>
      <c r="AJ966" s="123">
        <f t="shared" si="709"/>
        <v>0</v>
      </c>
      <c r="AK966" s="122">
        <f>(1+HLOOKUP(YEAR(A966),'Real assumptions'!$A$21:$AK$24,2,TRUE)/100)^(1/12)-1</f>
        <v>0</v>
      </c>
      <c r="AL966">
        <f t="shared" si="698"/>
        <v>4.3589367233106042E-4</v>
      </c>
      <c r="AM966">
        <f>('Real assumptions'!$B$33/12)*O965*AV965</f>
        <v>4.190265484401432E-4</v>
      </c>
      <c r="AN966">
        <f t="shared" si="686"/>
        <v>6.1444569147148229E-2</v>
      </c>
      <c r="AO966">
        <f t="shared" si="710"/>
        <v>0</v>
      </c>
      <c r="AP966" s="121">
        <f t="shared" si="687"/>
        <v>0</v>
      </c>
      <c r="AQ966">
        <f t="shared" si="688"/>
        <v>0</v>
      </c>
      <c r="AR966">
        <v>0</v>
      </c>
      <c r="AS966">
        <f t="shared" si="671"/>
        <v>0</v>
      </c>
      <c r="AT966">
        <f t="shared" si="689"/>
        <v>0</v>
      </c>
      <c r="AU966">
        <f>IFERROR(HLOOKUP(B966,'Real assumptions'!$B$43:$AL$44,2,TRUE)*($W$3/$U$2),0)</f>
        <v>0</v>
      </c>
      <c r="AV966">
        <f>AV965*(1+'Real assumptions'!$B$35)^(1/12)</f>
        <v>2.6847573189850737</v>
      </c>
      <c r="AW966">
        <f t="shared" si="672"/>
        <v>2098</v>
      </c>
      <c r="AX966">
        <f t="shared" si="699"/>
        <v>6.1571248766659793E-2</v>
      </c>
      <c r="AY966">
        <f t="shared" si="700"/>
        <v>6.5756646142287135E-5</v>
      </c>
      <c r="AZ966">
        <f t="shared" si="673"/>
        <v>5.4641330294595919E-2</v>
      </c>
      <c r="BA966">
        <f t="shared" si="690"/>
        <v>1.9794147401098601E-4</v>
      </c>
      <c r="BB966">
        <f t="shared" si="691"/>
        <v>19.416666666666671</v>
      </c>
      <c r="BC966">
        <f t="shared" si="674"/>
        <v>11.650000000000002</v>
      </c>
      <c r="BD966">
        <f t="shared" si="692"/>
        <v>0</v>
      </c>
      <c r="BE966">
        <f t="shared" si="675"/>
        <v>24</v>
      </c>
      <c r="BF966">
        <f t="shared" si="701"/>
        <v>5000</v>
      </c>
      <c r="BU966"/>
      <c r="DW966" s="89"/>
      <c r="DX966" s="89"/>
      <c r="FD966"/>
      <c r="FE966"/>
    </row>
    <row r="967" spans="1:161" x14ac:dyDescent="0.25">
      <c r="A967" s="7">
        <f t="shared" si="693"/>
        <v>72532</v>
      </c>
      <c r="B967">
        <f t="shared" si="676"/>
        <v>956</v>
      </c>
      <c r="C967">
        <f t="shared" si="702"/>
        <v>79.583333333333329</v>
      </c>
      <c r="D967">
        <f t="shared" si="703"/>
        <v>0</v>
      </c>
      <c r="E967">
        <f t="shared" si="677"/>
        <v>131</v>
      </c>
      <c r="F967">
        <f>IF(C967&gt;=$T$2,0,VLOOKUP($E967,EKM_F05!$A$3:$C$128,2,TRUE))</f>
        <v>0</v>
      </c>
      <c r="G967">
        <f>F967*'Real assumptions'!$B$3</f>
        <v>0</v>
      </c>
      <c r="H967">
        <f t="shared" si="704"/>
        <v>0</v>
      </c>
      <c r="I967">
        <f t="shared" si="705"/>
        <v>0</v>
      </c>
      <c r="J967">
        <f>IF(B967&gt;$AJ$2,0,HLOOKUP(C967,'Real assumptions'!$B$5:$L$8,4,TRUE))</f>
        <v>3.7900000000000003E-2</v>
      </c>
      <c r="K967">
        <f t="shared" si="666"/>
        <v>1</v>
      </c>
      <c r="L967">
        <f t="shared" si="694"/>
        <v>8.3333333333333329E-2</v>
      </c>
      <c r="M967">
        <f t="shared" si="706"/>
        <v>3.2145624959929453E-3</v>
      </c>
      <c r="N967">
        <f t="shared" si="707"/>
        <v>5.0062167468468855E-8</v>
      </c>
      <c r="O967" s="8">
        <f t="shared" si="678"/>
        <v>1.5523493341523172E-5</v>
      </c>
      <c r="P967">
        <f t="shared" si="679"/>
        <v>3.7376533221579944E-4</v>
      </c>
      <c r="Q967">
        <f t="shared" si="695"/>
        <v>0</v>
      </c>
      <c r="R967" s="89">
        <f t="shared" si="667"/>
        <v>5000</v>
      </c>
      <c r="S967">
        <f t="shared" si="668"/>
        <v>0.3333333333333286</v>
      </c>
      <c r="U967">
        <f>O966*AV966*'Real assumptions'!$B$33/12+AX967*'Real assumptions'!$B$34</f>
        <v>4.3494446168264458E-4</v>
      </c>
      <c r="V967">
        <f>IF(P967=0,0,IF(E967&lt;=$C$7,$AN$5*O966,0))*'Real assumptions'!$D$28</f>
        <v>0</v>
      </c>
      <c r="X967" s="94">
        <f t="shared" si="680"/>
        <v>0</v>
      </c>
      <c r="Y967">
        <f t="shared" si="669"/>
        <v>24</v>
      </c>
      <c r="Z967">
        <f t="shared" si="696"/>
        <v>19</v>
      </c>
      <c r="AA967">
        <f t="shared" si="670"/>
        <v>19.333333333333329</v>
      </c>
      <c r="AB967">
        <f t="shared" si="681"/>
        <v>50.505050505050505</v>
      </c>
      <c r="AC967">
        <f t="shared" si="708"/>
        <v>976.43097643097622</v>
      </c>
      <c r="AD967">
        <f t="shared" si="682"/>
        <v>80.505050505050505</v>
      </c>
      <c r="AE967">
        <f t="shared" si="683"/>
        <v>77.821548821548802</v>
      </c>
      <c r="AF967" s="94">
        <f t="shared" si="684"/>
        <v>3945.7474747474748</v>
      </c>
      <c r="AG967">
        <f t="shared" si="697"/>
        <v>1.9753267086909616E-4</v>
      </c>
      <c r="AH967">
        <f t="shared" si="685"/>
        <v>6.1251784651574291E-2</v>
      </c>
      <c r="AI967">
        <f>HLOOKUP(AW967,'Real assumptions'!$A$21:$AK$24,2,TRUE)</f>
        <v>0</v>
      </c>
      <c r="AJ967" s="123">
        <f t="shared" si="709"/>
        <v>0</v>
      </c>
      <c r="AK967" s="122">
        <f>(1+HLOOKUP(YEAR(A967),'Real assumptions'!$A$21:$AK$24,2,TRUE)/100)^(1/12)-1</f>
        <v>0</v>
      </c>
      <c r="AL967">
        <f t="shared" si="698"/>
        <v>4.3494446168264458E-4</v>
      </c>
      <c r="AM967">
        <f>('Real assumptions'!$B$33/12)*O966*AV966</f>
        <v>4.1811217135385623E-4</v>
      </c>
      <c r="AN967">
        <f t="shared" si="686"/>
        <v>6.1317368967879503E-2</v>
      </c>
      <c r="AO967">
        <f t="shared" si="710"/>
        <v>0</v>
      </c>
      <c r="AP967" s="121">
        <f t="shared" si="687"/>
        <v>0</v>
      </c>
      <c r="AQ967">
        <f t="shared" si="688"/>
        <v>0</v>
      </c>
      <c r="AR967">
        <v>0</v>
      </c>
      <c r="AS967">
        <f t="shared" si="671"/>
        <v>0</v>
      </c>
      <c r="AT967">
        <f t="shared" si="689"/>
        <v>0</v>
      </c>
      <c r="AU967">
        <f>IFERROR(HLOOKUP(B967,'Real assumptions'!$B$43:$AL$44,2,TRUE)*($W$3/$U$2),0)</f>
        <v>0</v>
      </c>
      <c r="AV967">
        <f>AV966*(1+'Real assumptions'!$B$35)^(1/12)</f>
        <v>2.6875380456786448</v>
      </c>
      <c r="AW967">
        <f t="shared" si="672"/>
        <v>2098</v>
      </c>
      <c r="AX967">
        <f t="shared" si="699"/>
        <v>6.144409336464008E-2</v>
      </c>
      <c r="AY967">
        <f t="shared" si="700"/>
        <v>6.5545267293735861E-5</v>
      </c>
      <c r="AZ967">
        <f t="shared" si="673"/>
        <v>5.4382618494259981E-2</v>
      </c>
      <c r="BA967">
        <f t="shared" si="690"/>
        <v>1.9753267086909616E-4</v>
      </c>
      <c r="BB967">
        <f t="shared" si="691"/>
        <v>19.333333333333329</v>
      </c>
      <c r="BC967">
        <f t="shared" si="674"/>
        <v>11.599999999999998</v>
      </c>
      <c r="BD967">
        <f t="shared" si="692"/>
        <v>0</v>
      </c>
      <c r="BE967">
        <f t="shared" si="675"/>
        <v>24</v>
      </c>
      <c r="BF967">
        <f t="shared" si="701"/>
        <v>5000</v>
      </c>
      <c r="BU967"/>
      <c r="DW967" s="89"/>
      <c r="DX967" s="89"/>
      <c r="FD967"/>
      <c r="FE967"/>
    </row>
    <row r="968" spans="1:161" x14ac:dyDescent="0.25">
      <c r="A968" s="7">
        <f t="shared" si="693"/>
        <v>72563</v>
      </c>
      <c r="B968">
        <f t="shared" si="676"/>
        <v>957</v>
      </c>
      <c r="C968">
        <f t="shared" si="702"/>
        <v>79.666666666666671</v>
      </c>
      <c r="D968">
        <f t="shared" si="703"/>
        <v>0</v>
      </c>
      <c r="E968">
        <f t="shared" si="677"/>
        <v>131</v>
      </c>
      <c r="F968">
        <f>IF(C968&gt;=$T$2,0,VLOOKUP($E968,EKM_F05!$A$3:$C$128,2,TRUE))</f>
        <v>0</v>
      </c>
      <c r="G968">
        <f>F968*'Real assumptions'!$B$3</f>
        <v>0</v>
      </c>
      <c r="H968">
        <f t="shared" si="704"/>
        <v>0</v>
      </c>
      <c r="I968">
        <f t="shared" si="705"/>
        <v>0</v>
      </c>
      <c r="J968">
        <f>IF(B968&gt;$AJ$2,0,HLOOKUP(C968,'Real assumptions'!$B$5:$L$8,4,TRUE))</f>
        <v>3.7900000000000003E-2</v>
      </c>
      <c r="K968">
        <f t="shared" si="666"/>
        <v>1</v>
      </c>
      <c r="L968">
        <f t="shared" si="694"/>
        <v>8.3333333333333329E-2</v>
      </c>
      <c r="M968">
        <f t="shared" si="706"/>
        <v>3.2145624959929453E-3</v>
      </c>
      <c r="N968">
        <f t="shared" si="707"/>
        <v>4.9901239502456594E-8</v>
      </c>
      <c r="O968" s="8">
        <f t="shared" si="678"/>
        <v>1.5473592102020716E-5</v>
      </c>
      <c r="P968">
        <f t="shared" si="679"/>
        <v>3.7256384019655612E-4</v>
      </c>
      <c r="Q968">
        <f t="shared" si="695"/>
        <v>0</v>
      </c>
      <c r="R968" s="89">
        <f t="shared" si="667"/>
        <v>5000</v>
      </c>
      <c r="S968">
        <f t="shared" si="668"/>
        <v>0.25</v>
      </c>
      <c r="U968">
        <f>O967*AV967*'Real assumptions'!$B$33/12+AX968*'Real assumptions'!$B$34</f>
        <v>4.3399729599286963E-4</v>
      </c>
      <c r="V968">
        <f>IF(P968=0,0,IF(E968&lt;=$C$7,$AN$5*O967,0))*'Real assumptions'!$D$28</f>
        <v>0</v>
      </c>
      <c r="X968" s="94">
        <f t="shared" si="680"/>
        <v>0</v>
      </c>
      <c r="Y968">
        <f t="shared" si="669"/>
        <v>24</v>
      </c>
      <c r="Z968">
        <f t="shared" si="696"/>
        <v>19</v>
      </c>
      <c r="AA968">
        <f t="shared" si="670"/>
        <v>19.25</v>
      </c>
      <c r="AB968">
        <f t="shared" si="681"/>
        <v>50.505050505050505</v>
      </c>
      <c r="AC968">
        <f t="shared" si="708"/>
        <v>972.22222222222217</v>
      </c>
      <c r="AD968">
        <f t="shared" si="682"/>
        <v>80.505050505050505</v>
      </c>
      <c r="AE968">
        <f t="shared" si="683"/>
        <v>77.486111111111114</v>
      </c>
      <c r="AF968" s="94">
        <f t="shared" si="684"/>
        <v>3950.2916666666665</v>
      </c>
      <c r="AG968">
        <f t="shared" si="697"/>
        <v>1.9712445056289176E-4</v>
      </c>
      <c r="AH968">
        <f t="shared" si="685"/>
        <v>6.112520193401158E-2</v>
      </c>
      <c r="AI968">
        <f>HLOOKUP(AW968,'Real assumptions'!$A$21:$AK$24,2,TRUE)</f>
        <v>0</v>
      </c>
      <c r="AJ968" s="123">
        <f t="shared" si="709"/>
        <v>0</v>
      </c>
      <c r="AK968" s="122">
        <f>(1+HLOOKUP(YEAR(A968),'Real assumptions'!$A$21:$AK$24,2,TRUE)/100)^(1/12)-1</f>
        <v>0</v>
      </c>
      <c r="AL968">
        <f t="shared" si="698"/>
        <v>4.3399729599286963E-4</v>
      </c>
      <c r="AM968">
        <f>('Real assumptions'!$B$33/12)*O967*AV967</f>
        <v>4.1719978957182642E-4</v>
      </c>
      <c r="AN968">
        <f t="shared" si="686"/>
        <v>6.1190351195777981E-2</v>
      </c>
      <c r="AO968">
        <f t="shared" si="710"/>
        <v>0</v>
      </c>
      <c r="AP968" s="121">
        <f t="shared" si="687"/>
        <v>0</v>
      </c>
      <c r="AQ968">
        <f t="shared" si="688"/>
        <v>0</v>
      </c>
      <c r="AR968">
        <v>0</v>
      </c>
      <c r="AS968">
        <f t="shared" si="671"/>
        <v>0</v>
      </c>
      <c r="AT968">
        <f t="shared" si="689"/>
        <v>0</v>
      </c>
      <c r="AU968">
        <f>IFERROR(HLOOKUP(B968,'Real assumptions'!$B$43:$AL$44,2,TRUE)*($W$3/$U$2),0)</f>
        <v>0</v>
      </c>
      <c r="AV968">
        <f>AV967*(1+'Real assumptions'!$B$35)^(1/12)</f>
        <v>2.6903216524988065</v>
      </c>
      <c r="AW968">
        <f t="shared" si="672"/>
        <v>2098</v>
      </c>
      <c r="AX968">
        <f t="shared" si="699"/>
        <v>6.1317119219509997E-2</v>
      </c>
      <c r="AY968">
        <f t="shared" si="700"/>
        <v>6.5334567935703574E-5</v>
      </c>
      <c r="AZ968">
        <f t="shared" si="673"/>
        <v>5.4124060587900778E-2</v>
      </c>
      <c r="BA968">
        <f t="shared" si="690"/>
        <v>1.9712445056289176E-4</v>
      </c>
      <c r="BB968">
        <f t="shared" si="691"/>
        <v>19.25</v>
      </c>
      <c r="BC968">
        <f t="shared" si="674"/>
        <v>11.55</v>
      </c>
      <c r="BD968">
        <f t="shared" si="692"/>
        <v>0</v>
      </c>
      <c r="BE968">
        <f t="shared" si="675"/>
        <v>24</v>
      </c>
      <c r="BF968">
        <f t="shared" si="701"/>
        <v>5000</v>
      </c>
      <c r="BU968"/>
      <c r="DW968" s="89"/>
      <c r="DX968" s="89"/>
      <c r="FD968"/>
      <c r="FE968"/>
    </row>
    <row r="969" spans="1:161" x14ac:dyDescent="0.25">
      <c r="A969" s="7">
        <f t="shared" si="693"/>
        <v>72593</v>
      </c>
      <c r="B969">
        <f t="shared" si="676"/>
        <v>958</v>
      </c>
      <c r="C969">
        <f t="shared" si="702"/>
        <v>79.75</v>
      </c>
      <c r="D969">
        <f t="shared" si="703"/>
        <v>0</v>
      </c>
      <c r="E969">
        <f t="shared" si="677"/>
        <v>131</v>
      </c>
      <c r="F969">
        <f>IF(C969&gt;=$T$2,0,VLOOKUP($E969,EKM_F05!$A$3:$C$128,2,TRUE))</f>
        <v>0</v>
      </c>
      <c r="G969">
        <f>F969*'Real assumptions'!$B$3</f>
        <v>0</v>
      </c>
      <c r="H969">
        <f t="shared" si="704"/>
        <v>0</v>
      </c>
      <c r="I969">
        <f t="shared" si="705"/>
        <v>0</v>
      </c>
      <c r="J969">
        <f>IF(B969&gt;$AJ$2,0,HLOOKUP(C969,'Real assumptions'!$B$5:$L$8,4,TRUE))</f>
        <v>3.7900000000000003E-2</v>
      </c>
      <c r="K969">
        <f t="shared" si="666"/>
        <v>1</v>
      </c>
      <c r="L969">
        <f t="shared" si="694"/>
        <v>8.3333333333333329E-2</v>
      </c>
      <c r="M969">
        <f t="shared" si="706"/>
        <v>3.2145624959929453E-3</v>
      </c>
      <c r="N969">
        <f t="shared" si="707"/>
        <v>4.974082884944844E-8</v>
      </c>
      <c r="O969" s="8">
        <f t="shared" si="678"/>
        <v>1.5423851273171269E-5</v>
      </c>
      <c r="P969">
        <f t="shared" si="679"/>
        <v>3.7136621044849721E-4</v>
      </c>
      <c r="Q969">
        <f t="shared" si="695"/>
        <v>0</v>
      </c>
      <c r="R969" s="89">
        <f t="shared" si="667"/>
        <v>5000</v>
      </c>
      <c r="S969">
        <f t="shared" si="668"/>
        <v>0.1666666666666714</v>
      </c>
      <c r="U969">
        <f>O968*AV968*'Real assumptions'!$B$33/12+AX969*'Real assumptions'!$B$34</f>
        <v>4.3305217094840567E-4</v>
      </c>
      <c r="V969">
        <f>IF(P969=0,0,IF(E969&lt;=$C$7,$AN$5*O968,0))*'Real assumptions'!$D$28</f>
        <v>0</v>
      </c>
      <c r="X969" s="94">
        <f t="shared" si="680"/>
        <v>0</v>
      </c>
      <c r="Y969">
        <f t="shared" si="669"/>
        <v>24</v>
      </c>
      <c r="Z969">
        <f t="shared" si="696"/>
        <v>19</v>
      </c>
      <c r="AA969">
        <f t="shared" si="670"/>
        <v>19.166666666666671</v>
      </c>
      <c r="AB969">
        <f t="shared" si="681"/>
        <v>50.505050505050505</v>
      </c>
      <c r="AC969">
        <f t="shared" si="708"/>
        <v>968.01346801346824</v>
      </c>
      <c r="AD969">
        <f t="shared" si="682"/>
        <v>80.505050505050505</v>
      </c>
      <c r="AE969">
        <f t="shared" si="683"/>
        <v>77.150673400673412</v>
      </c>
      <c r="AF969" s="94">
        <f t="shared" si="684"/>
        <v>3954.8358585858582</v>
      </c>
      <c r="AG969">
        <f t="shared" si="697"/>
        <v>1.9671681356958065E-4</v>
      </c>
      <c r="AH969">
        <f t="shared" si="685"/>
        <v>6.0998800092632879E-2</v>
      </c>
      <c r="AI969">
        <f>HLOOKUP(AW969,'Real assumptions'!$A$21:$AK$24,2,TRUE)</f>
        <v>0</v>
      </c>
      <c r="AJ969" s="123">
        <f t="shared" si="709"/>
        <v>0</v>
      </c>
      <c r="AK969" s="122">
        <f>(1+HLOOKUP(YEAR(A969),'Real assumptions'!$A$21:$AK$24,2,TRUE)/100)^(1/12)-1</f>
        <v>0</v>
      </c>
      <c r="AL969">
        <f t="shared" si="698"/>
        <v>4.3305217094840567E-4</v>
      </c>
      <c r="AM969">
        <f>('Real assumptions'!$B$33/12)*O968*AV968</f>
        <v>4.1628939874000848E-4</v>
      </c>
      <c r="AN969">
        <f t="shared" si="686"/>
        <v>6.1063515973511673E-2</v>
      </c>
      <c r="AO969">
        <f t="shared" si="710"/>
        <v>0</v>
      </c>
      <c r="AP969" s="121">
        <f t="shared" si="687"/>
        <v>0</v>
      </c>
      <c r="AQ969">
        <f t="shared" si="688"/>
        <v>0</v>
      </c>
      <c r="AR969">
        <v>0</v>
      </c>
      <c r="AS969">
        <f t="shared" si="671"/>
        <v>0</v>
      </c>
      <c r="AT969">
        <f t="shared" si="689"/>
        <v>0</v>
      </c>
      <c r="AU969">
        <f>IFERROR(HLOOKUP(B969,'Real assumptions'!$B$43:$AL$44,2,TRUE)*($W$3/$U$2),0)</f>
        <v>0</v>
      </c>
      <c r="AV969">
        <f>AV968*(1+'Real assumptions'!$B$35)^(1/12)</f>
        <v>2.6931081424286387</v>
      </c>
      <c r="AW969">
        <f t="shared" si="672"/>
        <v>2098</v>
      </c>
      <c r="AX969">
        <f t="shared" si="699"/>
        <v>6.1190326479895508E-2</v>
      </c>
      <c r="AY969">
        <f t="shared" si="700"/>
        <v>6.5124545883925568E-5</v>
      </c>
      <c r="AZ969">
        <f t="shared" si="673"/>
        <v>5.3865657813831291E-2</v>
      </c>
      <c r="BA969">
        <f t="shared" si="690"/>
        <v>1.9671681356958065E-4</v>
      </c>
      <c r="BB969">
        <f t="shared" si="691"/>
        <v>19.166666666666671</v>
      </c>
      <c r="BC969">
        <f t="shared" si="674"/>
        <v>11.500000000000004</v>
      </c>
      <c r="BD969">
        <f t="shared" si="692"/>
        <v>0</v>
      </c>
      <c r="BE969">
        <f t="shared" si="675"/>
        <v>24</v>
      </c>
      <c r="BF969">
        <f t="shared" si="701"/>
        <v>5000</v>
      </c>
      <c r="BU969"/>
      <c r="DW969" s="89"/>
      <c r="DX969" s="89"/>
      <c r="FD969"/>
      <c r="FE969"/>
    </row>
    <row r="970" spans="1:161" x14ac:dyDescent="0.25">
      <c r="A970" s="7">
        <f t="shared" si="693"/>
        <v>72624</v>
      </c>
      <c r="B970">
        <f t="shared" si="676"/>
        <v>959</v>
      </c>
      <c r="C970">
        <f t="shared" si="702"/>
        <v>79.833333333333329</v>
      </c>
      <c r="D970">
        <f t="shared" si="703"/>
        <v>0</v>
      </c>
      <c r="E970">
        <f t="shared" si="677"/>
        <v>131</v>
      </c>
      <c r="F970">
        <f>IF(C970&gt;=$T$2,0,VLOOKUP($E970,EKM_F05!$A$3:$C$128,2,TRUE))</f>
        <v>0</v>
      </c>
      <c r="G970">
        <f>F970*'Real assumptions'!$B$3</f>
        <v>0</v>
      </c>
      <c r="H970">
        <f t="shared" si="704"/>
        <v>0</v>
      </c>
      <c r="I970">
        <f t="shared" si="705"/>
        <v>0</v>
      </c>
      <c r="J970">
        <f>IF(B970&gt;$AJ$2,0,HLOOKUP(C970,'Real assumptions'!$B$5:$L$8,4,TRUE))</f>
        <v>3.7900000000000003E-2</v>
      </c>
      <c r="K970">
        <f t="shared" si="666"/>
        <v>1</v>
      </c>
      <c r="L970">
        <f t="shared" si="694"/>
        <v>8.3333333333333329E-2</v>
      </c>
      <c r="M970">
        <f t="shared" si="706"/>
        <v>3.2145624959929453E-3</v>
      </c>
      <c r="N970">
        <f t="shared" si="707"/>
        <v>4.9580933846509402E-8</v>
      </c>
      <c r="O970" s="8">
        <f t="shared" si="678"/>
        <v>1.537427033932476E-5</v>
      </c>
      <c r="P970">
        <f t="shared" si="679"/>
        <v>3.7017243055611045E-4</v>
      </c>
      <c r="Q970">
        <f t="shared" si="695"/>
        <v>0</v>
      </c>
      <c r="R970" s="89">
        <f t="shared" si="667"/>
        <v>5000</v>
      </c>
      <c r="S970">
        <f t="shared" si="668"/>
        <v>8.3333333333328596E-2</v>
      </c>
      <c r="U970">
        <f>O969*AV969*'Real assumptions'!$B$33/12+AX970*'Real assumptions'!$B$34</f>
        <v>4.3210908224464926E-4</v>
      </c>
      <c r="V970">
        <f>IF(P970=0,0,IF(E970&lt;=$C$7,$AN$5*O969,0))*'Real assumptions'!$D$28</f>
        <v>0</v>
      </c>
      <c r="X970" s="94">
        <f t="shared" si="680"/>
        <v>0</v>
      </c>
      <c r="Y970">
        <f t="shared" si="669"/>
        <v>24</v>
      </c>
      <c r="Z970">
        <f t="shared" si="696"/>
        <v>19</v>
      </c>
      <c r="AA970">
        <f t="shared" si="670"/>
        <v>19.083333333333329</v>
      </c>
      <c r="AB970">
        <f t="shared" si="681"/>
        <v>50.505050505050505</v>
      </c>
      <c r="AC970">
        <f t="shared" si="708"/>
        <v>963.80471380471351</v>
      </c>
      <c r="AD970">
        <f t="shared" si="682"/>
        <v>80.505050505050505</v>
      </c>
      <c r="AE970">
        <f t="shared" si="683"/>
        <v>76.815235690235667</v>
      </c>
      <c r="AF970" s="94">
        <f t="shared" si="684"/>
        <v>3959.3800505050508</v>
      </c>
      <c r="AG970">
        <f t="shared" si="697"/>
        <v>1.9630976035727997E-4</v>
      </c>
      <c r="AH970">
        <f t="shared" si="685"/>
        <v>6.0872579272593971E-2</v>
      </c>
      <c r="AI970">
        <f>HLOOKUP(AW970,'Real assumptions'!$A$21:$AK$24,2,TRUE)</f>
        <v>0</v>
      </c>
      <c r="AJ970" s="123">
        <f t="shared" si="709"/>
        <v>0</v>
      </c>
      <c r="AK970" s="122">
        <f>(1+HLOOKUP(YEAR(A970),'Real assumptions'!$A$21:$AK$24,2,TRUE)/100)^(1/12)-1</f>
        <v>0</v>
      </c>
      <c r="AL970">
        <f t="shared" si="698"/>
        <v>4.3210908224464926E-4</v>
      </c>
      <c r="AM970">
        <f>('Real assumptions'!$B$33/12)*O969*AV969</f>
        <v>4.1538099451385866E-4</v>
      </c>
      <c r="AN970">
        <f t="shared" si="686"/>
        <v>6.0936863440944344E-2</v>
      </c>
      <c r="AO970">
        <f t="shared" si="710"/>
        <v>0</v>
      </c>
      <c r="AP970" s="121">
        <f t="shared" si="687"/>
        <v>0</v>
      </c>
      <c r="AQ970">
        <f t="shared" si="688"/>
        <v>0</v>
      </c>
      <c r="AR970">
        <v>0</v>
      </c>
      <c r="AS970">
        <f t="shared" si="671"/>
        <v>0</v>
      </c>
      <c r="AT970">
        <f t="shared" si="689"/>
        <v>0</v>
      </c>
      <c r="AU970">
        <f>IFERROR(HLOOKUP(B970,'Real assumptions'!$B$43:$AL$44,2,TRUE)*($W$3/$U$2),0)</f>
        <v>0</v>
      </c>
      <c r="AV970">
        <f>AV969*(1+'Real assumptions'!$B$35)^(1/12)</f>
        <v>2.695897518454311</v>
      </c>
      <c r="AW970">
        <f t="shared" si="672"/>
        <v>2098</v>
      </c>
      <c r="AX970">
        <f t="shared" si="699"/>
        <v>6.1063715291594038E-2</v>
      </c>
      <c r="AY970">
        <f t="shared" si="700"/>
        <v>6.4915198961158541E-5</v>
      </c>
      <c r="AZ970">
        <f t="shared" si="673"/>
        <v>5.3607411401785474E-2</v>
      </c>
      <c r="BA970">
        <f t="shared" si="690"/>
        <v>1.9630976035727997E-4</v>
      </c>
      <c r="BB970">
        <f t="shared" si="691"/>
        <v>19.083333333333329</v>
      </c>
      <c r="BC970">
        <f t="shared" si="674"/>
        <v>11.449999999999996</v>
      </c>
      <c r="BD970">
        <f t="shared" si="692"/>
        <v>0</v>
      </c>
      <c r="BE970">
        <f t="shared" si="675"/>
        <v>24</v>
      </c>
      <c r="BF970">
        <f t="shared" si="701"/>
        <v>5000</v>
      </c>
      <c r="BU970"/>
      <c r="DW970" s="89"/>
      <c r="DX970" s="89"/>
      <c r="FD970"/>
      <c r="FE970"/>
    </row>
    <row r="971" spans="1:161" x14ac:dyDescent="0.25">
      <c r="A971" s="7">
        <f t="shared" si="693"/>
        <v>72654</v>
      </c>
      <c r="B971">
        <f t="shared" si="676"/>
        <v>960</v>
      </c>
      <c r="C971">
        <f t="shared" si="702"/>
        <v>79.916666666666671</v>
      </c>
      <c r="D971">
        <f t="shared" si="703"/>
        <v>0</v>
      </c>
      <c r="E971">
        <f t="shared" si="677"/>
        <v>131</v>
      </c>
      <c r="F971">
        <f>IF(C971&gt;=$T$2,0,VLOOKUP($E971,EKM_F05!$A$3:$C$128,2,TRUE))</f>
        <v>0</v>
      </c>
      <c r="G971">
        <f>F971*'Real assumptions'!$B$3</f>
        <v>0</v>
      </c>
      <c r="H971">
        <f t="shared" si="704"/>
        <v>0</v>
      </c>
      <c r="I971">
        <f t="shared" si="705"/>
        <v>0</v>
      </c>
      <c r="J971">
        <f>IF(B971&gt;$AJ$2,0,HLOOKUP(C971,'Real assumptions'!$B$5:$L$8,4,TRUE))</f>
        <v>3.7900000000000003E-2</v>
      </c>
      <c r="K971">
        <f t="shared" si="666"/>
        <v>1</v>
      </c>
      <c r="L971">
        <f t="shared" si="694"/>
        <v>8.3333333333333329E-2</v>
      </c>
      <c r="M971">
        <f t="shared" si="706"/>
        <v>3.2145624959929453E-3</v>
      </c>
      <c r="N971">
        <f t="shared" si="707"/>
        <v>4.9421552836050107E-8</v>
      </c>
      <c r="O971" s="8">
        <f t="shared" si="678"/>
        <v>1.532484878648871E-5</v>
      </c>
      <c r="P971">
        <f t="shared" si="679"/>
        <v>3.6898248814379428E-4</v>
      </c>
      <c r="Q971">
        <f t="shared" si="695"/>
        <v>0</v>
      </c>
      <c r="R971" s="89">
        <f t="shared" si="667"/>
        <v>5000</v>
      </c>
      <c r="S971">
        <f t="shared" si="668"/>
        <v>1</v>
      </c>
      <c r="U971">
        <f>O970*AV970*'Real assumptions'!$B$33/12+AX971*'Real assumptions'!$B$34</f>
        <v>4.31168025585707E-4</v>
      </c>
      <c r="V971">
        <f>IF(P971=0,0,IF(E971&lt;=$C$7,$AN$5*O970,0))*'Real assumptions'!$D$28</f>
        <v>0</v>
      </c>
      <c r="X971" s="94">
        <f t="shared" si="680"/>
        <v>0</v>
      </c>
      <c r="Y971">
        <f t="shared" si="669"/>
        <v>24</v>
      </c>
      <c r="Z971">
        <f t="shared" si="696"/>
        <v>19</v>
      </c>
      <c r="AA971">
        <f t="shared" si="670"/>
        <v>19</v>
      </c>
      <c r="AB971">
        <f t="shared" si="681"/>
        <v>50.505050505050505</v>
      </c>
      <c r="AC971">
        <f t="shared" si="708"/>
        <v>959.59595959595958</v>
      </c>
      <c r="AD971">
        <f t="shared" si="682"/>
        <v>80.505050505050505</v>
      </c>
      <c r="AE971">
        <f t="shared" si="683"/>
        <v>76.479797979797979</v>
      </c>
      <c r="AF971" s="94">
        <f t="shared" si="684"/>
        <v>3963.9242424242425</v>
      </c>
      <c r="AG971">
        <f t="shared" si="697"/>
        <v>1.9590329138506959E-4</v>
      </c>
      <c r="AH971">
        <f t="shared" si="685"/>
        <v>6.0746539616248332E-2</v>
      </c>
      <c r="AI971">
        <f>HLOOKUP(AW971,'Real assumptions'!$A$21:$AK$24,2,TRUE)</f>
        <v>0</v>
      </c>
      <c r="AJ971" s="123">
        <f t="shared" si="709"/>
        <v>0</v>
      </c>
      <c r="AK971" s="122">
        <f>(1+HLOOKUP(YEAR(A971),'Real assumptions'!$A$21:$AK$24,2,TRUE)/100)^(1/12)-1</f>
        <v>0</v>
      </c>
      <c r="AL971">
        <f t="shared" si="698"/>
        <v>4.31168025585707E-4</v>
      </c>
      <c r="AM971">
        <f>('Real assumptions'!$B$33/12)*O970*AV970</f>
        <v>4.1447457255831339E-4</v>
      </c>
      <c r="AN971">
        <f t="shared" si="686"/>
        <v>6.0810393735152055E-2</v>
      </c>
      <c r="AO971">
        <f t="shared" si="710"/>
        <v>0</v>
      </c>
      <c r="AP971" s="121">
        <f t="shared" si="687"/>
        <v>0</v>
      </c>
      <c r="AQ971">
        <f t="shared" si="688"/>
        <v>0</v>
      </c>
      <c r="AR971">
        <v>0</v>
      </c>
      <c r="AS971">
        <f t="shared" si="671"/>
        <v>0</v>
      </c>
      <c r="AT971">
        <f t="shared" si="689"/>
        <v>0</v>
      </c>
      <c r="AU971">
        <f>IFERROR(HLOOKUP(B971,'Real assumptions'!$B$43:$AL$44,2,TRUE)*($W$3/$U$2),0)</f>
        <v>0</v>
      </c>
      <c r="AV971">
        <f>AV970*(1+'Real assumptions'!$B$35)^(1/12)</f>
        <v>2.6986897835650852</v>
      </c>
      <c r="AW971">
        <f t="shared" si="672"/>
        <v>2098</v>
      </c>
      <c r="AX971">
        <f t="shared" si="699"/>
        <v>6.0937285797591133E-2</v>
      </c>
      <c r="AY971">
        <f t="shared" si="700"/>
        <v>6.4706524997158079E-5</v>
      </c>
      <c r="AZ971">
        <f t="shared" si="673"/>
        <v>5.3349322572958491E-2</v>
      </c>
      <c r="BA971">
        <f t="shared" si="690"/>
        <v>1.9590329138506959E-4</v>
      </c>
      <c r="BB971">
        <f t="shared" si="691"/>
        <v>19</v>
      </c>
      <c r="BC971">
        <f t="shared" si="674"/>
        <v>11.399999999999999</v>
      </c>
      <c r="BD971">
        <f t="shared" si="692"/>
        <v>0</v>
      </c>
      <c r="BE971">
        <f t="shared" si="675"/>
        <v>24</v>
      </c>
      <c r="BF971">
        <f t="shared" si="701"/>
        <v>5000</v>
      </c>
      <c r="BU971"/>
      <c r="DW971" s="89"/>
      <c r="DX971" s="89"/>
      <c r="FD971"/>
      <c r="FE971"/>
    </row>
    <row r="972" spans="1:161" x14ac:dyDescent="0.25">
      <c r="A972" s="7">
        <f t="shared" si="693"/>
        <v>72685</v>
      </c>
      <c r="B972">
        <f t="shared" si="676"/>
        <v>961</v>
      </c>
      <c r="C972">
        <f t="shared" si="702"/>
        <v>80</v>
      </c>
      <c r="D972">
        <f t="shared" si="703"/>
        <v>1</v>
      </c>
      <c r="E972">
        <f t="shared" si="677"/>
        <v>132</v>
      </c>
      <c r="F972">
        <f>IF(C972&gt;=$T$2,0,VLOOKUP($E972,EKM_F05!$A$3:$C$128,2,TRUE))</f>
        <v>0</v>
      </c>
      <c r="G972">
        <f>F972*'Real assumptions'!$B$3</f>
        <v>0</v>
      </c>
      <c r="H972">
        <f t="shared" si="704"/>
        <v>0</v>
      </c>
      <c r="I972">
        <f t="shared" si="705"/>
        <v>0</v>
      </c>
      <c r="J972">
        <f>IF(B972&gt;$AJ$2,0,HLOOKUP(C972,'Real assumptions'!$B$5:$L$8,4,TRUE))</f>
        <v>3.7900000000000003E-2</v>
      </c>
      <c r="K972">
        <f t="shared" ref="K972:K1035" si="711">IF(B972&gt;$AJ$2,0,IF(($U$2*(B972+11))/12-INT(($U$2*(B972+11))/12)=0,1,0))</f>
        <v>1</v>
      </c>
      <c r="L972">
        <f t="shared" si="694"/>
        <v>8.3333333333333329E-2</v>
      </c>
      <c r="M972">
        <f t="shared" si="706"/>
        <v>3.2145624959929453E-3</v>
      </c>
      <c r="N972">
        <f t="shared" si="707"/>
        <v>4.9262684165809605E-8</v>
      </c>
      <c r="O972" s="8">
        <f t="shared" si="678"/>
        <v>1.52755861023229E-5</v>
      </c>
      <c r="P972">
        <f t="shared" si="679"/>
        <v>3.6779637087572904E-4</v>
      </c>
      <c r="Q972">
        <f t="shared" si="695"/>
        <v>0</v>
      </c>
      <c r="R972" s="89">
        <f t="shared" ref="R972:R1035" si="712">$AI$2</f>
        <v>5000</v>
      </c>
      <c r="S972">
        <f t="shared" ref="S972:S1035" si="713">INT(B972/12)+1-B972/12</f>
        <v>0.9166666666666714</v>
      </c>
      <c r="U972">
        <f>O971*AV971*'Real assumptions'!$B$33/12+AX972*'Real assumptions'!$B$34</f>
        <v>4.3022899668437945E-4</v>
      </c>
      <c r="V972">
        <f>IF(P972=0,0,IF(E972&lt;=$C$7,$AN$5*O971,0))*'Real assumptions'!$D$28</f>
        <v>0</v>
      </c>
      <c r="X972" s="94">
        <f t="shared" si="680"/>
        <v>0</v>
      </c>
      <c r="Y972">
        <f t="shared" ref="Y972:Y1035" si="714">IF(P972=0,0,$AN$5)</f>
        <v>24</v>
      </c>
      <c r="Z972">
        <f t="shared" si="696"/>
        <v>19</v>
      </c>
      <c r="AA972">
        <f t="shared" ref="AA972:AA1035" si="715">99-(B972/12)</f>
        <v>18.916666666666671</v>
      </c>
      <c r="AB972">
        <f t="shared" si="681"/>
        <v>50.505050505050505</v>
      </c>
      <c r="AC972">
        <f t="shared" si="708"/>
        <v>955.38720538720565</v>
      </c>
      <c r="AD972">
        <f t="shared" si="682"/>
        <v>80.505050505050505</v>
      </c>
      <c r="AE972">
        <f t="shared" si="683"/>
        <v>76.144360269360291</v>
      </c>
      <c r="AF972" s="94">
        <f t="shared" si="684"/>
        <v>3968.4684343434342</v>
      </c>
      <c r="AG972">
        <f t="shared" si="697"/>
        <v>1.9549740710304554E-4</v>
      </c>
      <c r="AH972">
        <f t="shared" si="685"/>
        <v>6.0620681263163681E-2</v>
      </c>
      <c r="AI972">
        <f>HLOOKUP(AW972,'Real assumptions'!$A$21:$AK$24,2,TRUE)</f>
        <v>0</v>
      </c>
      <c r="AJ972" s="123">
        <f t="shared" si="709"/>
        <v>0</v>
      </c>
      <c r="AK972" s="122">
        <f>(1+HLOOKUP(YEAR(A972),'Real assumptions'!$A$21:$AK$24,2,TRUE)/100)^(1/12)-1</f>
        <v>0</v>
      </c>
      <c r="AL972">
        <f t="shared" si="698"/>
        <v>4.3022899668437945E-4</v>
      </c>
      <c r="AM972">
        <f>('Real assumptions'!$B$33/12)*O971*AV971</f>
        <v>4.1357012854776872E-4</v>
      </c>
      <c r="AN972">
        <f t="shared" si="686"/>
        <v>6.0684106990439683E-2</v>
      </c>
      <c r="AO972">
        <f t="shared" si="710"/>
        <v>0</v>
      </c>
      <c r="AP972" s="121">
        <f t="shared" si="687"/>
        <v>0</v>
      </c>
      <c r="AQ972">
        <f t="shared" si="688"/>
        <v>0</v>
      </c>
      <c r="AR972">
        <v>0</v>
      </c>
      <c r="AS972">
        <f t="shared" ref="AS972:AS1035" si="716">IF(B972&gt;$B$12,IF(B972&lt;=$AJ$2,AT972,0),0)</f>
        <v>0</v>
      </c>
      <c r="AT972">
        <f t="shared" si="689"/>
        <v>0</v>
      </c>
      <c r="AU972">
        <f>IFERROR(HLOOKUP(B972,'Real assumptions'!$B$43:$AL$44,2,TRUE)*($W$3/$U$2),0)</f>
        <v>0</v>
      </c>
      <c r="AV972">
        <f>AV971*(1+'Real assumptions'!$B$35)^(1/12)</f>
        <v>2.7014849407533199</v>
      </c>
      <c r="AW972">
        <f t="shared" ref="AW972:AW1035" si="717">YEAR(A972)</f>
        <v>2098</v>
      </c>
      <c r="AX972">
        <f t="shared" si="699"/>
        <v>6.0811038138076985E-2</v>
      </c>
      <c r="AY972">
        <f t="shared" si="700"/>
        <v>6.4498521828656178E-5</v>
      </c>
      <c r="AZ972">
        <f t="shared" ref="AZ972:AZ1035" si="718">(AZ973+BA973-P973+U973+AQ973)/((1+AJ973))</f>
        <v>5.3091392540046793E-2</v>
      </c>
      <c r="BA972">
        <f t="shared" si="690"/>
        <v>1.9549740710304554E-4</v>
      </c>
      <c r="BB972">
        <f t="shared" si="691"/>
        <v>18.916666666666671</v>
      </c>
      <c r="BC972">
        <f t="shared" ref="BC972:BC1035" si="719">$AQ$5*BB972+IF($W$3=0,0,$AP$5*AA972)</f>
        <v>11.350000000000001</v>
      </c>
      <c r="BD972">
        <f t="shared" si="692"/>
        <v>0</v>
      </c>
      <c r="BE972">
        <f t="shared" ref="BE972:BE1035" si="720">IF(B972=1,$AR$5,IF(P972=0,0,$W$3/$U$2))</f>
        <v>24</v>
      </c>
      <c r="BF972">
        <f t="shared" si="701"/>
        <v>5000</v>
      </c>
      <c r="BU972"/>
      <c r="DW972" s="89"/>
      <c r="DX972" s="89"/>
      <c r="FD972"/>
      <c r="FE972"/>
    </row>
    <row r="973" spans="1:161" x14ac:dyDescent="0.25">
      <c r="A973" s="7">
        <f t="shared" si="693"/>
        <v>72716</v>
      </c>
      <c r="B973">
        <f t="shared" ref="B973:B1036" si="721">B972+1</f>
        <v>962</v>
      </c>
      <c r="C973">
        <f t="shared" si="702"/>
        <v>80.083333333333329</v>
      </c>
      <c r="D973">
        <f t="shared" si="703"/>
        <v>0</v>
      </c>
      <c r="E973">
        <f t="shared" ref="E973:E1036" si="722">$C$2+INT($C973)</f>
        <v>132</v>
      </c>
      <c r="F973">
        <f>IF(C973&gt;=$T$2,0,VLOOKUP($E973,EKM_F05!$A$3:$C$128,2,TRUE))</f>
        <v>0</v>
      </c>
      <c r="G973">
        <f>F973*'Real assumptions'!$B$3</f>
        <v>0</v>
      </c>
      <c r="H973">
        <f t="shared" si="704"/>
        <v>0</v>
      </c>
      <c r="I973">
        <f t="shared" si="705"/>
        <v>0</v>
      </c>
      <c r="J973">
        <f>IF(B973&gt;$AJ$2,0,HLOOKUP(C973,'Real assumptions'!$B$5:$L$8,4,TRUE))</f>
        <v>3.7900000000000003E-2</v>
      </c>
      <c r="K973">
        <f t="shared" si="711"/>
        <v>1</v>
      </c>
      <c r="L973">
        <f t="shared" si="694"/>
        <v>8.3333333333333329E-2</v>
      </c>
      <c r="M973">
        <f t="shared" si="706"/>
        <v>3.2145624959929453E-3</v>
      </c>
      <c r="N973">
        <f t="shared" si="707"/>
        <v>4.9104326188838245E-8</v>
      </c>
      <c r="O973" s="8">
        <f t="shared" ref="O973:O1036" si="723">IF(E974&gt;$C$5,0,IF(B973&gt;$AJ$2,0,O972-I973-N973))</f>
        <v>1.5226481776134062E-5</v>
      </c>
      <c r="P973">
        <f t="shared" ref="P973:P1036" si="724">IF($U$2=0,0,$W$3/$U$2*K973*O972)</f>
        <v>3.6661406645574956E-4</v>
      </c>
      <c r="Q973">
        <f t="shared" si="695"/>
        <v>0</v>
      </c>
      <c r="R973" s="89">
        <f t="shared" si="712"/>
        <v>5000</v>
      </c>
      <c r="S973">
        <f t="shared" si="713"/>
        <v>0.8333333333333286</v>
      </c>
      <c r="U973">
        <f>O972*AV972*'Real assumptions'!$B$33/12+AX973*'Real assumptions'!$B$34</f>
        <v>4.2929199126214506E-4</v>
      </c>
      <c r="V973">
        <f>IF(P973=0,0,IF(E973&lt;=$C$7,$AN$5*O972,0))*'Real assumptions'!$D$28</f>
        <v>0</v>
      </c>
      <c r="X973" s="94">
        <f t="shared" ref="X973:X1036" si="725">IF($U$2=12,0,IF($AM$2&lt;&gt;0,0,X972+Y973-($AN$5*($U$2/12))))</f>
        <v>0</v>
      </c>
      <c r="Y973">
        <f t="shared" si="714"/>
        <v>24</v>
      </c>
      <c r="Z973">
        <f t="shared" si="696"/>
        <v>18</v>
      </c>
      <c r="AA973">
        <f t="shared" si="715"/>
        <v>18.833333333333329</v>
      </c>
      <c r="AB973">
        <f t="shared" ref="AB973:AB1036" si="726">IF($AM$2&lt;&gt;0,0,R973/99)</f>
        <v>50.505050505050505</v>
      </c>
      <c r="AC973">
        <f t="shared" si="708"/>
        <v>951.17845117845093</v>
      </c>
      <c r="AD973">
        <f t="shared" ref="AD973:AD1036" si="727">IF($AM$2&lt;&gt;0,0,AB973+$Q$4*$AI$2+$Q$5*$AI$2)</f>
        <v>80.505050505050505</v>
      </c>
      <c r="AE973">
        <f t="shared" ref="AE973:AE1036" si="728">MIN($C$6*AD973*AA973,$AI$2-AC973+BD973)</f>
        <v>75.808922558922532</v>
      </c>
      <c r="AF973" s="94">
        <f t="shared" ref="AF973:AF1036" si="729">MAX(($AI$2+$Y$2-AC973-AE973+X973+BD973),0)</f>
        <v>3973.0126262626268</v>
      </c>
      <c r="AG973">
        <f t="shared" si="697"/>
        <v>1.9509210795237293E-4</v>
      </c>
      <c r="AH973">
        <f t="shared" ref="AH973:AH1036" si="730">AF973*O973</f>
        <v>6.0495004350138416E-2</v>
      </c>
      <c r="AI973">
        <f>HLOOKUP(AW973,'Real assumptions'!$A$21:$AK$24,2,TRUE)</f>
        <v>0</v>
      </c>
      <c r="AJ973" s="123">
        <f t="shared" si="709"/>
        <v>0</v>
      </c>
      <c r="AK973" s="122">
        <f>(1+HLOOKUP(YEAR(A973),'Real assumptions'!$A$21:$AK$24,2,TRUE)/100)^(1/12)-1</f>
        <v>0</v>
      </c>
      <c r="AL973">
        <f t="shared" si="698"/>
        <v>4.2929199126214506E-4</v>
      </c>
      <c r="AM973">
        <f>('Real assumptions'!$B$33/12)*O972*AV972</f>
        <v>4.126676581660602E-4</v>
      </c>
      <c r="AN973">
        <f t="shared" ref="AN973:AN1036" si="731">AP972+P973+AH972-V973-AL973</f>
        <v>6.0558003338357286E-2</v>
      </c>
      <c r="AO973">
        <f t="shared" si="710"/>
        <v>0</v>
      </c>
      <c r="AP973" s="121">
        <f t="shared" ref="AP973:AP1036" si="732">IF(MONTH(A973)=12,0,AP972+AO973)</f>
        <v>0</v>
      </c>
      <c r="AQ973">
        <f t="shared" ref="AQ973:AQ1036" si="733">IF(P973=0,0,AR973+AS973)</f>
        <v>0</v>
      </c>
      <c r="AR973">
        <v>0</v>
      </c>
      <c r="AS973">
        <f t="shared" si="716"/>
        <v>0</v>
      </c>
      <c r="AT973">
        <f t="shared" ref="AT973:AT1036" si="734">IF(OR(B973&lt;=$B$12,B973&gt;$AJ$2),0,AU973*O972)</f>
        <v>0</v>
      </c>
      <c r="AU973">
        <f>IFERROR(HLOOKUP(B973,'Real assumptions'!$B$43:$AL$44,2,TRUE)*($W$3/$U$2),0)</f>
        <v>0</v>
      </c>
      <c r="AV973">
        <f>AV972*(1+'Real assumptions'!$B$35)^(1/12)</f>
        <v>2.7042829930144729</v>
      </c>
      <c r="AW973">
        <f t="shared" si="717"/>
        <v>2099</v>
      </c>
      <c r="AX973">
        <f t="shared" si="699"/>
        <v>6.0684972450463018E-2</v>
      </c>
      <c r="AY973">
        <f t="shared" si="700"/>
        <v>6.4291187299338797E-5</v>
      </c>
      <c r="AZ973">
        <f t="shared" si="718"/>
        <v>5.2833622507288028E-2</v>
      </c>
      <c r="BA973">
        <f t="shared" ref="BA973:BA1036" si="735">AG973+V973+Q973</f>
        <v>1.9509210795237293E-4</v>
      </c>
      <c r="BB973">
        <f t="shared" ref="BB973:BB1036" si="736">Z974+IF(S973=1,0,S973)</f>
        <v>18.833333333333329</v>
      </c>
      <c r="BC973">
        <f t="shared" si="719"/>
        <v>11.299999999999997</v>
      </c>
      <c r="BD973">
        <f t="shared" ref="BD973:BD1036" si="737">(BC973/100)*($AI$2+$Y$2)-AA973*(AD973-AB973)</f>
        <v>0</v>
      </c>
      <c r="BE973">
        <f t="shared" si="720"/>
        <v>24</v>
      </c>
      <c r="BF973">
        <f t="shared" si="701"/>
        <v>5000</v>
      </c>
      <c r="BU973"/>
      <c r="DW973" s="89"/>
      <c r="DX973" s="89"/>
      <c r="FD973"/>
      <c r="FE973"/>
    </row>
    <row r="974" spans="1:161" x14ac:dyDescent="0.25">
      <c r="A974" s="7">
        <f t="shared" ref="A974:A1037" si="738">DATE(YEAR(A973),MONTH(A973)+2,1)-1</f>
        <v>72744</v>
      </c>
      <c r="B974">
        <f t="shared" si="721"/>
        <v>963</v>
      </c>
      <c r="C974">
        <f t="shared" si="702"/>
        <v>80.166666666666671</v>
      </c>
      <c r="D974">
        <f t="shared" si="703"/>
        <v>0</v>
      </c>
      <c r="E974">
        <f t="shared" si="722"/>
        <v>132</v>
      </c>
      <c r="F974">
        <f>IF(C974&gt;=$T$2,0,VLOOKUP($E974,EKM_F05!$A$3:$C$128,2,TRUE))</f>
        <v>0</v>
      </c>
      <c r="G974">
        <f>F974*'Real assumptions'!$B$3</f>
        <v>0</v>
      </c>
      <c r="H974">
        <f t="shared" si="704"/>
        <v>0</v>
      </c>
      <c r="I974">
        <f t="shared" si="705"/>
        <v>0</v>
      </c>
      <c r="J974">
        <f>IF(B974&gt;$AJ$2,0,HLOOKUP(C974,'Real assumptions'!$B$5:$L$8,4,TRUE))</f>
        <v>3.7900000000000003E-2</v>
      </c>
      <c r="K974">
        <f t="shared" si="711"/>
        <v>1</v>
      </c>
      <c r="L974">
        <f t="shared" ref="L974:L1037" si="739">IF(B974&gt;$AJ$2,0,1/12)</f>
        <v>8.3333333333333329E-2</v>
      </c>
      <c r="M974">
        <f t="shared" si="706"/>
        <v>3.2145624959929453E-3</v>
      </c>
      <c r="N974">
        <f t="shared" si="707"/>
        <v>4.8946477263480607E-8</v>
      </c>
      <c r="O974" s="8">
        <f t="shared" si="723"/>
        <v>1.5177535298870582E-5</v>
      </c>
      <c r="P974">
        <f t="shared" si="724"/>
        <v>3.6543556262721749E-4</v>
      </c>
      <c r="Q974">
        <f t="shared" ref="Q974:Q1037" si="740">BF974*I974</f>
        <v>0</v>
      </c>
      <c r="R974" s="89">
        <f t="shared" si="712"/>
        <v>5000</v>
      </c>
      <c r="S974">
        <f t="shared" si="713"/>
        <v>0.75</v>
      </c>
      <c r="U974">
        <f>O973*AV973*'Real assumptions'!$B$33/12+AX974*'Real assumptions'!$B$34</f>
        <v>4.2835700504914424E-4</v>
      </c>
      <c r="V974">
        <f>IF(P974=0,0,IF(E974&lt;=$C$7,$AN$5*O973,0))*'Real assumptions'!$D$28</f>
        <v>0</v>
      </c>
      <c r="X974" s="94">
        <f t="shared" si="725"/>
        <v>0</v>
      </c>
      <c r="Y974">
        <f t="shared" si="714"/>
        <v>24</v>
      </c>
      <c r="Z974">
        <f t="shared" ref="Z974:Z1037" si="741">IF(S972=1,Z973-1,Z973)</f>
        <v>18</v>
      </c>
      <c r="AA974">
        <f t="shared" si="715"/>
        <v>18.75</v>
      </c>
      <c r="AB974">
        <f t="shared" si="726"/>
        <v>50.505050505050505</v>
      </c>
      <c r="AC974">
        <f t="shared" si="708"/>
        <v>946.969696969697</v>
      </c>
      <c r="AD974">
        <f t="shared" si="727"/>
        <v>80.505050505050505</v>
      </c>
      <c r="AE974">
        <f t="shared" si="728"/>
        <v>75.473484848484844</v>
      </c>
      <c r="AF974" s="94">
        <f t="shared" si="729"/>
        <v>3977.556818181818</v>
      </c>
      <c r="AG974">
        <f t="shared" ref="AG974:AG1037" si="742">IF(B974&lt;=$C$8,0,AF974*N974)</f>
        <v>1.9468739436533862E-4</v>
      </c>
      <c r="AH974">
        <f t="shared" si="730"/>
        <v>6.0369509011217903E-2</v>
      </c>
      <c r="AI974">
        <f>HLOOKUP(AW974,'Real assumptions'!$A$21:$AK$24,2,TRUE)</f>
        <v>0</v>
      </c>
      <c r="AJ974" s="123">
        <f t="shared" si="709"/>
        <v>0</v>
      </c>
      <c r="AK974" s="122">
        <f>(1+HLOOKUP(YEAR(A974),'Real assumptions'!$A$21:$AK$24,2,TRUE)/100)^(1/12)-1</f>
        <v>0</v>
      </c>
      <c r="AL974">
        <f t="shared" ref="AL974:AL1037" si="743">AQ974+U974</f>
        <v>4.2835700504914424E-4</v>
      </c>
      <c r="AM974">
        <f>('Real assumptions'!$B$33/12)*O973*AV973</f>
        <v>4.1176715710644152E-4</v>
      </c>
      <c r="AN974">
        <f t="shared" si="731"/>
        <v>6.043208290771649E-2</v>
      </c>
      <c r="AO974">
        <f t="shared" si="710"/>
        <v>0</v>
      </c>
      <c r="AP974" s="121">
        <f t="shared" si="732"/>
        <v>0</v>
      </c>
      <c r="AQ974">
        <f t="shared" si="733"/>
        <v>0</v>
      </c>
      <c r="AR974">
        <v>0</v>
      </c>
      <c r="AS974">
        <f t="shared" si="716"/>
        <v>0</v>
      </c>
      <c r="AT974">
        <f t="shared" si="734"/>
        <v>0</v>
      </c>
      <c r="AU974">
        <f>IFERROR(HLOOKUP(B974,'Real assumptions'!$B$43:$AL$44,2,TRUE)*($W$3/$U$2),0)</f>
        <v>0</v>
      </c>
      <c r="AV974">
        <f>AV973*(1+'Real assumptions'!$B$35)^(1/12)</f>
        <v>2.7070839433471043</v>
      </c>
      <c r="AW974">
        <f t="shared" si="717"/>
        <v>2099</v>
      </c>
      <c r="AX974">
        <f t="shared" ref="AX974:AX1037" si="744">MAX(0,AH973+AP973-V974+AY974)</f>
        <v>6.0559088869398238E-2</v>
      </c>
      <c r="AY974">
        <f t="shared" ref="AY974:AY1037" si="745">IF(P974=0,0,(AB974/$U$2)*O973)</f>
        <v>6.4084519259823485E-5</v>
      </c>
      <c r="AZ974">
        <f t="shared" si="718"/>
        <v>5.2576013670500764E-2</v>
      </c>
      <c r="BA974">
        <f t="shared" si="735"/>
        <v>1.9468739436533862E-4</v>
      </c>
      <c r="BB974">
        <f t="shared" si="736"/>
        <v>18.75</v>
      </c>
      <c r="BC974">
        <f t="shared" si="719"/>
        <v>11.25</v>
      </c>
      <c r="BD974">
        <f t="shared" si="737"/>
        <v>0</v>
      </c>
      <c r="BE974">
        <f t="shared" si="720"/>
        <v>24</v>
      </c>
      <c r="BF974">
        <f t="shared" ref="BF974:BF1037" si="746">((IF(B974&lt;13,BF973+BE974,$AI$2+$Y$2)))</f>
        <v>5000</v>
      </c>
      <c r="BU974"/>
      <c r="DW974" s="89"/>
      <c r="DX974" s="89"/>
      <c r="FD974"/>
      <c r="FE974"/>
    </row>
    <row r="975" spans="1:161" x14ac:dyDescent="0.25">
      <c r="A975" s="7">
        <f t="shared" si="738"/>
        <v>72775</v>
      </c>
      <c r="B975">
        <f t="shared" si="721"/>
        <v>964</v>
      </c>
      <c r="C975">
        <f t="shared" si="702"/>
        <v>80.25</v>
      </c>
      <c r="D975">
        <f t="shared" si="703"/>
        <v>0</v>
      </c>
      <c r="E975">
        <f t="shared" si="722"/>
        <v>132</v>
      </c>
      <c r="F975">
        <f>IF(C975&gt;=$T$2,0,VLOOKUP($E975,EKM_F05!$A$3:$C$128,2,TRUE))</f>
        <v>0</v>
      </c>
      <c r="G975">
        <f>F975*'Real assumptions'!$B$3</f>
        <v>0</v>
      </c>
      <c r="H975">
        <f t="shared" si="704"/>
        <v>0</v>
      </c>
      <c r="I975">
        <f t="shared" si="705"/>
        <v>0</v>
      </c>
      <c r="J975">
        <f>IF(B975&gt;$AJ$2,0,HLOOKUP(C975,'Real assumptions'!$B$5:$L$8,4,TRUE))</f>
        <v>3.7900000000000003E-2</v>
      </c>
      <c r="K975">
        <f t="shared" si="711"/>
        <v>1</v>
      </c>
      <c r="L975">
        <f t="shared" si="739"/>
        <v>8.3333333333333329E-2</v>
      </c>
      <c r="M975">
        <f t="shared" si="706"/>
        <v>3.2145624959929453E-3</v>
      </c>
      <c r="N975">
        <f t="shared" si="707"/>
        <v>4.878913575335845E-8</v>
      </c>
      <c r="O975" s="8">
        <f t="shared" si="723"/>
        <v>1.5128746163117223E-5</v>
      </c>
      <c r="P975">
        <f t="shared" si="724"/>
        <v>3.6426084717289394E-4</v>
      </c>
      <c r="Q975">
        <f t="shared" si="740"/>
        <v>0</v>
      </c>
      <c r="R975" s="89">
        <f t="shared" si="712"/>
        <v>5000</v>
      </c>
      <c r="S975">
        <f t="shared" si="713"/>
        <v>0.6666666666666714</v>
      </c>
      <c r="U975">
        <f>O974*AV974*'Real assumptions'!$B$33/12+AX975*'Real assumptions'!$B$34</f>
        <v>4.2742403378416262E-4</v>
      </c>
      <c r="V975">
        <f>IF(P975=0,0,IF(E975&lt;=$C$7,$AN$5*O974,0))*'Real assumptions'!$D$28</f>
        <v>0</v>
      </c>
      <c r="X975" s="94">
        <f t="shared" si="725"/>
        <v>0</v>
      </c>
      <c r="Y975">
        <f t="shared" si="714"/>
        <v>24</v>
      </c>
      <c r="Z975">
        <f t="shared" si="741"/>
        <v>18</v>
      </c>
      <c r="AA975">
        <f t="shared" si="715"/>
        <v>18.666666666666671</v>
      </c>
      <c r="AB975">
        <f t="shared" si="726"/>
        <v>50.505050505050505</v>
      </c>
      <c r="AC975">
        <f t="shared" si="708"/>
        <v>942.76094276094295</v>
      </c>
      <c r="AD975">
        <f t="shared" si="727"/>
        <v>80.505050505050505</v>
      </c>
      <c r="AE975">
        <f t="shared" si="728"/>
        <v>75.138047138047156</v>
      </c>
      <c r="AF975" s="94">
        <f t="shared" si="729"/>
        <v>3982.1010101010097</v>
      </c>
      <c r="AG975">
        <f t="shared" si="742"/>
        <v>1.9428326676540397E-4</v>
      </c>
      <c r="AH975">
        <f t="shared" si="730"/>
        <v>6.024419537771087E-2</v>
      </c>
      <c r="AI975">
        <f>HLOOKUP(AW975,'Real assumptions'!$A$21:$AK$24,2,TRUE)</f>
        <v>0</v>
      </c>
      <c r="AJ975" s="123">
        <f t="shared" si="709"/>
        <v>0</v>
      </c>
      <c r="AK975" s="122">
        <f>(1+HLOOKUP(YEAR(A975),'Real assumptions'!$A$21:$AK$24,2,TRUE)/100)^(1/12)-1</f>
        <v>0</v>
      </c>
      <c r="AL975">
        <f t="shared" si="743"/>
        <v>4.2742403378416262E-4</v>
      </c>
      <c r="AM975">
        <f>('Real assumptions'!$B$33/12)*O974*AV974</f>
        <v>4.1086862107156451E-4</v>
      </c>
      <c r="AN975">
        <f t="shared" si="731"/>
        <v>6.030634582460663E-2</v>
      </c>
      <c r="AO975">
        <f t="shared" si="710"/>
        <v>0</v>
      </c>
      <c r="AP975" s="121">
        <f t="shared" si="732"/>
        <v>0</v>
      </c>
      <c r="AQ975">
        <f t="shared" si="733"/>
        <v>0</v>
      </c>
      <c r="AR975">
        <v>0</v>
      </c>
      <c r="AS975">
        <f t="shared" si="716"/>
        <v>0</v>
      </c>
      <c r="AT975">
        <f t="shared" si="734"/>
        <v>0</v>
      </c>
      <c r="AU975">
        <f>IFERROR(HLOOKUP(B975,'Real assumptions'!$B$43:$AL$44,2,TRUE)*($W$3/$U$2),0)</f>
        <v>0</v>
      </c>
      <c r="AV975">
        <f>AV974*(1+'Real assumptions'!$B$35)^(1/12)</f>
        <v>2.7098877947528801</v>
      </c>
      <c r="AW975">
        <f t="shared" si="717"/>
        <v>2099</v>
      </c>
      <c r="AX975">
        <f t="shared" si="744"/>
        <v>6.0433387526785544E-2</v>
      </c>
      <c r="AY975">
        <f t="shared" si="745"/>
        <v>6.3878515567637127E-5</v>
      </c>
      <c r="AZ975">
        <f t="shared" si="718"/>
        <v>5.2318567217124086E-2</v>
      </c>
      <c r="BA975">
        <f t="shared" si="735"/>
        <v>1.9428326676540397E-4</v>
      </c>
      <c r="BB975">
        <f t="shared" si="736"/>
        <v>18.666666666666671</v>
      </c>
      <c r="BC975">
        <f t="shared" si="719"/>
        <v>11.200000000000003</v>
      </c>
      <c r="BD975">
        <f t="shared" si="737"/>
        <v>0</v>
      </c>
      <c r="BE975">
        <f t="shared" si="720"/>
        <v>24</v>
      </c>
      <c r="BF975">
        <f t="shared" si="746"/>
        <v>5000</v>
      </c>
      <c r="BU975"/>
      <c r="DW975" s="89"/>
      <c r="DX975" s="89"/>
      <c r="FD975"/>
      <c r="FE975"/>
    </row>
    <row r="976" spans="1:161" x14ac:dyDescent="0.25">
      <c r="A976" s="7">
        <f t="shared" si="738"/>
        <v>72805</v>
      </c>
      <c r="B976">
        <f t="shared" si="721"/>
        <v>965</v>
      </c>
      <c r="C976">
        <f t="shared" si="702"/>
        <v>80.333333333333329</v>
      </c>
      <c r="D976">
        <f t="shared" si="703"/>
        <v>0</v>
      </c>
      <c r="E976">
        <f t="shared" si="722"/>
        <v>132</v>
      </c>
      <c r="F976">
        <f>IF(C976&gt;=$T$2,0,VLOOKUP($E976,EKM_F05!$A$3:$C$128,2,TRUE))</f>
        <v>0</v>
      </c>
      <c r="G976">
        <f>F976*'Real assumptions'!$B$3</f>
        <v>0</v>
      </c>
      <c r="H976">
        <f t="shared" si="704"/>
        <v>0</v>
      </c>
      <c r="I976">
        <f t="shared" si="705"/>
        <v>0</v>
      </c>
      <c r="J976">
        <f>IF(B976&gt;$AJ$2,0,HLOOKUP(C976,'Real assumptions'!$B$5:$L$8,4,TRUE))</f>
        <v>3.7900000000000003E-2</v>
      </c>
      <c r="K976">
        <f t="shared" si="711"/>
        <v>1</v>
      </c>
      <c r="L976">
        <f t="shared" si="739"/>
        <v>8.3333333333333329E-2</v>
      </c>
      <c r="M976">
        <f t="shared" si="706"/>
        <v>3.2145624959929453E-3</v>
      </c>
      <c r="N976">
        <f t="shared" si="707"/>
        <v>4.8632300027353795E-8</v>
      </c>
      <c r="O976" s="8">
        <f t="shared" si="723"/>
        <v>1.5080113863089868E-5</v>
      </c>
      <c r="P976">
        <f t="shared" si="724"/>
        <v>3.6308990791481335E-4</v>
      </c>
      <c r="Q976">
        <f t="shared" si="740"/>
        <v>0</v>
      </c>
      <c r="R976" s="89">
        <f t="shared" si="712"/>
        <v>5000</v>
      </c>
      <c r="S976">
        <f t="shared" si="713"/>
        <v>0.5833333333333286</v>
      </c>
      <c r="U976">
        <f>O975*AV975*'Real assumptions'!$B$33/12+AX976*'Real assumptions'!$B$34</f>
        <v>4.2649307321461591E-4</v>
      </c>
      <c r="V976">
        <f>IF(P976=0,0,IF(E976&lt;=$C$7,$AN$5*O975,0))*'Real assumptions'!$D$28</f>
        <v>0</v>
      </c>
      <c r="X976" s="94">
        <f t="shared" si="725"/>
        <v>0</v>
      </c>
      <c r="Y976">
        <f t="shared" si="714"/>
        <v>24</v>
      </c>
      <c r="Z976">
        <f t="shared" si="741"/>
        <v>18</v>
      </c>
      <c r="AA976">
        <f t="shared" si="715"/>
        <v>18.583333333333329</v>
      </c>
      <c r="AB976">
        <f t="shared" si="726"/>
        <v>50.505050505050505</v>
      </c>
      <c r="AC976">
        <f t="shared" si="708"/>
        <v>938.55218855218834</v>
      </c>
      <c r="AD976">
        <f t="shared" si="727"/>
        <v>80.505050505050505</v>
      </c>
      <c r="AE976">
        <f t="shared" si="728"/>
        <v>74.802609427609411</v>
      </c>
      <c r="AF976" s="94">
        <f t="shared" si="729"/>
        <v>3986.6452020202023</v>
      </c>
      <c r="AG976">
        <f t="shared" si="742"/>
        <v>1.9387972556725696E-4</v>
      </c>
      <c r="AH976">
        <f t="shared" si="730"/>
        <v>6.011906357820556E-2</v>
      </c>
      <c r="AI976">
        <f>HLOOKUP(AW976,'Real assumptions'!$A$21:$AK$24,2,TRUE)</f>
        <v>0</v>
      </c>
      <c r="AJ976" s="123">
        <f t="shared" si="709"/>
        <v>0</v>
      </c>
      <c r="AK976" s="122">
        <f>(1+HLOOKUP(YEAR(A976),'Real assumptions'!$A$21:$AK$24,2,TRUE)/100)^(1/12)-1</f>
        <v>0</v>
      </c>
      <c r="AL976">
        <f t="shared" si="743"/>
        <v>4.2649307321461591E-4</v>
      </c>
      <c r="AM976">
        <f>('Real assumptions'!$B$33/12)*O975*AV975</f>
        <v>4.0997204577345825E-4</v>
      </c>
      <c r="AN976">
        <f t="shared" si="731"/>
        <v>6.0180792212411072E-2</v>
      </c>
      <c r="AO976">
        <f t="shared" si="710"/>
        <v>0</v>
      </c>
      <c r="AP976" s="121">
        <f t="shared" si="732"/>
        <v>0</v>
      </c>
      <c r="AQ976">
        <f t="shared" si="733"/>
        <v>0</v>
      </c>
      <c r="AR976">
        <v>0</v>
      </c>
      <c r="AS976">
        <f t="shared" si="716"/>
        <v>0</v>
      </c>
      <c r="AT976">
        <f t="shared" si="734"/>
        <v>0</v>
      </c>
      <c r="AU976">
        <f>IFERROR(HLOOKUP(B976,'Real assumptions'!$B$43:$AL$44,2,TRUE)*($W$3/$U$2),0)</f>
        <v>0</v>
      </c>
      <c r="AV976">
        <f>AV975*(1+'Real assumptions'!$B$35)^(1/12)</f>
        <v>2.7126945502365749</v>
      </c>
      <c r="AW976">
        <f t="shared" si="717"/>
        <v>2099</v>
      </c>
      <c r="AX976">
        <f t="shared" si="744"/>
        <v>6.0307868551798066E-2</v>
      </c>
      <c r="AY976">
        <f t="shared" si="745"/>
        <v>6.3673174087193701E-5</v>
      </c>
      <c r="AZ976">
        <f t="shared" si="718"/>
        <v>5.2061284326257028E-2</v>
      </c>
      <c r="BA976">
        <f t="shared" si="735"/>
        <v>1.9387972556725696E-4</v>
      </c>
      <c r="BB976">
        <f t="shared" si="736"/>
        <v>18.583333333333329</v>
      </c>
      <c r="BC976">
        <f t="shared" si="719"/>
        <v>11.149999999999997</v>
      </c>
      <c r="BD976">
        <f t="shared" si="737"/>
        <v>0</v>
      </c>
      <c r="BE976">
        <f t="shared" si="720"/>
        <v>24</v>
      </c>
      <c r="BF976">
        <f t="shared" si="746"/>
        <v>5000</v>
      </c>
      <c r="BU976"/>
      <c r="DW976" s="89"/>
      <c r="DX976" s="89"/>
      <c r="FD976"/>
      <c r="FE976"/>
    </row>
    <row r="977" spans="1:161" x14ac:dyDescent="0.25">
      <c r="A977" s="7">
        <f t="shared" si="738"/>
        <v>72836</v>
      </c>
      <c r="B977">
        <f t="shared" si="721"/>
        <v>966</v>
      </c>
      <c r="C977">
        <f t="shared" si="702"/>
        <v>80.416666666666671</v>
      </c>
      <c r="D977">
        <f t="shared" si="703"/>
        <v>0</v>
      </c>
      <c r="E977">
        <f t="shared" si="722"/>
        <v>132</v>
      </c>
      <c r="F977">
        <f>IF(C977&gt;=$T$2,0,VLOOKUP($E977,EKM_F05!$A$3:$C$128,2,TRUE))</f>
        <v>0</v>
      </c>
      <c r="G977">
        <f>F977*'Real assumptions'!$B$3</f>
        <v>0</v>
      </c>
      <c r="H977">
        <f t="shared" si="704"/>
        <v>0</v>
      </c>
      <c r="I977">
        <f t="shared" si="705"/>
        <v>0</v>
      </c>
      <c r="J977">
        <f>IF(B977&gt;$AJ$2,0,HLOOKUP(C977,'Real assumptions'!$B$5:$L$8,4,TRUE))</f>
        <v>3.7900000000000003E-2</v>
      </c>
      <c r="K977">
        <f t="shared" si="711"/>
        <v>1</v>
      </c>
      <c r="L977">
        <f t="shared" si="739"/>
        <v>8.3333333333333329E-2</v>
      </c>
      <c r="M977">
        <f t="shared" si="706"/>
        <v>3.2145624959929453E-3</v>
      </c>
      <c r="N977">
        <f t="shared" si="707"/>
        <v>4.8475968459591984E-8</v>
      </c>
      <c r="O977" s="8">
        <f t="shared" si="723"/>
        <v>1.5031637894630276E-5</v>
      </c>
      <c r="P977">
        <f t="shared" si="724"/>
        <v>3.6192273271415685E-4</v>
      </c>
      <c r="Q977">
        <f t="shared" si="740"/>
        <v>0</v>
      </c>
      <c r="R977" s="89">
        <f t="shared" si="712"/>
        <v>5000</v>
      </c>
      <c r="S977">
        <f t="shared" si="713"/>
        <v>0.5</v>
      </c>
      <c r="U977">
        <f>O976*AV976*'Real assumptions'!$B$33/12+AX977*'Real assumptions'!$B$34</f>
        <v>4.2556411909653311E-4</v>
      </c>
      <c r="V977">
        <f>IF(P977=0,0,IF(E977&lt;=$C$7,$AN$5*O976,0))*'Real assumptions'!$D$28</f>
        <v>0</v>
      </c>
      <c r="X977" s="94">
        <f t="shared" si="725"/>
        <v>0</v>
      </c>
      <c r="Y977">
        <f t="shared" si="714"/>
        <v>24</v>
      </c>
      <c r="Z977">
        <f t="shared" si="741"/>
        <v>18</v>
      </c>
      <c r="AA977">
        <f t="shared" si="715"/>
        <v>18.5</v>
      </c>
      <c r="AB977">
        <f t="shared" si="726"/>
        <v>50.505050505050505</v>
      </c>
      <c r="AC977">
        <f t="shared" si="708"/>
        <v>934.3434343434343</v>
      </c>
      <c r="AD977">
        <f t="shared" si="727"/>
        <v>80.505050505050505</v>
      </c>
      <c r="AE977">
        <f t="shared" si="728"/>
        <v>74.467171717171709</v>
      </c>
      <c r="AF977" s="94">
        <f t="shared" si="729"/>
        <v>3991.189393939394</v>
      </c>
      <c r="AG977">
        <f t="shared" si="742"/>
        <v>1.9347677117686411E-4</v>
      </c>
      <c r="AH977">
        <f t="shared" si="730"/>
        <v>5.999411373858584E-2</v>
      </c>
      <c r="AI977">
        <f>HLOOKUP(AW977,'Real assumptions'!$A$21:$AK$24,2,TRUE)</f>
        <v>0</v>
      </c>
      <c r="AJ977" s="123">
        <f t="shared" si="709"/>
        <v>0</v>
      </c>
      <c r="AK977" s="122">
        <f>(1+HLOOKUP(YEAR(A977),'Real assumptions'!$A$21:$AK$24,2,TRUE)/100)^(1/12)-1</f>
        <v>0</v>
      </c>
      <c r="AL977">
        <f t="shared" si="743"/>
        <v>4.2556411909653311E-4</v>
      </c>
      <c r="AM977">
        <f>('Real assumptions'!$B$33/12)*O976*AV976</f>
        <v>4.0907742693350909E-4</v>
      </c>
      <c r="AN977">
        <f t="shared" si="731"/>
        <v>6.005542219182318E-2</v>
      </c>
      <c r="AO977">
        <f t="shared" si="710"/>
        <v>0</v>
      </c>
      <c r="AP977" s="121">
        <f t="shared" si="732"/>
        <v>0</v>
      </c>
      <c r="AQ977">
        <f t="shared" si="733"/>
        <v>0</v>
      </c>
      <c r="AR977">
        <v>0</v>
      </c>
      <c r="AS977">
        <f t="shared" si="716"/>
        <v>0</v>
      </c>
      <c r="AT977">
        <f t="shared" si="734"/>
        <v>0</v>
      </c>
      <c r="AU977">
        <f>IFERROR(HLOOKUP(B977,'Real assumptions'!$B$43:$AL$44,2,TRUE)*($W$3/$U$2),0)</f>
        <v>0</v>
      </c>
      <c r="AV977">
        <f>AV976*(1+'Real assumptions'!$B$35)^(1/12)</f>
        <v>2.7155042128060765</v>
      </c>
      <c r="AW977">
        <f t="shared" si="717"/>
        <v>2099</v>
      </c>
      <c r="AX977">
        <f t="shared" si="744"/>
        <v>6.0182532070895335E-2</v>
      </c>
      <c r="AY977">
        <f t="shared" si="745"/>
        <v>6.3468492689772169E-5</v>
      </c>
      <c r="AZ977">
        <f t="shared" si="718"/>
        <v>5.1804166168697784E-2</v>
      </c>
      <c r="BA977">
        <f t="shared" si="735"/>
        <v>1.9347677117686411E-4</v>
      </c>
      <c r="BB977">
        <f t="shared" si="736"/>
        <v>18.5</v>
      </c>
      <c r="BC977">
        <f t="shared" si="719"/>
        <v>11.1</v>
      </c>
      <c r="BD977">
        <f t="shared" si="737"/>
        <v>0</v>
      </c>
      <c r="BE977">
        <f t="shared" si="720"/>
        <v>24</v>
      </c>
      <c r="BF977">
        <f t="shared" si="746"/>
        <v>5000</v>
      </c>
      <c r="BU977"/>
      <c r="DW977" s="89"/>
      <c r="DX977" s="89"/>
      <c r="FD977"/>
      <c r="FE977"/>
    </row>
    <row r="978" spans="1:161" x14ac:dyDescent="0.25">
      <c r="A978" s="7">
        <f t="shared" si="738"/>
        <v>72866</v>
      </c>
      <c r="B978">
        <f t="shared" si="721"/>
        <v>967</v>
      </c>
      <c r="C978">
        <f t="shared" si="702"/>
        <v>80.5</v>
      </c>
      <c r="D978">
        <f t="shared" si="703"/>
        <v>0</v>
      </c>
      <c r="E978">
        <f t="shared" si="722"/>
        <v>132</v>
      </c>
      <c r="F978">
        <f>IF(C978&gt;=$T$2,0,VLOOKUP($E978,EKM_F05!$A$3:$C$128,2,TRUE))</f>
        <v>0</v>
      </c>
      <c r="G978">
        <f>F978*'Real assumptions'!$B$3</f>
        <v>0</v>
      </c>
      <c r="H978">
        <f t="shared" si="704"/>
        <v>0</v>
      </c>
      <c r="I978">
        <f t="shared" si="705"/>
        <v>0</v>
      </c>
      <c r="J978">
        <f>IF(B978&gt;$AJ$2,0,HLOOKUP(C978,'Real assumptions'!$B$5:$L$8,4,TRUE))</f>
        <v>3.7900000000000003E-2</v>
      </c>
      <c r="K978">
        <f t="shared" si="711"/>
        <v>1</v>
      </c>
      <c r="L978">
        <f t="shared" si="739"/>
        <v>8.3333333333333329E-2</v>
      </c>
      <c r="M978">
        <f t="shared" si="706"/>
        <v>3.2145624959929453E-3</v>
      </c>
      <c r="N978">
        <f t="shared" si="707"/>
        <v>4.8320139429424839E-8</v>
      </c>
      <c r="O978" s="8">
        <f t="shared" si="723"/>
        <v>1.4983317755200851E-5</v>
      </c>
      <c r="P978">
        <f t="shared" si="724"/>
        <v>3.6075930947112661E-4</v>
      </c>
      <c r="Q978">
        <f t="shared" si="740"/>
        <v>0</v>
      </c>
      <c r="R978" s="89">
        <f t="shared" si="712"/>
        <v>5000</v>
      </c>
      <c r="S978">
        <f t="shared" si="713"/>
        <v>0.4166666666666714</v>
      </c>
      <c r="U978">
        <f>O977*AV977*'Real assumptions'!$B$33/12+AX978*'Real assumptions'!$B$34</f>
        <v>4.246371671945411E-4</v>
      </c>
      <c r="V978">
        <f>IF(P978=0,0,IF(E978&lt;=$C$7,$AN$5*O977,0))*'Real assumptions'!$D$28</f>
        <v>0</v>
      </c>
      <c r="X978" s="94">
        <f t="shared" si="725"/>
        <v>0</v>
      </c>
      <c r="Y978">
        <f t="shared" si="714"/>
        <v>24</v>
      </c>
      <c r="Z978">
        <f t="shared" si="741"/>
        <v>18</v>
      </c>
      <c r="AA978">
        <f t="shared" si="715"/>
        <v>18.416666666666671</v>
      </c>
      <c r="AB978">
        <f t="shared" si="726"/>
        <v>50.505050505050505</v>
      </c>
      <c r="AC978">
        <f t="shared" si="708"/>
        <v>930.13468013468037</v>
      </c>
      <c r="AD978">
        <f t="shared" si="727"/>
        <v>80.505050505050505</v>
      </c>
      <c r="AE978">
        <f t="shared" si="728"/>
        <v>74.131734006734021</v>
      </c>
      <c r="AF978" s="94">
        <f t="shared" si="729"/>
        <v>3995.7335858585857</v>
      </c>
      <c r="AG978">
        <f t="shared" si="742"/>
        <v>1.9307440399152256E-4</v>
      </c>
      <c r="AH978">
        <f t="shared" si="730"/>
        <v>5.9869345982047309E-2</v>
      </c>
      <c r="AI978">
        <f>HLOOKUP(AW978,'Real assumptions'!$A$21:$AK$24,2,TRUE)</f>
        <v>0</v>
      </c>
      <c r="AJ978" s="123">
        <f t="shared" si="709"/>
        <v>0</v>
      </c>
      <c r="AK978" s="122">
        <f>(1+HLOOKUP(YEAR(A978),'Real assumptions'!$A$21:$AK$24,2,TRUE)/100)^(1/12)-1</f>
        <v>0</v>
      </c>
      <c r="AL978">
        <f t="shared" si="743"/>
        <v>4.246371671945411E-4</v>
      </c>
      <c r="AM978">
        <f>('Real assumptions'!$B$33/12)*O977*AV977</f>
        <v>4.0818476028243973E-4</v>
      </c>
      <c r="AN978">
        <f t="shared" si="731"/>
        <v>5.9930235880862423E-2</v>
      </c>
      <c r="AO978">
        <f t="shared" si="710"/>
        <v>0</v>
      </c>
      <c r="AP978" s="121">
        <f t="shared" si="732"/>
        <v>0</v>
      </c>
      <c r="AQ978">
        <f t="shared" si="733"/>
        <v>0</v>
      </c>
      <c r="AR978">
        <v>0</v>
      </c>
      <c r="AS978">
        <f t="shared" si="716"/>
        <v>0</v>
      </c>
      <c r="AT978">
        <f t="shared" si="734"/>
        <v>0</v>
      </c>
      <c r="AU978">
        <f>IFERROR(HLOOKUP(B978,'Real assumptions'!$B$43:$AL$44,2,TRUE)*($W$3/$U$2),0)</f>
        <v>0</v>
      </c>
      <c r="AV978">
        <f>AV977*(1+'Real assumptions'!$B$35)^(1/12)</f>
        <v>2.7183167854723869</v>
      </c>
      <c r="AW978">
        <f t="shared" si="717"/>
        <v>2099</v>
      </c>
      <c r="AX978">
        <f t="shared" si="744"/>
        <v>6.0057378207839338E-2</v>
      </c>
      <c r="AY978">
        <f t="shared" si="745"/>
        <v>6.3264469253494429E-5</v>
      </c>
      <c r="AZ978">
        <f t="shared" si="718"/>
        <v>5.1547213906982844E-2</v>
      </c>
      <c r="BA978">
        <f t="shared" si="735"/>
        <v>1.9307440399152256E-4</v>
      </c>
      <c r="BB978">
        <f t="shared" si="736"/>
        <v>18.416666666666671</v>
      </c>
      <c r="BC978">
        <f t="shared" si="719"/>
        <v>11.050000000000002</v>
      </c>
      <c r="BD978">
        <f t="shared" si="737"/>
        <v>0</v>
      </c>
      <c r="BE978">
        <f t="shared" si="720"/>
        <v>24</v>
      </c>
      <c r="BF978">
        <f t="shared" si="746"/>
        <v>5000</v>
      </c>
      <c r="BU978"/>
      <c r="DW978" s="89"/>
      <c r="DX978" s="89"/>
      <c r="FD978"/>
      <c r="FE978"/>
    </row>
    <row r="979" spans="1:161" x14ac:dyDescent="0.25">
      <c r="A979" s="7">
        <f t="shared" si="738"/>
        <v>72897</v>
      </c>
      <c r="B979">
        <f t="shared" si="721"/>
        <v>968</v>
      </c>
      <c r="C979">
        <f t="shared" si="702"/>
        <v>80.583333333333329</v>
      </c>
      <c r="D979">
        <f t="shared" si="703"/>
        <v>0</v>
      </c>
      <c r="E979">
        <f t="shared" si="722"/>
        <v>132</v>
      </c>
      <c r="F979">
        <f>IF(C979&gt;=$T$2,0,VLOOKUP($E979,EKM_F05!$A$3:$C$128,2,TRUE))</f>
        <v>0</v>
      </c>
      <c r="G979">
        <f>F979*'Real assumptions'!$B$3</f>
        <v>0</v>
      </c>
      <c r="H979">
        <f t="shared" si="704"/>
        <v>0</v>
      </c>
      <c r="I979">
        <f t="shared" si="705"/>
        <v>0</v>
      </c>
      <c r="J979">
        <f>IF(B979&gt;$AJ$2,0,HLOOKUP(C979,'Real assumptions'!$B$5:$L$8,4,TRUE))</f>
        <v>3.7900000000000003E-2</v>
      </c>
      <c r="K979">
        <f t="shared" si="711"/>
        <v>1</v>
      </c>
      <c r="L979">
        <f t="shared" si="739"/>
        <v>8.3333333333333329E-2</v>
      </c>
      <c r="M979">
        <f t="shared" si="706"/>
        <v>3.2145624959929453E-3</v>
      </c>
      <c r="N979">
        <f t="shared" si="707"/>
        <v>4.8164811321413862E-8</v>
      </c>
      <c r="O979" s="8">
        <f t="shared" si="723"/>
        <v>1.4935152943879438E-5</v>
      </c>
      <c r="P979">
        <f t="shared" si="724"/>
        <v>3.5959962612482045E-4</v>
      </c>
      <c r="Q979">
        <f t="shared" si="740"/>
        <v>0</v>
      </c>
      <c r="R979" s="89">
        <f t="shared" si="712"/>
        <v>5000</v>
      </c>
      <c r="S979">
        <f t="shared" si="713"/>
        <v>0.3333333333333286</v>
      </c>
      <c r="U979">
        <f>O978*AV978*'Real assumptions'!$B$33/12+AX979*'Real assumptions'!$B$34</f>
        <v>4.2371221328184788E-4</v>
      </c>
      <c r="V979">
        <f>IF(P979=0,0,IF(E979&lt;=$C$7,$AN$5*O978,0))*'Real assumptions'!$D$28</f>
        <v>0</v>
      </c>
      <c r="X979" s="94">
        <f t="shared" si="725"/>
        <v>0</v>
      </c>
      <c r="Y979">
        <f t="shared" si="714"/>
        <v>24</v>
      </c>
      <c r="Z979">
        <f t="shared" si="741"/>
        <v>18</v>
      </c>
      <c r="AA979">
        <f t="shared" si="715"/>
        <v>18.333333333333329</v>
      </c>
      <c r="AB979">
        <f t="shared" si="726"/>
        <v>50.505050505050505</v>
      </c>
      <c r="AC979">
        <f t="shared" si="708"/>
        <v>925.92592592592564</v>
      </c>
      <c r="AD979">
        <f t="shared" si="727"/>
        <v>80.505050505050505</v>
      </c>
      <c r="AE979">
        <f t="shared" si="728"/>
        <v>73.796296296296276</v>
      </c>
      <c r="AF979" s="94">
        <f t="shared" si="729"/>
        <v>4000.2777777777783</v>
      </c>
      <c r="AG979">
        <f t="shared" si="742"/>
        <v>1.9267262439991143E-4</v>
      </c>
      <c r="AH979">
        <f t="shared" si="730"/>
        <v>5.9744760429113281E-2</v>
      </c>
      <c r="AI979">
        <f>HLOOKUP(AW979,'Real assumptions'!$A$21:$AK$24,2,TRUE)</f>
        <v>0</v>
      </c>
      <c r="AJ979" s="123">
        <f t="shared" si="709"/>
        <v>0</v>
      </c>
      <c r="AK979" s="122">
        <f>(1+HLOOKUP(YEAR(A979),'Real assumptions'!$A$21:$AK$24,2,TRUE)/100)^(1/12)-1</f>
        <v>0</v>
      </c>
      <c r="AL979">
        <f t="shared" si="743"/>
        <v>4.2371221328184788E-4</v>
      </c>
      <c r="AM979">
        <f>('Real assumptions'!$B$33/12)*O978*AV978</f>
        <v>4.0729404156028917E-4</v>
      </c>
      <c r="AN979">
        <f t="shared" si="731"/>
        <v>5.980523339489028E-2</v>
      </c>
      <c r="AO979">
        <f t="shared" si="710"/>
        <v>0</v>
      </c>
      <c r="AP979" s="121">
        <f t="shared" si="732"/>
        <v>0</v>
      </c>
      <c r="AQ979">
        <f t="shared" si="733"/>
        <v>0</v>
      </c>
      <c r="AR979">
        <v>0</v>
      </c>
      <c r="AS979">
        <f t="shared" si="716"/>
        <v>0</v>
      </c>
      <c r="AT979">
        <f t="shared" si="734"/>
        <v>0</v>
      </c>
      <c r="AU979">
        <f>IFERROR(HLOOKUP(B979,'Real assumptions'!$B$43:$AL$44,2,TRUE)*($W$3/$U$2),0)</f>
        <v>0</v>
      </c>
      <c r="AV979">
        <f>AV978*(1+'Real assumptions'!$B$35)^(1/12)</f>
        <v>2.7211322712496275</v>
      </c>
      <c r="AW979">
        <f t="shared" si="717"/>
        <v>2099</v>
      </c>
      <c r="AX979">
        <f t="shared" si="744"/>
        <v>5.9932407083710615E-2</v>
      </c>
      <c r="AY979">
        <f t="shared" si="745"/>
        <v>6.3061101663303249E-5</v>
      </c>
      <c r="AZ979">
        <f t="shared" si="718"/>
        <v>5.1290428695425903E-2</v>
      </c>
      <c r="BA979">
        <f t="shared" si="735"/>
        <v>1.9267262439991143E-4</v>
      </c>
      <c r="BB979">
        <f t="shared" si="736"/>
        <v>18.333333333333329</v>
      </c>
      <c r="BC979">
        <f t="shared" si="719"/>
        <v>10.999999999999996</v>
      </c>
      <c r="BD979">
        <f t="shared" si="737"/>
        <v>0</v>
      </c>
      <c r="BE979">
        <f t="shared" si="720"/>
        <v>24</v>
      </c>
      <c r="BF979">
        <f t="shared" si="746"/>
        <v>5000</v>
      </c>
      <c r="BU979"/>
      <c r="DW979" s="89"/>
      <c r="DX979" s="89"/>
      <c r="FD979"/>
      <c r="FE979"/>
    </row>
    <row r="980" spans="1:161" x14ac:dyDescent="0.25">
      <c r="A980" s="7">
        <f t="shared" si="738"/>
        <v>72928</v>
      </c>
      <c r="B980">
        <f t="shared" si="721"/>
        <v>969</v>
      </c>
      <c r="C980">
        <f t="shared" si="702"/>
        <v>80.666666666666671</v>
      </c>
      <c r="D980">
        <f t="shared" si="703"/>
        <v>0</v>
      </c>
      <c r="E980">
        <f t="shared" si="722"/>
        <v>132</v>
      </c>
      <c r="F980">
        <f>IF(C980&gt;=$T$2,0,VLOOKUP($E980,EKM_F05!$A$3:$C$128,2,TRUE))</f>
        <v>0</v>
      </c>
      <c r="G980">
        <f>F980*'Real assumptions'!$B$3</f>
        <v>0</v>
      </c>
      <c r="H980">
        <f t="shared" si="704"/>
        <v>0</v>
      </c>
      <c r="I980">
        <f t="shared" si="705"/>
        <v>0</v>
      </c>
      <c r="J980">
        <f>IF(B980&gt;$AJ$2,0,HLOOKUP(C980,'Real assumptions'!$B$5:$L$8,4,TRUE))</f>
        <v>3.7900000000000003E-2</v>
      </c>
      <c r="K980">
        <f t="shared" si="711"/>
        <v>1</v>
      </c>
      <c r="L980">
        <f t="shared" si="739"/>
        <v>8.3333333333333329E-2</v>
      </c>
      <c r="M980">
        <f t="shared" si="706"/>
        <v>3.2145624959929453E-3</v>
      </c>
      <c r="N980">
        <f t="shared" si="707"/>
        <v>4.8009982525313468E-8</v>
      </c>
      <c r="O980" s="8">
        <f t="shared" si="723"/>
        <v>1.4887142961354125E-5</v>
      </c>
      <c r="P980">
        <f t="shared" si="724"/>
        <v>3.5844367065310652E-4</v>
      </c>
      <c r="Q980">
        <f t="shared" si="740"/>
        <v>0</v>
      </c>
      <c r="R980" s="89">
        <f t="shared" si="712"/>
        <v>5000</v>
      </c>
      <c r="S980">
        <f t="shared" si="713"/>
        <v>0.25</v>
      </c>
      <c r="U980">
        <f>O979*AV979*'Real assumptions'!$B$33/12+AX980*'Real assumptions'!$B$34</f>
        <v>4.2278925314022788E-4</v>
      </c>
      <c r="V980">
        <f>IF(P980=0,0,IF(E980&lt;=$C$7,$AN$5*O979,0))*'Real assumptions'!$D$28</f>
        <v>0</v>
      </c>
      <c r="X980" s="94">
        <f t="shared" si="725"/>
        <v>0</v>
      </c>
      <c r="Y980">
        <f t="shared" si="714"/>
        <v>24</v>
      </c>
      <c r="Z980">
        <f t="shared" si="741"/>
        <v>18</v>
      </c>
      <c r="AA980">
        <f t="shared" si="715"/>
        <v>18.25</v>
      </c>
      <c r="AB980">
        <f t="shared" si="726"/>
        <v>50.505050505050505</v>
      </c>
      <c r="AC980">
        <f t="shared" si="708"/>
        <v>921.71717171717171</v>
      </c>
      <c r="AD980">
        <f t="shared" si="727"/>
        <v>80.505050505050505</v>
      </c>
      <c r="AE980">
        <f t="shared" si="728"/>
        <v>73.460858585858588</v>
      </c>
      <c r="AF980" s="94">
        <f t="shared" si="729"/>
        <v>4004.8219696969695</v>
      </c>
      <c r="AG980">
        <f t="shared" si="742"/>
        <v>1.9227143278214296E-4</v>
      </c>
      <c r="AH980">
        <f t="shared" si="730"/>
        <v>5.9620357197650603E-2</v>
      </c>
      <c r="AI980">
        <f>HLOOKUP(AW980,'Real assumptions'!$A$21:$AK$24,2,TRUE)</f>
        <v>0</v>
      </c>
      <c r="AJ980" s="123">
        <f t="shared" si="709"/>
        <v>0</v>
      </c>
      <c r="AK980" s="122">
        <f>(1+HLOOKUP(YEAR(A980),'Real assumptions'!$A$21:$AK$24,2,TRUE)/100)^(1/12)-1</f>
        <v>0</v>
      </c>
      <c r="AL980">
        <f t="shared" si="743"/>
        <v>4.2278925314022788E-4</v>
      </c>
      <c r="AM980">
        <f>('Real assumptions'!$B$33/12)*O979*AV979</f>
        <v>4.0640526651639216E-4</v>
      </c>
      <c r="AN980">
        <f t="shared" si="731"/>
        <v>5.9680414846626159E-2</v>
      </c>
      <c r="AO980">
        <f t="shared" si="710"/>
        <v>0</v>
      </c>
      <c r="AP980" s="121">
        <f t="shared" si="732"/>
        <v>0</v>
      </c>
      <c r="AQ980">
        <f t="shared" si="733"/>
        <v>0</v>
      </c>
      <c r="AR980">
        <v>0</v>
      </c>
      <c r="AS980">
        <f t="shared" si="716"/>
        <v>0</v>
      </c>
      <c r="AT980">
        <f t="shared" si="734"/>
        <v>0</v>
      </c>
      <c r="AU980">
        <f>IFERROR(HLOOKUP(B980,'Real assumptions'!$B$43:$AL$44,2,TRUE)*($W$3/$U$2),0)</f>
        <v>0</v>
      </c>
      <c r="AV980">
        <f>AV979*(1+'Real assumptions'!$B$35)^(1/12)</f>
        <v>2.7239506731550414</v>
      </c>
      <c r="AW980">
        <f t="shared" si="717"/>
        <v>2099</v>
      </c>
      <c r="AX980">
        <f t="shared" si="744"/>
        <v>5.9807618816924223E-2</v>
      </c>
      <c r="AY980">
        <f t="shared" si="745"/>
        <v>6.2858387810940384E-5</v>
      </c>
      <c r="AZ980">
        <f t="shared" si="718"/>
        <v>5.1033811680156638E-2</v>
      </c>
      <c r="BA980">
        <f t="shared" si="735"/>
        <v>1.9227143278214296E-4</v>
      </c>
      <c r="BB980">
        <f t="shared" si="736"/>
        <v>18.25</v>
      </c>
      <c r="BC980">
        <f t="shared" si="719"/>
        <v>10.95</v>
      </c>
      <c r="BD980">
        <f t="shared" si="737"/>
        <v>0</v>
      </c>
      <c r="BE980">
        <f t="shared" si="720"/>
        <v>24</v>
      </c>
      <c r="BF980">
        <f t="shared" si="746"/>
        <v>5000</v>
      </c>
      <c r="BU980"/>
      <c r="DW980" s="89"/>
      <c r="DX980" s="89"/>
      <c r="FD980"/>
      <c r="FE980"/>
    </row>
    <row r="981" spans="1:161" x14ac:dyDescent="0.25">
      <c r="A981" s="7">
        <f t="shared" si="738"/>
        <v>72958</v>
      </c>
      <c r="B981">
        <f t="shared" si="721"/>
        <v>970</v>
      </c>
      <c r="C981">
        <f t="shared" si="702"/>
        <v>80.75</v>
      </c>
      <c r="D981">
        <f t="shared" si="703"/>
        <v>0</v>
      </c>
      <c r="E981">
        <f t="shared" si="722"/>
        <v>132</v>
      </c>
      <c r="F981">
        <f>IF(C981&gt;=$T$2,0,VLOOKUP($E981,EKM_F05!$A$3:$C$128,2,TRUE))</f>
        <v>0</v>
      </c>
      <c r="G981">
        <f>F981*'Real assumptions'!$B$3</f>
        <v>0</v>
      </c>
      <c r="H981">
        <f t="shared" si="704"/>
        <v>0</v>
      </c>
      <c r="I981">
        <f t="shared" si="705"/>
        <v>0</v>
      </c>
      <c r="J981">
        <f>IF(B981&gt;$AJ$2,0,HLOOKUP(C981,'Real assumptions'!$B$5:$L$8,4,TRUE))</f>
        <v>3.7900000000000003E-2</v>
      </c>
      <c r="K981">
        <f t="shared" si="711"/>
        <v>1</v>
      </c>
      <c r="L981">
        <f t="shared" si="739"/>
        <v>8.3333333333333329E-2</v>
      </c>
      <c r="M981">
        <f t="shared" si="706"/>
        <v>3.2145624959929453E-3</v>
      </c>
      <c r="N981">
        <f t="shared" si="707"/>
        <v>4.7855651436054321E-8</v>
      </c>
      <c r="O981" s="8">
        <f t="shared" si="723"/>
        <v>1.4839287309918071E-5</v>
      </c>
      <c r="P981">
        <f t="shared" si="724"/>
        <v>3.5729143107249902E-4</v>
      </c>
      <c r="Q981">
        <f t="shared" si="740"/>
        <v>0</v>
      </c>
      <c r="R981" s="89">
        <f t="shared" si="712"/>
        <v>5000</v>
      </c>
      <c r="S981">
        <f t="shared" si="713"/>
        <v>0.1666666666666714</v>
      </c>
      <c r="U981">
        <f>O980*AV980*'Real assumptions'!$B$33/12+AX981*'Real assumptions'!$B$34</f>
        <v>4.2186828256000441E-4</v>
      </c>
      <c r="V981">
        <f>IF(P981=0,0,IF(E981&lt;=$C$7,$AN$5*O980,0))*'Real assumptions'!$D$28</f>
        <v>0</v>
      </c>
      <c r="X981" s="94">
        <f t="shared" si="725"/>
        <v>0</v>
      </c>
      <c r="Y981">
        <f t="shared" si="714"/>
        <v>24</v>
      </c>
      <c r="Z981">
        <f t="shared" si="741"/>
        <v>18</v>
      </c>
      <c r="AA981">
        <f t="shared" si="715"/>
        <v>18.166666666666671</v>
      </c>
      <c r="AB981">
        <f t="shared" si="726"/>
        <v>50.505050505050505</v>
      </c>
      <c r="AC981">
        <f t="shared" si="708"/>
        <v>917.50841750841778</v>
      </c>
      <c r="AD981">
        <f t="shared" si="727"/>
        <v>80.505050505050505</v>
      </c>
      <c r="AE981">
        <f t="shared" si="728"/>
        <v>73.125420875420886</v>
      </c>
      <c r="AF981" s="94">
        <f t="shared" si="729"/>
        <v>4009.3661616161617</v>
      </c>
      <c r="AG981">
        <f t="shared" si="742"/>
        <v>1.9187082950981407E-4</v>
      </c>
      <c r="AH981">
        <f t="shared" si="730"/>
        <v>5.9496136402885633E-2</v>
      </c>
      <c r="AI981">
        <f>HLOOKUP(AW981,'Real assumptions'!$A$21:$AK$24,2,TRUE)</f>
        <v>0</v>
      </c>
      <c r="AJ981" s="123">
        <f t="shared" si="709"/>
        <v>0</v>
      </c>
      <c r="AK981" s="122">
        <f>(1+HLOOKUP(YEAR(A981),'Real assumptions'!$A$21:$AK$24,2,TRUE)/100)^(1/12)-1</f>
        <v>0</v>
      </c>
      <c r="AL981">
        <f t="shared" si="743"/>
        <v>4.2186828256000441E-4</v>
      </c>
      <c r="AM981">
        <f>('Real assumptions'!$B$33/12)*O980*AV980</f>
        <v>4.0551843090935903E-4</v>
      </c>
      <c r="AN981">
        <f t="shared" si="731"/>
        <v>5.9555780346163101E-2</v>
      </c>
      <c r="AO981">
        <f t="shared" si="710"/>
        <v>0</v>
      </c>
      <c r="AP981" s="121">
        <f t="shared" si="732"/>
        <v>0</v>
      </c>
      <c r="AQ981">
        <f t="shared" si="733"/>
        <v>0</v>
      </c>
      <c r="AR981">
        <v>0</v>
      </c>
      <c r="AS981">
        <f t="shared" si="716"/>
        <v>0</v>
      </c>
      <c r="AT981">
        <f t="shared" si="734"/>
        <v>0</v>
      </c>
      <c r="AU981">
        <f>IFERROR(HLOOKUP(B981,'Real assumptions'!$B$43:$AL$44,2,TRUE)*($W$3/$U$2),0)</f>
        <v>0</v>
      </c>
      <c r="AV981">
        <f>AV980*(1+'Real assumptions'!$B$35)^(1/12)</f>
        <v>2.7267719942089967</v>
      </c>
      <c r="AW981">
        <f t="shared" si="717"/>
        <v>2099</v>
      </c>
      <c r="AX981">
        <f t="shared" si="744"/>
        <v>5.968301352324553E-2</v>
      </c>
      <c r="AY981">
        <f t="shared" si="745"/>
        <v>6.2656325594924765E-5</v>
      </c>
      <c r="AZ981">
        <f t="shared" si="718"/>
        <v>5.0777363999159324E-2</v>
      </c>
      <c r="BA981">
        <f t="shared" si="735"/>
        <v>1.9187082950981407E-4</v>
      </c>
      <c r="BB981">
        <f t="shared" si="736"/>
        <v>18.166666666666671</v>
      </c>
      <c r="BC981">
        <f t="shared" si="719"/>
        <v>10.900000000000002</v>
      </c>
      <c r="BD981">
        <f t="shared" si="737"/>
        <v>0</v>
      </c>
      <c r="BE981">
        <f t="shared" si="720"/>
        <v>24</v>
      </c>
      <c r="BF981">
        <f t="shared" si="746"/>
        <v>5000</v>
      </c>
      <c r="BU981"/>
      <c r="DW981" s="89"/>
      <c r="DX981" s="89"/>
      <c r="FD981"/>
      <c r="FE981"/>
    </row>
    <row r="982" spans="1:161" x14ac:dyDescent="0.25">
      <c r="A982" s="7">
        <f t="shared" si="738"/>
        <v>72989</v>
      </c>
      <c r="B982">
        <f t="shared" si="721"/>
        <v>971</v>
      </c>
      <c r="C982">
        <f t="shared" si="702"/>
        <v>80.833333333333329</v>
      </c>
      <c r="D982">
        <f t="shared" si="703"/>
        <v>0</v>
      </c>
      <c r="E982">
        <f t="shared" si="722"/>
        <v>132</v>
      </c>
      <c r="F982">
        <f>IF(C982&gt;=$T$2,0,VLOOKUP($E982,EKM_F05!$A$3:$C$128,2,TRUE))</f>
        <v>0</v>
      </c>
      <c r="G982">
        <f>F982*'Real assumptions'!$B$3</f>
        <v>0</v>
      </c>
      <c r="H982">
        <f t="shared" si="704"/>
        <v>0</v>
      </c>
      <c r="I982">
        <f t="shared" si="705"/>
        <v>0</v>
      </c>
      <c r="J982">
        <f>IF(B982&gt;$AJ$2,0,HLOOKUP(C982,'Real assumptions'!$B$5:$L$8,4,TRUE))</f>
        <v>3.7900000000000003E-2</v>
      </c>
      <c r="K982">
        <f t="shared" si="711"/>
        <v>1</v>
      </c>
      <c r="L982">
        <f t="shared" si="739"/>
        <v>8.3333333333333329E-2</v>
      </c>
      <c r="M982">
        <f t="shared" si="706"/>
        <v>3.2145624959929453E-3</v>
      </c>
      <c r="N982">
        <f t="shared" si="707"/>
        <v>4.7701816453726671E-8</v>
      </c>
      <c r="O982" s="8">
        <f t="shared" si="723"/>
        <v>1.4791585493464344E-5</v>
      </c>
      <c r="P982">
        <f t="shared" si="724"/>
        <v>3.5614289543803372E-4</v>
      </c>
      <c r="Q982">
        <f t="shared" si="740"/>
        <v>0</v>
      </c>
      <c r="R982" s="89">
        <f t="shared" si="712"/>
        <v>5000</v>
      </c>
      <c r="S982">
        <f t="shared" si="713"/>
        <v>8.3333333333328596E-2</v>
      </c>
      <c r="U982">
        <f>O981*AV981*'Real assumptions'!$B$33/12+AX982*'Real assumptions'!$B$34</f>
        <v>4.2094929734003524E-4</v>
      </c>
      <c r="V982">
        <f>IF(P982=0,0,IF(E982&lt;=$C$7,$AN$5*O981,0))*'Real assumptions'!$D$28</f>
        <v>0</v>
      </c>
      <c r="X982" s="94">
        <f t="shared" si="725"/>
        <v>0</v>
      </c>
      <c r="Y982">
        <f t="shared" si="714"/>
        <v>24</v>
      </c>
      <c r="Z982">
        <f t="shared" si="741"/>
        <v>18</v>
      </c>
      <c r="AA982">
        <f t="shared" si="715"/>
        <v>18.083333333333329</v>
      </c>
      <c r="AB982">
        <f t="shared" si="726"/>
        <v>50.505050505050505</v>
      </c>
      <c r="AC982">
        <f t="shared" si="708"/>
        <v>913.29966329966305</v>
      </c>
      <c r="AD982">
        <f t="shared" si="727"/>
        <v>80.505050505050505</v>
      </c>
      <c r="AE982">
        <f t="shared" si="728"/>
        <v>72.789983164983141</v>
      </c>
      <c r="AF982" s="94">
        <f t="shared" si="729"/>
        <v>4013.9103535353543</v>
      </c>
      <c r="AG982">
        <f t="shared" si="742"/>
        <v>1.9147081494605661E-4</v>
      </c>
      <c r="AH982">
        <f t="shared" si="730"/>
        <v>5.9372098157419881E-2</v>
      </c>
      <c r="AI982">
        <f>HLOOKUP(AW982,'Real assumptions'!$A$21:$AK$24,2,TRUE)</f>
        <v>0</v>
      </c>
      <c r="AJ982" s="123">
        <f t="shared" si="709"/>
        <v>0</v>
      </c>
      <c r="AK982" s="122">
        <f>(1+HLOOKUP(YEAR(A982),'Real assumptions'!$A$21:$AK$24,2,TRUE)/100)^(1/12)-1</f>
        <v>0</v>
      </c>
      <c r="AL982">
        <f t="shared" si="743"/>
        <v>4.2094929734003524E-4</v>
      </c>
      <c r="AM982">
        <f>('Real assumptions'!$B$33/12)*O981*AV981</f>
        <v>4.046335305070556E-4</v>
      </c>
      <c r="AN982">
        <f t="shared" si="731"/>
        <v>5.9431330000983627E-2</v>
      </c>
      <c r="AO982">
        <f t="shared" si="710"/>
        <v>0</v>
      </c>
      <c r="AP982" s="121">
        <f t="shared" si="732"/>
        <v>0</v>
      </c>
      <c r="AQ982">
        <f t="shared" si="733"/>
        <v>0</v>
      </c>
      <c r="AR982">
        <v>0</v>
      </c>
      <c r="AS982">
        <f t="shared" si="716"/>
        <v>0</v>
      </c>
      <c r="AT982">
        <f t="shared" si="734"/>
        <v>0</v>
      </c>
      <c r="AU982">
        <f>IFERROR(HLOOKUP(B982,'Real assumptions'!$B$43:$AL$44,2,TRUE)*($W$3/$U$2),0)</f>
        <v>0</v>
      </c>
      <c r="AV982">
        <f>AV981*(1+'Real assumptions'!$B$35)^(1/12)</f>
        <v>2.7295962374349898</v>
      </c>
      <c r="AW982">
        <f t="shared" si="717"/>
        <v>2099</v>
      </c>
      <c r="AX982">
        <f t="shared" si="744"/>
        <v>5.955859131580616E-2</v>
      </c>
      <c r="AY982">
        <f t="shared" si="745"/>
        <v>6.2454912920530603E-5</v>
      </c>
      <c r="AZ982">
        <f t="shared" si="718"/>
        <v>5.0521086782311264E-2</v>
      </c>
      <c r="BA982">
        <f t="shared" si="735"/>
        <v>1.9147081494605661E-4</v>
      </c>
      <c r="BB982">
        <f t="shared" si="736"/>
        <v>18.083333333333329</v>
      </c>
      <c r="BC982">
        <f t="shared" si="719"/>
        <v>10.849999999999998</v>
      </c>
      <c r="BD982">
        <f t="shared" si="737"/>
        <v>0</v>
      </c>
      <c r="BE982">
        <f t="shared" si="720"/>
        <v>24</v>
      </c>
      <c r="BF982">
        <f t="shared" si="746"/>
        <v>5000</v>
      </c>
      <c r="BU982"/>
      <c r="DW982" s="89"/>
      <c r="DX982" s="89"/>
      <c r="FD982"/>
      <c r="FE982"/>
    </row>
    <row r="983" spans="1:161" x14ac:dyDescent="0.25">
      <c r="A983" s="7">
        <f t="shared" si="738"/>
        <v>73019</v>
      </c>
      <c r="B983">
        <f t="shared" si="721"/>
        <v>972</v>
      </c>
      <c r="C983">
        <f t="shared" si="702"/>
        <v>80.916666666666671</v>
      </c>
      <c r="D983">
        <f t="shared" si="703"/>
        <v>0</v>
      </c>
      <c r="E983">
        <f t="shared" si="722"/>
        <v>132</v>
      </c>
      <c r="F983">
        <f>IF(C983&gt;=$T$2,0,VLOOKUP($E983,EKM_F05!$A$3:$C$128,2,TRUE))</f>
        <v>0</v>
      </c>
      <c r="G983">
        <f>F983*'Real assumptions'!$B$3</f>
        <v>0</v>
      </c>
      <c r="H983">
        <f t="shared" si="704"/>
        <v>0</v>
      </c>
      <c r="I983">
        <f t="shared" si="705"/>
        <v>0</v>
      </c>
      <c r="J983">
        <f>IF(B983&gt;$AJ$2,0,HLOOKUP(C983,'Real assumptions'!$B$5:$L$8,4,TRUE))</f>
        <v>3.7900000000000003E-2</v>
      </c>
      <c r="K983">
        <f t="shared" si="711"/>
        <v>1</v>
      </c>
      <c r="L983">
        <f t="shared" si="739"/>
        <v>8.3333333333333329E-2</v>
      </c>
      <c r="M983">
        <f t="shared" si="706"/>
        <v>3.2145624959929453E-3</v>
      </c>
      <c r="N983">
        <f t="shared" si="707"/>
        <v>4.7548475983563785E-8</v>
      </c>
      <c r="O983" s="8">
        <f t="shared" si="723"/>
        <v>1.4744037017480781E-5</v>
      </c>
      <c r="P983">
        <f t="shared" si="724"/>
        <v>3.5499805184314428E-4</v>
      </c>
      <c r="Q983">
        <f t="shared" si="740"/>
        <v>0</v>
      </c>
      <c r="R983" s="89">
        <f t="shared" si="712"/>
        <v>5000</v>
      </c>
      <c r="S983">
        <f t="shared" si="713"/>
        <v>1</v>
      </c>
      <c r="U983">
        <f>O982*AV982*'Real assumptions'!$B$33/12+AX983*'Real assumptions'!$B$34</f>
        <v>4.2003229328769576E-4</v>
      </c>
      <c r="V983">
        <f>IF(P983=0,0,IF(E983&lt;=$C$7,$AN$5*O982,0))*'Real assumptions'!$D$28</f>
        <v>0</v>
      </c>
      <c r="X983" s="94">
        <f t="shared" si="725"/>
        <v>0</v>
      </c>
      <c r="Y983">
        <f t="shared" si="714"/>
        <v>24</v>
      </c>
      <c r="Z983">
        <f t="shared" si="741"/>
        <v>18</v>
      </c>
      <c r="AA983">
        <f t="shared" si="715"/>
        <v>18</v>
      </c>
      <c r="AB983">
        <f t="shared" si="726"/>
        <v>50.505050505050505</v>
      </c>
      <c r="AC983">
        <f t="shared" si="708"/>
        <v>909.09090909090912</v>
      </c>
      <c r="AD983">
        <f t="shared" si="727"/>
        <v>80.505050505050505</v>
      </c>
      <c r="AE983">
        <f t="shared" si="728"/>
        <v>72.454545454545453</v>
      </c>
      <c r="AF983" s="94">
        <f t="shared" si="729"/>
        <v>4018.4545454545455</v>
      </c>
      <c r="AG983">
        <f t="shared" si="742"/>
        <v>1.9107138944558818E-4</v>
      </c>
      <c r="AH983">
        <f t="shared" si="730"/>
        <v>5.9248242571245724E-2</v>
      </c>
      <c r="AI983">
        <f>HLOOKUP(AW983,'Real assumptions'!$A$21:$AK$24,2,TRUE)</f>
        <v>0</v>
      </c>
      <c r="AJ983" s="123">
        <f t="shared" si="709"/>
        <v>0</v>
      </c>
      <c r="AK983" s="122">
        <f>(1+HLOOKUP(YEAR(A983),'Real assumptions'!$A$21:$AK$24,2,TRUE)/100)^(1/12)-1</f>
        <v>0</v>
      </c>
      <c r="AL983">
        <f t="shared" si="743"/>
        <v>4.2003229328769576E-4</v>
      </c>
      <c r="AM983">
        <f>('Real assumptions'!$B$33/12)*O982*AV982</f>
        <v>4.037505610865825E-4</v>
      </c>
      <c r="AN983">
        <f t="shared" si="731"/>
        <v>5.930706391597533E-2</v>
      </c>
      <c r="AO983">
        <f t="shared" si="710"/>
        <v>0</v>
      </c>
      <c r="AP983" s="121">
        <f t="shared" si="732"/>
        <v>0</v>
      </c>
      <c r="AQ983">
        <f t="shared" si="733"/>
        <v>0</v>
      </c>
      <c r="AR983">
        <v>0</v>
      </c>
      <c r="AS983">
        <f t="shared" si="716"/>
        <v>0</v>
      </c>
      <c r="AT983">
        <f t="shared" si="734"/>
        <v>0</v>
      </c>
      <c r="AU983">
        <f>IFERROR(HLOOKUP(B983,'Real assumptions'!$B$43:$AL$44,2,TRUE)*($W$3/$U$2),0)</f>
        <v>0</v>
      </c>
      <c r="AV983">
        <f>AV982*(1+'Real assumptions'!$B$35)^(1/12)</f>
        <v>2.7324234058596488</v>
      </c>
      <c r="AW983">
        <f t="shared" si="717"/>
        <v>2099</v>
      </c>
      <c r="AX983">
        <f t="shared" si="744"/>
        <v>5.9434352305119648E-2</v>
      </c>
      <c r="AY983">
        <f t="shared" si="745"/>
        <v>6.2254147699765752E-5</v>
      </c>
      <c r="AZ983">
        <f t="shared" si="718"/>
        <v>5.0264981151421126E-2</v>
      </c>
      <c r="BA983">
        <f t="shared" si="735"/>
        <v>1.9107138944558818E-4</v>
      </c>
      <c r="BB983">
        <f t="shared" si="736"/>
        <v>18</v>
      </c>
      <c r="BC983">
        <f t="shared" si="719"/>
        <v>10.8</v>
      </c>
      <c r="BD983">
        <f t="shared" si="737"/>
        <v>0</v>
      </c>
      <c r="BE983">
        <f t="shared" si="720"/>
        <v>24</v>
      </c>
      <c r="BF983">
        <f t="shared" si="746"/>
        <v>5000</v>
      </c>
      <c r="BU983"/>
      <c r="DW983" s="89"/>
      <c r="DX983" s="89"/>
      <c r="FD983"/>
      <c r="FE983"/>
    </row>
    <row r="984" spans="1:161" x14ac:dyDescent="0.25">
      <c r="A984" s="7">
        <f t="shared" si="738"/>
        <v>73050</v>
      </c>
      <c r="B984">
        <f t="shared" si="721"/>
        <v>973</v>
      </c>
      <c r="C984">
        <f t="shared" si="702"/>
        <v>81</v>
      </c>
      <c r="D984">
        <f t="shared" si="703"/>
        <v>1</v>
      </c>
      <c r="E984">
        <f t="shared" si="722"/>
        <v>133</v>
      </c>
      <c r="F984">
        <f>IF(C984&gt;=$T$2,0,VLOOKUP($E984,EKM_F05!$A$3:$C$128,2,TRUE))</f>
        <v>0</v>
      </c>
      <c r="G984">
        <f>F984*'Real assumptions'!$B$3</f>
        <v>0</v>
      </c>
      <c r="H984">
        <f t="shared" si="704"/>
        <v>0</v>
      </c>
      <c r="I984">
        <f t="shared" si="705"/>
        <v>0</v>
      </c>
      <c r="J984">
        <f>IF(B984&gt;$AJ$2,0,HLOOKUP(C984,'Real assumptions'!$B$5:$L$8,4,TRUE))</f>
        <v>3.7900000000000003E-2</v>
      </c>
      <c r="K984">
        <f t="shared" si="711"/>
        <v>1</v>
      </c>
      <c r="L984">
        <f t="shared" si="739"/>
        <v>8.3333333333333329E-2</v>
      </c>
      <c r="M984">
        <f t="shared" si="706"/>
        <v>3.2145624959929453E-3</v>
      </c>
      <c r="N984">
        <f t="shared" si="707"/>
        <v>4.7395628435925397E-8</v>
      </c>
      <c r="O984" s="8">
        <f t="shared" si="723"/>
        <v>1.4696641389044855E-5</v>
      </c>
      <c r="P984">
        <f t="shared" si="724"/>
        <v>3.5385688841953872E-4</v>
      </c>
      <c r="Q984">
        <f t="shared" si="740"/>
        <v>0</v>
      </c>
      <c r="R984" s="89">
        <f t="shared" si="712"/>
        <v>5000</v>
      </c>
      <c r="S984">
        <f t="shared" si="713"/>
        <v>0.9166666666666714</v>
      </c>
      <c r="U984">
        <f>O983*AV983*'Real assumptions'!$B$33/12+AX984*'Real assumptions'!$B$34</f>
        <v>4.191172662188633E-4</v>
      </c>
      <c r="V984">
        <f>IF(P984=0,0,IF(E984&lt;=$C$7,$AN$5*O983,0))*'Real assumptions'!$D$28</f>
        <v>0</v>
      </c>
      <c r="X984" s="94">
        <f t="shared" si="725"/>
        <v>0</v>
      </c>
      <c r="Y984">
        <f t="shared" si="714"/>
        <v>24</v>
      </c>
      <c r="Z984">
        <f t="shared" si="741"/>
        <v>18</v>
      </c>
      <c r="AA984">
        <f t="shared" si="715"/>
        <v>17.916666666666671</v>
      </c>
      <c r="AB984">
        <f t="shared" si="726"/>
        <v>50.505050505050505</v>
      </c>
      <c r="AC984">
        <f t="shared" si="708"/>
        <v>904.88215488215508</v>
      </c>
      <c r="AD984">
        <f t="shared" si="727"/>
        <v>80.505050505050505</v>
      </c>
      <c r="AE984">
        <f t="shared" si="728"/>
        <v>72.119107744107765</v>
      </c>
      <c r="AF984" s="94">
        <f t="shared" si="729"/>
        <v>4022.9987373737372</v>
      </c>
      <c r="AG984">
        <f t="shared" si="742"/>
        <v>1.9067255335476267E-4</v>
      </c>
      <c r="AH984">
        <f t="shared" si="730"/>
        <v>5.9124569751762057E-2</v>
      </c>
      <c r="AI984">
        <f>HLOOKUP(AW984,'Real assumptions'!$A$21:$AK$24,2,TRUE)</f>
        <v>0</v>
      </c>
      <c r="AJ984" s="123">
        <f t="shared" si="709"/>
        <v>0</v>
      </c>
      <c r="AK984" s="122">
        <f>(1+HLOOKUP(YEAR(A984),'Real assumptions'!$A$21:$AK$24,2,TRUE)/100)^(1/12)-1</f>
        <v>0</v>
      </c>
      <c r="AL984">
        <f t="shared" si="743"/>
        <v>4.191172662188633E-4</v>
      </c>
      <c r="AM984">
        <f>('Real assumptions'!$B$33/12)*O983*AV983</f>
        <v>4.0286951843425574E-4</v>
      </c>
      <c r="AN984">
        <f t="shared" si="731"/>
        <v>5.91829821934464E-2</v>
      </c>
      <c r="AO984">
        <f t="shared" si="710"/>
        <v>0</v>
      </c>
      <c r="AP984" s="121">
        <f t="shared" si="732"/>
        <v>0</v>
      </c>
      <c r="AQ984">
        <f t="shared" si="733"/>
        <v>0</v>
      </c>
      <c r="AR984">
        <v>0</v>
      </c>
      <c r="AS984">
        <f t="shared" si="716"/>
        <v>0</v>
      </c>
      <c r="AT984">
        <f t="shared" si="734"/>
        <v>0</v>
      </c>
      <c r="AU984">
        <f>IFERROR(HLOOKUP(B984,'Real assumptions'!$B$43:$AL$44,2,TRUE)*($W$3/$U$2),0)</f>
        <v>0</v>
      </c>
      <c r="AV984">
        <f>AV983*(1+'Real assumptions'!$B$35)^(1/12)</f>
        <v>2.7352535025127365</v>
      </c>
      <c r="AW984">
        <f t="shared" si="717"/>
        <v>2099</v>
      </c>
      <c r="AX984">
        <f t="shared" si="744"/>
        <v>5.9310296599097076E-2</v>
      </c>
      <c r="AY984">
        <f t="shared" si="745"/>
        <v>6.2054027851350077E-5</v>
      </c>
      <c r="AZ984">
        <f t="shared" si="718"/>
        <v>5.0009048220267041E-2</v>
      </c>
      <c r="BA984">
        <f t="shared" si="735"/>
        <v>1.9067255335476267E-4</v>
      </c>
      <c r="BB984">
        <f t="shared" si="736"/>
        <v>17.916666666666671</v>
      </c>
      <c r="BC984">
        <f t="shared" si="719"/>
        <v>10.750000000000004</v>
      </c>
      <c r="BD984">
        <f t="shared" si="737"/>
        <v>0</v>
      </c>
      <c r="BE984">
        <f t="shared" si="720"/>
        <v>24</v>
      </c>
      <c r="BF984">
        <f t="shared" si="746"/>
        <v>5000</v>
      </c>
      <c r="BU984"/>
      <c r="DW984" s="89"/>
      <c r="DX984" s="89"/>
      <c r="FD984"/>
      <c r="FE984"/>
    </row>
    <row r="985" spans="1:161" x14ac:dyDescent="0.25">
      <c r="A985" s="7">
        <f t="shared" si="738"/>
        <v>73081</v>
      </c>
      <c r="B985">
        <f t="shared" si="721"/>
        <v>974</v>
      </c>
      <c r="C985">
        <f t="shared" si="702"/>
        <v>81.083333333333329</v>
      </c>
      <c r="D985">
        <f t="shared" si="703"/>
        <v>0</v>
      </c>
      <c r="E985">
        <f t="shared" si="722"/>
        <v>133</v>
      </c>
      <c r="F985">
        <f>IF(C985&gt;=$T$2,0,VLOOKUP($E985,EKM_F05!$A$3:$C$128,2,TRUE))</f>
        <v>0</v>
      </c>
      <c r="G985">
        <f>F985*'Real assumptions'!$B$3</f>
        <v>0</v>
      </c>
      <c r="H985">
        <f t="shared" si="704"/>
        <v>0</v>
      </c>
      <c r="I985">
        <f t="shared" si="705"/>
        <v>0</v>
      </c>
      <c r="J985">
        <f>IF(B985&gt;$AJ$2,0,HLOOKUP(C985,'Real assumptions'!$B$5:$L$8,4,TRUE))</f>
        <v>3.7900000000000003E-2</v>
      </c>
      <c r="K985">
        <f t="shared" si="711"/>
        <v>1</v>
      </c>
      <c r="L985">
        <f t="shared" si="739"/>
        <v>8.3333333333333329E-2</v>
      </c>
      <c r="M985">
        <f t="shared" si="706"/>
        <v>3.2145624959929453E-3</v>
      </c>
      <c r="N985">
        <f t="shared" si="707"/>
        <v>4.7243272226281254E-8</v>
      </c>
      <c r="O985" s="8">
        <f t="shared" si="723"/>
        <v>1.4649398116818573E-5</v>
      </c>
      <c r="P985">
        <f t="shared" si="724"/>
        <v>3.5271939333707649E-4</v>
      </c>
      <c r="Q985">
        <f t="shared" si="740"/>
        <v>0</v>
      </c>
      <c r="R985" s="89">
        <f t="shared" si="712"/>
        <v>5000</v>
      </c>
      <c r="S985">
        <f t="shared" si="713"/>
        <v>0.8333333333333286</v>
      </c>
      <c r="U985">
        <f>O984*AV984*'Real assumptions'!$B$33/12+AX985*'Real assumptions'!$B$34</f>
        <v>4.1820421195790179E-4</v>
      </c>
      <c r="V985">
        <f>IF(P985=0,0,IF(E985&lt;=$C$7,$AN$5*O984,0))*'Real assumptions'!$D$28</f>
        <v>0</v>
      </c>
      <c r="X985" s="94">
        <f t="shared" si="725"/>
        <v>0</v>
      </c>
      <c r="Y985">
        <f t="shared" si="714"/>
        <v>24</v>
      </c>
      <c r="Z985">
        <f t="shared" si="741"/>
        <v>17</v>
      </c>
      <c r="AA985">
        <f t="shared" si="715"/>
        <v>17.833333333333329</v>
      </c>
      <c r="AB985">
        <f t="shared" si="726"/>
        <v>50.505050505050505</v>
      </c>
      <c r="AC985">
        <f t="shared" si="708"/>
        <v>900.67340067340047</v>
      </c>
      <c r="AD985">
        <f t="shared" si="727"/>
        <v>80.505050505050505</v>
      </c>
      <c r="AE985">
        <f t="shared" si="728"/>
        <v>71.783670033670006</v>
      </c>
      <c r="AF985" s="94">
        <f t="shared" si="729"/>
        <v>4027.5429292929293</v>
      </c>
      <c r="AG985">
        <f t="shared" si="742"/>
        <v>1.9027430701162008E-4</v>
      </c>
      <c r="AH985">
        <f t="shared" si="730"/>
        <v>5.9001079803789797E-2</v>
      </c>
      <c r="AI985">
        <f>HLOOKUP(AW985,'Real assumptions'!$A$21:$AK$24,2,TRUE)</f>
        <v>0</v>
      </c>
      <c r="AJ985" s="123">
        <f t="shared" si="709"/>
        <v>0</v>
      </c>
      <c r="AK985" s="122">
        <f>(1+HLOOKUP(YEAR(A985),'Real assumptions'!$A$21:$AK$24,2,TRUE)/100)^(1/12)-1</f>
        <v>0</v>
      </c>
      <c r="AL985">
        <f t="shared" si="743"/>
        <v>4.1820421195790179E-4</v>
      </c>
      <c r="AM985">
        <f>('Real assumptions'!$B$33/12)*O984*AV984</f>
        <v>4.0199039834558592E-4</v>
      </c>
      <c r="AN985">
        <f t="shared" si="731"/>
        <v>5.9059084933141236E-2</v>
      </c>
      <c r="AO985">
        <f t="shared" si="710"/>
        <v>0</v>
      </c>
      <c r="AP985" s="121">
        <f t="shared" si="732"/>
        <v>0</v>
      </c>
      <c r="AQ985">
        <f t="shared" si="733"/>
        <v>0</v>
      </c>
      <c r="AR985">
        <v>0</v>
      </c>
      <c r="AS985">
        <f t="shared" si="716"/>
        <v>0</v>
      </c>
      <c r="AT985">
        <f t="shared" si="734"/>
        <v>0</v>
      </c>
      <c r="AU985">
        <f>IFERROR(HLOOKUP(B985,'Real assumptions'!$B$43:$AL$44,2,TRUE)*($W$3/$U$2),0)</f>
        <v>0</v>
      </c>
      <c r="AV985">
        <f>AV984*(1+'Real assumptions'!$B$35)^(1/12)</f>
        <v>2.7380865304271538</v>
      </c>
      <c r="AW985">
        <f t="shared" si="717"/>
        <v>2100</v>
      </c>
      <c r="AX985">
        <f t="shared" si="744"/>
        <v>5.918642430306275E-2</v>
      </c>
      <c r="AY985">
        <f t="shared" si="745"/>
        <v>6.1854551300693825E-5</v>
      </c>
      <c r="AZ985">
        <f t="shared" si="718"/>
        <v>4.9753289094634598E-2</v>
      </c>
      <c r="BA985">
        <f t="shared" si="735"/>
        <v>1.9027430701162008E-4</v>
      </c>
      <c r="BB985">
        <f t="shared" si="736"/>
        <v>17.833333333333329</v>
      </c>
      <c r="BC985">
        <f t="shared" si="719"/>
        <v>10.699999999999996</v>
      </c>
      <c r="BD985">
        <f t="shared" si="737"/>
        <v>0</v>
      </c>
      <c r="BE985">
        <f t="shared" si="720"/>
        <v>24</v>
      </c>
      <c r="BF985">
        <f t="shared" si="746"/>
        <v>5000</v>
      </c>
      <c r="BU985"/>
      <c r="DW985" s="89"/>
      <c r="DX985" s="89"/>
      <c r="FD985"/>
      <c r="FE985"/>
    </row>
    <row r="986" spans="1:161" x14ac:dyDescent="0.25">
      <c r="A986" s="7">
        <f t="shared" si="738"/>
        <v>73109</v>
      </c>
      <c r="B986">
        <f t="shared" si="721"/>
        <v>975</v>
      </c>
      <c r="C986">
        <f t="shared" si="702"/>
        <v>81.166666666666671</v>
      </c>
      <c r="D986">
        <f t="shared" si="703"/>
        <v>0</v>
      </c>
      <c r="E986">
        <f t="shared" si="722"/>
        <v>133</v>
      </c>
      <c r="F986">
        <f>IF(C986&gt;=$T$2,0,VLOOKUP($E986,EKM_F05!$A$3:$C$128,2,TRUE))</f>
        <v>0</v>
      </c>
      <c r="G986">
        <f>F986*'Real assumptions'!$B$3</f>
        <v>0</v>
      </c>
      <c r="H986">
        <f t="shared" si="704"/>
        <v>0</v>
      </c>
      <c r="I986">
        <f t="shared" si="705"/>
        <v>0</v>
      </c>
      <c r="J986">
        <f>IF(B986&gt;$AJ$2,0,HLOOKUP(C986,'Real assumptions'!$B$5:$L$8,4,TRUE))</f>
        <v>3.7900000000000003E-2</v>
      </c>
      <c r="K986">
        <f t="shared" si="711"/>
        <v>1</v>
      </c>
      <c r="L986">
        <f t="shared" si="739"/>
        <v>8.3333333333333329E-2</v>
      </c>
      <c r="M986">
        <f t="shared" si="706"/>
        <v>3.2145624959929453E-3</v>
      </c>
      <c r="N986">
        <f t="shared" si="707"/>
        <v>4.7091405775194662E-8</v>
      </c>
      <c r="O986" s="8">
        <f t="shared" si="723"/>
        <v>1.4602306711043378E-5</v>
      </c>
      <c r="P986">
        <f t="shared" si="724"/>
        <v>3.5158555480364575E-4</v>
      </c>
      <c r="Q986">
        <f t="shared" si="740"/>
        <v>0</v>
      </c>
      <c r="R986" s="89">
        <f t="shared" si="712"/>
        <v>5000</v>
      </c>
      <c r="S986">
        <f t="shared" si="713"/>
        <v>0.75</v>
      </c>
      <c r="U986">
        <f>O985*AV985*'Real assumptions'!$B$33/12+AX986*'Real assumptions'!$B$34</f>
        <v>4.1729312633764521E-4</v>
      </c>
      <c r="V986">
        <f>IF(P986=0,0,IF(E986&lt;=$C$7,$AN$5*O985,0))*'Real assumptions'!$D$28</f>
        <v>0</v>
      </c>
      <c r="X986" s="94">
        <f t="shared" si="725"/>
        <v>0</v>
      </c>
      <c r="Y986">
        <f t="shared" si="714"/>
        <v>24</v>
      </c>
      <c r="Z986">
        <f t="shared" si="741"/>
        <v>17</v>
      </c>
      <c r="AA986">
        <f t="shared" si="715"/>
        <v>17.75</v>
      </c>
      <c r="AB986">
        <f t="shared" si="726"/>
        <v>50.505050505050505</v>
      </c>
      <c r="AC986">
        <f t="shared" si="708"/>
        <v>896.46464646464642</v>
      </c>
      <c r="AD986">
        <f t="shared" si="727"/>
        <v>80.505050505050505</v>
      </c>
      <c r="AE986">
        <f t="shared" si="728"/>
        <v>71.448232323232318</v>
      </c>
      <c r="AF986" s="94">
        <f t="shared" si="729"/>
        <v>4032.087121212121</v>
      </c>
      <c r="AG986">
        <f t="shared" si="742"/>
        <v>1.898766507459365E-4</v>
      </c>
      <c r="AH986">
        <f t="shared" si="730"/>
        <v>5.8877772829587331E-2</v>
      </c>
      <c r="AI986">
        <f>HLOOKUP(AW986,'Real assumptions'!$A$21:$AK$24,2,TRUE)</f>
        <v>0</v>
      </c>
      <c r="AJ986" s="123">
        <f t="shared" si="709"/>
        <v>0</v>
      </c>
      <c r="AK986" s="122">
        <f>(1+HLOOKUP(YEAR(A986),'Real assumptions'!$A$21:$AK$24,2,TRUE)/100)^(1/12)-1</f>
        <v>0</v>
      </c>
      <c r="AL986">
        <f t="shared" si="743"/>
        <v>4.1729312633764521E-4</v>
      </c>
      <c r="AM986">
        <f>('Real assumptions'!$B$33/12)*O985*AV985</f>
        <v>4.0111319662525848E-4</v>
      </c>
      <c r="AN986">
        <f t="shared" si="731"/>
        <v>5.8935372232255798E-2</v>
      </c>
      <c r="AO986">
        <f t="shared" si="710"/>
        <v>0</v>
      </c>
      <c r="AP986" s="121">
        <f t="shared" si="732"/>
        <v>0</v>
      </c>
      <c r="AQ986">
        <f t="shared" si="733"/>
        <v>0</v>
      </c>
      <c r="AR986">
        <v>0</v>
      </c>
      <c r="AS986">
        <f t="shared" si="716"/>
        <v>0</v>
      </c>
      <c r="AT986">
        <f t="shared" si="734"/>
        <v>0</v>
      </c>
      <c r="AU986">
        <f>IFERROR(HLOOKUP(B986,'Real assumptions'!$B$43:$AL$44,2,TRUE)*($W$3/$U$2),0)</f>
        <v>0</v>
      </c>
      <c r="AV986">
        <f>AV985*(1+'Real assumptions'!$B$35)^(1/12)</f>
        <v>2.7409224926389428</v>
      </c>
      <c r="AW986">
        <f t="shared" si="717"/>
        <v>2100</v>
      </c>
      <c r="AX986">
        <f t="shared" si="744"/>
        <v>5.906273551976967E-2</v>
      </c>
      <c r="AY986">
        <f t="shared" si="745"/>
        <v>6.1655715979876141E-5</v>
      </c>
      <c r="AZ986">
        <f t="shared" si="718"/>
        <v>4.9497704872354664E-2</v>
      </c>
      <c r="BA986">
        <f t="shared" si="735"/>
        <v>1.898766507459365E-4</v>
      </c>
      <c r="BB986">
        <f t="shared" si="736"/>
        <v>17.75</v>
      </c>
      <c r="BC986">
        <f t="shared" si="719"/>
        <v>10.649999999999999</v>
      </c>
      <c r="BD986">
        <f t="shared" si="737"/>
        <v>0</v>
      </c>
      <c r="BE986">
        <f t="shared" si="720"/>
        <v>24</v>
      </c>
      <c r="BF986">
        <f t="shared" si="746"/>
        <v>5000</v>
      </c>
      <c r="BU986"/>
      <c r="DW986" s="89"/>
      <c r="DX986" s="89"/>
      <c r="FD986"/>
      <c r="FE986"/>
    </row>
    <row r="987" spans="1:161" x14ac:dyDescent="0.25">
      <c r="A987" s="7">
        <f t="shared" si="738"/>
        <v>73140</v>
      </c>
      <c r="B987">
        <f t="shared" si="721"/>
        <v>976</v>
      </c>
      <c r="C987">
        <f t="shared" si="702"/>
        <v>81.25</v>
      </c>
      <c r="D987">
        <f t="shared" si="703"/>
        <v>0</v>
      </c>
      <c r="E987">
        <f t="shared" si="722"/>
        <v>133</v>
      </c>
      <c r="F987">
        <f>IF(C987&gt;=$T$2,0,VLOOKUP($E987,EKM_F05!$A$3:$C$128,2,TRUE))</f>
        <v>0</v>
      </c>
      <c r="G987">
        <f>F987*'Real assumptions'!$B$3</f>
        <v>0</v>
      </c>
      <c r="H987">
        <f t="shared" si="704"/>
        <v>0</v>
      </c>
      <c r="I987">
        <f t="shared" si="705"/>
        <v>0</v>
      </c>
      <c r="J987">
        <f>IF(B987&gt;$AJ$2,0,HLOOKUP(C987,'Real assumptions'!$B$5:$L$8,4,TRUE))</f>
        <v>3.7900000000000003E-2</v>
      </c>
      <c r="K987">
        <f t="shared" si="711"/>
        <v>1</v>
      </c>
      <c r="L987">
        <f t="shared" si="739"/>
        <v>8.3333333333333329E-2</v>
      </c>
      <c r="M987">
        <f t="shared" si="706"/>
        <v>3.2145624959929453E-3</v>
      </c>
      <c r="N987">
        <f t="shared" si="707"/>
        <v>4.694002750830614E-8</v>
      </c>
      <c r="O987" s="8">
        <f t="shared" si="723"/>
        <v>1.4555366683535072E-5</v>
      </c>
      <c r="P987">
        <f t="shared" si="724"/>
        <v>3.504553610650411E-4</v>
      </c>
      <c r="Q987">
        <f t="shared" si="740"/>
        <v>0</v>
      </c>
      <c r="R987" s="89">
        <f t="shared" si="712"/>
        <v>5000</v>
      </c>
      <c r="S987">
        <f t="shared" si="713"/>
        <v>0.6666666666666714</v>
      </c>
      <c r="U987">
        <f>O986*AV986*'Real assumptions'!$B$33/12+AX987*'Real assumptions'!$B$34</f>
        <v>4.1638400519938243E-4</v>
      </c>
      <c r="V987">
        <f>IF(P987=0,0,IF(E987&lt;=$C$7,$AN$5*O986,0))*'Real assumptions'!$D$28</f>
        <v>0</v>
      </c>
      <c r="X987" s="94">
        <f t="shared" si="725"/>
        <v>0</v>
      </c>
      <c r="Y987">
        <f t="shared" si="714"/>
        <v>24</v>
      </c>
      <c r="Z987">
        <f t="shared" si="741"/>
        <v>17</v>
      </c>
      <c r="AA987">
        <f t="shared" si="715"/>
        <v>17.666666666666671</v>
      </c>
      <c r="AB987">
        <f t="shared" si="726"/>
        <v>50.505050505050505</v>
      </c>
      <c r="AC987">
        <f t="shared" si="708"/>
        <v>892.25589225589249</v>
      </c>
      <c r="AD987">
        <f t="shared" si="727"/>
        <v>80.505050505050505</v>
      </c>
      <c r="AE987">
        <f t="shared" si="728"/>
        <v>71.11279461279463</v>
      </c>
      <c r="AF987" s="94">
        <f t="shared" si="729"/>
        <v>4036.6313131313127</v>
      </c>
      <c r="AG987">
        <f t="shared" si="742"/>
        <v>1.8947958487927375E-4</v>
      </c>
      <c r="AH987">
        <f t="shared" si="730"/>
        <v>5.8754648928865935E-2</v>
      </c>
      <c r="AI987">
        <f>HLOOKUP(AW987,'Real assumptions'!$A$21:$AK$24,2,TRUE)</f>
        <v>0</v>
      </c>
      <c r="AJ987" s="123">
        <f t="shared" si="709"/>
        <v>0</v>
      </c>
      <c r="AK987" s="122">
        <f>(1+HLOOKUP(YEAR(A987),'Real assumptions'!$A$21:$AK$24,2,TRUE)/100)^(1/12)-1</f>
        <v>0</v>
      </c>
      <c r="AL987">
        <f t="shared" si="743"/>
        <v>4.1638400519938243E-4</v>
      </c>
      <c r="AM987">
        <f>('Real assumptions'!$B$33/12)*O986*AV986</f>
        <v>4.0023790908711381E-4</v>
      </c>
      <c r="AN987">
        <f t="shared" si="731"/>
        <v>5.8811844185452988E-2</v>
      </c>
      <c r="AO987">
        <f t="shared" si="710"/>
        <v>0</v>
      </c>
      <c r="AP987" s="121">
        <f t="shared" si="732"/>
        <v>0</v>
      </c>
      <c r="AQ987">
        <f t="shared" si="733"/>
        <v>0</v>
      </c>
      <c r="AR987">
        <v>0</v>
      </c>
      <c r="AS987">
        <f t="shared" si="716"/>
        <v>0</v>
      </c>
      <c r="AT987">
        <f t="shared" si="734"/>
        <v>0</v>
      </c>
      <c r="AU987">
        <f>IFERROR(HLOOKUP(B987,'Real assumptions'!$B$43:$AL$44,2,TRUE)*($W$3/$U$2),0)</f>
        <v>0</v>
      </c>
      <c r="AV987">
        <f>AV986*(1+'Real assumptions'!$B$35)^(1/12)</f>
        <v>2.7437613921872908</v>
      </c>
      <c r="AW987">
        <f t="shared" si="717"/>
        <v>2100</v>
      </c>
      <c r="AX987">
        <f t="shared" si="744"/>
        <v>5.8939230349414957E-2</v>
      </c>
      <c r="AY987">
        <f t="shared" si="745"/>
        <v>6.1457519827623646E-5</v>
      </c>
      <c r="AZ987">
        <f t="shared" si="718"/>
        <v>4.9242296643341045E-2</v>
      </c>
      <c r="BA987">
        <f t="shared" si="735"/>
        <v>1.8947958487927375E-4</v>
      </c>
      <c r="BB987">
        <f t="shared" si="736"/>
        <v>17.666666666666671</v>
      </c>
      <c r="BC987">
        <f t="shared" si="719"/>
        <v>10.600000000000001</v>
      </c>
      <c r="BD987">
        <f t="shared" si="737"/>
        <v>0</v>
      </c>
      <c r="BE987">
        <f t="shared" si="720"/>
        <v>24</v>
      </c>
      <c r="BF987">
        <f t="shared" si="746"/>
        <v>5000</v>
      </c>
      <c r="BU987"/>
      <c r="DW987" s="89"/>
      <c r="DX987" s="89"/>
      <c r="FD987"/>
      <c r="FE987"/>
    </row>
    <row r="988" spans="1:161" x14ac:dyDescent="0.25">
      <c r="A988" s="7">
        <f t="shared" si="738"/>
        <v>73170</v>
      </c>
      <c r="B988">
        <f t="shared" si="721"/>
        <v>977</v>
      </c>
      <c r="C988">
        <f t="shared" si="702"/>
        <v>81.333333333333329</v>
      </c>
      <c r="D988">
        <f t="shared" si="703"/>
        <v>0</v>
      </c>
      <c r="E988">
        <f t="shared" si="722"/>
        <v>133</v>
      </c>
      <c r="F988">
        <f>IF(C988&gt;=$T$2,0,VLOOKUP($E988,EKM_F05!$A$3:$C$128,2,TRUE))</f>
        <v>0</v>
      </c>
      <c r="G988">
        <f>F988*'Real assumptions'!$B$3</f>
        <v>0</v>
      </c>
      <c r="H988">
        <f t="shared" si="704"/>
        <v>0</v>
      </c>
      <c r="I988">
        <f t="shared" si="705"/>
        <v>0</v>
      </c>
      <c r="J988">
        <f>IF(B988&gt;$AJ$2,0,HLOOKUP(C988,'Real assumptions'!$B$5:$L$8,4,TRUE))</f>
        <v>3.7900000000000003E-2</v>
      </c>
      <c r="K988">
        <f t="shared" si="711"/>
        <v>1</v>
      </c>
      <c r="L988">
        <f t="shared" si="739"/>
        <v>8.3333333333333329E-2</v>
      </c>
      <c r="M988">
        <f t="shared" si="706"/>
        <v>3.2145624959929453E-3</v>
      </c>
      <c r="N988">
        <f t="shared" si="707"/>
        <v>4.678913585631706E-8</v>
      </c>
      <c r="O988" s="8">
        <f t="shared" si="723"/>
        <v>1.4508577547678755E-5</v>
      </c>
      <c r="P988">
        <f t="shared" si="724"/>
        <v>3.4932880040484173E-4</v>
      </c>
      <c r="Q988">
        <f t="shared" si="740"/>
        <v>0</v>
      </c>
      <c r="R988" s="89">
        <f t="shared" si="712"/>
        <v>5000</v>
      </c>
      <c r="S988">
        <f t="shared" si="713"/>
        <v>0.5833333333333286</v>
      </c>
      <c r="U988">
        <f>O987*AV987*'Real assumptions'!$B$33/12+AX988*'Real assumptions'!$B$34</f>
        <v>4.1547684439284109E-4</v>
      </c>
      <c r="V988">
        <f>IF(P988=0,0,IF(E988&lt;=$C$7,$AN$5*O987,0))*'Real assumptions'!$D$28</f>
        <v>0</v>
      </c>
      <c r="X988" s="94">
        <f t="shared" si="725"/>
        <v>0</v>
      </c>
      <c r="Y988">
        <f t="shared" si="714"/>
        <v>24</v>
      </c>
      <c r="Z988">
        <f t="shared" si="741"/>
        <v>17</v>
      </c>
      <c r="AA988">
        <f t="shared" si="715"/>
        <v>17.583333333333329</v>
      </c>
      <c r="AB988">
        <f t="shared" si="726"/>
        <v>50.505050505050505</v>
      </c>
      <c r="AC988">
        <f t="shared" si="708"/>
        <v>888.04713804713776</v>
      </c>
      <c r="AD988">
        <f t="shared" si="727"/>
        <v>80.505050505050505</v>
      </c>
      <c r="AE988">
        <f t="shared" si="728"/>
        <v>70.777356902356885</v>
      </c>
      <c r="AF988" s="94">
        <f t="shared" si="729"/>
        <v>4041.1755050505049</v>
      </c>
      <c r="AG988">
        <f t="shared" si="742"/>
        <v>1.8908310972502878E-4</v>
      </c>
      <c r="AH988">
        <f t="shared" si="730"/>
        <v>5.8631708198805109E-2</v>
      </c>
      <c r="AI988">
        <f>HLOOKUP(AW988,'Real assumptions'!$A$21:$AK$24,2,TRUE)</f>
        <v>0</v>
      </c>
      <c r="AJ988" s="123">
        <f t="shared" si="709"/>
        <v>0</v>
      </c>
      <c r="AK988" s="122">
        <f>(1+HLOOKUP(YEAR(A988),'Real assumptions'!$A$21:$AK$24,2,TRUE)/100)^(1/12)-1</f>
        <v>0</v>
      </c>
      <c r="AL988">
        <f t="shared" si="743"/>
        <v>4.1547684439284109E-4</v>
      </c>
      <c r="AM988">
        <f>('Real assumptions'!$B$33/12)*O987*AV987</f>
        <v>3.9936453155412697E-4</v>
      </c>
      <c r="AN988">
        <f t="shared" si="731"/>
        <v>5.8688500884877939E-2</v>
      </c>
      <c r="AO988">
        <f t="shared" si="710"/>
        <v>0</v>
      </c>
      <c r="AP988" s="121">
        <f t="shared" si="732"/>
        <v>0</v>
      </c>
      <c r="AQ988">
        <f t="shared" si="733"/>
        <v>0</v>
      </c>
      <c r="AR988">
        <v>0</v>
      </c>
      <c r="AS988">
        <f t="shared" si="716"/>
        <v>0</v>
      </c>
      <c r="AT988">
        <f t="shared" si="734"/>
        <v>0</v>
      </c>
      <c r="AU988">
        <f>IFERROR(HLOOKUP(B988,'Real assumptions'!$B$43:$AL$44,2,TRUE)*($W$3/$U$2),0)</f>
        <v>0</v>
      </c>
      <c r="AV988">
        <f>AV987*(1+'Real assumptions'!$B$35)^(1/12)</f>
        <v>2.7466032321145319</v>
      </c>
      <c r="AW988">
        <f t="shared" si="717"/>
        <v>2100</v>
      </c>
      <c r="AX988">
        <f t="shared" si="744"/>
        <v>5.8815908889655225E-2</v>
      </c>
      <c r="AY988">
        <f t="shared" si="745"/>
        <v>6.1259960789289021E-5</v>
      </c>
      <c r="AZ988">
        <f t="shared" si="718"/>
        <v>4.8987065489628022E-2</v>
      </c>
      <c r="BA988">
        <f t="shared" si="735"/>
        <v>1.8908310972502878E-4</v>
      </c>
      <c r="BB988">
        <f t="shared" si="736"/>
        <v>17.583333333333329</v>
      </c>
      <c r="BC988">
        <f t="shared" si="719"/>
        <v>10.549999999999997</v>
      </c>
      <c r="BD988">
        <f t="shared" si="737"/>
        <v>0</v>
      </c>
      <c r="BE988">
        <f t="shared" si="720"/>
        <v>24</v>
      </c>
      <c r="BF988">
        <f t="shared" si="746"/>
        <v>5000</v>
      </c>
      <c r="BU988"/>
      <c r="DW988" s="89"/>
      <c r="DX988" s="89"/>
      <c r="FD988"/>
      <c r="FE988"/>
    </row>
    <row r="989" spans="1:161" x14ac:dyDescent="0.25">
      <c r="A989" s="7">
        <f t="shared" si="738"/>
        <v>73201</v>
      </c>
      <c r="B989">
        <f t="shared" si="721"/>
        <v>978</v>
      </c>
      <c r="C989">
        <f t="shared" si="702"/>
        <v>81.416666666666671</v>
      </c>
      <c r="D989">
        <f t="shared" si="703"/>
        <v>0</v>
      </c>
      <c r="E989">
        <f t="shared" si="722"/>
        <v>133</v>
      </c>
      <c r="F989">
        <f>IF(C989&gt;=$T$2,0,VLOOKUP($E989,EKM_F05!$A$3:$C$128,2,TRUE))</f>
        <v>0</v>
      </c>
      <c r="G989">
        <f>F989*'Real assumptions'!$B$3</f>
        <v>0</v>
      </c>
      <c r="H989">
        <f t="shared" si="704"/>
        <v>0</v>
      </c>
      <c r="I989">
        <f t="shared" si="705"/>
        <v>0</v>
      </c>
      <c r="J989">
        <f>IF(B989&gt;$AJ$2,0,HLOOKUP(C989,'Real assumptions'!$B$5:$L$8,4,TRUE))</f>
        <v>3.7900000000000003E-2</v>
      </c>
      <c r="K989">
        <f t="shared" si="711"/>
        <v>1</v>
      </c>
      <c r="L989">
        <f t="shared" si="739"/>
        <v>8.3333333333333329E-2</v>
      </c>
      <c r="M989">
        <f t="shared" si="706"/>
        <v>3.2145624959929453E-3</v>
      </c>
      <c r="N989">
        <f t="shared" si="707"/>
        <v>4.6638729254973422E-8</v>
      </c>
      <c r="O989" s="8">
        <f t="shared" si="723"/>
        <v>1.4461938818423781E-5</v>
      </c>
      <c r="P989">
        <f t="shared" si="724"/>
        <v>3.4820586114429013E-4</v>
      </c>
      <c r="Q989">
        <f t="shared" si="740"/>
        <v>0</v>
      </c>
      <c r="R989" s="89">
        <f t="shared" si="712"/>
        <v>5000</v>
      </c>
      <c r="S989">
        <f t="shared" si="713"/>
        <v>0.5</v>
      </c>
      <c r="U989">
        <f>O988*AV988*'Real assumptions'!$B$33/12+AX989*'Real assumptions'!$B$34</f>
        <v>4.1457163977617195E-4</v>
      </c>
      <c r="V989">
        <f>IF(P989=0,0,IF(E989&lt;=$C$7,$AN$5*O988,0))*'Real assumptions'!$D$28</f>
        <v>0</v>
      </c>
      <c r="X989" s="94">
        <f t="shared" si="725"/>
        <v>0</v>
      </c>
      <c r="Y989">
        <f t="shared" si="714"/>
        <v>24</v>
      </c>
      <c r="Z989">
        <f t="shared" si="741"/>
        <v>17</v>
      </c>
      <c r="AA989">
        <f t="shared" si="715"/>
        <v>17.5</v>
      </c>
      <c r="AB989">
        <f t="shared" si="726"/>
        <v>50.505050505050505</v>
      </c>
      <c r="AC989">
        <f t="shared" si="708"/>
        <v>883.83838383838383</v>
      </c>
      <c r="AD989">
        <f t="shared" si="727"/>
        <v>80.505050505050505</v>
      </c>
      <c r="AE989">
        <f t="shared" si="728"/>
        <v>70.441919191919183</v>
      </c>
      <c r="AF989" s="94">
        <f t="shared" si="729"/>
        <v>4045.7196969696975</v>
      </c>
      <c r="AG989">
        <f t="shared" si="742"/>
        <v>1.8868722558848284E-4</v>
      </c>
      <c r="AH989">
        <f t="shared" si="730"/>
        <v>5.8508950734067762E-2</v>
      </c>
      <c r="AI989">
        <f>HLOOKUP(AW989,'Real assumptions'!$A$21:$AK$24,2,TRUE)</f>
        <v>0</v>
      </c>
      <c r="AJ989" s="123">
        <f t="shared" si="709"/>
        <v>0</v>
      </c>
      <c r="AK989" s="122">
        <f>(1+HLOOKUP(YEAR(A989),'Real assumptions'!$A$21:$AK$24,2,TRUE)/100)^(1/12)-1</f>
        <v>0</v>
      </c>
      <c r="AL989">
        <f t="shared" si="743"/>
        <v>4.1457163977617195E-4</v>
      </c>
      <c r="AM989">
        <f>('Real assumptions'!$B$33/12)*O988*AV988</f>
        <v>3.9849305985838803E-4</v>
      </c>
      <c r="AN989">
        <f t="shared" si="731"/>
        <v>5.8565342420173229E-2</v>
      </c>
      <c r="AO989">
        <f t="shared" si="710"/>
        <v>0</v>
      </c>
      <c r="AP989" s="121">
        <f t="shared" si="732"/>
        <v>0</v>
      </c>
      <c r="AQ989">
        <f t="shared" si="733"/>
        <v>0</v>
      </c>
      <c r="AR989">
        <v>0</v>
      </c>
      <c r="AS989">
        <f t="shared" si="716"/>
        <v>0</v>
      </c>
      <c r="AT989">
        <f t="shared" si="734"/>
        <v>0</v>
      </c>
      <c r="AU989">
        <f>IFERROR(HLOOKUP(B989,'Real assumptions'!$B$43:$AL$44,2,TRUE)*($W$3/$U$2),0)</f>
        <v>0</v>
      </c>
      <c r="AV989">
        <f>AV988*(1+'Real assumptions'!$B$35)^(1/12)</f>
        <v>2.749448015466152</v>
      </c>
      <c r="AW989">
        <f t="shared" si="717"/>
        <v>2100</v>
      </c>
      <c r="AX989">
        <f t="shared" si="744"/>
        <v>5.8692771235621936E-2</v>
      </c>
      <c r="AY989">
        <f t="shared" si="745"/>
        <v>6.1063036816829771E-5</v>
      </c>
      <c r="AZ989">
        <f t="shared" si="718"/>
        <v>4.8732012485407657E-2</v>
      </c>
      <c r="BA989">
        <f t="shared" si="735"/>
        <v>1.8868722558848284E-4</v>
      </c>
      <c r="BB989">
        <f t="shared" si="736"/>
        <v>17.5</v>
      </c>
      <c r="BC989">
        <f t="shared" si="719"/>
        <v>10.5</v>
      </c>
      <c r="BD989">
        <f t="shared" si="737"/>
        <v>0</v>
      </c>
      <c r="BE989">
        <f t="shared" si="720"/>
        <v>24</v>
      </c>
      <c r="BF989">
        <f t="shared" si="746"/>
        <v>5000</v>
      </c>
      <c r="BU989"/>
      <c r="DW989" s="89"/>
      <c r="DX989" s="89"/>
      <c r="FD989"/>
      <c r="FE989"/>
    </row>
    <row r="990" spans="1:161" x14ac:dyDescent="0.25">
      <c r="A990" s="7">
        <f t="shared" si="738"/>
        <v>73231</v>
      </c>
      <c r="B990">
        <f t="shared" si="721"/>
        <v>979</v>
      </c>
      <c r="C990">
        <f t="shared" si="702"/>
        <v>81.5</v>
      </c>
      <c r="D990">
        <f t="shared" si="703"/>
        <v>0</v>
      </c>
      <c r="E990">
        <f t="shared" si="722"/>
        <v>133</v>
      </c>
      <c r="F990">
        <f>IF(C990&gt;=$T$2,0,VLOOKUP($E990,EKM_F05!$A$3:$C$128,2,TRUE))</f>
        <v>0</v>
      </c>
      <c r="G990">
        <f>F990*'Real assumptions'!$B$3</f>
        <v>0</v>
      </c>
      <c r="H990">
        <f t="shared" si="704"/>
        <v>0</v>
      </c>
      <c r="I990">
        <f t="shared" si="705"/>
        <v>0</v>
      </c>
      <c r="J990">
        <f>IF(B990&gt;$AJ$2,0,HLOOKUP(C990,'Real assumptions'!$B$5:$L$8,4,TRUE))</f>
        <v>3.7900000000000003E-2</v>
      </c>
      <c r="K990">
        <f t="shared" si="711"/>
        <v>1</v>
      </c>
      <c r="L990">
        <f t="shared" si="739"/>
        <v>8.3333333333333329E-2</v>
      </c>
      <c r="M990">
        <f t="shared" si="706"/>
        <v>3.2145624959929453E-3</v>
      </c>
      <c r="N990">
        <f t="shared" si="707"/>
        <v>4.6488806145049619E-8</v>
      </c>
      <c r="O990" s="8">
        <f t="shared" si="723"/>
        <v>1.4415450012278731E-5</v>
      </c>
      <c r="P990">
        <f t="shared" si="724"/>
        <v>3.4708653164217075E-4</v>
      </c>
      <c r="Q990">
        <f t="shared" si="740"/>
        <v>0</v>
      </c>
      <c r="R990" s="89">
        <f t="shared" si="712"/>
        <v>5000</v>
      </c>
      <c r="S990">
        <f t="shared" si="713"/>
        <v>0.4166666666666714</v>
      </c>
      <c r="U990">
        <f>O989*AV989*'Real assumptions'!$B$33/12+AX990*'Real assumptions'!$B$34</f>
        <v>4.136683872159331E-4</v>
      </c>
      <c r="V990">
        <f>IF(P990=0,0,IF(E990&lt;=$C$7,$AN$5*O989,0))*'Real assumptions'!$D$28</f>
        <v>0</v>
      </c>
      <c r="X990" s="94">
        <f t="shared" si="725"/>
        <v>0</v>
      </c>
      <c r="Y990">
        <f t="shared" si="714"/>
        <v>24</v>
      </c>
      <c r="Z990">
        <f t="shared" si="741"/>
        <v>17</v>
      </c>
      <c r="AA990">
        <f t="shared" si="715"/>
        <v>17.416666666666671</v>
      </c>
      <c r="AB990">
        <f t="shared" si="726"/>
        <v>50.505050505050505</v>
      </c>
      <c r="AC990">
        <f t="shared" si="708"/>
        <v>879.6296296296299</v>
      </c>
      <c r="AD990">
        <f t="shared" si="727"/>
        <v>80.505050505050505</v>
      </c>
      <c r="AE990">
        <f t="shared" si="728"/>
        <v>70.106481481481495</v>
      </c>
      <c r="AF990" s="94">
        <f t="shared" si="729"/>
        <v>4050.2638888888891</v>
      </c>
      <c r="AG990">
        <f t="shared" si="742"/>
        <v>1.8829193276685035E-4</v>
      </c>
      <c r="AH990">
        <f t="shared" si="730"/>
        <v>5.8386376626815437E-2</v>
      </c>
      <c r="AI990">
        <f>HLOOKUP(AW990,'Real assumptions'!$A$21:$AK$24,2,TRUE)</f>
        <v>0</v>
      </c>
      <c r="AJ990" s="123">
        <f t="shared" si="709"/>
        <v>0</v>
      </c>
      <c r="AK990" s="122">
        <f>(1+HLOOKUP(YEAR(A990),'Real assumptions'!$A$21:$AK$24,2,TRUE)/100)^(1/12)-1</f>
        <v>0</v>
      </c>
      <c r="AL990">
        <f t="shared" si="743"/>
        <v>4.136683872159331E-4</v>
      </c>
      <c r="AM990">
        <f>('Real assumptions'!$B$33/12)*O989*AV989</f>
        <v>3.976234898410817E-4</v>
      </c>
      <c r="AN990">
        <f t="shared" si="731"/>
        <v>5.8442368878494001E-2</v>
      </c>
      <c r="AO990">
        <f t="shared" si="710"/>
        <v>0</v>
      </c>
      <c r="AP990" s="121">
        <f t="shared" si="732"/>
        <v>0</v>
      </c>
      <c r="AQ990">
        <f t="shared" si="733"/>
        <v>0</v>
      </c>
      <c r="AR990">
        <v>0</v>
      </c>
      <c r="AS990">
        <f t="shared" si="716"/>
        <v>0</v>
      </c>
      <c r="AT990">
        <f t="shared" si="734"/>
        <v>0</v>
      </c>
      <c r="AU990">
        <f>IFERROR(HLOOKUP(B990,'Real assumptions'!$B$43:$AL$44,2,TRUE)*($W$3/$U$2),0)</f>
        <v>0</v>
      </c>
      <c r="AV990">
        <f>AV989*(1+'Real assumptions'!$B$35)^(1/12)</f>
        <v>2.7522957452907915</v>
      </c>
      <c r="AW990">
        <f t="shared" si="717"/>
        <v>2100</v>
      </c>
      <c r="AX990">
        <f t="shared" si="744"/>
        <v>5.8569817479936552E-2</v>
      </c>
      <c r="AY990">
        <f t="shared" si="745"/>
        <v>6.0866745868786957E-5</v>
      </c>
      <c r="AZ990">
        <f t="shared" si="718"/>
        <v>4.8477138697067046E-2</v>
      </c>
      <c r="BA990">
        <f t="shared" si="735"/>
        <v>1.8829193276685035E-4</v>
      </c>
      <c r="BB990">
        <f t="shared" si="736"/>
        <v>17.416666666666671</v>
      </c>
      <c r="BC990">
        <f t="shared" si="719"/>
        <v>10.450000000000003</v>
      </c>
      <c r="BD990">
        <f t="shared" si="737"/>
        <v>0</v>
      </c>
      <c r="BE990">
        <f t="shared" si="720"/>
        <v>24</v>
      </c>
      <c r="BF990">
        <f t="shared" si="746"/>
        <v>5000</v>
      </c>
      <c r="BU990"/>
      <c r="DW990" s="89"/>
      <c r="DX990" s="89"/>
      <c r="FD990"/>
      <c r="FE990"/>
    </row>
    <row r="991" spans="1:161" x14ac:dyDescent="0.25">
      <c r="A991" s="7">
        <f t="shared" si="738"/>
        <v>73262</v>
      </c>
      <c r="B991">
        <f t="shared" si="721"/>
        <v>980</v>
      </c>
      <c r="C991">
        <f t="shared" si="702"/>
        <v>81.583333333333329</v>
      </c>
      <c r="D991">
        <f t="shared" si="703"/>
        <v>0</v>
      </c>
      <c r="E991">
        <f t="shared" si="722"/>
        <v>133</v>
      </c>
      <c r="F991">
        <f>IF(C991&gt;=$T$2,0,VLOOKUP($E991,EKM_F05!$A$3:$C$128,2,TRUE))</f>
        <v>0</v>
      </c>
      <c r="G991">
        <f>F991*'Real assumptions'!$B$3</f>
        <v>0</v>
      </c>
      <c r="H991">
        <f t="shared" si="704"/>
        <v>0</v>
      </c>
      <c r="I991">
        <f t="shared" si="705"/>
        <v>0</v>
      </c>
      <c r="J991">
        <f>IF(B991&gt;$AJ$2,0,HLOOKUP(C991,'Real assumptions'!$B$5:$L$8,4,TRUE))</f>
        <v>3.7900000000000003E-2</v>
      </c>
      <c r="K991">
        <f t="shared" si="711"/>
        <v>1</v>
      </c>
      <c r="L991">
        <f t="shared" si="739"/>
        <v>8.3333333333333329E-2</v>
      </c>
      <c r="M991">
        <f t="shared" si="706"/>
        <v>3.2145624959929453E-3</v>
      </c>
      <c r="N991">
        <f t="shared" si="707"/>
        <v>4.6339364972332254E-8</v>
      </c>
      <c r="O991" s="8">
        <f t="shared" si="723"/>
        <v>1.4369110647306398E-5</v>
      </c>
      <c r="P991">
        <f t="shared" si="724"/>
        <v>3.4597080029468954E-4</v>
      </c>
      <c r="Q991">
        <f t="shared" si="740"/>
        <v>0</v>
      </c>
      <c r="R991" s="89">
        <f t="shared" si="712"/>
        <v>5000</v>
      </c>
      <c r="S991">
        <f t="shared" si="713"/>
        <v>0.3333333333333286</v>
      </c>
      <c r="U991">
        <f>O990*AV990*'Real assumptions'!$B$33/12+AX991*'Real assumptions'!$B$34</f>
        <v>4.1276708258707436E-4</v>
      </c>
      <c r="V991">
        <f>IF(P991=0,0,IF(E991&lt;=$C$7,$AN$5*O990,0))*'Real assumptions'!$D$28</f>
        <v>0</v>
      </c>
      <c r="X991" s="94">
        <f t="shared" si="725"/>
        <v>0</v>
      </c>
      <c r="Y991">
        <f t="shared" si="714"/>
        <v>24</v>
      </c>
      <c r="Z991">
        <f t="shared" si="741"/>
        <v>17</v>
      </c>
      <c r="AA991">
        <f t="shared" si="715"/>
        <v>17.333333333333329</v>
      </c>
      <c r="AB991">
        <f t="shared" si="726"/>
        <v>50.505050505050505</v>
      </c>
      <c r="AC991">
        <f t="shared" si="708"/>
        <v>875.42087542087518</v>
      </c>
      <c r="AD991">
        <f t="shared" si="727"/>
        <v>80.505050505050505</v>
      </c>
      <c r="AE991">
        <f t="shared" si="728"/>
        <v>69.77104377104375</v>
      </c>
      <c r="AF991" s="94">
        <f t="shared" si="729"/>
        <v>4054.8080808080813</v>
      </c>
      <c r="AG991">
        <f t="shared" si="742"/>
        <v>1.8789723154932777E-4</v>
      </c>
      <c r="AH991">
        <f t="shared" si="730"/>
        <v>5.8263985966723421E-2</v>
      </c>
      <c r="AI991">
        <f>HLOOKUP(AW991,'Real assumptions'!$A$21:$AK$24,2,TRUE)</f>
        <v>0</v>
      </c>
      <c r="AJ991" s="123">
        <f t="shared" si="709"/>
        <v>0</v>
      </c>
      <c r="AK991" s="122">
        <f>(1+HLOOKUP(YEAR(A991),'Real assumptions'!$A$21:$AK$24,2,TRUE)/100)^(1/12)-1</f>
        <v>0</v>
      </c>
      <c r="AL991">
        <f t="shared" si="743"/>
        <v>4.1276708258707436E-4</v>
      </c>
      <c r="AM991">
        <f>('Real assumptions'!$B$33/12)*O990*AV990</f>
        <v>3.9675581735246836E-4</v>
      </c>
      <c r="AN991">
        <f t="shared" si="731"/>
        <v>5.8319580344523052E-2</v>
      </c>
      <c r="AO991">
        <f t="shared" si="710"/>
        <v>0</v>
      </c>
      <c r="AP991" s="121">
        <f t="shared" si="732"/>
        <v>0</v>
      </c>
      <c r="AQ991">
        <f t="shared" si="733"/>
        <v>0</v>
      </c>
      <c r="AR991">
        <v>0</v>
      </c>
      <c r="AS991">
        <f t="shared" si="716"/>
        <v>0</v>
      </c>
      <c r="AT991">
        <f t="shared" si="734"/>
        <v>0</v>
      </c>
      <c r="AU991">
        <f>IFERROR(HLOOKUP(B991,'Real assumptions'!$B$43:$AL$44,2,TRUE)*($W$3/$U$2),0)</f>
        <v>0</v>
      </c>
      <c r="AV991">
        <f>AV990*(1+'Real assumptions'!$B$35)^(1/12)</f>
        <v>2.7551464246402477</v>
      </c>
      <c r="AW991">
        <f t="shared" si="717"/>
        <v>2100</v>
      </c>
      <c r="AX991">
        <f t="shared" si="744"/>
        <v>5.84470477127257E-2</v>
      </c>
      <c r="AY991">
        <f t="shared" si="745"/>
        <v>6.0671085910264019E-5</v>
      </c>
      <c r="AZ991">
        <f t="shared" si="718"/>
        <v>4.8222445183225333E-2</v>
      </c>
      <c r="BA991">
        <f t="shared" si="735"/>
        <v>1.8789723154932777E-4</v>
      </c>
      <c r="BB991">
        <f t="shared" si="736"/>
        <v>17.333333333333329</v>
      </c>
      <c r="BC991">
        <f t="shared" si="719"/>
        <v>10.399999999999997</v>
      </c>
      <c r="BD991">
        <f t="shared" si="737"/>
        <v>0</v>
      </c>
      <c r="BE991">
        <f t="shared" si="720"/>
        <v>24</v>
      </c>
      <c r="BF991">
        <f t="shared" si="746"/>
        <v>5000</v>
      </c>
      <c r="BU991"/>
      <c r="DW991" s="89"/>
      <c r="DX991" s="89"/>
      <c r="FD991"/>
      <c r="FE991"/>
    </row>
    <row r="992" spans="1:161" x14ac:dyDescent="0.25">
      <c r="A992" s="7">
        <f t="shared" si="738"/>
        <v>73293</v>
      </c>
      <c r="B992">
        <f t="shared" si="721"/>
        <v>981</v>
      </c>
      <c r="C992">
        <f t="shared" si="702"/>
        <v>81.666666666666671</v>
      </c>
      <c r="D992">
        <f t="shared" si="703"/>
        <v>0</v>
      </c>
      <c r="E992">
        <f t="shared" si="722"/>
        <v>133</v>
      </c>
      <c r="F992">
        <f>IF(C992&gt;=$T$2,0,VLOOKUP($E992,EKM_F05!$A$3:$C$128,2,TRUE))</f>
        <v>0</v>
      </c>
      <c r="G992">
        <f>F992*'Real assumptions'!$B$3</f>
        <v>0</v>
      </c>
      <c r="H992">
        <f t="shared" si="704"/>
        <v>0</v>
      </c>
      <c r="I992">
        <f t="shared" si="705"/>
        <v>0</v>
      </c>
      <c r="J992">
        <f>IF(B992&gt;$AJ$2,0,HLOOKUP(C992,'Real assumptions'!$B$5:$L$8,4,TRUE))</f>
        <v>3.7900000000000003E-2</v>
      </c>
      <c r="K992">
        <f t="shared" si="711"/>
        <v>1</v>
      </c>
      <c r="L992">
        <f t="shared" si="739"/>
        <v>8.3333333333333329E-2</v>
      </c>
      <c r="M992">
        <f t="shared" si="706"/>
        <v>3.2145624959929453E-3</v>
      </c>
      <c r="N992">
        <f t="shared" si="707"/>
        <v>4.6190404187604062E-8</v>
      </c>
      <c r="O992" s="8">
        <f t="shared" si="723"/>
        <v>1.4322920243118794E-5</v>
      </c>
      <c r="P992">
        <f t="shared" si="724"/>
        <v>3.4485865553535356E-4</v>
      </c>
      <c r="Q992">
        <f t="shared" si="740"/>
        <v>0</v>
      </c>
      <c r="R992" s="89">
        <f t="shared" si="712"/>
        <v>5000</v>
      </c>
      <c r="S992">
        <f t="shared" si="713"/>
        <v>0.25</v>
      </c>
      <c r="U992">
        <f>O991*AV991*'Real assumptions'!$B$33/12+AX992*'Real assumptions'!$B$34</f>
        <v>4.1186772177292166E-4</v>
      </c>
      <c r="V992">
        <f>IF(P992=0,0,IF(E992&lt;=$C$7,$AN$5*O991,0))*'Real assumptions'!$D$28</f>
        <v>0</v>
      </c>
      <c r="X992" s="94">
        <f t="shared" si="725"/>
        <v>0</v>
      </c>
      <c r="Y992">
        <f t="shared" si="714"/>
        <v>24</v>
      </c>
      <c r="Z992">
        <f t="shared" si="741"/>
        <v>17</v>
      </c>
      <c r="AA992">
        <f t="shared" si="715"/>
        <v>17.25</v>
      </c>
      <c r="AB992">
        <f t="shared" si="726"/>
        <v>50.505050505050505</v>
      </c>
      <c r="AC992">
        <f t="shared" si="708"/>
        <v>871.21212121212125</v>
      </c>
      <c r="AD992">
        <f t="shared" si="727"/>
        <v>80.505050505050505</v>
      </c>
      <c r="AE992">
        <f t="shared" si="728"/>
        <v>69.435606060606062</v>
      </c>
      <c r="AF992" s="94">
        <f t="shared" si="729"/>
        <v>4059.352272727273</v>
      </c>
      <c r="AG992">
        <f t="shared" si="742"/>
        <v>1.8750312221714189E-4</v>
      </c>
      <c r="AH992">
        <f t="shared" si="730"/>
        <v>5.8141778840995743E-2</v>
      </c>
      <c r="AI992">
        <f>HLOOKUP(AW992,'Real assumptions'!$A$21:$AK$24,2,TRUE)</f>
        <v>0</v>
      </c>
      <c r="AJ992" s="123">
        <f t="shared" si="709"/>
        <v>0</v>
      </c>
      <c r="AK992" s="122">
        <f>(1+HLOOKUP(YEAR(A992),'Real assumptions'!$A$21:$AK$24,2,TRUE)/100)^(1/12)-1</f>
        <v>0</v>
      </c>
      <c r="AL992">
        <f t="shared" si="743"/>
        <v>4.1186772177292166E-4</v>
      </c>
      <c r="AM992">
        <f>('Real assumptions'!$B$33/12)*O991*AV991</f>
        <v>3.9589003825186335E-4</v>
      </c>
      <c r="AN992">
        <f t="shared" si="731"/>
        <v>5.819697690048585E-2</v>
      </c>
      <c r="AO992">
        <f t="shared" si="710"/>
        <v>0</v>
      </c>
      <c r="AP992" s="121">
        <f t="shared" si="732"/>
        <v>0</v>
      </c>
      <c r="AQ992">
        <f t="shared" si="733"/>
        <v>0</v>
      </c>
      <c r="AR992">
        <v>0</v>
      </c>
      <c r="AS992">
        <f t="shared" si="716"/>
        <v>0</v>
      </c>
      <c r="AT992">
        <f t="shared" si="734"/>
        <v>0</v>
      </c>
      <c r="AU992">
        <f>IFERROR(HLOOKUP(B992,'Real assumptions'!$B$43:$AL$44,2,TRUE)*($W$3/$U$2),0)</f>
        <v>0</v>
      </c>
      <c r="AV992">
        <f>AV991*(1+'Real assumptions'!$B$35)^(1/12)</f>
        <v>2.7580000565694793</v>
      </c>
      <c r="AW992">
        <f t="shared" si="717"/>
        <v>2100</v>
      </c>
      <c r="AX992">
        <f t="shared" si="744"/>
        <v>5.8324462021636325E-2</v>
      </c>
      <c r="AY992">
        <f t="shared" si="745"/>
        <v>6.0476054912905713E-5</v>
      </c>
      <c r="AZ992">
        <f t="shared" si="718"/>
        <v>4.7967932994770618E-2</v>
      </c>
      <c r="BA992">
        <f t="shared" si="735"/>
        <v>1.8750312221714189E-4</v>
      </c>
      <c r="BB992">
        <f t="shared" si="736"/>
        <v>17.25</v>
      </c>
      <c r="BC992">
        <f t="shared" si="719"/>
        <v>10.35</v>
      </c>
      <c r="BD992">
        <f t="shared" si="737"/>
        <v>0</v>
      </c>
      <c r="BE992">
        <f t="shared" si="720"/>
        <v>24</v>
      </c>
      <c r="BF992">
        <f t="shared" si="746"/>
        <v>5000</v>
      </c>
      <c r="BU992"/>
      <c r="DW992" s="89"/>
      <c r="DX992" s="89"/>
      <c r="FD992"/>
      <c r="FE992"/>
    </row>
    <row r="993" spans="1:161" x14ac:dyDescent="0.25">
      <c r="A993" s="7">
        <f t="shared" si="738"/>
        <v>73323</v>
      </c>
      <c r="B993">
        <f t="shared" si="721"/>
        <v>982</v>
      </c>
      <c r="C993">
        <f t="shared" si="702"/>
        <v>81.75</v>
      </c>
      <c r="D993">
        <f t="shared" si="703"/>
        <v>0</v>
      </c>
      <c r="E993">
        <f t="shared" si="722"/>
        <v>133</v>
      </c>
      <c r="F993">
        <f>IF(C993&gt;=$T$2,0,VLOOKUP($E993,EKM_F05!$A$3:$C$128,2,TRUE))</f>
        <v>0</v>
      </c>
      <c r="G993">
        <f>F993*'Real assumptions'!$B$3</f>
        <v>0</v>
      </c>
      <c r="H993">
        <f t="shared" si="704"/>
        <v>0</v>
      </c>
      <c r="I993">
        <f t="shared" si="705"/>
        <v>0</v>
      </c>
      <c r="J993">
        <f>IF(B993&gt;$AJ$2,0,HLOOKUP(C993,'Real assumptions'!$B$5:$L$8,4,TRUE))</f>
        <v>3.7900000000000003E-2</v>
      </c>
      <c r="K993">
        <f t="shared" si="711"/>
        <v>1</v>
      </c>
      <c r="L993">
        <f t="shared" si="739"/>
        <v>8.3333333333333329E-2</v>
      </c>
      <c r="M993">
        <f t="shared" si="706"/>
        <v>3.2145624959929453E-3</v>
      </c>
      <c r="N993">
        <f t="shared" si="707"/>
        <v>4.6041922246627835E-8</v>
      </c>
      <c r="O993" s="8">
        <f t="shared" si="723"/>
        <v>1.4276878320872166E-5</v>
      </c>
      <c r="P993">
        <f t="shared" si="724"/>
        <v>3.4375008583485103E-4</v>
      </c>
      <c r="Q993">
        <f t="shared" si="740"/>
        <v>0</v>
      </c>
      <c r="R993" s="89">
        <f t="shared" si="712"/>
        <v>5000</v>
      </c>
      <c r="S993">
        <f t="shared" si="713"/>
        <v>0.1666666666666714</v>
      </c>
      <c r="U993">
        <f>O992*AV992*'Real assumptions'!$B$33/12+AX993*'Real assumptions'!$B$34</f>
        <v>4.1097030066516109E-4</v>
      </c>
      <c r="V993">
        <f>IF(P993=0,0,IF(E993&lt;=$C$7,$AN$5*O992,0))*'Real assumptions'!$D$28</f>
        <v>0</v>
      </c>
      <c r="X993" s="94">
        <f t="shared" si="725"/>
        <v>0</v>
      </c>
      <c r="Y993">
        <f t="shared" si="714"/>
        <v>24</v>
      </c>
      <c r="Z993">
        <f t="shared" si="741"/>
        <v>17</v>
      </c>
      <c r="AA993">
        <f t="shared" si="715"/>
        <v>17.166666666666671</v>
      </c>
      <c r="AB993">
        <f t="shared" si="726"/>
        <v>50.505050505050505</v>
      </c>
      <c r="AC993">
        <f t="shared" si="708"/>
        <v>867.0033670033672</v>
      </c>
      <c r="AD993">
        <f t="shared" si="727"/>
        <v>80.505050505050505</v>
      </c>
      <c r="AE993">
        <f t="shared" si="728"/>
        <v>69.10016835016836</v>
      </c>
      <c r="AF993" s="94">
        <f t="shared" si="729"/>
        <v>4063.8964646464647</v>
      </c>
      <c r="AG993">
        <f t="shared" si="742"/>
        <v>1.8710960504359826E-4</v>
      </c>
      <c r="AH993">
        <f t="shared" si="730"/>
        <v>5.8019755334380148E-2</v>
      </c>
      <c r="AI993">
        <f>HLOOKUP(AW993,'Real assumptions'!$A$21:$AK$24,2,TRUE)</f>
        <v>0</v>
      </c>
      <c r="AJ993" s="123">
        <f t="shared" si="709"/>
        <v>0</v>
      </c>
      <c r="AK993" s="122">
        <f>(1+HLOOKUP(YEAR(A993),'Real assumptions'!$A$21:$AK$24,2,TRUE)/100)^(1/12)-1</f>
        <v>0</v>
      </c>
      <c r="AL993">
        <f t="shared" si="743"/>
        <v>4.1097030066516109E-4</v>
      </c>
      <c r="AM993">
        <f>('Real assumptions'!$B$33/12)*O992*AV992</f>
        <v>3.9502614840761777E-4</v>
      </c>
      <c r="AN993">
        <f t="shared" si="731"/>
        <v>5.807455862616543E-2</v>
      </c>
      <c r="AO993">
        <f t="shared" si="710"/>
        <v>0</v>
      </c>
      <c r="AP993" s="121">
        <f t="shared" si="732"/>
        <v>0</v>
      </c>
      <c r="AQ993">
        <f t="shared" si="733"/>
        <v>0</v>
      </c>
      <c r="AR993">
        <v>0</v>
      </c>
      <c r="AS993">
        <f t="shared" si="716"/>
        <v>0</v>
      </c>
      <c r="AT993">
        <f t="shared" si="734"/>
        <v>0</v>
      </c>
      <c r="AU993">
        <f>IFERROR(HLOOKUP(B993,'Real assumptions'!$B$43:$AL$44,2,TRUE)*($W$3/$U$2),0)</f>
        <v>0</v>
      </c>
      <c r="AV993">
        <f>AV992*(1+'Real assumptions'!$B$35)^(1/12)</f>
        <v>2.7608566441366089</v>
      </c>
      <c r="AW993">
        <f t="shared" si="717"/>
        <v>2100</v>
      </c>
      <c r="AX993">
        <f t="shared" si="744"/>
        <v>5.8202060491850623E-2</v>
      </c>
      <c r="AY993">
        <f t="shared" si="745"/>
        <v>6.0281650854877075E-5</v>
      </c>
      <c r="AZ993">
        <f t="shared" si="718"/>
        <v>4.7713603174896708E-2</v>
      </c>
      <c r="BA993">
        <f t="shared" si="735"/>
        <v>1.8710960504359826E-4</v>
      </c>
      <c r="BB993">
        <f t="shared" si="736"/>
        <v>17.166666666666671</v>
      </c>
      <c r="BC993">
        <f t="shared" si="719"/>
        <v>10.300000000000002</v>
      </c>
      <c r="BD993">
        <f t="shared" si="737"/>
        <v>0</v>
      </c>
      <c r="BE993">
        <f t="shared" si="720"/>
        <v>24</v>
      </c>
      <c r="BF993">
        <f t="shared" si="746"/>
        <v>5000</v>
      </c>
      <c r="BU993"/>
      <c r="DW993" s="89"/>
      <c r="DX993" s="89"/>
      <c r="FD993"/>
      <c r="FE993"/>
    </row>
    <row r="994" spans="1:161" x14ac:dyDescent="0.25">
      <c r="A994" s="7">
        <f t="shared" si="738"/>
        <v>73354</v>
      </c>
      <c r="B994">
        <f t="shared" si="721"/>
        <v>983</v>
      </c>
      <c r="C994">
        <f t="shared" si="702"/>
        <v>81.833333333333329</v>
      </c>
      <c r="D994">
        <f t="shared" si="703"/>
        <v>0</v>
      </c>
      <c r="E994">
        <f t="shared" si="722"/>
        <v>133</v>
      </c>
      <c r="F994">
        <f>IF(C994&gt;=$T$2,0,VLOOKUP($E994,EKM_F05!$A$3:$C$128,2,TRUE))</f>
        <v>0</v>
      </c>
      <c r="G994">
        <f>F994*'Real assumptions'!$B$3</f>
        <v>0</v>
      </c>
      <c r="H994">
        <f t="shared" si="704"/>
        <v>0</v>
      </c>
      <c r="I994">
        <f t="shared" si="705"/>
        <v>0</v>
      </c>
      <c r="J994">
        <f>IF(B994&gt;$AJ$2,0,HLOOKUP(C994,'Real assumptions'!$B$5:$L$8,4,TRUE))</f>
        <v>3.7900000000000003E-2</v>
      </c>
      <c r="K994">
        <f t="shared" si="711"/>
        <v>1</v>
      </c>
      <c r="L994">
        <f t="shared" si="739"/>
        <v>8.3333333333333329E-2</v>
      </c>
      <c r="M994">
        <f t="shared" si="706"/>
        <v>3.2145624959929453E-3</v>
      </c>
      <c r="N994">
        <f t="shared" si="707"/>
        <v>4.5893917610130402E-8</v>
      </c>
      <c r="O994" s="8">
        <f t="shared" si="723"/>
        <v>1.4230984403262035E-5</v>
      </c>
      <c r="P994">
        <f t="shared" si="724"/>
        <v>3.4264507970093198E-4</v>
      </c>
      <c r="Q994">
        <f t="shared" si="740"/>
        <v>0</v>
      </c>
      <c r="R994" s="89">
        <f t="shared" si="712"/>
        <v>5000</v>
      </c>
      <c r="S994">
        <f t="shared" si="713"/>
        <v>8.3333333333328596E-2</v>
      </c>
      <c r="U994">
        <f>O993*AV993*'Real assumptions'!$B$33/12+AX994*'Real assumptions'!$B$34</f>
        <v>4.1007481516382388E-4</v>
      </c>
      <c r="V994">
        <f>IF(P994=0,0,IF(E994&lt;=$C$7,$AN$5*O993,0))*'Real assumptions'!$D$28</f>
        <v>0</v>
      </c>
      <c r="X994" s="94">
        <f t="shared" si="725"/>
        <v>0</v>
      </c>
      <c r="Y994">
        <f t="shared" si="714"/>
        <v>24</v>
      </c>
      <c r="Z994">
        <f t="shared" si="741"/>
        <v>17</v>
      </c>
      <c r="AA994">
        <f t="shared" si="715"/>
        <v>17.083333333333329</v>
      </c>
      <c r="AB994">
        <f t="shared" si="726"/>
        <v>50.505050505050505</v>
      </c>
      <c r="AC994">
        <f t="shared" si="708"/>
        <v>862.79461279461259</v>
      </c>
      <c r="AD994">
        <f t="shared" si="727"/>
        <v>80.505050505050505</v>
      </c>
      <c r="AE994">
        <f t="shared" si="728"/>
        <v>68.764730639730615</v>
      </c>
      <c r="AF994" s="94">
        <f t="shared" si="729"/>
        <v>4068.4406565656568</v>
      </c>
      <c r="AG994">
        <f t="shared" si="742"/>
        <v>1.867166802941291E-4</v>
      </c>
      <c r="AH994">
        <f t="shared" si="730"/>
        <v>5.7897915529183011E-2</v>
      </c>
      <c r="AI994">
        <f>HLOOKUP(AW994,'Real assumptions'!$A$21:$AK$24,2,TRUE)</f>
        <v>0</v>
      </c>
      <c r="AJ994" s="123">
        <f t="shared" si="709"/>
        <v>0</v>
      </c>
      <c r="AK994" s="122">
        <f>(1+HLOOKUP(YEAR(A994),'Real assumptions'!$A$21:$AK$24,2,TRUE)/100)^(1/12)-1</f>
        <v>0</v>
      </c>
      <c r="AL994">
        <f t="shared" si="743"/>
        <v>4.1007481516382388E-4</v>
      </c>
      <c r="AM994">
        <f>('Real assumptions'!$B$33/12)*O993*AV993</f>
        <v>3.9416414369709834E-4</v>
      </c>
      <c r="AN994">
        <f t="shared" si="731"/>
        <v>5.7952325598917255E-2</v>
      </c>
      <c r="AO994">
        <f t="shared" si="710"/>
        <v>0</v>
      </c>
      <c r="AP994" s="121">
        <f t="shared" si="732"/>
        <v>0</v>
      </c>
      <c r="AQ994">
        <f t="shared" si="733"/>
        <v>0</v>
      </c>
      <c r="AR994">
        <v>0</v>
      </c>
      <c r="AS994">
        <f t="shared" si="716"/>
        <v>0</v>
      </c>
      <c r="AT994">
        <f t="shared" si="734"/>
        <v>0</v>
      </c>
      <c r="AU994">
        <f>IFERROR(HLOOKUP(B994,'Real assumptions'!$B$43:$AL$44,2,TRUE)*($W$3/$U$2),0)</f>
        <v>0</v>
      </c>
      <c r="AV994">
        <f>AV993*(1+'Real assumptions'!$B$35)^(1/12)</f>
        <v>2.7637161904029268</v>
      </c>
      <c r="AW994">
        <f t="shared" si="717"/>
        <v>2100</v>
      </c>
      <c r="AX994">
        <f t="shared" si="744"/>
        <v>5.8079843206100989E-2</v>
      </c>
      <c r="AY994">
        <f t="shared" si="745"/>
        <v>6.0087871720842445E-5</v>
      </c>
      <c r="AZ994">
        <f t="shared" si="718"/>
        <v>4.7459456759139686E-2</v>
      </c>
      <c r="BA994">
        <f t="shared" si="735"/>
        <v>1.867166802941291E-4</v>
      </c>
      <c r="BB994">
        <f t="shared" si="736"/>
        <v>17.083333333333329</v>
      </c>
      <c r="BC994">
        <f t="shared" si="719"/>
        <v>10.249999999999996</v>
      </c>
      <c r="BD994">
        <f t="shared" si="737"/>
        <v>0</v>
      </c>
      <c r="BE994">
        <f t="shared" si="720"/>
        <v>24</v>
      </c>
      <c r="BF994">
        <f t="shared" si="746"/>
        <v>5000</v>
      </c>
      <c r="BU994"/>
      <c r="DW994" s="89"/>
      <c r="DX994" s="89"/>
      <c r="FD994"/>
      <c r="FE994"/>
    </row>
    <row r="995" spans="1:161" x14ac:dyDescent="0.25">
      <c r="A995" s="7">
        <f t="shared" si="738"/>
        <v>73384</v>
      </c>
      <c r="B995">
        <f t="shared" si="721"/>
        <v>984</v>
      </c>
      <c r="C995">
        <f t="shared" si="702"/>
        <v>81.916666666666671</v>
      </c>
      <c r="D995">
        <f t="shared" si="703"/>
        <v>0</v>
      </c>
      <c r="E995">
        <f t="shared" si="722"/>
        <v>133</v>
      </c>
      <c r="F995">
        <f>IF(C995&gt;=$T$2,0,VLOOKUP($E995,EKM_F05!$A$3:$C$128,2,TRUE))</f>
        <v>0</v>
      </c>
      <c r="G995">
        <f>F995*'Real assumptions'!$B$3</f>
        <v>0</v>
      </c>
      <c r="H995">
        <f t="shared" si="704"/>
        <v>0</v>
      </c>
      <c r="I995">
        <f t="shared" si="705"/>
        <v>0</v>
      </c>
      <c r="J995">
        <f>IF(B995&gt;$AJ$2,0,HLOOKUP(C995,'Real assumptions'!$B$5:$L$8,4,TRUE))</f>
        <v>3.7900000000000003E-2</v>
      </c>
      <c r="K995">
        <f t="shared" si="711"/>
        <v>1</v>
      </c>
      <c r="L995">
        <f t="shared" si="739"/>
        <v>8.3333333333333329E-2</v>
      </c>
      <c r="M995">
        <f t="shared" si="706"/>
        <v>3.2145624959929453E-3</v>
      </c>
      <c r="N995">
        <f t="shared" si="707"/>
        <v>4.5746388743786681E-8</v>
      </c>
      <c r="O995" s="8">
        <f t="shared" si="723"/>
        <v>1.4185238014518248E-5</v>
      </c>
      <c r="P995">
        <f t="shared" si="724"/>
        <v>3.4154362567828883E-4</v>
      </c>
      <c r="Q995">
        <f t="shared" si="740"/>
        <v>0</v>
      </c>
      <c r="R995" s="89">
        <f t="shared" si="712"/>
        <v>5000</v>
      </c>
      <c r="S995">
        <f t="shared" si="713"/>
        <v>1</v>
      </c>
      <c r="U995">
        <f>O994*AV994*'Real assumptions'!$B$33/12+AX995*'Real assumptions'!$B$34</f>
        <v>4.0918126117726991E-4</v>
      </c>
      <c r="V995">
        <f>IF(P995=0,0,IF(E995&lt;=$C$7,$AN$5*O994,0))*'Real assumptions'!$D$28</f>
        <v>0</v>
      </c>
      <c r="X995" s="94">
        <f t="shared" si="725"/>
        <v>0</v>
      </c>
      <c r="Y995">
        <f t="shared" si="714"/>
        <v>24</v>
      </c>
      <c r="Z995">
        <f t="shared" si="741"/>
        <v>17</v>
      </c>
      <c r="AA995">
        <f t="shared" si="715"/>
        <v>17</v>
      </c>
      <c r="AB995">
        <f t="shared" si="726"/>
        <v>50.505050505050505</v>
      </c>
      <c r="AC995">
        <f t="shared" si="708"/>
        <v>858.58585858585855</v>
      </c>
      <c r="AD995">
        <f t="shared" si="727"/>
        <v>80.505050505050505</v>
      </c>
      <c r="AE995">
        <f t="shared" si="728"/>
        <v>68.429292929292927</v>
      </c>
      <c r="AF995" s="94">
        <f t="shared" si="729"/>
        <v>4072.9848484848485</v>
      </c>
      <c r="AG995">
        <f t="shared" si="742"/>
        <v>1.8632434822634096E-4</v>
      </c>
      <c r="AH995">
        <f t="shared" si="730"/>
        <v>5.7776259505284117E-2</v>
      </c>
      <c r="AI995">
        <f>HLOOKUP(AW995,'Real assumptions'!$A$21:$AK$24,2,TRUE)</f>
        <v>0</v>
      </c>
      <c r="AJ995" s="123">
        <f t="shared" si="709"/>
        <v>0</v>
      </c>
      <c r="AK995" s="122">
        <f>(1+HLOOKUP(YEAR(A995),'Real assumptions'!$A$21:$AK$24,2,TRUE)/100)^(1/12)-1</f>
        <v>0</v>
      </c>
      <c r="AL995">
        <f t="shared" si="743"/>
        <v>4.0918126117726991E-4</v>
      </c>
      <c r="AM995">
        <f>('Real assumptions'!$B$33/12)*O994*AV994</f>
        <v>3.9330402000666817E-4</v>
      </c>
      <c r="AN995">
        <f t="shared" si="731"/>
        <v>5.7830277893684029E-2</v>
      </c>
      <c r="AO995">
        <f t="shared" si="710"/>
        <v>0</v>
      </c>
      <c r="AP995" s="121">
        <f t="shared" si="732"/>
        <v>0</v>
      </c>
      <c r="AQ995">
        <f t="shared" si="733"/>
        <v>0</v>
      </c>
      <c r="AR995">
        <v>0</v>
      </c>
      <c r="AS995">
        <f t="shared" si="716"/>
        <v>0</v>
      </c>
      <c r="AT995">
        <f t="shared" si="734"/>
        <v>0</v>
      </c>
      <c r="AU995">
        <f>IFERROR(HLOOKUP(B995,'Real assumptions'!$B$43:$AL$44,2,TRUE)*($W$3/$U$2),0)</f>
        <v>0</v>
      </c>
      <c r="AV995">
        <f>AV994*(1+'Real assumptions'!$B$35)^(1/12)</f>
        <v>2.7665786984328942</v>
      </c>
      <c r="AW995">
        <f t="shared" si="717"/>
        <v>2100</v>
      </c>
      <c r="AX995">
        <f t="shared" si="744"/>
        <v>5.7957810244684958E-2</v>
      </c>
      <c r="AY995">
        <f t="shared" si="745"/>
        <v>5.9894715501944584E-5</v>
      </c>
      <c r="AZ995">
        <f t="shared" si="718"/>
        <v>4.7205494775414365E-2</v>
      </c>
      <c r="BA995">
        <f t="shared" si="735"/>
        <v>1.8632434822634096E-4</v>
      </c>
      <c r="BB995">
        <f t="shared" si="736"/>
        <v>17</v>
      </c>
      <c r="BC995">
        <f t="shared" si="719"/>
        <v>10.199999999999999</v>
      </c>
      <c r="BD995">
        <f t="shared" si="737"/>
        <v>0</v>
      </c>
      <c r="BE995">
        <f t="shared" si="720"/>
        <v>24</v>
      </c>
      <c r="BF995">
        <f t="shared" si="746"/>
        <v>5000</v>
      </c>
      <c r="BU995"/>
      <c r="DW995" s="89"/>
      <c r="DX995" s="89"/>
      <c r="FD995"/>
      <c r="FE995"/>
    </row>
    <row r="996" spans="1:161" x14ac:dyDescent="0.25">
      <c r="A996" s="7">
        <f t="shared" si="738"/>
        <v>73415</v>
      </c>
      <c r="B996">
        <f t="shared" si="721"/>
        <v>985</v>
      </c>
      <c r="C996">
        <f t="shared" si="702"/>
        <v>82</v>
      </c>
      <c r="D996">
        <f t="shared" si="703"/>
        <v>1</v>
      </c>
      <c r="E996">
        <f t="shared" si="722"/>
        <v>134</v>
      </c>
      <c r="F996">
        <f>IF(C996&gt;=$T$2,0,VLOOKUP($E996,EKM_F05!$A$3:$C$128,2,TRUE))</f>
        <v>0</v>
      </c>
      <c r="G996">
        <f>F996*'Real assumptions'!$B$3</f>
        <v>0</v>
      </c>
      <c r="H996">
        <f t="shared" si="704"/>
        <v>0</v>
      </c>
      <c r="I996">
        <f t="shared" si="705"/>
        <v>0</v>
      </c>
      <c r="J996">
        <f>IF(B996&gt;$AJ$2,0,HLOOKUP(C996,'Real assumptions'!$B$5:$L$8,4,TRUE))</f>
        <v>3.7900000000000003E-2</v>
      </c>
      <c r="K996">
        <f t="shared" si="711"/>
        <v>1</v>
      </c>
      <c r="L996">
        <f t="shared" si="739"/>
        <v>8.3333333333333329E-2</v>
      </c>
      <c r="M996">
        <f t="shared" si="706"/>
        <v>3.2145624959929453E-3</v>
      </c>
      <c r="N996">
        <f t="shared" si="707"/>
        <v>4.5599334118203789E-8</v>
      </c>
      <c r="O996" s="8">
        <f t="shared" si="723"/>
        <v>1.4139638680400045E-5</v>
      </c>
      <c r="P996">
        <f t="shared" si="724"/>
        <v>3.4044571234843792E-4</v>
      </c>
      <c r="Q996">
        <f t="shared" si="740"/>
        <v>0</v>
      </c>
      <c r="R996" s="89">
        <f t="shared" si="712"/>
        <v>5000</v>
      </c>
      <c r="S996">
        <f t="shared" si="713"/>
        <v>0.9166666666666714</v>
      </c>
      <c r="U996">
        <f>O995*AV995*'Real assumptions'!$B$33/12+AX996*'Real assumptions'!$B$34</f>
        <v>4.0828963462217322E-4</v>
      </c>
      <c r="V996">
        <f>IF(P996=0,0,IF(E996&lt;=$C$7,$AN$5*O995,0))*'Real assumptions'!$D$28</f>
        <v>0</v>
      </c>
      <c r="X996" s="94">
        <f t="shared" si="725"/>
        <v>0</v>
      </c>
      <c r="Y996">
        <f t="shared" si="714"/>
        <v>24</v>
      </c>
      <c r="Z996">
        <f t="shared" si="741"/>
        <v>17</v>
      </c>
      <c r="AA996">
        <f t="shared" si="715"/>
        <v>16.916666666666671</v>
      </c>
      <c r="AB996">
        <f t="shared" si="726"/>
        <v>50.505050505050505</v>
      </c>
      <c r="AC996">
        <f t="shared" si="708"/>
        <v>854.37710437710462</v>
      </c>
      <c r="AD996">
        <f t="shared" si="727"/>
        <v>80.505050505050505</v>
      </c>
      <c r="AE996">
        <f t="shared" si="728"/>
        <v>68.093855218855239</v>
      </c>
      <c r="AF996" s="94">
        <f t="shared" si="729"/>
        <v>4077.5290404040397</v>
      </c>
      <c r="AG996">
        <f t="shared" si="742"/>
        <v>1.8593260909006268E-4</v>
      </c>
      <c r="AH996">
        <f t="shared" si="730"/>
        <v>5.7654787340151441E-2</v>
      </c>
      <c r="AI996">
        <f>HLOOKUP(AW996,'Real assumptions'!$A$21:$AK$24,2,TRUE)</f>
        <v>0</v>
      </c>
      <c r="AJ996" s="123">
        <f t="shared" si="709"/>
        <v>0</v>
      </c>
      <c r="AK996" s="122">
        <f>(1+HLOOKUP(YEAR(A996),'Real assumptions'!$A$21:$AK$24,2,TRUE)/100)^(1/12)-1</f>
        <v>0</v>
      </c>
      <c r="AL996">
        <f t="shared" si="743"/>
        <v>4.0828963462217322E-4</v>
      </c>
      <c r="AM996">
        <f>('Real assumptions'!$B$33/12)*O995*AV995</f>
        <v>3.9244577323166706E-4</v>
      </c>
      <c r="AN996">
        <f t="shared" si="731"/>
        <v>5.7708415583010382E-2</v>
      </c>
      <c r="AO996">
        <f t="shared" si="710"/>
        <v>0</v>
      </c>
      <c r="AP996" s="121">
        <f t="shared" si="732"/>
        <v>0</v>
      </c>
      <c r="AQ996">
        <f t="shared" si="733"/>
        <v>0</v>
      </c>
      <c r="AR996">
        <v>0</v>
      </c>
      <c r="AS996">
        <f t="shared" si="716"/>
        <v>0</v>
      </c>
      <c r="AT996">
        <f t="shared" si="734"/>
        <v>0</v>
      </c>
      <c r="AU996">
        <f>IFERROR(HLOOKUP(B996,'Real assumptions'!$B$43:$AL$44,2,TRUE)*($W$3/$U$2),0)</f>
        <v>0</v>
      </c>
      <c r="AV996">
        <f>AV995*(1+'Real assumptions'!$B$35)^(1/12)</f>
        <v>2.7694441712941456</v>
      </c>
      <c r="AW996">
        <f t="shared" si="717"/>
        <v>2100</v>
      </c>
      <c r="AX996">
        <f t="shared" si="744"/>
        <v>5.78359616854799E-2</v>
      </c>
      <c r="AY996">
        <f t="shared" si="745"/>
        <v>5.9702180195783871E-5</v>
      </c>
      <c r="AZ996">
        <f t="shared" si="718"/>
        <v>4.6951718244050568E-2</v>
      </c>
      <c r="BA996">
        <f t="shared" si="735"/>
        <v>1.8593260909006268E-4</v>
      </c>
      <c r="BB996">
        <f t="shared" si="736"/>
        <v>16.916666666666671</v>
      </c>
      <c r="BC996">
        <f t="shared" si="719"/>
        <v>10.150000000000002</v>
      </c>
      <c r="BD996">
        <f t="shared" si="737"/>
        <v>0</v>
      </c>
      <c r="BE996">
        <f t="shared" si="720"/>
        <v>24</v>
      </c>
      <c r="BF996">
        <f t="shared" si="746"/>
        <v>5000</v>
      </c>
      <c r="BU996"/>
      <c r="DW996" s="89"/>
      <c r="DX996" s="89"/>
      <c r="FD996"/>
      <c r="FE996"/>
    </row>
    <row r="997" spans="1:161" x14ac:dyDescent="0.25">
      <c r="A997" s="7">
        <f t="shared" si="738"/>
        <v>73446</v>
      </c>
      <c r="B997">
        <f t="shared" si="721"/>
        <v>986</v>
      </c>
      <c r="C997">
        <f t="shared" si="702"/>
        <v>82.083333333333329</v>
      </c>
      <c r="D997">
        <f t="shared" si="703"/>
        <v>0</v>
      </c>
      <c r="E997">
        <f t="shared" si="722"/>
        <v>134</v>
      </c>
      <c r="F997">
        <f>IF(C997&gt;=$T$2,0,VLOOKUP($E997,EKM_F05!$A$3:$C$128,2,TRUE))</f>
        <v>0</v>
      </c>
      <c r="G997">
        <f>F997*'Real assumptions'!$B$3</f>
        <v>0</v>
      </c>
      <c r="H997">
        <f t="shared" si="704"/>
        <v>0</v>
      </c>
      <c r="I997">
        <f t="shared" si="705"/>
        <v>0</v>
      </c>
      <c r="J997">
        <f>IF(B997&gt;$AJ$2,0,HLOOKUP(C997,'Real assumptions'!$B$5:$L$8,4,TRUE))</f>
        <v>3.7900000000000003E-2</v>
      </c>
      <c r="K997">
        <f t="shared" si="711"/>
        <v>1</v>
      </c>
      <c r="L997">
        <f t="shared" si="739"/>
        <v>8.3333333333333329E-2</v>
      </c>
      <c r="M997">
        <f t="shared" si="706"/>
        <v>3.2145624959929453E-3</v>
      </c>
      <c r="N997">
        <f t="shared" si="707"/>
        <v>4.5452752208905162E-8</v>
      </c>
      <c r="O997" s="8">
        <f t="shared" si="723"/>
        <v>1.409418592819114E-5</v>
      </c>
      <c r="P997">
        <f t="shared" si="724"/>
        <v>3.3935132832960108E-4</v>
      </c>
      <c r="Q997">
        <f t="shared" si="740"/>
        <v>0</v>
      </c>
      <c r="R997" s="89">
        <f t="shared" si="712"/>
        <v>5000</v>
      </c>
      <c r="S997">
        <f t="shared" si="713"/>
        <v>0.8333333333333286</v>
      </c>
      <c r="U997">
        <f>O996*AV996*'Real assumptions'!$B$33/12+AX997*'Real assumptions'!$B$34</f>
        <v>4.0739993142350535E-4</v>
      </c>
      <c r="V997">
        <f>IF(P997=0,0,IF(E997&lt;=$C$7,$AN$5*O996,0))*'Real assumptions'!$D$28</f>
        <v>0</v>
      </c>
      <c r="X997" s="94">
        <f t="shared" si="725"/>
        <v>0</v>
      </c>
      <c r="Y997">
        <f t="shared" si="714"/>
        <v>24</v>
      </c>
      <c r="Z997">
        <f t="shared" si="741"/>
        <v>16</v>
      </c>
      <c r="AA997">
        <f t="shared" si="715"/>
        <v>16.833333333333329</v>
      </c>
      <c r="AB997">
        <f t="shared" si="726"/>
        <v>50.505050505050505</v>
      </c>
      <c r="AC997">
        <f t="shared" si="708"/>
        <v>850.16835016834989</v>
      </c>
      <c r="AD997">
        <f t="shared" si="727"/>
        <v>80.505050505050505</v>
      </c>
      <c r="AE997">
        <f t="shared" si="728"/>
        <v>67.75841750841748</v>
      </c>
      <c r="AF997" s="94">
        <f t="shared" si="729"/>
        <v>4082.0732323232323</v>
      </c>
      <c r="AG997">
        <f t="shared" si="742"/>
        <v>1.8554146312739242E-4</v>
      </c>
      <c r="AH997">
        <f t="shared" si="730"/>
        <v>5.7533499108855822E-2</v>
      </c>
      <c r="AI997">
        <f>HLOOKUP(AW997,'Real assumptions'!$A$21:$AK$24,2,TRUE)</f>
        <v>0</v>
      </c>
      <c r="AJ997" s="123">
        <f t="shared" si="709"/>
        <v>0</v>
      </c>
      <c r="AK997" s="122">
        <f>(1+HLOOKUP(YEAR(A997),'Real assumptions'!$A$21:$AK$24,2,TRUE)/100)^(1/12)-1</f>
        <v>0</v>
      </c>
      <c r="AL997">
        <f t="shared" si="743"/>
        <v>4.0739993142350535E-4</v>
      </c>
      <c r="AM997">
        <f>('Real assumptions'!$B$33/12)*O996*AV996</f>
        <v>3.9158939927639154E-4</v>
      </c>
      <c r="AN997">
        <f t="shared" si="731"/>
        <v>5.7586738737057538E-2</v>
      </c>
      <c r="AO997">
        <f t="shared" si="710"/>
        <v>0</v>
      </c>
      <c r="AP997" s="121">
        <f t="shared" si="732"/>
        <v>0</v>
      </c>
      <c r="AQ997">
        <f t="shared" si="733"/>
        <v>0</v>
      </c>
      <c r="AR997">
        <v>0</v>
      </c>
      <c r="AS997">
        <f t="shared" si="716"/>
        <v>0</v>
      </c>
      <c r="AT997">
        <f t="shared" si="734"/>
        <v>0</v>
      </c>
      <c r="AU997">
        <f>IFERROR(HLOOKUP(B997,'Real assumptions'!$B$43:$AL$44,2,TRUE)*($W$3/$U$2),0)</f>
        <v>0</v>
      </c>
      <c r="AV997">
        <f>AV996*(1+'Real assumptions'!$B$35)^(1/12)</f>
        <v>2.772312612057493</v>
      </c>
      <c r="AW997">
        <f t="shared" si="717"/>
        <v>2101</v>
      </c>
      <c r="AX997">
        <f t="shared" si="744"/>
        <v>5.771429760395784E-2</v>
      </c>
      <c r="AY997">
        <f t="shared" si="745"/>
        <v>5.9510263806397494E-5</v>
      </c>
      <c r="AZ997">
        <f t="shared" si="718"/>
        <v>4.6698128177829271E-2</v>
      </c>
      <c r="BA997">
        <f t="shared" si="735"/>
        <v>1.8554146312739242E-4</v>
      </c>
      <c r="BB997">
        <f t="shared" si="736"/>
        <v>16.833333333333329</v>
      </c>
      <c r="BC997">
        <f t="shared" si="719"/>
        <v>10.099999999999998</v>
      </c>
      <c r="BD997">
        <f t="shared" si="737"/>
        <v>0</v>
      </c>
      <c r="BE997">
        <f t="shared" si="720"/>
        <v>24</v>
      </c>
      <c r="BF997">
        <f t="shared" si="746"/>
        <v>5000</v>
      </c>
      <c r="BU997"/>
      <c r="DW997" s="89"/>
      <c r="DX997" s="89"/>
      <c r="FD997"/>
      <c r="FE997"/>
    </row>
    <row r="998" spans="1:161" x14ac:dyDescent="0.25">
      <c r="A998" s="7">
        <f t="shared" si="738"/>
        <v>73474</v>
      </c>
      <c r="B998">
        <f t="shared" si="721"/>
        <v>987</v>
      </c>
      <c r="C998">
        <f t="shared" si="702"/>
        <v>82.166666666666671</v>
      </c>
      <c r="D998">
        <f t="shared" si="703"/>
        <v>0</v>
      </c>
      <c r="E998">
        <f t="shared" si="722"/>
        <v>134</v>
      </c>
      <c r="F998">
        <f>IF(C998&gt;=$T$2,0,VLOOKUP($E998,EKM_F05!$A$3:$C$128,2,TRUE))</f>
        <v>0</v>
      </c>
      <c r="G998">
        <f>F998*'Real assumptions'!$B$3</f>
        <v>0</v>
      </c>
      <c r="H998">
        <f t="shared" si="704"/>
        <v>0</v>
      </c>
      <c r="I998">
        <f t="shared" si="705"/>
        <v>0</v>
      </c>
      <c r="J998">
        <f>IF(B998&gt;$AJ$2,0,HLOOKUP(C998,'Real assumptions'!$B$5:$L$8,4,TRUE))</f>
        <v>3.7900000000000003E-2</v>
      </c>
      <c r="K998">
        <f t="shared" si="711"/>
        <v>1</v>
      </c>
      <c r="L998">
        <f t="shared" si="739"/>
        <v>8.3333333333333329E-2</v>
      </c>
      <c r="M998">
        <f t="shared" si="706"/>
        <v>3.2145624959929453E-3</v>
      </c>
      <c r="N998">
        <f t="shared" si="707"/>
        <v>4.5306641496314758E-8</v>
      </c>
      <c r="O998" s="8">
        <f t="shared" si="723"/>
        <v>1.4048879286694826E-5</v>
      </c>
      <c r="P998">
        <f t="shared" si="724"/>
        <v>3.3826046227658735E-4</v>
      </c>
      <c r="Q998">
        <f t="shared" si="740"/>
        <v>0</v>
      </c>
      <c r="R998" s="89">
        <f t="shared" si="712"/>
        <v>5000</v>
      </c>
      <c r="S998">
        <f t="shared" si="713"/>
        <v>0.75</v>
      </c>
      <c r="U998">
        <f>O997*AV997*'Real assumptions'!$B$33/12+AX998*'Real assumptions'!$B$34</f>
        <v>4.0651214751452071E-4</v>
      </c>
      <c r="V998">
        <f>IF(P998=0,0,IF(E998&lt;=$C$7,$AN$5*O997,0))*'Real assumptions'!$D$28</f>
        <v>0</v>
      </c>
      <c r="X998" s="94">
        <f t="shared" si="725"/>
        <v>0</v>
      </c>
      <c r="Y998">
        <f t="shared" si="714"/>
        <v>24</v>
      </c>
      <c r="Z998">
        <f t="shared" si="741"/>
        <v>16</v>
      </c>
      <c r="AA998">
        <f t="shared" si="715"/>
        <v>16.75</v>
      </c>
      <c r="AB998">
        <f t="shared" si="726"/>
        <v>50.505050505050505</v>
      </c>
      <c r="AC998">
        <f t="shared" si="708"/>
        <v>845.95959595959596</v>
      </c>
      <c r="AD998">
        <f t="shared" si="727"/>
        <v>80.505050505050505</v>
      </c>
      <c r="AE998">
        <f t="shared" si="728"/>
        <v>67.422979797979792</v>
      </c>
      <c r="AF998" s="94">
        <f t="shared" si="729"/>
        <v>4086.617424242424</v>
      </c>
      <c r="AG998">
        <f t="shared" si="742"/>
        <v>1.8515091057274473E-4</v>
      </c>
      <c r="AH998">
        <f t="shared" si="730"/>
        <v>5.7412394884085553E-2</v>
      </c>
      <c r="AI998">
        <f>HLOOKUP(AW998,'Real assumptions'!$A$21:$AK$24,2,TRUE)</f>
        <v>0</v>
      </c>
      <c r="AJ998" s="123">
        <f t="shared" si="709"/>
        <v>0</v>
      </c>
      <c r="AK998" s="122">
        <f>(1+HLOOKUP(YEAR(A998),'Real assumptions'!$A$21:$AK$24,2,TRUE)/100)^(1/12)-1</f>
        <v>0</v>
      </c>
      <c r="AL998">
        <f t="shared" si="743"/>
        <v>4.0651214751452071E-4</v>
      </c>
      <c r="AM998">
        <f>('Real assumptions'!$B$33/12)*O997*AV997</f>
        <v>3.9073489405407541E-4</v>
      </c>
      <c r="AN998">
        <f t="shared" si="731"/>
        <v>5.7465247423617888E-2</v>
      </c>
      <c r="AO998">
        <f t="shared" si="710"/>
        <v>0</v>
      </c>
      <c r="AP998" s="121">
        <f t="shared" si="732"/>
        <v>0</v>
      </c>
      <c r="AQ998">
        <f t="shared" si="733"/>
        <v>0</v>
      </c>
      <c r="AR998">
        <v>0</v>
      </c>
      <c r="AS998">
        <f t="shared" si="716"/>
        <v>0</v>
      </c>
      <c r="AT998">
        <f t="shared" si="734"/>
        <v>0</v>
      </c>
      <c r="AU998">
        <f>IFERROR(HLOOKUP(B998,'Real assumptions'!$B$43:$AL$44,2,TRUE)*($W$3/$U$2),0)</f>
        <v>0</v>
      </c>
      <c r="AV998">
        <f>AV997*(1+'Real assumptions'!$B$35)^(1/12)</f>
        <v>2.7751840237969296</v>
      </c>
      <c r="AW998">
        <f t="shared" si="717"/>
        <v>2101</v>
      </c>
      <c r="AX998">
        <f t="shared" si="744"/>
        <v>5.7592818073200061E-2</v>
      </c>
      <c r="AY998">
        <f t="shared" si="745"/>
        <v>5.9318964344238798E-5</v>
      </c>
      <c r="AZ998">
        <f t="shared" si="718"/>
        <v>4.6444725582018592E-2</v>
      </c>
      <c r="BA998">
        <f t="shared" si="735"/>
        <v>1.8515091057274473E-4</v>
      </c>
      <c r="BB998">
        <f t="shared" si="736"/>
        <v>16.75</v>
      </c>
      <c r="BC998">
        <f t="shared" si="719"/>
        <v>10.050000000000001</v>
      </c>
      <c r="BD998">
        <f t="shared" si="737"/>
        <v>0</v>
      </c>
      <c r="BE998">
        <f t="shared" si="720"/>
        <v>24</v>
      </c>
      <c r="BF998">
        <f t="shared" si="746"/>
        <v>5000</v>
      </c>
      <c r="BU998"/>
      <c r="DW998" s="89"/>
      <c r="DX998" s="89"/>
      <c r="FD998"/>
      <c r="FE998"/>
    </row>
    <row r="999" spans="1:161" x14ac:dyDescent="0.25">
      <c r="A999" s="7">
        <f t="shared" si="738"/>
        <v>73505</v>
      </c>
      <c r="B999">
        <f t="shared" si="721"/>
        <v>988</v>
      </c>
      <c r="C999">
        <f t="shared" si="702"/>
        <v>82.25</v>
      </c>
      <c r="D999">
        <f t="shared" si="703"/>
        <v>0</v>
      </c>
      <c r="E999">
        <f t="shared" si="722"/>
        <v>134</v>
      </c>
      <c r="F999">
        <f>IF(C999&gt;=$T$2,0,VLOOKUP($E999,EKM_F05!$A$3:$C$128,2,TRUE))</f>
        <v>0</v>
      </c>
      <c r="G999">
        <f>F999*'Real assumptions'!$B$3</f>
        <v>0</v>
      </c>
      <c r="H999">
        <f t="shared" si="704"/>
        <v>0</v>
      </c>
      <c r="I999">
        <f t="shared" si="705"/>
        <v>0</v>
      </c>
      <c r="J999">
        <f>IF(B999&gt;$AJ$2,0,HLOOKUP(C999,'Real assumptions'!$B$5:$L$8,4,TRUE))</f>
        <v>3.7900000000000003E-2</v>
      </c>
      <c r="K999">
        <f t="shared" si="711"/>
        <v>1</v>
      </c>
      <c r="L999">
        <f t="shared" si="739"/>
        <v>8.3333333333333329E-2</v>
      </c>
      <c r="M999">
        <f t="shared" si="706"/>
        <v>3.2145624959929453E-3</v>
      </c>
      <c r="N999">
        <f t="shared" si="707"/>
        <v>4.5161000465741307E-8</v>
      </c>
      <c r="O999" s="8">
        <f t="shared" si="723"/>
        <v>1.4003718286229084E-5</v>
      </c>
      <c r="P999">
        <f t="shared" si="724"/>
        <v>3.3717310288067584E-4</v>
      </c>
      <c r="Q999">
        <f t="shared" si="740"/>
        <v>0</v>
      </c>
      <c r="R999" s="89">
        <f t="shared" si="712"/>
        <v>5000</v>
      </c>
      <c r="S999">
        <f t="shared" si="713"/>
        <v>0.6666666666666714</v>
      </c>
      <c r="U999">
        <f>O998*AV998*'Real assumptions'!$B$33/12+AX999*'Real assumptions'!$B$34</f>
        <v>4.0562627883674045E-4</v>
      </c>
      <c r="V999">
        <f>IF(P999=0,0,IF(E999&lt;=$C$7,$AN$5*O998,0))*'Real assumptions'!$D$28</f>
        <v>0</v>
      </c>
      <c r="X999" s="94">
        <f t="shared" si="725"/>
        <v>0</v>
      </c>
      <c r="Y999">
        <f t="shared" si="714"/>
        <v>24</v>
      </c>
      <c r="Z999">
        <f t="shared" si="741"/>
        <v>16</v>
      </c>
      <c r="AA999">
        <f t="shared" si="715"/>
        <v>16.666666666666671</v>
      </c>
      <c r="AB999">
        <f t="shared" si="726"/>
        <v>50.505050505050505</v>
      </c>
      <c r="AC999">
        <f t="shared" si="708"/>
        <v>841.75084175084203</v>
      </c>
      <c r="AD999">
        <f t="shared" si="727"/>
        <v>80.505050505050505</v>
      </c>
      <c r="AE999">
        <f t="shared" si="728"/>
        <v>67.087542087542104</v>
      </c>
      <c r="AF999" s="94">
        <f t="shared" si="729"/>
        <v>4091.1616161616162</v>
      </c>
      <c r="AG999">
        <f t="shared" si="742"/>
        <v>1.8476095165289772E-4</v>
      </c>
      <c r="AH999">
        <f t="shared" si="730"/>
        <v>5.7291474736160961E-2</v>
      </c>
      <c r="AI999">
        <f>HLOOKUP(AW999,'Real assumptions'!$A$21:$AK$24,2,TRUE)</f>
        <v>0</v>
      </c>
      <c r="AJ999" s="123">
        <f t="shared" si="709"/>
        <v>0</v>
      </c>
      <c r="AK999" s="122">
        <f>(1+HLOOKUP(YEAR(A999),'Real assumptions'!$A$21:$AK$24,2,TRUE)/100)^(1/12)-1</f>
        <v>0</v>
      </c>
      <c r="AL999">
        <f t="shared" si="743"/>
        <v>4.0562627883674045E-4</v>
      </c>
      <c r="AM999">
        <f>('Real assumptions'!$B$33/12)*O998*AV998</f>
        <v>3.8988225348687085E-4</v>
      </c>
      <c r="AN999">
        <f t="shared" si="731"/>
        <v>5.7343941708129495E-2</v>
      </c>
      <c r="AO999">
        <f t="shared" si="710"/>
        <v>0</v>
      </c>
      <c r="AP999" s="121">
        <f t="shared" si="732"/>
        <v>0</v>
      </c>
      <c r="AQ999">
        <f t="shared" si="733"/>
        <v>0</v>
      </c>
      <c r="AR999">
        <v>0</v>
      </c>
      <c r="AS999">
        <f t="shared" si="716"/>
        <v>0</v>
      </c>
      <c r="AT999">
        <f t="shared" si="734"/>
        <v>0</v>
      </c>
      <c r="AU999">
        <f>IFERROR(HLOOKUP(B999,'Real assumptions'!$B$43:$AL$44,2,TRUE)*($W$3/$U$2),0)</f>
        <v>0</v>
      </c>
      <c r="AV999">
        <f>AV998*(1+'Real assumptions'!$B$35)^(1/12)</f>
        <v>2.7780584095896317</v>
      </c>
      <c r="AW999">
        <f t="shared" si="717"/>
        <v>2101</v>
      </c>
      <c r="AX999">
        <f t="shared" si="744"/>
        <v>5.7471523163911707E-2</v>
      </c>
      <c r="AY999">
        <f t="shared" si="745"/>
        <v>5.9128279826156672E-5</v>
      </c>
      <c r="AZ999">
        <f t="shared" si="718"/>
        <v>4.6191511454409633E-2</v>
      </c>
      <c r="BA999">
        <f t="shared" si="735"/>
        <v>1.8476095165289772E-4</v>
      </c>
      <c r="BB999">
        <f t="shared" si="736"/>
        <v>16.666666666666671</v>
      </c>
      <c r="BC999">
        <f t="shared" si="719"/>
        <v>10.000000000000004</v>
      </c>
      <c r="BD999">
        <f t="shared" si="737"/>
        <v>0</v>
      </c>
      <c r="BE999">
        <f t="shared" si="720"/>
        <v>24</v>
      </c>
      <c r="BF999">
        <f t="shared" si="746"/>
        <v>5000</v>
      </c>
      <c r="BU999"/>
      <c r="DW999" s="89"/>
      <c r="DX999" s="89"/>
      <c r="FD999"/>
      <c r="FE999"/>
    </row>
    <row r="1000" spans="1:161" x14ac:dyDescent="0.25">
      <c r="A1000" s="7">
        <f t="shared" si="738"/>
        <v>73535</v>
      </c>
      <c r="B1000">
        <f t="shared" si="721"/>
        <v>989</v>
      </c>
      <c r="C1000">
        <f t="shared" si="702"/>
        <v>82.333333333333329</v>
      </c>
      <c r="D1000">
        <f t="shared" si="703"/>
        <v>0</v>
      </c>
      <c r="E1000">
        <f t="shared" si="722"/>
        <v>134</v>
      </c>
      <c r="F1000">
        <f>IF(C1000&gt;=$T$2,0,VLOOKUP($E1000,EKM_F05!$A$3:$C$128,2,TRUE))</f>
        <v>0</v>
      </c>
      <c r="G1000">
        <f>F1000*'Real assumptions'!$B$3</f>
        <v>0</v>
      </c>
      <c r="H1000">
        <f t="shared" si="704"/>
        <v>0</v>
      </c>
      <c r="I1000">
        <f t="shared" si="705"/>
        <v>0</v>
      </c>
      <c r="J1000">
        <f>IF(B1000&gt;$AJ$2,0,HLOOKUP(C1000,'Real assumptions'!$B$5:$L$8,4,TRUE))</f>
        <v>3.7900000000000003E-2</v>
      </c>
      <c r="K1000">
        <f t="shared" si="711"/>
        <v>1</v>
      </c>
      <c r="L1000">
        <f t="shared" si="739"/>
        <v>8.3333333333333329E-2</v>
      </c>
      <c r="M1000">
        <f t="shared" si="706"/>
        <v>3.2145624959929453E-3</v>
      </c>
      <c r="N1000">
        <f t="shared" si="707"/>
        <v>4.5015827607362618E-8</v>
      </c>
      <c r="O1000" s="8">
        <f t="shared" si="723"/>
        <v>1.3958702458621721E-5</v>
      </c>
      <c r="P1000">
        <f t="shared" si="724"/>
        <v>3.3608923886949799E-4</v>
      </c>
      <c r="Q1000">
        <f t="shared" si="740"/>
        <v>0</v>
      </c>
      <c r="R1000" s="89">
        <f t="shared" si="712"/>
        <v>5000</v>
      </c>
      <c r="S1000">
        <f t="shared" si="713"/>
        <v>0.5833333333333286</v>
      </c>
      <c r="U1000">
        <f>O999*AV999*'Real assumptions'!$B$33/12+AX1000*'Real assumptions'!$B$34</f>
        <v>4.0474232133993723E-4</v>
      </c>
      <c r="V1000">
        <f>IF(P1000=0,0,IF(E1000&lt;=$C$7,$AN$5*O999,0))*'Real assumptions'!$D$28</f>
        <v>0</v>
      </c>
      <c r="X1000" s="94">
        <f t="shared" si="725"/>
        <v>0</v>
      </c>
      <c r="Y1000">
        <f t="shared" si="714"/>
        <v>24</v>
      </c>
      <c r="Z1000">
        <f t="shared" si="741"/>
        <v>16</v>
      </c>
      <c r="AA1000">
        <f t="shared" si="715"/>
        <v>16.583333333333329</v>
      </c>
      <c r="AB1000">
        <f t="shared" si="726"/>
        <v>50.505050505050505</v>
      </c>
      <c r="AC1000">
        <f t="shared" si="708"/>
        <v>837.5420875420873</v>
      </c>
      <c r="AD1000">
        <f t="shared" si="727"/>
        <v>80.505050505050505</v>
      </c>
      <c r="AE1000">
        <f t="shared" si="728"/>
        <v>66.752104377104359</v>
      </c>
      <c r="AF1000" s="94">
        <f t="shared" si="729"/>
        <v>4095.7058080808079</v>
      </c>
      <c r="AG1000">
        <f t="shared" si="742"/>
        <v>1.8437158658703945E-4</v>
      </c>
      <c r="AH1000">
        <f t="shared" si="730"/>
        <v>5.7170738733048836E-2</v>
      </c>
      <c r="AI1000">
        <f>HLOOKUP(AW1000,'Real assumptions'!$A$21:$AK$24,2,TRUE)</f>
        <v>0</v>
      </c>
      <c r="AJ1000" s="123">
        <f t="shared" si="709"/>
        <v>0</v>
      </c>
      <c r="AK1000" s="122">
        <f>(1+HLOOKUP(YEAR(A1000),'Real assumptions'!$A$21:$AK$24,2,TRUE)/100)^(1/12)-1</f>
        <v>0</v>
      </c>
      <c r="AL1000">
        <f t="shared" si="743"/>
        <v>4.0474232133993723E-4</v>
      </c>
      <c r="AM1000">
        <f>('Real assumptions'!$B$33/12)*O999*AV999</f>
        <v>3.8903147350582816E-4</v>
      </c>
      <c r="AN1000">
        <f t="shared" si="731"/>
        <v>5.7222821653690518E-2</v>
      </c>
      <c r="AO1000">
        <f t="shared" si="710"/>
        <v>0</v>
      </c>
      <c r="AP1000" s="121">
        <f t="shared" si="732"/>
        <v>0</v>
      </c>
      <c r="AQ1000">
        <f t="shared" si="733"/>
        <v>0</v>
      </c>
      <c r="AR1000">
        <v>0</v>
      </c>
      <c r="AS1000">
        <f t="shared" si="716"/>
        <v>0</v>
      </c>
      <c r="AT1000">
        <f t="shared" si="734"/>
        <v>0</v>
      </c>
      <c r="AU1000">
        <f>IFERROR(HLOOKUP(B1000,'Real assumptions'!$B$43:$AL$44,2,TRUE)*($W$3/$U$2),0)</f>
        <v>0</v>
      </c>
      <c r="AV1000">
        <f>AV999*(1+'Real assumptions'!$B$35)^(1/12)</f>
        <v>2.7809357725159636</v>
      </c>
      <c r="AW1000">
        <f t="shared" si="717"/>
        <v>2101</v>
      </c>
      <c r="AX1000">
        <f t="shared" si="744"/>
        <v>5.7350412944436338E-2</v>
      </c>
      <c r="AY1000">
        <f t="shared" si="745"/>
        <v>5.893820827537493E-5</v>
      </c>
      <c r="AZ1000">
        <f t="shared" si="718"/>
        <v>4.5938486785352152E-2</v>
      </c>
      <c r="BA1000">
        <f t="shared" si="735"/>
        <v>1.8437158658703945E-4</v>
      </c>
      <c r="BB1000">
        <f t="shared" si="736"/>
        <v>16.583333333333329</v>
      </c>
      <c r="BC1000">
        <f t="shared" si="719"/>
        <v>9.9499999999999957</v>
      </c>
      <c r="BD1000">
        <f t="shared" si="737"/>
        <v>0</v>
      </c>
      <c r="BE1000">
        <f t="shared" si="720"/>
        <v>24</v>
      </c>
      <c r="BF1000">
        <f t="shared" si="746"/>
        <v>5000</v>
      </c>
      <c r="BU1000"/>
      <c r="DW1000" s="89"/>
      <c r="DX1000" s="89"/>
      <c r="FD1000"/>
      <c r="FE1000"/>
    </row>
    <row r="1001" spans="1:161" x14ac:dyDescent="0.25">
      <c r="A1001" s="7">
        <f t="shared" si="738"/>
        <v>73566</v>
      </c>
      <c r="B1001">
        <f t="shared" si="721"/>
        <v>990</v>
      </c>
      <c r="C1001">
        <f t="shared" si="702"/>
        <v>82.416666666666671</v>
      </c>
      <c r="D1001">
        <f t="shared" si="703"/>
        <v>0</v>
      </c>
      <c r="E1001">
        <f t="shared" si="722"/>
        <v>134</v>
      </c>
      <c r="F1001">
        <f>IF(C1001&gt;=$T$2,0,VLOOKUP($E1001,EKM_F05!$A$3:$C$128,2,TRUE))</f>
        <v>0</v>
      </c>
      <c r="G1001">
        <f>F1001*'Real assumptions'!$B$3</f>
        <v>0</v>
      </c>
      <c r="H1001">
        <f t="shared" si="704"/>
        <v>0</v>
      </c>
      <c r="I1001">
        <f t="shared" si="705"/>
        <v>0</v>
      </c>
      <c r="J1001">
        <f>IF(B1001&gt;$AJ$2,0,HLOOKUP(C1001,'Real assumptions'!$B$5:$L$8,4,TRUE))</f>
        <v>3.7900000000000003E-2</v>
      </c>
      <c r="K1001">
        <f t="shared" si="711"/>
        <v>1</v>
      </c>
      <c r="L1001">
        <f t="shared" si="739"/>
        <v>8.3333333333333329E-2</v>
      </c>
      <c r="M1001">
        <f t="shared" si="706"/>
        <v>3.2145624959929453E-3</v>
      </c>
      <c r="N1001">
        <f t="shared" si="707"/>
        <v>4.4871121416209902E-8</v>
      </c>
      <c r="O1001" s="8">
        <f t="shared" si="723"/>
        <v>1.3913831337205512E-5</v>
      </c>
      <c r="P1001">
        <f t="shared" si="724"/>
        <v>3.3500885900692129E-4</v>
      </c>
      <c r="Q1001">
        <f t="shared" si="740"/>
        <v>0</v>
      </c>
      <c r="R1001" s="89">
        <f t="shared" si="712"/>
        <v>5000</v>
      </c>
      <c r="S1001">
        <f t="shared" si="713"/>
        <v>0.5</v>
      </c>
      <c r="U1001">
        <f>O1000*AV1000*'Real assumptions'!$B$33/12+AX1001*'Real assumptions'!$B$34</f>
        <v>4.0386027098212002E-4</v>
      </c>
      <c r="V1001">
        <f>IF(P1001=0,0,IF(E1001&lt;=$C$7,$AN$5*O1000,0))*'Real assumptions'!$D$28</f>
        <v>0</v>
      </c>
      <c r="X1001" s="94">
        <f t="shared" si="725"/>
        <v>0</v>
      </c>
      <c r="Y1001">
        <f t="shared" si="714"/>
        <v>24</v>
      </c>
      <c r="Z1001">
        <f t="shared" si="741"/>
        <v>16</v>
      </c>
      <c r="AA1001">
        <f t="shared" si="715"/>
        <v>16.5</v>
      </c>
      <c r="AB1001">
        <f t="shared" si="726"/>
        <v>50.505050505050505</v>
      </c>
      <c r="AC1001">
        <f t="shared" si="708"/>
        <v>833.33333333333337</v>
      </c>
      <c r="AD1001">
        <f t="shared" si="727"/>
        <v>80.505050505050505</v>
      </c>
      <c r="AE1001">
        <f t="shared" si="728"/>
        <v>66.416666666666657</v>
      </c>
      <c r="AF1001" s="94">
        <f t="shared" si="729"/>
        <v>4100.25</v>
      </c>
      <c r="AG1001">
        <f t="shared" si="742"/>
        <v>1.8398281558681465E-4</v>
      </c>
      <c r="AH1001">
        <f t="shared" si="730"/>
        <v>5.7050186940376904E-2</v>
      </c>
      <c r="AI1001">
        <f>HLOOKUP(AW1001,'Real assumptions'!$A$21:$AK$24,2,TRUE)</f>
        <v>0</v>
      </c>
      <c r="AJ1001" s="123">
        <f t="shared" si="709"/>
        <v>0</v>
      </c>
      <c r="AK1001" s="122">
        <f>(1+HLOOKUP(YEAR(A1001),'Real assumptions'!$A$21:$AK$24,2,TRUE)/100)^(1/12)-1</f>
        <v>0</v>
      </c>
      <c r="AL1001">
        <f t="shared" si="743"/>
        <v>4.0386027098212002E-4</v>
      </c>
      <c r="AM1001">
        <f>('Real assumptions'!$B$33/12)*O1000*AV1000</f>
        <v>3.881825500508768E-4</v>
      </c>
      <c r="AN1001">
        <f t="shared" si="731"/>
        <v>5.7101887321073637E-2</v>
      </c>
      <c r="AO1001">
        <f t="shared" si="710"/>
        <v>0</v>
      </c>
      <c r="AP1001" s="121">
        <f t="shared" si="732"/>
        <v>0</v>
      </c>
      <c r="AQ1001">
        <f t="shared" si="733"/>
        <v>0</v>
      </c>
      <c r="AR1001">
        <v>0</v>
      </c>
      <c r="AS1001">
        <f t="shared" si="716"/>
        <v>0</v>
      </c>
      <c r="AT1001">
        <f t="shared" si="734"/>
        <v>0</v>
      </c>
      <c r="AU1001">
        <f>IFERROR(HLOOKUP(B1001,'Real assumptions'!$B$43:$AL$44,2,TRUE)*($W$3/$U$2),0)</f>
        <v>0</v>
      </c>
      <c r="AV1001">
        <f>AV1000*(1+'Real assumptions'!$B$35)^(1/12)</f>
        <v>2.7838161156594792</v>
      </c>
      <c r="AW1001">
        <f t="shared" si="717"/>
        <v>2101</v>
      </c>
      <c r="AX1001">
        <f t="shared" si="744"/>
        <v>5.7229487480770308E-2</v>
      </c>
      <c r="AY1001">
        <f t="shared" si="745"/>
        <v>5.8748747721471891E-5</v>
      </c>
      <c r="AZ1001">
        <f t="shared" si="718"/>
        <v>4.5685652557790141E-2</v>
      </c>
      <c r="BA1001">
        <f t="shared" si="735"/>
        <v>1.8398281558681465E-4</v>
      </c>
      <c r="BB1001">
        <f t="shared" si="736"/>
        <v>16.5</v>
      </c>
      <c r="BC1001">
        <f t="shared" si="719"/>
        <v>9.8999999999999986</v>
      </c>
      <c r="BD1001">
        <f t="shared" si="737"/>
        <v>0</v>
      </c>
      <c r="BE1001">
        <f t="shared" si="720"/>
        <v>24</v>
      </c>
      <c r="BF1001">
        <f t="shared" si="746"/>
        <v>5000</v>
      </c>
      <c r="BU1001"/>
      <c r="DW1001" s="89"/>
      <c r="DX1001" s="89"/>
      <c r="FD1001"/>
      <c r="FE1001"/>
    </row>
    <row r="1002" spans="1:161" x14ac:dyDescent="0.25">
      <c r="A1002" s="7">
        <f t="shared" si="738"/>
        <v>73596</v>
      </c>
      <c r="B1002">
        <f t="shared" si="721"/>
        <v>991</v>
      </c>
      <c r="C1002">
        <f t="shared" ref="C1002:C1006" si="747">(B1002+11)/12-1</f>
        <v>82.5</v>
      </c>
      <c r="D1002">
        <f t="shared" ref="D1002:D1006" si="748">IF(C1002-INT(C1002)=0,1,0)</f>
        <v>0</v>
      </c>
      <c r="E1002">
        <f t="shared" si="722"/>
        <v>134</v>
      </c>
      <c r="F1002">
        <f>IF(C1002&gt;=$T$2,0,VLOOKUP($E1002,EKM_F05!$A$3:$C$128,2,TRUE))</f>
        <v>0</v>
      </c>
      <c r="G1002">
        <f>F1002*'Real assumptions'!$B$3</f>
        <v>0</v>
      </c>
      <c r="H1002">
        <f t="shared" ref="H1002:H1005" si="749">(1-(1-G1002)^(1/12))</f>
        <v>0</v>
      </c>
      <c r="I1002">
        <f t="shared" ref="I1002:I1006" si="750">H1002*O1001*(1-M1002/2)</f>
        <v>0</v>
      </c>
      <c r="J1002">
        <f>IF(B1002&gt;$AJ$2,0,HLOOKUP(C1002,'Real assumptions'!$B$5:$L$8,4,TRUE))</f>
        <v>3.7900000000000003E-2</v>
      </c>
      <c r="K1002">
        <f t="shared" si="711"/>
        <v>1</v>
      </c>
      <c r="L1002">
        <f t="shared" si="739"/>
        <v>8.3333333333333329E-2</v>
      </c>
      <c r="M1002">
        <f t="shared" ref="M1002:M1006" si="751">(1-(1-J1002)^L1002)</f>
        <v>3.2145624959929453E-3</v>
      </c>
      <c r="N1002">
        <f t="shared" ref="N1002:N1005" si="752">M1002*O1001*(1-H1002/2)</f>
        <v>4.4726880392152209E-8</v>
      </c>
      <c r="O1002" s="8">
        <f t="shared" si="723"/>
        <v>1.3869104456813361E-5</v>
      </c>
      <c r="P1002">
        <f t="shared" si="724"/>
        <v>3.3393195209293231E-4</v>
      </c>
      <c r="Q1002">
        <f t="shared" si="740"/>
        <v>0</v>
      </c>
      <c r="R1002" s="89">
        <f t="shared" si="712"/>
        <v>5000</v>
      </c>
      <c r="S1002">
        <f t="shared" si="713"/>
        <v>0.4166666666666714</v>
      </c>
      <c r="U1002">
        <f>O1001*AV1001*'Real assumptions'!$B$33/12+AX1002*'Real assumptions'!$B$34</f>
        <v>4.0298012372951832E-4</v>
      </c>
      <c r="V1002">
        <f>IF(P1002=0,0,IF(E1002&lt;=$C$7,$AN$5*O1001,0))*'Real assumptions'!$D$28</f>
        <v>0</v>
      </c>
      <c r="X1002" s="94">
        <f t="shared" si="725"/>
        <v>0</v>
      </c>
      <c r="Y1002">
        <f t="shared" si="714"/>
        <v>24</v>
      </c>
      <c r="Z1002">
        <f t="shared" si="741"/>
        <v>16</v>
      </c>
      <c r="AA1002">
        <f t="shared" si="715"/>
        <v>16.416666666666671</v>
      </c>
      <c r="AB1002">
        <f t="shared" si="726"/>
        <v>50.505050505050505</v>
      </c>
      <c r="AC1002">
        <f t="shared" ref="AC1002:AC1006" si="753">AB1002*AA1002</f>
        <v>829.12457912457933</v>
      </c>
      <c r="AD1002">
        <f t="shared" si="727"/>
        <v>80.505050505050505</v>
      </c>
      <c r="AE1002">
        <f t="shared" si="728"/>
        <v>66.081228956228969</v>
      </c>
      <c r="AF1002" s="94">
        <f t="shared" si="729"/>
        <v>4104.7941919191917</v>
      </c>
      <c r="AG1002">
        <f t="shared" si="742"/>
        <v>1.8359463885637078E-4</v>
      </c>
      <c r="AH1002">
        <f t="shared" si="730"/>
        <v>5.6929819421448057E-2</v>
      </c>
      <c r="AI1002">
        <f>HLOOKUP(AW1002,'Real assumptions'!$A$21:$AK$24,2,TRUE)</f>
        <v>0</v>
      </c>
      <c r="AJ1002" s="123">
        <f t="shared" ref="AJ1002:AJ1006" si="754">((1+AI1002/100)^(1/12))-1</f>
        <v>0</v>
      </c>
      <c r="AK1002" s="122">
        <f>(1+HLOOKUP(YEAR(A1002),'Real assumptions'!$A$21:$AK$24,2,TRUE)/100)^(1/12)-1</f>
        <v>0</v>
      </c>
      <c r="AL1002">
        <f t="shared" si="743"/>
        <v>4.0298012372951832E-4</v>
      </c>
      <c r="AM1002">
        <f>('Real assumptions'!$B$33/12)*O1001*AV1001</f>
        <v>3.8733547907080591E-4</v>
      </c>
      <c r="AN1002">
        <f t="shared" si="731"/>
        <v>5.6981138768740322E-2</v>
      </c>
      <c r="AO1002">
        <f t="shared" ref="AO1002:AO1006" si="755">AN1002*AJ1002</f>
        <v>0</v>
      </c>
      <c r="AP1002" s="121">
        <f t="shared" si="732"/>
        <v>0</v>
      </c>
      <c r="AQ1002">
        <f t="shared" si="733"/>
        <v>0</v>
      </c>
      <c r="AR1002">
        <v>0</v>
      </c>
      <c r="AS1002">
        <f t="shared" si="716"/>
        <v>0</v>
      </c>
      <c r="AT1002">
        <f t="shared" si="734"/>
        <v>0</v>
      </c>
      <c r="AU1002">
        <f>IFERROR(HLOOKUP(B1002,'Real assumptions'!$B$43:$AL$44,2,TRUE)*($W$3/$U$2),0)</f>
        <v>0</v>
      </c>
      <c r="AV1002">
        <f>AV1001*(1+'Real assumptions'!$B$35)^(1/12)</f>
        <v>2.7866994421069267</v>
      </c>
      <c r="AW1002">
        <f t="shared" si="717"/>
        <v>2101</v>
      </c>
      <c r="AX1002">
        <f t="shared" si="744"/>
        <v>5.7108746836577261E-2</v>
      </c>
      <c r="AY1002">
        <f t="shared" si="745"/>
        <v>5.8559896200359895E-5</v>
      </c>
      <c r="AZ1002">
        <f t="shared" si="718"/>
        <v>4.5433009747297186E-2</v>
      </c>
      <c r="BA1002">
        <f t="shared" si="735"/>
        <v>1.8359463885637078E-4</v>
      </c>
      <c r="BB1002">
        <f t="shared" si="736"/>
        <v>16.416666666666671</v>
      </c>
      <c r="BC1002">
        <f t="shared" si="719"/>
        <v>9.8500000000000014</v>
      </c>
      <c r="BD1002">
        <f t="shared" si="737"/>
        <v>0</v>
      </c>
      <c r="BE1002">
        <f t="shared" si="720"/>
        <v>24</v>
      </c>
      <c r="BF1002">
        <f t="shared" si="746"/>
        <v>5000</v>
      </c>
      <c r="BU1002"/>
      <c r="DW1002" s="89"/>
      <c r="DX1002" s="89"/>
      <c r="FD1002"/>
      <c r="FE1002"/>
    </row>
    <row r="1003" spans="1:161" x14ac:dyDescent="0.25">
      <c r="A1003" s="7">
        <f t="shared" si="738"/>
        <v>73627</v>
      </c>
      <c r="B1003">
        <f t="shared" si="721"/>
        <v>992</v>
      </c>
      <c r="C1003">
        <f t="shared" si="747"/>
        <v>82.583333333333329</v>
      </c>
      <c r="D1003">
        <f t="shared" si="748"/>
        <v>0</v>
      </c>
      <c r="E1003">
        <f t="shared" si="722"/>
        <v>134</v>
      </c>
      <c r="F1003">
        <f>IF(C1003&gt;=$T$2,0,VLOOKUP($E1003,EKM_F05!$A$3:$C$128,2,TRUE))</f>
        <v>0</v>
      </c>
      <c r="G1003">
        <f>F1003*'Real assumptions'!$B$3</f>
        <v>0</v>
      </c>
      <c r="H1003">
        <f t="shared" si="749"/>
        <v>0</v>
      </c>
      <c r="I1003">
        <f t="shared" si="750"/>
        <v>0</v>
      </c>
      <c r="J1003">
        <f>IF(B1003&gt;$AJ$2,0,HLOOKUP(C1003,'Real assumptions'!$B$5:$L$8,4,TRUE))</f>
        <v>3.7900000000000003E-2</v>
      </c>
      <c r="K1003">
        <f t="shared" si="711"/>
        <v>1</v>
      </c>
      <c r="L1003">
        <f t="shared" si="739"/>
        <v>8.3333333333333329E-2</v>
      </c>
      <c r="M1003">
        <f t="shared" si="751"/>
        <v>3.2145624959929453E-3</v>
      </c>
      <c r="N1003">
        <f t="shared" si="752"/>
        <v>4.4583103039880838E-8</v>
      </c>
      <c r="O1003" s="8">
        <f t="shared" si="723"/>
        <v>1.382452135377348E-5</v>
      </c>
      <c r="P1003">
        <f t="shared" si="724"/>
        <v>3.3285850696352065E-4</v>
      </c>
      <c r="Q1003">
        <f t="shared" si="740"/>
        <v>0</v>
      </c>
      <c r="R1003" s="89">
        <f t="shared" si="712"/>
        <v>5000</v>
      </c>
      <c r="S1003">
        <f t="shared" si="713"/>
        <v>0.3333333333333286</v>
      </c>
      <c r="U1003">
        <f>O1002*AV1002*'Real assumptions'!$B$33/12+AX1003*'Real assumptions'!$B$34</f>
        <v>4.0210187555656646E-4</v>
      </c>
      <c r="V1003">
        <f>IF(P1003=0,0,IF(E1003&lt;=$C$7,$AN$5*O1002,0))*'Real assumptions'!$D$28</f>
        <v>0</v>
      </c>
      <c r="X1003" s="94">
        <f t="shared" si="725"/>
        <v>0</v>
      </c>
      <c r="Y1003">
        <f t="shared" si="714"/>
        <v>24</v>
      </c>
      <c r="Z1003">
        <f t="shared" si="741"/>
        <v>16</v>
      </c>
      <c r="AA1003">
        <f t="shared" si="715"/>
        <v>16.333333333333329</v>
      </c>
      <c r="AB1003">
        <f t="shared" si="726"/>
        <v>50.505050505050505</v>
      </c>
      <c r="AC1003">
        <f t="shared" si="753"/>
        <v>824.91582491582471</v>
      </c>
      <c r="AD1003">
        <f t="shared" si="727"/>
        <v>80.505050505050505</v>
      </c>
      <c r="AE1003">
        <f t="shared" si="728"/>
        <v>65.745791245791224</v>
      </c>
      <c r="AF1003" s="94">
        <f t="shared" si="729"/>
        <v>4109.3383838383843</v>
      </c>
      <c r="AG1003">
        <f t="shared" si="742"/>
        <v>1.8320705659240409E-4</v>
      </c>
      <c r="AH1003">
        <f t="shared" si="730"/>
        <v>5.6809636237254747E-2</v>
      </c>
      <c r="AI1003">
        <f>HLOOKUP(AW1003,'Real assumptions'!$A$21:$AK$24,2,TRUE)</f>
        <v>0</v>
      </c>
      <c r="AJ1003" s="123">
        <f t="shared" si="754"/>
        <v>0</v>
      </c>
      <c r="AK1003" s="122">
        <f>(1+HLOOKUP(YEAR(A1003),'Real assumptions'!$A$21:$AK$24,2,TRUE)/100)^(1/12)-1</f>
        <v>0</v>
      </c>
      <c r="AL1003">
        <f t="shared" si="743"/>
        <v>4.0210187555656646E-4</v>
      </c>
      <c r="AM1003">
        <f>('Real assumptions'!$B$33/12)*O1002*AV1002</f>
        <v>3.8649025652324483E-4</v>
      </c>
      <c r="AN1003">
        <f t="shared" si="731"/>
        <v>5.6860576052855008E-2</v>
      </c>
      <c r="AO1003">
        <f t="shared" si="755"/>
        <v>0</v>
      </c>
      <c r="AP1003" s="121">
        <f t="shared" si="732"/>
        <v>0</v>
      </c>
      <c r="AQ1003">
        <f t="shared" si="733"/>
        <v>0</v>
      </c>
      <c r="AR1003">
        <v>0</v>
      </c>
      <c r="AS1003">
        <f t="shared" si="716"/>
        <v>0</v>
      </c>
      <c r="AT1003">
        <f t="shared" si="734"/>
        <v>0</v>
      </c>
      <c r="AU1003">
        <f>IFERROR(HLOOKUP(B1003,'Real assumptions'!$B$43:$AL$44,2,TRUE)*($W$3/$U$2),0)</f>
        <v>0</v>
      </c>
      <c r="AV1003">
        <f>AV1002*(1+'Real assumptions'!$B$35)^(1/12)</f>
        <v>2.7895857549482512</v>
      </c>
      <c r="AW1003">
        <f t="shared" si="717"/>
        <v>2101</v>
      </c>
      <c r="AX1003">
        <f t="shared" si="744"/>
        <v>5.698819107320232E-2</v>
      </c>
      <c r="AY1003">
        <f t="shared" si="745"/>
        <v>5.8371651754264986E-5</v>
      </c>
      <c r="AZ1003">
        <f t="shared" si="718"/>
        <v>4.5180559322111735E-2</v>
      </c>
      <c r="BA1003">
        <f t="shared" si="735"/>
        <v>1.8320705659240409E-4</v>
      </c>
      <c r="BB1003">
        <f t="shared" si="736"/>
        <v>16.333333333333329</v>
      </c>
      <c r="BC1003">
        <f t="shared" si="719"/>
        <v>9.7999999999999972</v>
      </c>
      <c r="BD1003">
        <f t="shared" si="737"/>
        <v>0</v>
      </c>
      <c r="BE1003">
        <f t="shared" si="720"/>
        <v>24</v>
      </c>
      <c r="BF1003">
        <f t="shared" si="746"/>
        <v>5000</v>
      </c>
      <c r="BU1003"/>
      <c r="DW1003" s="89"/>
      <c r="DX1003" s="89"/>
      <c r="FD1003"/>
      <c r="FE1003"/>
    </row>
    <row r="1004" spans="1:161" x14ac:dyDescent="0.25">
      <c r="A1004" s="7">
        <f t="shared" si="738"/>
        <v>73658</v>
      </c>
      <c r="B1004">
        <f t="shared" si="721"/>
        <v>993</v>
      </c>
      <c r="C1004">
        <f t="shared" si="747"/>
        <v>82.666666666666671</v>
      </c>
      <c r="D1004">
        <f t="shared" si="748"/>
        <v>0</v>
      </c>
      <c r="E1004">
        <f t="shared" si="722"/>
        <v>134</v>
      </c>
      <c r="F1004">
        <f>IF(C1004&gt;=$T$2,0,VLOOKUP($E1004,EKM_F05!$A$3:$C$128,2,TRUE))</f>
        <v>0</v>
      </c>
      <c r="G1004">
        <f>F1004*'Real assumptions'!$B$3</f>
        <v>0</v>
      </c>
      <c r="H1004">
        <f t="shared" si="749"/>
        <v>0</v>
      </c>
      <c r="I1004">
        <f t="shared" si="750"/>
        <v>0</v>
      </c>
      <c r="J1004">
        <f>IF(B1004&gt;$AJ$2,0,HLOOKUP(C1004,'Real assumptions'!$B$5:$L$8,4,TRUE))</f>
        <v>3.7900000000000003E-2</v>
      </c>
      <c r="K1004">
        <f t="shared" si="711"/>
        <v>1</v>
      </c>
      <c r="L1004">
        <f t="shared" si="739"/>
        <v>8.3333333333333329E-2</v>
      </c>
      <c r="M1004">
        <f t="shared" si="751"/>
        <v>3.2145624959929453E-3</v>
      </c>
      <c r="N1004">
        <f t="shared" si="752"/>
        <v>4.443978786889385E-8</v>
      </c>
      <c r="O1004" s="8">
        <f t="shared" si="723"/>
        <v>1.3780081565904586E-5</v>
      </c>
      <c r="P1004">
        <f t="shared" si="724"/>
        <v>3.3178851249056351E-4</v>
      </c>
      <c r="Q1004">
        <f t="shared" si="740"/>
        <v>0</v>
      </c>
      <c r="R1004" s="89">
        <f t="shared" si="712"/>
        <v>5000</v>
      </c>
      <c r="S1004">
        <f t="shared" si="713"/>
        <v>0.25</v>
      </c>
      <c r="U1004">
        <f>O1003*AV1003*'Real assumptions'!$B$33/12+AX1004*'Real assumptions'!$B$34</f>
        <v>4.0122552244588908E-4</v>
      </c>
      <c r="V1004">
        <f>IF(P1004=0,0,IF(E1004&lt;=$C$7,$AN$5*O1003,0))*'Real assumptions'!$D$28</f>
        <v>0</v>
      </c>
      <c r="X1004" s="94">
        <f t="shared" si="725"/>
        <v>0</v>
      </c>
      <c r="Y1004">
        <f t="shared" si="714"/>
        <v>24</v>
      </c>
      <c r="Z1004">
        <f t="shared" si="741"/>
        <v>16</v>
      </c>
      <c r="AA1004">
        <f t="shared" si="715"/>
        <v>16.25</v>
      </c>
      <c r="AB1004">
        <f t="shared" si="726"/>
        <v>50.505050505050505</v>
      </c>
      <c r="AC1004">
        <f t="shared" si="753"/>
        <v>820.70707070707067</v>
      </c>
      <c r="AD1004">
        <f t="shared" si="727"/>
        <v>80.505050505050505</v>
      </c>
      <c r="AE1004">
        <f t="shared" si="728"/>
        <v>65.410353535353536</v>
      </c>
      <c r="AF1004" s="94">
        <f t="shared" si="729"/>
        <v>4113.882575757576</v>
      </c>
      <c r="AG1004">
        <f t="shared" si="742"/>
        <v>1.828200689842053E-4</v>
      </c>
      <c r="AH1004">
        <f t="shared" si="730"/>
        <v>5.6689637446493045E-2</v>
      </c>
      <c r="AI1004">
        <f>HLOOKUP(AW1004,'Real assumptions'!$A$21:$AK$24,2,TRUE)</f>
        <v>0</v>
      </c>
      <c r="AJ1004" s="123">
        <f t="shared" si="754"/>
        <v>0</v>
      </c>
      <c r="AK1004" s="122">
        <f>(1+HLOOKUP(YEAR(A1004),'Real assumptions'!$A$21:$AK$24,2,TRUE)/100)^(1/12)-1</f>
        <v>0</v>
      </c>
      <c r="AL1004">
        <f t="shared" si="743"/>
        <v>4.0122552244588908E-4</v>
      </c>
      <c r="AM1004">
        <f>('Real assumptions'!$B$33/12)*O1003*AV1003</f>
        <v>3.8564687837464414E-4</v>
      </c>
      <c r="AN1004">
        <f t="shared" si="731"/>
        <v>5.674019922729942E-2</v>
      </c>
      <c r="AO1004">
        <f t="shared" si="755"/>
        <v>0</v>
      </c>
      <c r="AP1004" s="121">
        <f t="shared" si="732"/>
        <v>0</v>
      </c>
      <c r="AQ1004">
        <f t="shared" si="733"/>
        <v>0</v>
      </c>
      <c r="AR1004">
        <v>0</v>
      </c>
      <c r="AS1004">
        <f t="shared" si="716"/>
        <v>0</v>
      </c>
      <c r="AT1004">
        <f t="shared" si="734"/>
        <v>0</v>
      </c>
      <c r="AU1004">
        <f>IFERROR(HLOOKUP(B1004,'Real assumptions'!$B$43:$AL$44,2,TRUE)*($W$3/$U$2),0)</f>
        <v>0</v>
      </c>
      <c r="AV1004">
        <f>AV1003*(1+'Real assumptions'!$B$35)^(1/12)</f>
        <v>2.7924750572765982</v>
      </c>
      <c r="AW1004">
        <f t="shared" si="717"/>
        <v>2101</v>
      </c>
      <c r="AX1004">
        <f t="shared" si="744"/>
        <v>5.6867820249686452E-2</v>
      </c>
      <c r="AY1004">
        <f t="shared" si="745"/>
        <v>5.8184012431706561E-5</v>
      </c>
      <c r="AZ1004">
        <f t="shared" si="718"/>
        <v>4.4928302243172201E-2</v>
      </c>
      <c r="BA1004">
        <f t="shared" si="735"/>
        <v>1.828200689842053E-4</v>
      </c>
      <c r="BB1004">
        <f t="shared" si="736"/>
        <v>16.25</v>
      </c>
      <c r="BC1004">
        <f t="shared" si="719"/>
        <v>9.75</v>
      </c>
      <c r="BD1004">
        <f t="shared" si="737"/>
        <v>0</v>
      </c>
      <c r="BE1004">
        <f t="shared" si="720"/>
        <v>24</v>
      </c>
      <c r="BF1004">
        <f t="shared" si="746"/>
        <v>5000</v>
      </c>
      <c r="BU1004"/>
      <c r="DW1004" s="89"/>
      <c r="DX1004" s="89"/>
      <c r="FD1004"/>
      <c r="FE1004"/>
    </row>
    <row r="1005" spans="1:161" x14ac:dyDescent="0.25">
      <c r="A1005" s="7">
        <f t="shared" si="738"/>
        <v>73688</v>
      </c>
      <c r="B1005">
        <f t="shared" si="721"/>
        <v>994</v>
      </c>
      <c r="C1005">
        <f t="shared" si="747"/>
        <v>82.75</v>
      </c>
      <c r="D1005">
        <f t="shared" si="748"/>
        <v>0</v>
      </c>
      <c r="E1005">
        <f t="shared" si="722"/>
        <v>134</v>
      </c>
      <c r="F1005">
        <f>IF(C1005&gt;=$T$2,0,VLOOKUP($E1005,EKM_F05!$A$3:$C$128,2,TRUE))</f>
        <v>0</v>
      </c>
      <c r="G1005">
        <f>F1005*'Real assumptions'!$B$3</f>
        <v>0</v>
      </c>
      <c r="H1005">
        <f t="shared" si="749"/>
        <v>0</v>
      </c>
      <c r="I1005">
        <f t="shared" si="750"/>
        <v>0</v>
      </c>
      <c r="J1005">
        <f>IF(B1005&gt;$AJ$2,0,HLOOKUP(C1005,'Real assumptions'!$B$5:$L$8,4,TRUE))</f>
        <v>3.7900000000000003E-2</v>
      </c>
      <c r="K1005">
        <f t="shared" si="711"/>
        <v>1</v>
      </c>
      <c r="L1005">
        <f t="shared" si="739"/>
        <v>8.3333333333333329E-2</v>
      </c>
      <c r="M1005">
        <f t="shared" si="751"/>
        <v>3.2145624959929453E-3</v>
      </c>
      <c r="N1005">
        <f t="shared" si="752"/>
        <v>4.4296933393480617E-8</v>
      </c>
      <c r="O1005" s="8">
        <f t="shared" si="723"/>
        <v>1.3735784632511106E-5</v>
      </c>
      <c r="P1005">
        <f t="shared" si="724"/>
        <v>3.3072195758171007E-4</v>
      </c>
      <c r="Q1005">
        <f t="shared" si="740"/>
        <v>0</v>
      </c>
      <c r="R1005" s="89">
        <f t="shared" si="712"/>
        <v>5000</v>
      </c>
      <c r="S1005">
        <f t="shared" si="713"/>
        <v>0.1666666666666714</v>
      </c>
      <c r="U1005">
        <f>O1004*AV1004*'Real assumptions'!$B$33/12+AX1005*'Real assumptions'!$B$34</f>
        <v>4.0035106038828505E-4</v>
      </c>
      <c r="V1005">
        <f>IF(P1005=0,0,IF(E1005&lt;=$C$7,$AN$5*O1004,0))*'Real assumptions'!$D$28</f>
        <v>0</v>
      </c>
      <c r="X1005" s="94">
        <f t="shared" si="725"/>
        <v>0</v>
      </c>
      <c r="Y1005">
        <f t="shared" si="714"/>
        <v>24</v>
      </c>
      <c r="Z1005">
        <f t="shared" si="741"/>
        <v>16</v>
      </c>
      <c r="AA1005">
        <f t="shared" si="715"/>
        <v>16.166666666666671</v>
      </c>
      <c r="AB1005">
        <f t="shared" si="726"/>
        <v>50.505050505050505</v>
      </c>
      <c r="AC1005">
        <f t="shared" si="753"/>
        <v>816.49831649831674</v>
      </c>
      <c r="AD1005">
        <f t="shared" si="727"/>
        <v>80.505050505050505</v>
      </c>
      <c r="AE1005">
        <f t="shared" si="728"/>
        <v>65.074915824915834</v>
      </c>
      <c r="AF1005" s="94">
        <f t="shared" si="729"/>
        <v>4118.4267676767677</v>
      </c>
      <c r="AG1005">
        <f t="shared" si="742"/>
        <v>1.8243367621370544E-4</v>
      </c>
      <c r="AH1005">
        <f t="shared" si="730"/>
        <v>5.6569823105576927E-2</v>
      </c>
      <c r="AI1005">
        <f>HLOOKUP(AW1005,'Real assumptions'!$A$21:$AK$24,2,TRUE)</f>
        <v>0</v>
      </c>
      <c r="AJ1005" s="123">
        <f t="shared" si="754"/>
        <v>0</v>
      </c>
      <c r="AK1005" s="122">
        <f>(1+HLOOKUP(YEAR(A1005),'Real assumptions'!$A$21:$AK$24,2,TRUE)/100)^(1/12)-1</f>
        <v>0</v>
      </c>
      <c r="AL1005">
        <f t="shared" si="743"/>
        <v>4.0035106038828505E-4</v>
      </c>
      <c r="AM1005">
        <f>('Real assumptions'!$B$33/12)*O1004*AV1004</f>
        <v>3.8480534060025601E-4</v>
      </c>
      <c r="AN1005">
        <f t="shared" si="731"/>
        <v>5.6620008343686468E-2</v>
      </c>
      <c r="AO1005">
        <f t="shared" si="755"/>
        <v>0</v>
      </c>
      <c r="AP1005" s="121">
        <f t="shared" si="732"/>
        <v>0</v>
      </c>
      <c r="AQ1005">
        <f t="shared" si="733"/>
        <v>0</v>
      </c>
      <c r="AR1005">
        <v>0</v>
      </c>
      <c r="AS1005">
        <f t="shared" si="716"/>
        <v>0</v>
      </c>
      <c r="AT1005">
        <f t="shared" si="734"/>
        <v>0</v>
      </c>
      <c r="AU1005">
        <f>IFERROR(HLOOKUP(B1005,'Real assumptions'!$B$43:$AL$44,2,TRUE)*($W$3/$U$2),0)</f>
        <v>0</v>
      </c>
      <c r="AV1005">
        <f>AV1004*(1+'Real assumptions'!$B$35)^(1/12)</f>
        <v>2.7953673521883169</v>
      </c>
      <c r="AW1005">
        <f t="shared" si="717"/>
        <v>2101</v>
      </c>
      <c r="AX1005">
        <f t="shared" si="744"/>
        <v>5.6747634422780524E-2</v>
      </c>
      <c r="AY1005">
        <f t="shared" si="745"/>
        <v>5.799697628747721E-5</v>
      </c>
      <c r="AZ1005">
        <f t="shared" si="718"/>
        <v>4.4676239464151918E-2</v>
      </c>
      <c r="BA1005">
        <f t="shared" si="735"/>
        <v>1.8243367621370544E-4</v>
      </c>
      <c r="BB1005">
        <f t="shared" si="736"/>
        <v>16.166666666666671</v>
      </c>
      <c r="BC1005">
        <f t="shared" si="719"/>
        <v>9.7000000000000028</v>
      </c>
      <c r="BD1005">
        <f t="shared" si="737"/>
        <v>0</v>
      </c>
      <c r="BE1005">
        <f t="shared" si="720"/>
        <v>24</v>
      </c>
      <c r="BF1005">
        <f t="shared" si="746"/>
        <v>5000</v>
      </c>
      <c r="BU1005"/>
      <c r="DW1005" s="89"/>
      <c r="DX1005" s="89"/>
      <c r="FD1005"/>
      <c r="FE1005"/>
    </row>
    <row r="1006" spans="1:161" x14ac:dyDescent="0.25">
      <c r="A1006" s="7">
        <f t="shared" si="738"/>
        <v>73719</v>
      </c>
      <c r="B1006">
        <f t="shared" si="721"/>
        <v>995</v>
      </c>
      <c r="C1006">
        <f t="shared" si="747"/>
        <v>82.833333333333329</v>
      </c>
      <c r="D1006">
        <f t="shared" si="748"/>
        <v>0</v>
      </c>
      <c r="E1006">
        <f t="shared" si="722"/>
        <v>134</v>
      </c>
      <c r="F1006">
        <f>IF(C1006&gt;=$T$2,0,VLOOKUP($E1006,EKM_F05!$A$3:$C$128,2,TRUE))</f>
        <v>0</v>
      </c>
      <c r="G1006">
        <f>F1006*'Real assumptions'!$B$3</f>
        <v>0</v>
      </c>
      <c r="H1006">
        <f>(1-(1-G1006)^(1/12))</f>
        <v>0</v>
      </c>
      <c r="I1006">
        <f t="shared" si="750"/>
        <v>0</v>
      </c>
      <c r="J1006">
        <f>IF(B1006&gt;$AJ$2,0,HLOOKUP(C1006,'Real assumptions'!$B$5:$L$8,4,TRUE))</f>
        <v>3.7900000000000003E-2</v>
      </c>
      <c r="K1006">
        <f t="shared" si="711"/>
        <v>1</v>
      </c>
      <c r="L1006">
        <f t="shared" si="739"/>
        <v>8.3333333333333329E-2</v>
      </c>
      <c r="M1006">
        <f t="shared" si="751"/>
        <v>3.2145624959929453E-3</v>
      </c>
      <c r="N1006">
        <f>M1006*O1005*(1-H1006/2)</f>
        <v>4.4154538132706438E-8</v>
      </c>
      <c r="O1006" s="8">
        <f t="shared" si="723"/>
        <v>1.36916300943784E-5</v>
      </c>
      <c r="P1006">
        <f t="shared" si="724"/>
        <v>3.2965883118026652E-4</v>
      </c>
      <c r="Q1006">
        <f t="shared" si="740"/>
        <v>0</v>
      </c>
      <c r="R1006" s="89">
        <f t="shared" si="712"/>
        <v>5000</v>
      </c>
      <c r="S1006">
        <f t="shared" si="713"/>
        <v>8.3333333333328596E-2</v>
      </c>
      <c r="U1006">
        <f>O1005*AV1005*'Real assumptions'!$B$33/12+AX1006*'Real assumptions'!$B$34</f>
        <v>3.9947848538271225E-4</v>
      </c>
      <c r="V1006">
        <f>IF(P1006=0,0,IF(E1006&lt;=$C$7,$AN$5*O1005,0))*'Real assumptions'!$D$28</f>
        <v>0</v>
      </c>
      <c r="X1006" s="94">
        <f t="shared" si="725"/>
        <v>0</v>
      </c>
      <c r="Y1006">
        <f t="shared" si="714"/>
        <v>24</v>
      </c>
      <c r="Z1006">
        <f t="shared" si="741"/>
        <v>16</v>
      </c>
      <c r="AA1006">
        <f t="shared" si="715"/>
        <v>16.083333333333329</v>
      </c>
      <c r="AB1006">
        <f t="shared" si="726"/>
        <v>50.505050505050505</v>
      </c>
      <c r="AC1006">
        <f t="shared" si="753"/>
        <v>812.28956228956201</v>
      </c>
      <c r="AD1006">
        <f t="shared" si="727"/>
        <v>80.505050505050505</v>
      </c>
      <c r="AE1006">
        <f t="shared" si="728"/>
        <v>64.739478114478089</v>
      </c>
      <c r="AF1006" s="94">
        <f t="shared" si="729"/>
        <v>4122.9709595959594</v>
      </c>
      <c r="AG1006">
        <f t="shared" si="742"/>
        <v>1.8204787845552104E-4</v>
      </c>
      <c r="AH1006">
        <f t="shared" si="730"/>
        <v>5.6450193268652228E-2</v>
      </c>
      <c r="AI1006">
        <f>HLOOKUP(AW1006,'Real assumptions'!$A$21:$AK$24,2,TRUE)</f>
        <v>0</v>
      </c>
      <c r="AJ1006" s="123">
        <f t="shared" si="754"/>
        <v>0</v>
      </c>
      <c r="AK1006" s="122">
        <f>(1+HLOOKUP(YEAR(A1006),'Real assumptions'!$A$21:$AK$24,2,TRUE)/100)^(1/12)-1</f>
        <v>0</v>
      </c>
      <c r="AL1006">
        <f t="shared" si="743"/>
        <v>3.9947848538271225E-4</v>
      </c>
      <c r="AM1006">
        <f>('Real assumptions'!$B$33/12)*O1005*AV1005</f>
        <v>3.8396563918411541E-4</v>
      </c>
      <c r="AN1006">
        <f t="shared" si="731"/>
        <v>5.6500003451374479E-2</v>
      </c>
      <c r="AO1006">
        <f t="shared" si="755"/>
        <v>0</v>
      </c>
      <c r="AP1006" s="121">
        <f t="shared" si="732"/>
        <v>0</v>
      </c>
      <c r="AQ1006">
        <f t="shared" si="733"/>
        <v>0</v>
      </c>
      <c r="AR1006">
        <v>0</v>
      </c>
      <c r="AS1006">
        <f t="shared" si="716"/>
        <v>0</v>
      </c>
      <c r="AT1006">
        <f t="shared" si="734"/>
        <v>0</v>
      </c>
      <c r="AU1006">
        <f>IFERROR(HLOOKUP(B1006,'Real assumptions'!$B$43:$AL$44,2,TRUE)*($W$3/$U$2),0)</f>
        <v>0</v>
      </c>
      <c r="AV1006">
        <f>AV1005*(1+'Real assumptions'!$B$35)^(1/12)</f>
        <v>2.798262642782964</v>
      </c>
      <c r="AW1006">
        <f t="shared" si="717"/>
        <v>2101</v>
      </c>
      <c r="AX1006">
        <f t="shared" si="744"/>
        <v>5.6627633646959552E-2</v>
      </c>
      <c r="AY1006">
        <f t="shared" si="745"/>
        <v>5.7810541382622492E-5</v>
      </c>
      <c r="AZ1006">
        <f t="shared" si="718"/>
        <v>4.4424371931493949E-2</v>
      </c>
      <c r="BA1006">
        <f t="shared" si="735"/>
        <v>1.8204787845552104E-4</v>
      </c>
      <c r="BB1006">
        <f t="shared" si="736"/>
        <v>16.083333333333329</v>
      </c>
      <c r="BC1006">
        <f t="shared" si="719"/>
        <v>9.6499999999999968</v>
      </c>
      <c r="BD1006">
        <f t="shared" si="737"/>
        <v>0</v>
      </c>
      <c r="BE1006">
        <f t="shared" si="720"/>
        <v>24</v>
      </c>
      <c r="BF1006">
        <f t="shared" si="746"/>
        <v>5000</v>
      </c>
      <c r="BU1006"/>
      <c r="DW1006" s="89"/>
      <c r="DX1006" s="89"/>
      <c r="FD1006"/>
      <c r="FE1006"/>
    </row>
    <row r="1007" spans="1:161" x14ac:dyDescent="0.25">
      <c r="A1007" s="7">
        <f t="shared" si="738"/>
        <v>73749</v>
      </c>
      <c r="B1007">
        <f t="shared" si="721"/>
        <v>996</v>
      </c>
      <c r="C1007">
        <f t="shared" ref="C1007:C1070" si="756">(B1007+11)/12-1</f>
        <v>82.916666666666671</v>
      </c>
      <c r="D1007">
        <f t="shared" ref="D1007:D1070" si="757">IF(C1007-INT(C1007)=0,1,0)</f>
        <v>0</v>
      </c>
      <c r="E1007">
        <f t="shared" si="722"/>
        <v>134</v>
      </c>
      <c r="F1007">
        <f>IF(C1007&gt;=$T$2,0,VLOOKUP($E1007,EKM_F05!$A$3:$C$128,2,TRUE))</f>
        <v>0</v>
      </c>
      <c r="G1007">
        <f>F1007*'Real assumptions'!$B$3</f>
        <v>0</v>
      </c>
      <c r="H1007">
        <f t="shared" ref="H1007:H1070" si="758">(1-(1-G1007)^(1/12))</f>
        <v>0</v>
      </c>
      <c r="I1007">
        <f t="shared" ref="I1007:I1070" si="759">H1007*O1006*(1-M1007/2)</f>
        <v>0</v>
      </c>
      <c r="J1007">
        <f>IF(B1007&gt;$AJ$2,0,HLOOKUP(C1007,'Real assumptions'!$B$5:$L$8,4,TRUE))</f>
        <v>3.7900000000000003E-2</v>
      </c>
      <c r="K1007">
        <f t="shared" si="711"/>
        <v>1</v>
      </c>
      <c r="L1007">
        <f t="shared" si="739"/>
        <v>8.3333333333333329E-2</v>
      </c>
      <c r="M1007">
        <f t="shared" ref="M1007:M1070" si="760">(1-(1-J1007)^L1007)</f>
        <v>3.2145624959929453E-3</v>
      </c>
      <c r="N1007">
        <f t="shared" ref="N1007:N1070" si="761">M1007*O1006*(1-H1007/2)</f>
        <v>4.4012600610397151E-8</v>
      </c>
      <c r="O1007" s="8">
        <f t="shared" si="723"/>
        <v>1.3647617493768003E-5</v>
      </c>
      <c r="P1007">
        <f t="shared" si="724"/>
        <v>3.2859912226508158E-4</v>
      </c>
      <c r="Q1007">
        <f t="shared" si="740"/>
        <v>0</v>
      </c>
      <c r="R1007" s="89">
        <f t="shared" si="712"/>
        <v>5000</v>
      </c>
      <c r="S1007">
        <f t="shared" si="713"/>
        <v>1</v>
      </c>
      <c r="U1007">
        <f>O1006*AV1006*'Real assumptions'!$B$33/12+AX1007*'Real assumptions'!$B$34</f>
        <v>3.9860779343627273E-4</v>
      </c>
      <c r="V1007">
        <f>IF(P1007=0,0,IF(E1007&lt;=$C$7,$AN$5*O1006,0))*'Real assumptions'!$D$28</f>
        <v>0</v>
      </c>
      <c r="X1007" s="94">
        <f t="shared" si="725"/>
        <v>0</v>
      </c>
      <c r="Y1007">
        <f t="shared" si="714"/>
        <v>24</v>
      </c>
      <c r="Z1007">
        <f t="shared" si="741"/>
        <v>16</v>
      </c>
      <c r="AA1007">
        <f t="shared" si="715"/>
        <v>16</v>
      </c>
      <c r="AB1007">
        <f t="shared" si="726"/>
        <v>50.505050505050505</v>
      </c>
      <c r="AC1007">
        <f t="shared" ref="AC1007:AC1070" si="762">AB1007*AA1007</f>
        <v>808.08080808080808</v>
      </c>
      <c r="AD1007">
        <f t="shared" si="727"/>
        <v>80.505050505050505</v>
      </c>
      <c r="AE1007">
        <f t="shared" si="728"/>
        <v>64.404040404040401</v>
      </c>
      <c r="AF1007" s="94">
        <f t="shared" si="729"/>
        <v>4127.515151515151</v>
      </c>
      <c r="AG1007">
        <f t="shared" si="742"/>
        <v>1.8166267587699922E-4</v>
      </c>
      <c r="AH1007">
        <f t="shared" si="730"/>
        <v>5.6330747987610667E-2</v>
      </c>
      <c r="AI1007">
        <f>HLOOKUP(AW1007,'Real assumptions'!$A$21:$AK$24,2,TRUE)</f>
        <v>0</v>
      </c>
      <c r="AJ1007" s="123">
        <f t="shared" ref="AJ1007:AJ1070" si="763">((1+AI1007/100)^(1/12))-1</f>
        <v>0</v>
      </c>
      <c r="AK1007" s="122">
        <f>(1+HLOOKUP(YEAR(A1007),'Real assumptions'!$A$21:$AK$24,2,TRUE)/100)^(1/12)-1</f>
        <v>0</v>
      </c>
      <c r="AL1007">
        <f t="shared" si="743"/>
        <v>3.9860779343627273E-4</v>
      </c>
      <c r="AM1007">
        <f>('Real assumptions'!$B$33/12)*O1006*AV1006</f>
        <v>3.8312777011902067E-4</v>
      </c>
      <c r="AN1007">
        <f t="shared" si="731"/>
        <v>5.6380184597481037E-2</v>
      </c>
      <c r="AO1007">
        <f t="shared" ref="AO1007:AO1070" si="764">AN1007*AJ1007</f>
        <v>0</v>
      </c>
      <c r="AP1007" s="121">
        <f t="shared" si="732"/>
        <v>0</v>
      </c>
      <c r="AQ1007">
        <f t="shared" si="733"/>
        <v>0</v>
      </c>
      <c r="AR1007">
        <v>0</v>
      </c>
      <c r="AS1007">
        <f t="shared" si="716"/>
        <v>0</v>
      </c>
      <c r="AT1007">
        <f t="shared" si="734"/>
        <v>0</v>
      </c>
      <c r="AU1007">
        <f>IFERROR(HLOOKUP(B1007,'Real assumptions'!$B$43:$AL$44,2,TRUE)*($W$3/$U$2),0)</f>
        <v>0</v>
      </c>
      <c r="AV1007">
        <f>AV1006*(1+'Real assumptions'!$B$35)^(1/12)</f>
        <v>2.8011609321633055</v>
      </c>
      <c r="AW1007">
        <f t="shared" si="717"/>
        <v>2101</v>
      </c>
      <c r="AX1007">
        <f t="shared" si="744"/>
        <v>5.6507817974436651E-2</v>
      </c>
      <c r="AY1007">
        <f t="shared" si="745"/>
        <v>5.7624705784420873E-5</v>
      </c>
      <c r="AZ1007">
        <f t="shared" si="718"/>
        <v>4.4172700584445758E-2</v>
      </c>
      <c r="BA1007">
        <f t="shared" si="735"/>
        <v>1.8166267587699922E-4</v>
      </c>
      <c r="BB1007">
        <f t="shared" si="736"/>
        <v>16</v>
      </c>
      <c r="BC1007">
        <f t="shared" si="719"/>
        <v>9.6</v>
      </c>
      <c r="BD1007">
        <f t="shared" si="737"/>
        <v>0</v>
      </c>
      <c r="BE1007">
        <f t="shared" si="720"/>
        <v>24</v>
      </c>
      <c r="BF1007">
        <f t="shared" si="746"/>
        <v>5000</v>
      </c>
      <c r="BU1007"/>
      <c r="DW1007" s="89"/>
      <c r="DX1007" s="89"/>
      <c r="FD1007"/>
      <c r="FE1007"/>
    </row>
    <row r="1008" spans="1:161" x14ac:dyDescent="0.25">
      <c r="A1008" s="7">
        <f t="shared" si="738"/>
        <v>73780</v>
      </c>
      <c r="B1008">
        <f t="shared" si="721"/>
        <v>997</v>
      </c>
      <c r="C1008">
        <f t="shared" si="756"/>
        <v>83</v>
      </c>
      <c r="D1008">
        <f t="shared" si="757"/>
        <v>1</v>
      </c>
      <c r="E1008">
        <f t="shared" si="722"/>
        <v>135</v>
      </c>
      <c r="F1008">
        <f>IF(C1008&gt;=$T$2,0,VLOOKUP($E1008,EKM_F05!$A$3:$C$128,2,TRUE))</f>
        <v>0</v>
      </c>
      <c r="G1008">
        <f>F1008*'Real assumptions'!$B$3</f>
        <v>0</v>
      </c>
      <c r="H1008">
        <f t="shared" si="758"/>
        <v>0</v>
      </c>
      <c r="I1008">
        <f t="shared" si="759"/>
        <v>0</v>
      </c>
      <c r="J1008">
        <f>IF(B1008&gt;$AJ$2,0,HLOOKUP(C1008,'Real assumptions'!$B$5:$L$8,4,TRUE))</f>
        <v>3.7900000000000003E-2</v>
      </c>
      <c r="K1008">
        <f t="shared" si="711"/>
        <v>1</v>
      </c>
      <c r="L1008">
        <f t="shared" si="739"/>
        <v>8.3333333333333329E-2</v>
      </c>
      <c r="M1008">
        <f t="shared" si="760"/>
        <v>3.2145624959929453E-3</v>
      </c>
      <c r="N1008">
        <f t="shared" si="761"/>
        <v>4.3871119355123855E-8</v>
      </c>
      <c r="O1008" s="8">
        <f t="shared" si="723"/>
        <v>1.360374637441288E-5</v>
      </c>
      <c r="P1008">
        <f t="shared" si="724"/>
        <v>3.2754281985043207E-4</v>
      </c>
      <c r="Q1008">
        <f t="shared" si="740"/>
        <v>0</v>
      </c>
      <c r="R1008" s="89">
        <f t="shared" si="712"/>
        <v>5000</v>
      </c>
      <c r="S1008">
        <f t="shared" si="713"/>
        <v>0.9166666666666714</v>
      </c>
      <c r="U1008">
        <f>O1007*AV1007*'Real assumptions'!$B$33/12+AX1008*'Real assumptions'!$B$34</f>
        <v>3.9773898056419648E-4</v>
      </c>
      <c r="V1008">
        <f>IF(P1008=0,0,IF(E1008&lt;=$C$7,$AN$5*O1007,0))*'Real assumptions'!$D$28</f>
        <v>0</v>
      </c>
      <c r="X1008" s="94">
        <f t="shared" si="725"/>
        <v>0</v>
      </c>
      <c r="Y1008">
        <f t="shared" si="714"/>
        <v>24</v>
      </c>
      <c r="Z1008">
        <f t="shared" si="741"/>
        <v>16</v>
      </c>
      <c r="AA1008">
        <f t="shared" si="715"/>
        <v>15.916666666666671</v>
      </c>
      <c r="AB1008">
        <f t="shared" si="726"/>
        <v>50.505050505050505</v>
      </c>
      <c r="AC1008">
        <f t="shared" si="762"/>
        <v>803.87205387205415</v>
      </c>
      <c r="AD1008">
        <f t="shared" si="727"/>
        <v>80.505050505050505</v>
      </c>
      <c r="AE1008">
        <f t="shared" si="728"/>
        <v>64.068602693602713</v>
      </c>
      <c r="AF1008" s="94">
        <f t="shared" si="729"/>
        <v>4132.0593434343427</v>
      </c>
      <c r="AG1008">
        <f t="shared" si="742"/>
        <v>1.8127806863826277E-4</v>
      </c>
      <c r="AH1008">
        <f t="shared" si="730"/>
        <v>5.6211487312103806E-2</v>
      </c>
      <c r="AI1008">
        <f>HLOOKUP(AW1008,'Real assumptions'!$A$21:$AK$24,2,TRUE)</f>
        <v>0</v>
      </c>
      <c r="AJ1008" s="123">
        <f t="shared" si="763"/>
        <v>0</v>
      </c>
      <c r="AK1008" s="122">
        <f>(1+HLOOKUP(YEAR(A1008),'Real assumptions'!$A$21:$AK$24,2,TRUE)/100)^(1/12)-1</f>
        <v>0</v>
      </c>
      <c r="AL1008">
        <f t="shared" si="743"/>
        <v>3.9773898056419648E-4</v>
      </c>
      <c r="AM1008">
        <f>('Real assumptions'!$B$33/12)*O1007*AV1007</f>
        <v>3.8229172940651413E-4</v>
      </c>
      <c r="AN1008">
        <f t="shared" si="731"/>
        <v>5.6260551826896904E-2</v>
      </c>
      <c r="AO1008">
        <f t="shared" si="764"/>
        <v>0</v>
      </c>
      <c r="AP1008" s="121">
        <f t="shared" si="732"/>
        <v>0</v>
      </c>
      <c r="AQ1008">
        <f t="shared" si="733"/>
        <v>0</v>
      </c>
      <c r="AR1008">
        <v>0</v>
      </c>
      <c r="AS1008">
        <f t="shared" si="716"/>
        <v>0</v>
      </c>
      <c r="AT1008">
        <f t="shared" si="734"/>
        <v>0</v>
      </c>
      <c r="AU1008">
        <f>IFERROR(HLOOKUP(B1008,'Real assumptions'!$B$43:$AL$44,2,TRUE)*($W$3/$U$2),0)</f>
        <v>0</v>
      </c>
      <c r="AV1008">
        <f>AV1007*(1+'Real assumptions'!$B$35)^(1/12)</f>
        <v>2.8040622234353223</v>
      </c>
      <c r="AW1008">
        <f t="shared" si="717"/>
        <v>2101</v>
      </c>
      <c r="AX1008">
        <f t="shared" si="744"/>
        <v>5.6388187455177034E-2</v>
      </c>
      <c r="AY1008">
        <f t="shared" si="745"/>
        <v>5.7439467566363648E-5</v>
      </c>
      <c r="AZ1008">
        <f t="shared" si="718"/>
        <v>4.3921226355093733E-2</v>
      </c>
      <c r="BA1008">
        <f t="shared" si="735"/>
        <v>1.8127806863826277E-4</v>
      </c>
      <c r="BB1008">
        <f t="shared" si="736"/>
        <v>15.916666666666671</v>
      </c>
      <c r="BC1008">
        <f t="shared" si="719"/>
        <v>9.5500000000000025</v>
      </c>
      <c r="BD1008">
        <f t="shared" si="737"/>
        <v>0</v>
      </c>
      <c r="BE1008">
        <f t="shared" si="720"/>
        <v>24</v>
      </c>
      <c r="BF1008">
        <f t="shared" si="746"/>
        <v>5000</v>
      </c>
      <c r="BU1008"/>
      <c r="DW1008" s="89"/>
      <c r="DX1008" s="89"/>
      <c r="FD1008"/>
      <c r="FE1008"/>
    </row>
    <row r="1009" spans="1:161" x14ac:dyDescent="0.25">
      <c r="A1009" s="7">
        <f t="shared" si="738"/>
        <v>73811</v>
      </c>
      <c r="B1009">
        <f t="shared" si="721"/>
        <v>998</v>
      </c>
      <c r="C1009">
        <f t="shared" si="756"/>
        <v>83.083333333333329</v>
      </c>
      <c r="D1009">
        <f t="shared" si="757"/>
        <v>0</v>
      </c>
      <c r="E1009">
        <f t="shared" si="722"/>
        <v>135</v>
      </c>
      <c r="F1009">
        <f>IF(C1009&gt;=$T$2,0,VLOOKUP($E1009,EKM_F05!$A$3:$C$128,2,TRUE))</f>
        <v>0</v>
      </c>
      <c r="G1009">
        <f>F1009*'Real assumptions'!$B$3</f>
        <v>0</v>
      </c>
      <c r="H1009">
        <f t="shared" si="758"/>
        <v>0</v>
      </c>
      <c r="I1009">
        <f t="shared" si="759"/>
        <v>0</v>
      </c>
      <c r="J1009">
        <f>IF(B1009&gt;$AJ$2,0,HLOOKUP(C1009,'Real assumptions'!$B$5:$L$8,4,TRUE))</f>
        <v>3.7900000000000003E-2</v>
      </c>
      <c r="K1009">
        <f t="shared" si="711"/>
        <v>1</v>
      </c>
      <c r="L1009">
        <f t="shared" si="739"/>
        <v>8.3333333333333329E-2</v>
      </c>
      <c r="M1009">
        <f t="shared" si="760"/>
        <v>3.2145624959929453E-3</v>
      </c>
      <c r="N1009">
        <f t="shared" si="761"/>
        <v>4.3730092900187651E-8</v>
      </c>
      <c r="O1009" s="8">
        <f t="shared" si="723"/>
        <v>1.3560016281512692E-5</v>
      </c>
      <c r="P1009">
        <f t="shared" si="724"/>
        <v>3.2648991298590911E-4</v>
      </c>
      <c r="Q1009">
        <f t="shared" si="740"/>
        <v>0</v>
      </c>
      <c r="R1009" s="89">
        <f t="shared" si="712"/>
        <v>5000</v>
      </c>
      <c r="S1009">
        <f t="shared" si="713"/>
        <v>0.8333333333333286</v>
      </c>
      <c r="U1009">
        <f>O1008*AV1008*'Real assumptions'!$B$33/12+AX1009*'Real assumptions'!$B$34</f>
        <v>3.9687204278982739E-4</v>
      </c>
      <c r="V1009">
        <f>IF(P1009=0,0,IF(E1009&lt;=$C$7,$AN$5*O1008,0))*'Real assumptions'!$D$28</f>
        <v>0</v>
      </c>
      <c r="X1009" s="94">
        <f t="shared" si="725"/>
        <v>0</v>
      </c>
      <c r="Y1009">
        <f t="shared" si="714"/>
        <v>24</v>
      </c>
      <c r="Z1009">
        <f t="shared" si="741"/>
        <v>15</v>
      </c>
      <c r="AA1009">
        <f t="shared" si="715"/>
        <v>15.833333333333329</v>
      </c>
      <c r="AB1009">
        <f t="shared" si="726"/>
        <v>50.505050505050505</v>
      </c>
      <c r="AC1009">
        <f t="shared" si="762"/>
        <v>799.66329966329943</v>
      </c>
      <c r="AD1009">
        <f t="shared" si="727"/>
        <v>80.505050505050505</v>
      </c>
      <c r="AE1009">
        <f t="shared" si="728"/>
        <v>63.733164983164961</v>
      </c>
      <c r="AF1009" s="94">
        <f t="shared" si="729"/>
        <v>4136.6035353535353</v>
      </c>
      <c r="AG1009">
        <f t="shared" si="742"/>
        <v>1.8089405689225476E-4</v>
      </c>
      <c r="AH1009">
        <f t="shared" si="730"/>
        <v>5.6092411289556901E-2</v>
      </c>
      <c r="AI1009">
        <f>HLOOKUP(AW1009,'Real assumptions'!$A$21:$AK$24,2,TRUE)</f>
        <v>0</v>
      </c>
      <c r="AJ1009" s="123">
        <f t="shared" si="763"/>
        <v>0</v>
      </c>
      <c r="AK1009" s="122">
        <f>(1+HLOOKUP(YEAR(A1009),'Real assumptions'!$A$21:$AK$24,2,TRUE)/100)^(1/12)-1</f>
        <v>0</v>
      </c>
      <c r="AL1009">
        <f t="shared" si="743"/>
        <v>3.9687204278982739E-4</v>
      </c>
      <c r="AM1009">
        <f>('Real assumptions'!$B$33/12)*O1008*AV1008</f>
        <v>3.8145751305686384E-4</v>
      </c>
      <c r="AN1009">
        <f t="shared" si="731"/>
        <v>5.6141105182299887E-2</v>
      </c>
      <c r="AO1009">
        <f t="shared" si="764"/>
        <v>0</v>
      </c>
      <c r="AP1009" s="121">
        <f t="shared" si="732"/>
        <v>0</v>
      </c>
      <c r="AQ1009">
        <f t="shared" si="733"/>
        <v>0</v>
      </c>
      <c r="AR1009">
        <v>0</v>
      </c>
      <c r="AS1009">
        <f t="shared" si="716"/>
        <v>0</v>
      </c>
      <c r="AT1009">
        <f t="shared" si="734"/>
        <v>0</v>
      </c>
      <c r="AU1009">
        <f>IFERROR(HLOOKUP(B1009,'Real assumptions'!$B$43:$AL$44,2,TRUE)*($W$3/$U$2),0)</f>
        <v>0</v>
      </c>
      <c r="AV1009">
        <f>AV1008*(1+'Real assumptions'!$B$35)^(1/12)</f>
        <v>2.8069665197082116</v>
      </c>
      <c r="AW1009">
        <f t="shared" si="717"/>
        <v>2102</v>
      </c>
      <c r="AX1009">
        <f t="shared" si="744"/>
        <v>5.6268742136911944E-2</v>
      </c>
      <c r="AY1009">
        <f t="shared" si="745"/>
        <v>5.7254824808135011E-5</v>
      </c>
      <c r="AZ1009">
        <f t="shared" si="718"/>
        <v>4.3669950168397559E-2</v>
      </c>
      <c r="BA1009">
        <f t="shared" si="735"/>
        <v>1.8089405689225476E-4</v>
      </c>
      <c r="BB1009">
        <f t="shared" si="736"/>
        <v>15.833333333333329</v>
      </c>
      <c r="BC1009">
        <f t="shared" si="719"/>
        <v>9.4999999999999964</v>
      </c>
      <c r="BD1009">
        <f t="shared" si="737"/>
        <v>0</v>
      </c>
      <c r="BE1009">
        <f t="shared" si="720"/>
        <v>24</v>
      </c>
      <c r="BF1009">
        <f t="shared" si="746"/>
        <v>5000</v>
      </c>
      <c r="BU1009"/>
      <c r="DW1009" s="89"/>
      <c r="DX1009" s="89"/>
      <c r="FD1009"/>
      <c r="FE1009"/>
    </row>
    <row r="1010" spans="1:161" x14ac:dyDescent="0.25">
      <c r="A1010" s="7">
        <f t="shared" si="738"/>
        <v>73839</v>
      </c>
      <c r="B1010">
        <f t="shared" si="721"/>
        <v>999</v>
      </c>
      <c r="C1010">
        <f t="shared" si="756"/>
        <v>83.166666666666671</v>
      </c>
      <c r="D1010">
        <f t="shared" si="757"/>
        <v>0</v>
      </c>
      <c r="E1010">
        <f t="shared" si="722"/>
        <v>135</v>
      </c>
      <c r="F1010">
        <f>IF(C1010&gt;=$T$2,0,VLOOKUP($E1010,EKM_F05!$A$3:$C$128,2,TRUE))</f>
        <v>0</v>
      </c>
      <c r="G1010">
        <f>F1010*'Real assumptions'!$B$3</f>
        <v>0</v>
      </c>
      <c r="H1010">
        <f t="shared" si="758"/>
        <v>0</v>
      </c>
      <c r="I1010">
        <f t="shared" si="759"/>
        <v>0</v>
      </c>
      <c r="J1010">
        <f>IF(B1010&gt;$AJ$2,0,HLOOKUP(C1010,'Real assumptions'!$B$5:$L$8,4,TRUE))</f>
        <v>3.7900000000000003E-2</v>
      </c>
      <c r="K1010">
        <f t="shared" si="711"/>
        <v>1</v>
      </c>
      <c r="L1010">
        <f t="shared" si="739"/>
        <v>8.3333333333333329E-2</v>
      </c>
      <c r="M1010">
        <f t="shared" si="760"/>
        <v>3.2145624959929453E-3</v>
      </c>
      <c r="N1010">
        <f t="shared" si="761"/>
        <v>4.3589519783604418E-8</v>
      </c>
      <c r="O1010" s="8">
        <f t="shared" si="723"/>
        <v>1.3516426761729087E-5</v>
      </c>
      <c r="P1010">
        <f t="shared" si="724"/>
        <v>3.2544039075630462E-4</v>
      </c>
      <c r="Q1010">
        <f t="shared" si="740"/>
        <v>0</v>
      </c>
      <c r="R1010" s="89">
        <f t="shared" si="712"/>
        <v>5000</v>
      </c>
      <c r="S1010">
        <f t="shared" si="713"/>
        <v>0.75</v>
      </c>
      <c r="U1010">
        <f>O1009*AV1009*'Real assumptions'!$B$33/12+AX1010*'Real assumptions'!$B$34</f>
        <v>3.9600697614460657E-4</v>
      </c>
      <c r="V1010">
        <f>IF(P1010=0,0,IF(E1010&lt;=$C$7,$AN$5*O1009,0))*'Real assumptions'!$D$28</f>
        <v>0</v>
      </c>
      <c r="X1010" s="94">
        <f t="shared" si="725"/>
        <v>0</v>
      </c>
      <c r="Y1010">
        <f t="shared" si="714"/>
        <v>24</v>
      </c>
      <c r="Z1010">
        <f t="shared" si="741"/>
        <v>15</v>
      </c>
      <c r="AA1010">
        <f t="shared" si="715"/>
        <v>15.75</v>
      </c>
      <c r="AB1010">
        <f t="shared" si="726"/>
        <v>50.505050505050505</v>
      </c>
      <c r="AC1010">
        <f t="shared" si="762"/>
        <v>795.4545454545455</v>
      </c>
      <c r="AD1010">
        <f t="shared" si="727"/>
        <v>80.505050505050505</v>
      </c>
      <c r="AE1010">
        <f t="shared" si="728"/>
        <v>63.397727272727273</v>
      </c>
      <c r="AF1010" s="94">
        <f t="shared" si="729"/>
        <v>4141.147727272727</v>
      </c>
      <c r="AG1010">
        <f t="shared" si="742"/>
        <v>1.80510640784783E-4</v>
      </c>
      <c r="AH1010">
        <f t="shared" si="730"/>
        <v>5.5973519965182676E-2</v>
      </c>
      <c r="AI1010">
        <f>HLOOKUP(AW1010,'Real assumptions'!$A$21:$AK$24,2,TRUE)</f>
        <v>0</v>
      </c>
      <c r="AJ1010" s="123">
        <f t="shared" si="763"/>
        <v>0</v>
      </c>
      <c r="AK1010" s="122">
        <f>(1+HLOOKUP(YEAR(A1010),'Real assumptions'!$A$21:$AK$24,2,TRUE)/100)^(1/12)-1</f>
        <v>0</v>
      </c>
      <c r="AL1010">
        <f t="shared" si="743"/>
        <v>3.9600697614460657E-4</v>
      </c>
      <c r="AM1010">
        <f>('Real assumptions'!$B$33/12)*O1009*AV1009</f>
        <v>3.806251170890437E-4</v>
      </c>
      <c r="AN1010">
        <f t="shared" si="731"/>
        <v>5.60218447041686E-2</v>
      </c>
      <c r="AO1010">
        <f t="shared" si="764"/>
        <v>0</v>
      </c>
      <c r="AP1010" s="121">
        <f t="shared" si="732"/>
        <v>0</v>
      </c>
      <c r="AQ1010">
        <f t="shared" si="733"/>
        <v>0</v>
      </c>
      <c r="AR1010">
        <v>0</v>
      </c>
      <c r="AS1010">
        <f t="shared" si="716"/>
        <v>0</v>
      </c>
      <c r="AT1010">
        <f t="shared" si="734"/>
        <v>0</v>
      </c>
      <c r="AU1010">
        <f>IFERROR(HLOOKUP(B1010,'Real assumptions'!$B$43:$AL$44,2,TRUE)*($W$3/$U$2),0)</f>
        <v>0</v>
      </c>
      <c r="AV1010">
        <f>AV1009*(1+'Real assumptions'!$B$35)^(1/12)</f>
        <v>2.809873824094391</v>
      </c>
      <c r="AW1010">
        <f t="shared" si="717"/>
        <v>2102</v>
      </c>
      <c r="AX1010">
        <f t="shared" si="744"/>
        <v>5.6149482065152495E-2</v>
      </c>
      <c r="AY1010">
        <f t="shared" si="745"/>
        <v>5.7070775595592132E-5</v>
      </c>
      <c r="AZ1010">
        <f t="shared" si="718"/>
        <v>4.3418872942224476E-2</v>
      </c>
      <c r="BA1010">
        <f t="shared" si="735"/>
        <v>1.80510640784783E-4</v>
      </c>
      <c r="BB1010">
        <f t="shared" si="736"/>
        <v>15.75</v>
      </c>
      <c r="BC1010">
        <f t="shared" si="719"/>
        <v>9.4499999999999993</v>
      </c>
      <c r="BD1010">
        <f t="shared" si="737"/>
        <v>0</v>
      </c>
      <c r="BE1010">
        <f t="shared" si="720"/>
        <v>24</v>
      </c>
      <c r="BF1010">
        <f t="shared" si="746"/>
        <v>5000</v>
      </c>
      <c r="BU1010"/>
      <c r="DW1010" s="89"/>
      <c r="DX1010" s="89"/>
      <c r="FD1010"/>
      <c r="FE1010"/>
    </row>
    <row r="1011" spans="1:161" x14ac:dyDescent="0.25">
      <c r="A1011" s="7">
        <f t="shared" si="738"/>
        <v>73870</v>
      </c>
      <c r="B1011">
        <f t="shared" si="721"/>
        <v>1000</v>
      </c>
      <c r="C1011">
        <f t="shared" si="756"/>
        <v>83.25</v>
      </c>
      <c r="D1011">
        <f t="shared" si="757"/>
        <v>0</v>
      </c>
      <c r="E1011">
        <f t="shared" si="722"/>
        <v>135</v>
      </c>
      <c r="F1011">
        <f>IF(C1011&gt;=$T$2,0,VLOOKUP($E1011,EKM_F05!$A$3:$C$128,2,TRUE))</f>
        <v>0</v>
      </c>
      <c r="G1011">
        <f>F1011*'Real assumptions'!$B$3</f>
        <v>0</v>
      </c>
      <c r="H1011">
        <f t="shared" si="758"/>
        <v>0</v>
      </c>
      <c r="I1011">
        <f t="shared" si="759"/>
        <v>0</v>
      </c>
      <c r="J1011">
        <f>IF(B1011&gt;$AJ$2,0,HLOOKUP(C1011,'Real assumptions'!$B$5:$L$8,4,TRUE))</f>
        <v>3.7900000000000003E-2</v>
      </c>
      <c r="K1011">
        <f t="shared" si="711"/>
        <v>1</v>
      </c>
      <c r="L1011">
        <f t="shared" si="739"/>
        <v>8.3333333333333329E-2</v>
      </c>
      <c r="M1011">
        <f t="shared" si="760"/>
        <v>3.2145624959929453E-3</v>
      </c>
      <c r="N1011">
        <f t="shared" si="761"/>
        <v>4.3449398548089697E-8</v>
      </c>
      <c r="O1011" s="8">
        <f t="shared" si="723"/>
        <v>1.3472977363180997E-5</v>
      </c>
      <c r="P1011">
        <f t="shared" si="724"/>
        <v>3.2439424228149807E-4</v>
      </c>
      <c r="Q1011">
        <f t="shared" si="740"/>
        <v>0</v>
      </c>
      <c r="R1011" s="89">
        <f t="shared" si="712"/>
        <v>5000</v>
      </c>
      <c r="S1011">
        <f t="shared" si="713"/>
        <v>0.6666666666666714</v>
      </c>
      <c r="U1011">
        <f>O1010*AV1010*'Real assumptions'!$B$33/12+AX1011*'Real assumptions'!$B$34</f>
        <v>3.9514377666805851E-4</v>
      </c>
      <c r="V1011">
        <f>IF(P1011=0,0,IF(E1011&lt;=$C$7,$AN$5*O1010,0))*'Real assumptions'!$D$28</f>
        <v>0</v>
      </c>
      <c r="X1011" s="94">
        <f t="shared" si="725"/>
        <v>0</v>
      </c>
      <c r="Y1011">
        <f t="shared" si="714"/>
        <v>24</v>
      </c>
      <c r="Z1011">
        <f t="shared" si="741"/>
        <v>15</v>
      </c>
      <c r="AA1011">
        <f t="shared" si="715"/>
        <v>15.666666666666671</v>
      </c>
      <c r="AB1011">
        <f t="shared" si="726"/>
        <v>50.505050505050505</v>
      </c>
      <c r="AC1011">
        <f t="shared" si="762"/>
        <v>791.24579124579145</v>
      </c>
      <c r="AD1011">
        <f t="shared" si="727"/>
        <v>80.505050505050505</v>
      </c>
      <c r="AE1011">
        <f t="shared" si="728"/>
        <v>63.062289562289578</v>
      </c>
      <c r="AF1011" s="94">
        <f t="shared" si="729"/>
        <v>4145.6919191919196</v>
      </c>
      <c r="AG1011">
        <f t="shared" si="742"/>
        <v>1.8012782045456459E-4</v>
      </c>
      <c r="AH1011">
        <f t="shared" si="730"/>
        <v>5.5854813381995119E-2</v>
      </c>
      <c r="AI1011">
        <f>HLOOKUP(AW1011,'Real assumptions'!$A$21:$AK$24,2,TRUE)</f>
        <v>0</v>
      </c>
      <c r="AJ1011" s="123">
        <f t="shared" si="763"/>
        <v>0</v>
      </c>
      <c r="AK1011" s="122">
        <f>(1+HLOOKUP(YEAR(A1011),'Real assumptions'!$A$21:$AK$24,2,TRUE)/100)^(1/12)-1</f>
        <v>0</v>
      </c>
      <c r="AL1011">
        <f t="shared" si="743"/>
        <v>3.9514377666805851E-4</v>
      </c>
      <c r="AM1011">
        <f>('Real assumptions'!$B$33/12)*O1010*AV1010</f>
        <v>3.7979453753071474E-4</v>
      </c>
      <c r="AN1011">
        <f t="shared" si="731"/>
        <v>5.5902770430796118E-2</v>
      </c>
      <c r="AO1011">
        <f t="shared" si="764"/>
        <v>0</v>
      </c>
      <c r="AP1011" s="121">
        <f t="shared" si="732"/>
        <v>0</v>
      </c>
      <c r="AQ1011">
        <f t="shared" si="733"/>
        <v>0</v>
      </c>
      <c r="AR1011">
        <v>0</v>
      </c>
      <c r="AS1011">
        <f t="shared" si="716"/>
        <v>0</v>
      </c>
      <c r="AT1011">
        <f t="shared" si="734"/>
        <v>0</v>
      </c>
      <c r="AU1011">
        <f>IFERROR(HLOOKUP(B1011,'Real assumptions'!$B$43:$AL$44,2,TRUE)*($W$3/$U$2),0)</f>
        <v>0</v>
      </c>
      <c r="AV1011">
        <f>AV1010*(1+'Real assumptions'!$B$35)^(1/12)</f>
        <v>2.8127841397095019</v>
      </c>
      <c r="AW1011">
        <f t="shared" si="717"/>
        <v>2102</v>
      </c>
      <c r="AX1011">
        <f t="shared" si="744"/>
        <v>5.6030407283203423E-2</v>
      </c>
      <c r="AY1011">
        <f t="shared" si="745"/>
        <v>5.688731802074531E-5</v>
      </c>
      <c r="AZ1011">
        <f t="shared" si="718"/>
        <v>4.3167995587383351E-2</v>
      </c>
      <c r="BA1011">
        <f t="shared" si="735"/>
        <v>1.8012782045456459E-4</v>
      </c>
      <c r="BB1011">
        <f t="shared" si="736"/>
        <v>15.666666666666671</v>
      </c>
      <c r="BC1011">
        <f t="shared" si="719"/>
        <v>9.4000000000000021</v>
      </c>
      <c r="BD1011">
        <f t="shared" si="737"/>
        <v>0</v>
      </c>
      <c r="BE1011">
        <f t="shared" si="720"/>
        <v>24</v>
      </c>
      <c r="BF1011">
        <f t="shared" si="746"/>
        <v>5000</v>
      </c>
      <c r="BU1011"/>
      <c r="DW1011" s="89"/>
      <c r="DX1011" s="89"/>
      <c r="FD1011"/>
      <c r="FE1011"/>
    </row>
    <row r="1012" spans="1:161" x14ac:dyDescent="0.25">
      <c r="A1012" s="7">
        <f t="shared" si="738"/>
        <v>73900</v>
      </c>
      <c r="B1012">
        <f t="shared" si="721"/>
        <v>1001</v>
      </c>
      <c r="C1012">
        <f t="shared" si="756"/>
        <v>83.333333333333329</v>
      </c>
      <c r="D1012">
        <f t="shared" si="757"/>
        <v>0</v>
      </c>
      <c r="E1012">
        <f t="shared" si="722"/>
        <v>135</v>
      </c>
      <c r="F1012">
        <f>IF(C1012&gt;=$T$2,0,VLOOKUP($E1012,EKM_F05!$A$3:$C$128,2,TRUE))</f>
        <v>0</v>
      </c>
      <c r="G1012">
        <f>F1012*'Real assumptions'!$B$3</f>
        <v>0</v>
      </c>
      <c r="H1012">
        <f t="shared" si="758"/>
        <v>0</v>
      </c>
      <c r="I1012">
        <f t="shared" si="759"/>
        <v>0</v>
      </c>
      <c r="J1012">
        <f>IF(B1012&gt;$AJ$2,0,HLOOKUP(C1012,'Real assumptions'!$B$5:$L$8,4,TRUE))</f>
        <v>3.7900000000000003E-2</v>
      </c>
      <c r="K1012">
        <f t="shared" si="711"/>
        <v>1</v>
      </c>
      <c r="L1012">
        <f t="shared" si="739"/>
        <v>8.3333333333333329E-2</v>
      </c>
      <c r="M1012">
        <f t="shared" si="760"/>
        <v>3.2145624959929453E-3</v>
      </c>
      <c r="N1012">
        <f t="shared" si="761"/>
        <v>4.330972774104356E-8</v>
      </c>
      <c r="O1012" s="8">
        <f t="shared" si="723"/>
        <v>1.3429667635439954E-5</v>
      </c>
      <c r="P1012">
        <f t="shared" si="724"/>
        <v>3.2335145671634393E-4</v>
      </c>
      <c r="Q1012">
        <f t="shared" si="740"/>
        <v>0</v>
      </c>
      <c r="R1012" s="89">
        <f t="shared" si="712"/>
        <v>5000</v>
      </c>
      <c r="S1012">
        <f t="shared" si="713"/>
        <v>0.5833333333333286</v>
      </c>
      <c r="U1012">
        <f>O1011*AV1011*'Real assumptions'!$B$33/12+AX1012*'Real assumptions'!$B$34</f>
        <v>3.9428244040777511E-4</v>
      </c>
      <c r="V1012">
        <f>IF(P1012=0,0,IF(E1012&lt;=$C$7,$AN$5*O1011,0))*'Real assumptions'!$D$28</f>
        <v>0</v>
      </c>
      <c r="X1012" s="94">
        <f t="shared" si="725"/>
        <v>0</v>
      </c>
      <c r="Y1012">
        <f t="shared" si="714"/>
        <v>24</v>
      </c>
      <c r="Z1012">
        <f t="shared" si="741"/>
        <v>15</v>
      </c>
      <c r="AA1012">
        <f t="shared" si="715"/>
        <v>15.583333333333329</v>
      </c>
      <c r="AB1012">
        <f t="shared" si="726"/>
        <v>50.505050505050505</v>
      </c>
      <c r="AC1012">
        <f t="shared" si="762"/>
        <v>787.03703703703684</v>
      </c>
      <c r="AD1012">
        <f t="shared" si="727"/>
        <v>80.505050505050505</v>
      </c>
      <c r="AE1012">
        <f t="shared" si="728"/>
        <v>62.726851851851833</v>
      </c>
      <c r="AF1012" s="94">
        <f t="shared" si="729"/>
        <v>4150.2361111111113</v>
      </c>
      <c r="AG1012">
        <f t="shared" si="742"/>
        <v>1.7974559603326965E-4</v>
      </c>
      <c r="AH1012">
        <f t="shared" si="730"/>
        <v>5.5736291580823071E-2</v>
      </c>
      <c r="AI1012">
        <f>HLOOKUP(AW1012,'Real assumptions'!$A$21:$AK$24,2,TRUE)</f>
        <v>0</v>
      </c>
      <c r="AJ1012" s="123">
        <f t="shared" si="763"/>
        <v>0</v>
      </c>
      <c r="AK1012" s="122">
        <f>(1+HLOOKUP(YEAR(A1012),'Real assumptions'!$A$21:$AK$24,2,TRUE)/100)^(1/12)-1</f>
        <v>0</v>
      </c>
      <c r="AL1012">
        <f t="shared" si="743"/>
        <v>3.9428244040777511E-4</v>
      </c>
      <c r="AM1012">
        <f>('Real assumptions'!$B$33/12)*O1011*AV1011</f>
        <v>3.7896577041820654E-4</v>
      </c>
      <c r="AN1012">
        <f t="shared" si="731"/>
        <v>5.5783882398303689E-2</v>
      </c>
      <c r="AO1012">
        <f t="shared" si="764"/>
        <v>0</v>
      </c>
      <c r="AP1012" s="121">
        <f t="shared" si="732"/>
        <v>0</v>
      </c>
      <c r="AQ1012">
        <f t="shared" si="733"/>
        <v>0</v>
      </c>
      <c r="AR1012">
        <v>0</v>
      </c>
      <c r="AS1012">
        <f t="shared" si="716"/>
        <v>0</v>
      </c>
      <c r="AT1012">
        <f t="shared" si="734"/>
        <v>0</v>
      </c>
      <c r="AU1012">
        <f>IFERROR(HLOOKUP(B1012,'Real assumptions'!$B$43:$AL$44,2,TRUE)*($W$3/$U$2),0)</f>
        <v>0</v>
      </c>
      <c r="AV1012">
        <f>AV1011*(1+'Real assumptions'!$B$35)^(1/12)</f>
        <v>2.8156974696724126</v>
      </c>
      <c r="AW1012">
        <f t="shared" si="717"/>
        <v>2102</v>
      </c>
      <c r="AX1012">
        <f t="shared" si="744"/>
        <v>5.5911517832176856E-2</v>
      </c>
      <c r="AY1012">
        <f t="shared" si="745"/>
        <v>5.6704450181738199E-5</v>
      </c>
      <c r="AZ1012">
        <f t="shared" si="718"/>
        <v>4.2917319007658654E-2</v>
      </c>
      <c r="BA1012">
        <f t="shared" si="735"/>
        <v>1.7974559603326965E-4</v>
      </c>
      <c r="BB1012">
        <f t="shared" si="736"/>
        <v>15.583333333333329</v>
      </c>
      <c r="BC1012">
        <f t="shared" si="719"/>
        <v>9.3499999999999979</v>
      </c>
      <c r="BD1012">
        <f t="shared" si="737"/>
        <v>0</v>
      </c>
      <c r="BE1012">
        <f t="shared" si="720"/>
        <v>24</v>
      </c>
      <c r="BF1012">
        <f t="shared" si="746"/>
        <v>5000</v>
      </c>
      <c r="BU1012"/>
      <c r="DW1012" s="89"/>
      <c r="DX1012" s="89"/>
      <c r="FD1012"/>
      <c r="FE1012"/>
    </row>
    <row r="1013" spans="1:161" x14ac:dyDescent="0.25">
      <c r="A1013" s="7">
        <f t="shared" si="738"/>
        <v>73931</v>
      </c>
      <c r="B1013">
        <f t="shared" si="721"/>
        <v>1002</v>
      </c>
      <c r="C1013">
        <f t="shared" si="756"/>
        <v>83.416666666666671</v>
      </c>
      <c r="D1013">
        <f t="shared" si="757"/>
        <v>0</v>
      </c>
      <c r="E1013">
        <f t="shared" si="722"/>
        <v>135</v>
      </c>
      <c r="F1013">
        <f>IF(C1013&gt;=$T$2,0,VLOOKUP($E1013,EKM_F05!$A$3:$C$128,2,TRUE))</f>
        <v>0</v>
      </c>
      <c r="G1013">
        <f>F1013*'Real assumptions'!$B$3</f>
        <v>0</v>
      </c>
      <c r="H1013">
        <f t="shared" si="758"/>
        <v>0</v>
      </c>
      <c r="I1013">
        <f t="shared" si="759"/>
        <v>0</v>
      </c>
      <c r="J1013">
        <f>IF(B1013&gt;$AJ$2,0,HLOOKUP(C1013,'Real assumptions'!$B$5:$L$8,4,TRUE))</f>
        <v>3.7900000000000003E-2</v>
      </c>
      <c r="K1013">
        <f t="shared" si="711"/>
        <v>1</v>
      </c>
      <c r="L1013">
        <f t="shared" si="739"/>
        <v>8.3333333333333329E-2</v>
      </c>
      <c r="M1013">
        <f t="shared" si="760"/>
        <v>3.2145624959929453E-3</v>
      </c>
      <c r="N1013">
        <f t="shared" si="761"/>
        <v>4.3170505914535532E-8</v>
      </c>
      <c r="O1013" s="8">
        <f t="shared" si="723"/>
        <v>1.3386497129525418E-5</v>
      </c>
      <c r="P1013">
        <f t="shared" si="724"/>
        <v>3.2231202325055887E-4</v>
      </c>
      <c r="Q1013">
        <f t="shared" si="740"/>
        <v>0</v>
      </c>
      <c r="R1013" s="89">
        <f t="shared" si="712"/>
        <v>5000</v>
      </c>
      <c r="S1013">
        <f t="shared" si="713"/>
        <v>0.5</v>
      </c>
      <c r="U1013">
        <f>O1012*AV1012*'Real assumptions'!$B$33/12+AX1013*'Real assumptions'!$B$34</f>
        <v>3.934229634194004E-4</v>
      </c>
      <c r="V1013">
        <f>IF(P1013=0,0,IF(E1013&lt;=$C$7,$AN$5*O1012,0))*'Real assumptions'!$D$28</f>
        <v>0</v>
      </c>
      <c r="X1013" s="94">
        <f t="shared" si="725"/>
        <v>0</v>
      </c>
      <c r="Y1013">
        <f t="shared" si="714"/>
        <v>24</v>
      </c>
      <c r="Z1013">
        <f t="shared" si="741"/>
        <v>15</v>
      </c>
      <c r="AA1013">
        <f t="shared" si="715"/>
        <v>15.5</v>
      </c>
      <c r="AB1013">
        <f t="shared" si="726"/>
        <v>50.505050505050505</v>
      </c>
      <c r="AC1013">
        <f t="shared" si="762"/>
        <v>782.82828282828279</v>
      </c>
      <c r="AD1013">
        <f t="shared" si="727"/>
        <v>80.505050505050505</v>
      </c>
      <c r="AE1013">
        <f t="shared" si="728"/>
        <v>62.391414141414138</v>
      </c>
      <c r="AF1013" s="94">
        <f t="shared" si="729"/>
        <v>4154.780303030303</v>
      </c>
      <c r="AG1013">
        <f t="shared" si="742"/>
        <v>1.7936396764556541E-4</v>
      </c>
      <c r="AH1013">
        <f t="shared" si="730"/>
        <v>5.5617954600323899E-2</v>
      </c>
      <c r="AI1013">
        <f>HLOOKUP(AW1013,'Real assumptions'!$A$21:$AK$24,2,TRUE)</f>
        <v>0</v>
      </c>
      <c r="AJ1013" s="123">
        <f t="shared" si="763"/>
        <v>0</v>
      </c>
      <c r="AK1013" s="122">
        <f>(1+HLOOKUP(YEAR(A1013),'Real assumptions'!$A$21:$AK$24,2,TRUE)/100)^(1/12)-1</f>
        <v>0</v>
      </c>
      <c r="AL1013">
        <f t="shared" si="743"/>
        <v>3.934229634194004E-4</v>
      </c>
      <c r="AM1013">
        <f>('Real assumptions'!$B$33/12)*O1012*AV1012</f>
        <v>3.7813881179649773E-4</v>
      </c>
      <c r="AN1013">
        <f t="shared" si="731"/>
        <v>5.5665180640654233E-2</v>
      </c>
      <c r="AO1013">
        <f t="shared" si="764"/>
        <v>0</v>
      </c>
      <c r="AP1013" s="121">
        <f t="shared" si="732"/>
        <v>0</v>
      </c>
      <c r="AQ1013">
        <f t="shared" si="733"/>
        <v>0</v>
      </c>
      <c r="AR1013">
        <v>0</v>
      </c>
      <c r="AS1013">
        <f t="shared" si="716"/>
        <v>0</v>
      </c>
      <c r="AT1013">
        <f t="shared" si="734"/>
        <v>0</v>
      </c>
      <c r="AU1013">
        <f>IFERROR(HLOOKUP(B1013,'Real assumptions'!$B$43:$AL$44,2,TRUE)*($W$3/$U$2),0)</f>
        <v>0</v>
      </c>
      <c r="AV1013">
        <f>AV1012*(1+'Real assumptions'!$B$35)^(1/12)</f>
        <v>2.8186138171052222</v>
      </c>
      <c r="AW1013">
        <f t="shared" si="717"/>
        <v>2102</v>
      </c>
      <c r="AX1013">
        <f t="shared" si="744"/>
        <v>5.57928137510059E-2</v>
      </c>
      <c r="AY1013">
        <f t="shared" si="745"/>
        <v>5.6522170182828088E-5</v>
      </c>
      <c r="AZ1013">
        <f t="shared" si="718"/>
        <v>4.2666844099844253E-2</v>
      </c>
      <c r="BA1013">
        <f t="shared" si="735"/>
        <v>1.7936396764556541E-4</v>
      </c>
      <c r="BB1013">
        <f t="shared" si="736"/>
        <v>15.5</v>
      </c>
      <c r="BC1013">
        <f t="shared" si="719"/>
        <v>9.3000000000000007</v>
      </c>
      <c r="BD1013">
        <f t="shared" si="737"/>
        <v>0</v>
      </c>
      <c r="BE1013">
        <f t="shared" si="720"/>
        <v>24</v>
      </c>
      <c r="BF1013">
        <f t="shared" si="746"/>
        <v>5000</v>
      </c>
      <c r="BU1013"/>
      <c r="DW1013" s="89"/>
      <c r="DX1013" s="89"/>
      <c r="FD1013"/>
      <c r="FE1013"/>
    </row>
    <row r="1014" spans="1:161" x14ac:dyDescent="0.25">
      <c r="A1014" s="7">
        <f t="shared" si="738"/>
        <v>73961</v>
      </c>
      <c r="B1014">
        <f t="shared" si="721"/>
        <v>1003</v>
      </c>
      <c r="C1014">
        <f t="shared" si="756"/>
        <v>83.5</v>
      </c>
      <c r="D1014">
        <f t="shared" si="757"/>
        <v>0</v>
      </c>
      <c r="E1014">
        <f t="shared" si="722"/>
        <v>135</v>
      </c>
      <c r="F1014">
        <f>IF(C1014&gt;=$T$2,0,VLOOKUP($E1014,EKM_F05!$A$3:$C$128,2,TRUE))</f>
        <v>0</v>
      </c>
      <c r="G1014">
        <f>F1014*'Real assumptions'!$B$3</f>
        <v>0</v>
      </c>
      <c r="H1014">
        <f t="shared" si="758"/>
        <v>0</v>
      </c>
      <c r="I1014">
        <f t="shared" si="759"/>
        <v>0</v>
      </c>
      <c r="J1014">
        <f>IF(B1014&gt;$AJ$2,0,HLOOKUP(C1014,'Real assumptions'!$B$5:$L$8,4,TRUE))</f>
        <v>3.7900000000000003E-2</v>
      </c>
      <c r="K1014">
        <f t="shared" si="711"/>
        <v>1</v>
      </c>
      <c r="L1014">
        <f t="shared" si="739"/>
        <v>8.3333333333333329E-2</v>
      </c>
      <c r="M1014">
        <f t="shared" si="760"/>
        <v>3.2145624959929453E-3</v>
      </c>
      <c r="N1014">
        <f t="shared" si="761"/>
        <v>4.3031731625289629E-8</v>
      </c>
      <c r="O1014" s="8">
        <f t="shared" si="723"/>
        <v>1.3343465397900128E-5</v>
      </c>
      <c r="P1014">
        <f t="shared" si="724"/>
        <v>3.2127593110861002E-4</v>
      </c>
      <c r="Q1014">
        <f t="shared" si="740"/>
        <v>0</v>
      </c>
      <c r="R1014" s="89">
        <f t="shared" si="712"/>
        <v>5000</v>
      </c>
      <c r="S1014">
        <f t="shared" si="713"/>
        <v>0.4166666666666714</v>
      </c>
      <c r="U1014">
        <f>O1013*AV1013*'Real assumptions'!$B$33/12+AX1014*'Real assumptions'!$B$34</f>
        <v>3.9256534176661598E-4</v>
      </c>
      <c r="V1014">
        <f>IF(P1014=0,0,IF(E1014&lt;=$C$7,$AN$5*O1013,0))*'Real assumptions'!$D$28</f>
        <v>0</v>
      </c>
      <c r="X1014" s="94">
        <f t="shared" si="725"/>
        <v>0</v>
      </c>
      <c r="Y1014">
        <f t="shared" si="714"/>
        <v>24</v>
      </c>
      <c r="Z1014">
        <f t="shared" si="741"/>
        <v>15</v>
      </c>
      <c r="AA1014">
        <f t="shared" si="715"/>
        <v>15.416666666666671</v>
      </c>
      <c r="AB1014">
        <f t="shared" si="726"/>
        <v>50.505050505050505</v>
      </c>
      <c r="AC1014">
        <f t="shared" si="762"/>
        <v>778.61952861952886</v>
      </c>
      <c r="AD1014">
        <f t="shared" si="727"/>
        <v>80.505050505050505</v>
      </c>
      <c r="AE1014">
        <f t="shared" si="728"/>
        <v>62.05597643097645</v>
      </c>
      <c r="AF1014" s="94">
        <f t="shared" si="729"/>
        <v>4159.3244949494947</v>
      </c>
      <c r="AG1014">
        <f t="shared" si="742"/>
        <v>1.7898293540915999E-4</v>
      </c>
      <c r="AH1014">
        <f t="shared" si="730"/>
        <v>5.5499802476997012E-2</v>
      </c>
      <c r="AI1014">
        <f>HLOOKUP(AW1014,'Real assumptions'!$A$21:$AK$24,2,TRUE)</f>
        <v>0</v>
      </c>
      <c r="AJ1014" s="123">
        <f t="shared" si="763"/>
        <v>0</v>
      </c>
      <c r="AK1014" s="122">
        <f>(1+HLOOKUP(YEAR(A1014),'Real assumptions'!$A$21:$AK$24,2,TRUE)/100)^(1/12)-1</f>
        <v>0</v>
      </c>
      <c r="AL1014">
        <f t="shared" si="743"/>
        <v>3.9256534176661598E-4</v>
      </c>
      <c r="AM1014">
        <f>('Real assumptions'!$B$33/12)*O1013*AV1013</f>
        <v>3.7731365771919741E-4</v>
      </c>
      <c r="AN1014">
        <f t="shared" si="731"/>
        <v>5.5546665189665889E-2</v>
      </c>
      <c r="AO1014">
        <f t="shared" si="764"/>
        <v>0</v>
      </c>
      <c r="AP1014" s="121">
        <f t="shared" si="732"/>
        <v>0</v>
      </c>
      <c r="AQ1014">
        <f t="shared" si="733"/>
        <v>0</v>
      </c>
      <c r="AR1014">
        <v>0</v>
      </c>
      <c r="AS1014">
        <f t="shared" si="716"/>
        <v>0</v>
      </c>
      <c r="AT1014">
        <f t="shared" si="734"/>
        <v>0</v>
      </c>
      <c r="AU1014">
        <f>IFERROR(HLOOKUP(B1014,'Real assumptions'!$B$43:$AL$44,2,TRUE)*($W$3/$U$2),0)</f>
        <v>0</v>
      </c>
      <c r="AV1014">
        <f>AV1013*(1+'Real assumptions'!$B$35)^(1/12)</f>
        <v>2.8215331851332626</v>
      </c>
      <c r="AW1014">
        <f t="shared" si="717"/>
        <v>2102</v>
      </c>
      <c r="AX1014">
        <f t="shared" si="744"/>
        <v>5.5674295076458262E-2</v>
      </c>
      <c r="AY1014">
        <f t="shared" si="745"/>
        <v>5.6340476134366234E-5</v>
      </c>
      <c r="AZ1014">
        <f t="shared" si="718"/>
        <v>4.2416571753777089E-2</v>
      </c>
      <c r="BA1014">
        <f t="shared" si="735"/>
        <v>1.7898293540915999E-4</v>
      </c>
      <c r="BB1014">
        <f t="shared" si="736"/>
        <v>15.416666666666671</v>
      </c>
      <c r="BC1014">
        <f t="shared" si="719"/>
        <v>9.2500000000000036</v>
      </c>
      <c r="BD1014">
        <f t="shared" si="737"/>
        <v>0</v>
      </c>
      <c r="BE1014">
        <f t="shared" si="720"/>
        <v>24</v>
      </c>
      <c r="BF1014">
        <f t="shared" si="746"/>
        <v>5000</v>
      </c>
      <c r="BU1014"/>
      <c r="DW1014" s="89"/>
      <c r="DX1014" s="89"/>
      <c r="FD1014"/>
      <c r="FE1014"/>
    </row>
    <row r="1015" spans="1:161" x14ac:dyDescent="0.25">
      <c r="A1015" s="7">
        <f t="shared" si="738"/>
        <v>73992</v>
      </c>
      <c r="B1015">
        <f t="shared" si="721"/>
        <v>1004</v>
      </c>
      <c r="C1015">
        <f t="shared" si="756"/>
        <v>83.583333333333329</v>
      </c>
      <c r="D1015">
        <f t="shared" si="757"/>
        <v>0</v>
      </c>
      <c r="E1015">
        <f t="shared" si="722"/>
        <v>135</v>
      </c>
      <c r="F1015">
        <f>IF(C1015&gt;=$T$2,0,VLOOKUP($E1015,EKM_F05!$A$3:$C$128,2,TRUE))</f>
        <v>0</v>
      </c>
      <c r="G1015">
        <f>F1015*'Real assumptions'!$B$3</f>
        <v>0</v>
      </c>
      <c r="H1015">
        <f t="shared" si="758"/>
        <v>0</v>
      </c>
      <c r="I1015">
        <f t="shared" si="759"/>
        <v>0</v>
      </c>
      <c r="J1015">
        <f>IF(B1015&gt;$AJ$2,0,HLOOKUP(C1015,'Real assumptions'!$B$5:$L$8,4,TRUE))</f>
        <v>3.7900000000000003E-2</v>
      </c>
      <c r="K1015">
        <f t="shared" si="711"/>
        <v>1</v>
      </c>
      <c r="L1015">
        <f t="shared" si="739"/>
        <v>8.3333333333333329E-2</v>
      </c>
      <c r="M1015">
        <f t="shared" si="760"/>
        <v>3.2145624959929453E-3</v>
      </c>
      <c r="N1015">
        <f t="shared" si="761"/>
        <v>4.2893403434669335E-8</v>
      </c>
      <c r="O1015" s="8">
        <f t="shared" si="723"/>
        <v>1.3300571994465459E-5</v>
      </c>
      <c r="P1015">
        <f t="shared" si="724"/>
        <v>3.2024316954960309E-4</v>
      </c>
      <c r="Q1015">
        <f t="shared" si="740"/>
        <v>0</v>
      </c>
      <c r="R1015" s="89">
        <f t="shared" si="712"/>
        <v>5000</v>
      </c>
      <c r="S1015">
        <f t="shared" si="713"/>
        <v>0.3333333333333286</v>
      </c>
      <c r="U1015">
        <f>O1014*AV1014*'Real assumptions'!$B$33/12+AX1015*'Real assumptions'!$B$34</f>
        <v>3.9170957152112531E-4</v>
      </c>
      <c r="V1015">
        <f>IF(P1015=0,0,IF(E1015&lt;=$C$7,$AN$5*O1014,0))*'Real assumptions'!$D$28</f>
        <v>0</v>
      </c>
      <c r="X1015" s="94">
        <f t="shared" si="725"/>
        <v>0</v>
      </c>
      <c r="Y1015">
        <f t="shared" si="714"/>
        <v>24</v>
      </c>
      <c r="Z1015">
        <f t="shared" si="741"/>
        <v>15</v>
      </c>
      <c r="AA1015">
        <f t="shared" si="715"/>
        <v>15.333333333333329</v>
      </c>
      <c r="AB1015">
        <f t="shared" si="726"/>
        <v>50.505050505050505</v>
      </c>
      <c r="AC1015">
        <f t="shared" si="762"/>
        <v>774.41077441077414</v>
      </c>
      <c r="AD1015">
        <f t="shared" si="727"/>
        <v>80.505050505050505</v>
      </c>
      <c r="AE1015">
        <f t="shared" si="728"/>
        <v>61.720538720538698</v>
      </c>
      <c r="AF1015" s="94">
        <f t="shared" si="729"/>
        <v>4163.8686868686873</v>
      </c>
      <c r="AG1015">
        <f t="shared" si="742"/>
        <v>1.7860249943484546E-4</v>
      </c>
      <c r="AH1015">
        <f t="shared" si="730"/>
        <v>5.5381835245197325E-2</v>
      </c>
      <c r="AI1015">
        <f>HLOOKUP(AW1015,'Real assumptions'!$A$21:$AK$24,2,TRUE)</f>
        <v>0</v>
      </c>
      <c r="AJ1015" s="123">
        <f t="shared" si="763"/>
        <v>0</v>
      </c>
      <c r="AK1015" s="122">
        <f>(1+HLOOKUP(YEAR(A1015),'Real assumptions'!$A$21:$AK$24,2,TRUE)/100)^(1/12)-1</f>
        <v>0</v>
      </c>
      <c r="AL1015">
        <f t="shared" si="743"/>
        <v>3.9170957152112531E-4</v>
      </c>
      <c r="AM1015">
        <f>('Real assumptions'!$B$33/12)*O1014*AV1014</f>
        <v>3.7649030424852627E-4</v>
      </c>
      <c r="AN1015">
        <f t="shared" si="731"/>
        <v>5.5428336075025487E-2</v>
      </c>
      <c r="AO1015">
        <f t="shared" si="764"/>
        <v>0</v>
      </c>
      <c r="AP1015" s="121">
        <f t="shared" si="732"/>
        <v>0</v>
      </c>
      <c r="AQ1015">
        <f t="shared" si="733"/>
        <v>0</v>
      </c>
      <c r="AR1015">
        <v>0</v>
      </c>
      <c r="AS1015">
        <f t="shared" si="716"/>
        <v>0</v>
      </c>
      <c r="AT1015">
        <f t="shared" si="734"/>
        <v>0</v>
      </c>
      <c r="AU1015">
        <f>IFERROR(HLOOKUP(B1015,'Real assumptions'!$B$43:$AL$44,2,TRUE)*($W$3/$U$2),0)</f>
        <v>0</v>
      </c>
      <c r="AV1015">
        <f>AV1014*(1+'Real assumptions'!$B$35)^(1/12)</f>
        <v>2.8244555768851036</v>
      </c>
      <c r="AW1015">
        <f t="shared" si="717"/>
        <v>2102</v>
      </c>
      <c r="AX1015">
        <f t="shared" si="744"/>
        <v>5.5555961843149794E-2</v>
      </c>
      <c r="AY1015">
        <f t="shared" si="745"/>
        <v>5.6159366152778313E-5</v>
      </c>
      <c r="AZ1015">
        <f t="shared" si="718"/>
        <v>4.2166502852370717E-2</v>
      </c>
      <c r="BA1015">
        <f t="shared" si="735"/>
        <v>1.7860249943484546E-4</v>
      </c>
      <c r="BB1015">
        <f t="shared" si="736"/>
        <v>15.333333333333329</v>
      </c>
      <c r="BC1015">
        <f t="shared" si="719"/>
        <v>9.1999999999999957</v>
      </c>
      <c r="BD1015">
        <f t="shared" si="737"/>
        <v>0</v>
      </c>
      <c r="BE1015">
        <f t="shared" si="720"/>
        <v>24</v>
      </c>
      <c r="BF1015">
        <f t="shared" si="746"/>
        <v>5000</v>
      </c>
      <c r="BU1015"/>
      <c r="DW1015" s="89"/>
      <c r="DX1015" s="89"/>
      <c r="FD1015"/>
      <c r="FE1015"/>
    </row>
    <row r="1016" spans="1:161" x14ac:dyDescent="0.25">
      <c r="A1016" s="7">
        <f t="shared" si="738"/>
        <v>74023</v>
      </c>
      <c r="B1016">
        <f t="shared" si="721"/>
        <v>1005</v>
      </c>
      <c r="C1016">
        <f t="shared" si="756"/>
        <v>83.666666666666671</v>
      </c>
      <c r="D1016">
        <f t="shared" si="757"/>
        <v>0</v>
      </c>
      <c r="E1016">
        <f t="shared" si="722"/>
        <v>135</v>
      </c>
      <c r="F1016">
        <f>IF(C1016&gt;=$T$2,0,VLOOKUP($E1016,EKM_F05!$A$3:$C$128,2,TRUE))</f>
        <v>0</v>
      </c>
      <c r="G1016">
        <f>F1016*'Real assumptions'!$B$3</f>
        <v>0</v>
      </c>
      <c r="H1016">
        <f t="shared" si="758"/>
        <v>0</v>
      </c>
      <c r="I1016">
        <f t="shared" si="759"/>
        <v>0</v>
      </c>
      <c r="J1016">
        <f>IF(B1016&gt;$AJ$2,0,HLOOKUP(C1016,'Real assumptions'!$B$5:$L$8,4,TRUE))</f>
        <v>3.7900000000000003E-2</v>
      </c>
      <c r="K1016">
        <f t="shared" si="711"/>
        <v>1</v>
      </c>
      <c r="L1016">
        <f t="shared" si="739"/>
        <v>8.3333333333333329E-2</v>
      </c>
      <c r="M1016">
        <f t="shared" si="760"/>
        <v>3.2145624959929453E-3</v>
      </c>
      <c r="N1016">
        <f t="shared" si="761"/>
        <v>4.2755519908662752E-8</v>
      </c>
      <c r="O1016" s="8">
        <f t="shared" si="723"/>
        <v>1.3257816474556796E-5</v>
      </c>
      <c r="P1016">
        <f t="shared" si="724"/>
        <v>3.1921372786717099E-4</v>
      </c>
      <c r="Q1016">
        <f t="shared" si="740"/>
        <v>0</v>
      </c>
      <c r="R1016" s="89">
        <f t="shared" si="712"/>
        <v>5000</v>
      </c>
      <c r="S1016">
        <f t="shared" si="713"/>
        <v>0.25</v>
      </c>
      <c r="U1016">
        <f>O1015*AV1015*'Real assumptions'!$B$33/12+AX1016*'Real assumptions'!$B$34</f>
        <v>3.90855648762639E-4</v>
      </c>
      <c r="V1016">
        <f>IF(P1016=0,0,IF(E1016&lt;=$C$7,$AN$5*O1015,0))*'Real assumptions'!$D$28</f>
        <v>0</v>
      </c>
      <c r="X1016" s="94">
        <f t="shared" si="725"/>
        <v>0</v>
      </c>
      <c r="Y1016">
        <f t="shared" si="714"/>
        <v>24</v>
      </c>
      <c r="Z1016">
        <f t="shared" si="741"/>
        <v>15</v>
      </c>
      <c r="AA1016">
        <f t="shared" si="715"/>
        <v>15.25</v>
      </c>
      <c r="AB1016">
        <f t="shared" si="726"/>
        <v>50.505050505050505</v>
      </c>
      <c r="AC1016">
        <f t="shared" si="762"/>
        <v>770.20202020202021</v>
      </c>
      <c r="AD1016">
        <f t="shared" si="727"/>
        <v>80.505050505050505</v>
      </c>
      <c r="AE1016">
        <f t="shared" si="728"/>
        <v>61.38510101010101</v>
      </c>
      <c r="AF1016" s="94">
        <f t="shared" si="729"/>
        <v>4168.412878787879</v>
      </c>
      <c r="AG1016">
        <f t="shared" si="742"/>
        <v>1.7822265982654138E-4</v>
      </c>
      <c r="AH1016">
        <f t="shared" si="730"/>
        <v>5.5264052937148665E-2</v>
      </c>
      <c r="AI1016">
        <f>HLOOKUP(AW1016,'Real assumptions'!$A$21:$AK$24,2,TRUE)</f>
        <v>0</v>
      </c>
      <c r="AJ1016" s="123">
        <f t="shared" si="763"/>
        <v>0</v>
      </c>
      <c r="AK1016" s="122">
        <f>(1+HLOOKUP(YEAR(A1016),'Real assumptions'!$A$21:$AK$24,2,TRUE)/100)^(1/12)-1</f>
        <v>0</v>
      </c>
      <c r="AL1016">
        <f t="shared" si="743"/>
        <v>3.90855648762639E-4</v>
      </c>
      <c r="AM1016">
        <f>('Real assumptions'!$B$33/12)*O1015*AV1015</f>
        <v>3.7566874745529791E-4</v>
      </c>
      <c r="AN1016">
        <f t="shared" si="731"/>
        <v>5.5310193324301857E-2</v>
      </c>
      <c r="AO1016">
        <f t="shared" si="764"/>
        <v>0</v>
      </c>
      <c r="AP1016" s="121">
        <f t="shared" si="732"/>
        <v>0</v>
      </c>
      <c r="AQ1016">
        <f t="shared" si="733"/>
        <v>0</v>
      </c>
      <c r="AR1016">
        <v>0</v>
      </c>
      <c r="AS1016">
        <f t="shared" si="716"/>
        <v>0</v>
      </c>
      <c r="AT1016">
        <f t="shared" si="734"/>
        <v>0</v>
      </c>
      <c r="AU1016">
        <f>IFERROR(HLOOKUP(B1016,'Real assumptions'!$B$43:$AL$44,2,TRUE)*($W$3/$U$2),0)</f>
        <v>0</v>
      </c>
      <c r="AV1016">
        <f>AV1015*(1+'Real assumptions'!$B$35)^(1/12)</f>
        <v>2.8273809954925548</v>
      </c>
      <c r="AW1016">
        <f t="shared" si="717"/>
        <v>2102</v>
      </c>
      <c r="AX1016">
        <f t="shared" si="744"/>
        <v>5.5437814083557871E-2</v>
      </c>
      <c r="AY1016">
        <f t="shared" si="745"/>
        <v>5.5978838360544857E-5</v>
      </c>
      <c r="AZ1016">
        <f t="shared" si="718"/>
        <v>4.191663827164871E-2</v>
      </c>
      <c r="BA1016">
        <f t="shared" si="735"/>
        <v>1.7822265982654138E-4</v>
      </c>
      <c r="BB1016">
        <f t="shared" si="736"/>
        <v>15.25</v>
      </c>
      <c r="BC1016">
        <f t="shared" si="719"/>
        <v>9.1499999999999986</v>
      </c>
      <c r="BD1016">
        <f t="shared" si="737"/>
        <v>0</v>
      </c>
      <c r="BE1016">
        <f t="shared" si="720"/>
        <v>24</v>
      </c>
      <c r="BF1016">
        <f t="shared" si="746"/>
        <v>5000</v>
      </c>
      <c r="BU1016"/>
      <c r="DW1016" s="89"/>
      <c r="DX1016" s="89"/>
      <c r="FD1016"/>
      <c r="FE1016"/>
    </row>
    <row r="1017" spans="1:161" x14ac:dyDescent="0.25">
      <c r="A1017" s="7">
        <f t="shared" si="738"/>
        <v>74053</v>
      </c>
      <c r="B1017">
        <f t="shared" si="721"/>
        <v>1006</v>
      </c>
      <c r="C1017">
        <f t="shared" si="756"/>
        <v>83.75</v>
      </c>
      <c r="D1017">
        <f t="shared" si="757"/>
        <v>0</v>
      </c>
      <c r="E1017">
        <f t="shared" si="722"/>
        <v>135</v>
      </c>
      <c r="F1017">
        <f>IF(C1017&gt;=$T$2,0,VLOOKUP($E1017,EKM_F05!$A$3:$C$128,2,TRUE))</f>
        <v>0</v>
      </c>
      <c r="G1017">
        <f>F1017*'Real assumptions'!$B$3</f>
        <v>0</v>
      </c>
      <c r="H1017">
        <f t="shared" si="758"/>
        <v>0</v>
      </c>
      <c r="I1017">
        <f t="shared" si="759"/>
        <v>0</v>
      </c>
      <c r="J1017">
        <f>IF(B1017&gt;$AJ$2,0,HLOOKUP(C1017,'Real assumptions'!$B$5:$L$8,4,TRUE))</f>
        <v>3.7900000000000003E-2</v>
      </c>
      <c r="K1017">
        <f t="shared" si="711"/>
        <v>1</v>
      </c>
      <c r="L1017">
        <f t="shared" si="739"/>
        <v>8.3333333333333329E-2</v>
      </c>
      <c r="M1017">
        <f t="shared" si="760"/>
        <v>3.2145624959929453E-3</v>
      </c>
      <c r="N1017">
        <f t="shared" si="761"/>
        <v>4.2618079617867687E-8</v>
      </c>
      <c r="O1017" s="8">
        <f t="shared" si="723"/>
        <v>1.3215198394938928E-5</v>
      </c>
      <c r="P1017">
        <f t="shared" si="724"/>
        <v>3.1818759538936308E-4</v>
      </c>
      <c r="Q1017">
        <f t="shared" si="740"/>
        <v>0</v>
      </c>
      <c r="R1017" s="89">
        <f t="shared" si="712"/>
        <v>5000</v>
      </c>
      <c r="S1017">
        <f t="shared" si="713"/>
        <v>0.1666666666666714</v>
      </c>
      <c r="U1017">
        <f>O1016*AV1016*'Real assumptions'!$B$33/12+AX1017*'Real assumptions'!$B$34</f>
        <v>3.9000356957885938E-4</v>
      </c>
      <c r="V1017">
        <f>IF(P1017=0,0,IF(E1017&lt;=$C$7,$AN$5*O1016,0))*'Real assumptions'!$D$28</f>
        <v>0</v>
      </c>
      <c r="X1017" s="94">
        <f t="shared" si="725"/>
        <v>0</v>
      </c>
      <c r="Y1017">
        <f t="shared" si="714"/>
        <v>24</v>
      </c>
      <c r="Z1017">
        <f t="shared" si="741"/>
        <v>15</v>
      </c>
      <c r="AA1017">
        <f t="shared" si="715"/>
        <v>15.166666666666671</v>
      </c>
      <c r="AB1017">
        <f t="shared" si="726"/>
        <v>50.505050505050505</v>
      </c>
      <c r="AC1017">
        <f t="shared" si="762"/>
        <v>765.99326599326628</v>
      </c>
      <c r="AD1017">
        <f t="shared" si="727"/>
        <v>80.505050505050505</v>
      </c>
      <c r="AE1017">
        <f t="shared" si="728"/>
        <v>61.049663299663315</v>
      </c>
      <c r="AF1017" s="94">
        <f t="shared" si="729"/>
        <v>4172.9570707070698</v>
      </c>
      <c r="AG1017">
        <f t="shared" si="742"/>
        <v>1.7784341668133783E-4</v>
      </c>
      <c r="AH1017">
        <f t="shared" si="730"/>
        <v>5.5146455582957124E-2</v>
      </c>
      <c r="AI1017">
        <f>HLOOKUP(AW1017,'Real assumptions'!$A$21:$AK$24,2,TRUE)</f>
        <v>0</v>
      </c>
      <c r="AJ1017" s="123">
        <f t="shared" si="763"/>
        <v>0</v>
      </c>
      <c r="AK1017" s="122">
        <f>(1+HLOOKUP(YEAR(A1017),'Real assumptions'!$A$21:$AK$24,2,TRUE)/100)^(1/12)-1</f>
        <v>0</v>
      </c>
      <c r="AL1017">
        <f t="shared" si="743"/>
        <v>3.9000356957885938E-4</v>
      </c>
      <c r="AM1017">
        <f>('Real assumptions'!$B$33/12)*O1016*AV1016</f>
        <v>3.7484898341889992E-4</v>
      </c>
      <c r="AN1017">
        <f t="shared" si="731"/>
        <v>5.5192236962959169E-2</v>
      </c>
      <c r="AO1017">
        <f t="shared" si="764"/>
        <v>0</v>
      </c>
      <c r="AP1017" s="121">
        <f t="shared" si="732"/>
        <v>0</v>
      </c>
      <c r="AQ1017">
        <f t="shared" si="733"/>
        <v>0</v>
      </c>
      <c r="AR1017">
        <v>0</v>
      </c>
      <c r="AS1017">
        <f t="shared" si="716"/>
        <v>0</v>
      </c>
      <c r="AT1017">
        <f t="shared" si="734"/>
        <v>0</v>
      </c>
      <c r="AU1017">
        <f>IFERROR(HLOOKUP(B1017,'Real assumptions'!$B$43:$AL$44,2,TRUE)*($W$3/$U$2),0)</f>
        <v>0</v>
      </c>
      <c r="AV1017">
        <f>AV1016*(1+'Real assumptions'!$B$35)^(1/12)</f>
        <v>2.8303094440906702</v>
      </c>
      <c r="AW1017">
        <f t="shared" si="717"/>
        <v>2102</v>
      </c>
      <c r="AX1017">
        <f t="shared" si="744"/>
        <v>5.5319851828034845E-2</v>
      </c>
      <c r="AY1017">
        <f t="shared" si="745"/>
        <v>5.5798890886181798E-5</v>
      </c>
      <c r="AZ1017">
        <f t="shared" si="718"/>
        <v>4.1666978880777875E-2</v>
      </c>
      <c r="BA1017">
        <f t="shared" si="735"/>
        <v>1.7784341668133783E-4</v>
      </c>
      <c r="BB1017">
        <f t="shared" si="736"/>
        <v>15.166666666666671</v>
      </c>
      <c r="BC1017">
        <f t="shared" si="719"/>
        <v>9.1000000000000014</v>
      </c>
      <c r="BD1017">
        <f t="shared" si="737"/>
        <v>0</v>
      </c>
      <c r="BE1017">
        <f t="shared" si="720"/>
        <v>24</v>
      </c>
      <c r="BF1017">
        <f t="shared" si="746"/>
        <v>5000</v>
      </c>
      <c r="BU1017"/>
      <c r="DW1017" s="89"/>
      <c r="DX1017" s="89"/>
      <c r="FD1017"/>
      <c r="FE1017"/>
    </row>
    <row r="1018" spans="1:161" x14ac:dyDescent="0.25">
      <c r="A1018" s="7">
        <f t="shared" si="738"/>
        <v>74084</v>
      </c>
      <c r="B1018">
        <f t="shared" si="721"/>
        <v>1007</v>
      </c>
      <c r="C1018">
        <f t="shared" si="756"/>
        <v>83.833333333333329</v>
      </c>
      <c r="D1018">
        <f t="shared" si="757"/>
        <v>0</v>
      </c>
      <c r="E1018">
        <f t="shared" si="722"/>
        <v>135</v>
      </c>
      <c r="F1018">
        <f>IF(C1018&gt;=$T$2,0,VLOOKUP($E1018,EKM_F05!$A$3:$C$128,2,TRUE))</f>
        <v>0</v>
      </c>
      <c r="G1018">
        <f>F1018*'Real assumptions'!$B$3</f>
        <v>0</v>
      </c>
      <c r="H1018">
        <f t="shared" si="758"/>
        <v>0</v>
      </c>
      <c r="I1018">
        <f t="shared" si="759"/>
        <v>0</v>
      </c>
      <c r="J1018">
        <f>IF(B1018&gt;$AJ$2,0,HLOOKUP(C1018,'Real assumptions'!$B$5:$L$8,4,TRUE))</f>
        <v>3.7900000000000003E-2</v>
      </c>
      <c r="K1018">
        <f t="shared" si="711"/>
        <v>1</v>
      </c>
      <c r="L1018">
        <f t="shared" si="739"/>
        <v>8.3333333333333329E-2</v>
      </c>
      <c r="M1018">
        <f t="shared" si="760"/>
        <v>3.2145624959929453E-3</v>
      </c>
      <c r="N1018">
        <f t="shared" si="761"/>
        <v>4.2481081137476846E-8</v>
      </c>
      <c r="O1018" s="8">
        <f t="shared" si="723"/>
        <v>1.3172717313801451E-5</v>
      </c>
      <c r="P1018">
        <f t="shared" si="724"/>
        <v>3.171647614785343E-4</v>
      </c>
      <c r="Q1018">
        <f t="shared" si="740"/>
        <v>0</v>
      </c>
      <c r="R1018" s="89">
        <f t="shared" si="712"/>
        <v>5000</v>
      </c>
      <c r="S1018">
        <f t="shared" si="713"/>
        <v>8.3333333333328596E-2</v>
      </c>
      <c r="U1018">
        <f>O1017*AV1017*'Real assumptions'!$B$33/12+AX1018*'Real assumptions'!$B$34</f>
        <v>3.8915333006546595E-4</v>
      </c>
      <c r="V1018">
        <f>IF(P1018=0,0,IF(E1018&lt;=$C$7,$AN$5*O1017,0))*'Real assumptions'!$D$28</f>
        <v>0</v>
      </c>
      <c r="X1018" s="94">
        <f t="shared" si="725"/>
        <v>0</v>
      </c>
      <c r="Y1018">
        <f t="shared" si="714"/>
        <v>24</v>
      </c>
      <c r="Z1018">
        <f t="shared" si="741"/>
        <v>15</v>
      </c>
      <c r="AA1018">
        <f t="shared" si="715"/>
        <v>15.083333333333329</v>
      </c>
      <c r="AB1018">
        <f t="shared" si="726"/>
        <v>50.505050505050505</v>
      </c>
      <c r="AC1018">
        <f t="shared" si="762"/>
        <v>761.78451178451155</v>
      </c>
      <c r="AD1018">
        <f t="shared" si="727"/>
        <v>80.505050505050505</v>
      </c>
      <c r="AE1018">
        <f t="shared" si="728"/>
        <v>60.71422558922557</v>
      </c>
      <c r="AF1018" s="94">
        <f t="shared" si="729"/>
        <v>4177.5012626262624</v>
      </c>
      <c r="AG1018">
        <f t="shared" si="742"/>
        <v>1.7746477008953823E-4</v>
      </c>
      <c r="AH1018">
        <f t="shared" si="730"/>
        <v>5.5029043210624393E-2</v>
      </c>
      <c r="AI1018">
        <f>HLOOKUP(AW1018,'Real assumptions'!$A$21:$AK$24,2,TRUE)</f>
        <v>0</v>
      </c>
      <c r="AJ1018" s="123">
        <f t="shared" si="763"/>
        <v>0</v>
      </c>
      <c r="AK1018" s="122">
        <f>(1+HLOOKUP(YEAR(A1018),'Real assumptions'!$A$21:$AK$24,2,TRUE)/100)^(1/12)-1</f>
        <v>0</v>
      </c>
      <c r="AL1018">
        <f t="shared" si="743"/>
        <v>3.8915333006546595E-4</v>
      </c>
      <c r="AM1018">
        <f>('Real assumptions'!$B$33/12)*O1017*AV1017</f>
        <v>3.7403100822727513E-4</v>
      </c>
      <c r="AN1018">
        <f t="shared" si="731"/>
        <v>5.5074467014370194E-2</v>
      </c>
      <c r="AO1018">
        <f t="shared" si="764"/>
        <v>0</v>
      </c>
      <c r="AP1018" s="121">
        <f t="shared" si="732"/>
        <v>0</v>
      </c>
      <c r="AQ1018">
        <f t="shared" si="733"/>
        <v>0</v>
      </c>
      <c r="AR1018">
        <v>0</v>
      </c>
      <c r="AS1018">
        <f t="shared" si="716"/>
        <v>0</v>
      </c>
      <c r="AT1018">
        <f t="shared" si="734"/>
        <v>0</v>
      </c>
      <c r="AU1018">
        <f>IFERROR(HLOOKUP(B1018,'Real assumptions'!$B$43:$AL$44,2,TRUE)*($W$3/$U$2),0)</f>
        <v>0</v>
      </c>
      <c r="AV1018">
        <f>AV1017*(1+'Real assumptions'!$B$35)^(1/12)</f>
        <v>2.8332409258177504</v>
      </c>
      <c r="AW1018">
        <f t="shared" si="717"/>
        <v>2102</v>
      </c>
      <c r="AX1018">
        <f t="shared" si="744"/>
        <v>5.5202075104821342E-2</v>
      </c>
      <c r="AY1018">
        <f t="shared" si="745"/>
        <v>5.5619521864221078E-5</v>
      </c>
      <c r="AZ1018">
        <f t="shared" si="718"/>
        <v>4.1417525542101409E-2</v>
      </c>
      <c r="BA1018">
        <f t="shared" si="735"/>
        <v>1.7746477008953823E-4</v>
      </c>
      <c r="BB1018">
        <f t="shared" si="736"/>
        <v>15.083333333333329</v>
      </c>
      <c r="BC1018">
        <f t="shared" si="719"/>
        <v>9.0499999999999972</v>
      </c>
      <c r="BD1018">
        <f t="shared" si="737"/>
        <v>0</v>
      </c>
      <c r="BE1018">
        <f t="shared" si="720"/>
        <v>24</v>
      </c>
      <c r="BF1018">
        <f t="shared" si="746"/>
        <v>5000</v>
      </c>
      <c r="BU1018"/>
      <c r="DW1018" s="89"/>
      <c r="DX1018" s="89"/>
      <c r="FD1018"/>
      <c r="FE1018"/>
    </row>
    <row r="1019" spans="1:161" x14ac:dyDescent="0.25">
      <c r="A1019" s="7">
        <f t="shared" si="738"/>
        <v>74114</v>
      </c>
      <c r="B1019">
        <f t="shared" si="721"/>
        <v>1008</v>
      </c>
      <c r="C1019">
        <f t="shared" si="756"/>
        <v>83.916666666666671</v>
      </c>
      <c r="D1019">
        <f t="shared" si="757"/>
        <v>0</v>
      </c>
      <c r="E1019">
        <f t="shared" si="722"/>
        <v>135</v>
      </c>
      <c r="F1019">
        <f>IF(C1019&gt;=$T$2,0,VLOOKUP($E1019,EKM_F05!$A$3:$C$128,2,TRUE))</f>
        <v>0</v>
      </c>
      <c r="G1019">
        <f>F1019*'Real assumptions'!$B$3</f>
        <v>0</v>
      </c>
      <c r="H1019">
        <f t="shared" si="758"/>
        <v>0</v>
      </c>
      <c r="I1019">
        <f t="shared" si="759"/>
        <v>0</v>
      </c>
      <c r="J1019">
        <f>IF(B1019&gt;$AJ$2,0,HLOOKUP(C1019,'Real assumptions'!$B$5:$L$8,4,TRUE))</f>
        <v>3.7900000000000003E-2</v>
      </c>
      <c r="K1019">
        <f t="shared" si="711"/>
        <v>1</v>
      </c>
      <c r="L1019">
        <f t="shared" si="739"/>
        <v>8.3333333333333329E-2</v>
      </c>
      <c r="M1019">
        <f t="shared" si="760"/>
        <v>3.2145624959929453E-3</v>
      </c>
      <c r="N1019">
        <f t="shared" si="761"/>
        <v>4.2344523047263078E-8</v>
      </c>
      <c r="O1019" s="8">
        <f t="shared" si="723"/>
        <v>1.3130372790754188E-5</v>
      </c>
      <c r="P1019">
        <f t="shared" si="724"/>
        <v>3.1614521553123483E-4</v>
      </c>
      <c r="Q1019">
        <f t="shared" si="740"/>
        <v>0</v>
      </c>
      <c r="R1019" s="89">
        <f t="shared" si="712"/>
        <v>5000</v>
      </c>
      <c r="S1019">
        <f t="shared" si="713"/>
        <v>1</v>
      </c>
      <c r="U1019">
        <f>O1018*AV1018*'Real assumptions'!$B$33/12+AX1019*'Real assumptions'!$B$34</f>
        <v>3.8830492632609982E-4</v>
      </c>
      <c r="V1019">
        <f>IF(P1019=0,0,IF(E1019&lt;=$C$7,$AN$5*O1018,0))*'Real assumptions'!$D$28</f>
        <v>0</v>
      </c>
      <c r="X1019" s="94">
        <f t="shared" si="725"/>
        <v>0</v>
      </c>
      <c r="Y1019">
        <f t="shared" si="714"/>
        <v>24</v>
      </c>
      <c r="Z1019">
        <f t="shared" si="741"/>
        <v>15</v>
      </c>
      <c r="AA1019">
        <f t="shared" si="715"/>
        <v>15</v>
      </c>
      <c r="AB1019">
        <f t="shared" si="726"/>
        <v>50.505050505050505</v>
      </c>
      <c r="AC1019">
        <f t="shared" si="762"/>
        <v>757.57575757575762</v>
      </c>
      <c r="AD1019">
        <f t="shared" si="727"/>
        <v>80.505050505050505</v>
      </c>
      <c r="AE1019">
        <f t="shared" si="728"/>
        <v>60.378787878787875</v>
      </c>
      <c r="AF1019" s="94">
        <f t="shared" si="729"/>
        <v>4182.045454545454</v>
      </c>
      <c r="AG1019">
        <f t="shared" si="742"/>
        <v>1.7708672013470178E-4</v>
      </c>
      <c r="AH1019">
        <f t="shared" si="730"/>
        <v>5.4911815846060863E-2</v>
      </c>
      <c r="AI1019">
        <f>HLOOKUP(AW1019,'Real assumptions'!$A$21:$AK$24,2,TRUE)</f>
        <v>0</v>
      </c>
      <c r="AJ1019" s="123">
        <f t="shared" si="763"/>
        <v>0</v>
      </c>
      <c r="AK1019" s="122">
        <f>(1+HLOOKUP(YEAR(A1019),'Real assumptions'!$A$21:$AK$24,2,TRUE)/100)^(1/12)-1</f>
        <v>0</v>
      </c>
      <c r="AL1019">
        <f t="shared" si="743"/>
        <v>3.8830492632609982E-4</v>
      </c>
      <c r="AM1019">
        <f>('Real assumptions'!$B$33/12)*O1018*AV1018</f>
        <v>3.732148179769033E-4</v>
      </c>
      <c r="AN1019">
        <f t="shared" si="731"/>
        <v>5.495688349982953E-2</v>
      </c>
      <c r="AO1019">
        <f t="shared" si="764"/>
        <v>0</v>
      </c>
      <c r="AP1019" s="121">
        <f t="shared" si="732"/>
        <v>0</v>
      </c>
      <c r="AQ1019">
        <f t="shared" si="733"/>
        <v>0</v>
      </c>
      <c r="AR1019">
        <v>0</v>
      </c>
      <c r="AS1019">
        <f t="shared" si="716"/>
        <v>0</v>
      </c>
      <c r="AT1019">
        <f t="shared" si="734"/>
        <v>0</v>
      </c>
      <c r="AU1019">
        <f>IFERROR(HLOOKUP(B1019,'Real assumptions'!$B$43:$AL$44,2,TRUE)*($W$3/$U$2),0)</f>
        <v>0</v>
      </c>
      <c r="AV1019">
        <f>AV1018*(1+'Real assumptions'!$B$35)^(1/12)</f>
        <v>2.8361754438153466</v>
      </c>
      <c r="AW1019">
        <f t="shared" si="717"/>
        <v>2102</v>
      </c>
      <c r="AX1019">
        <f t="shared" si="744"/>
        <v>5.5084483940059582E-2</v>
      </c>
      <c r="AY1019">
        <f t="shared" si="745"/>
        <v>5.544072943519129E-5</v>
      </c>
      <c r="AZ1019">
        <f t="shared" si="718"/>
        <v>4.1168279111171845E-2</v>
      </c>
      <c r="BA1019">
        <f t="shared" si="735"/>
        <v>1.7708672013470178E-4</v>
      </c>
      <c r="BB1019">
        <f t="shared" si="736"/>
        <v>15</v>
      </c>
      <c r="BC1019">
        <f t="shared" si="719"/>
        <v>9</v>
      </c>
      <c r="BD1019">
        <f t="shared" si="737"/>
        <v>0</v>
      </c>
      <c r="BE1019">
        <f t="shared" si="720"/>
        <v>24</v>
      </c>
      <c r="BF1019">
        <f t="shared" si="746"/>
        <v>5000</v>
      </c>
      <c r="BU1019"/>
      <c r="DW1019" s="89"/>
      <c r="DX1019" s="89"/>
      <c r="FD1019"/>
      <c r="FE1019"/>
    </row>
    <row r="1020" spans="1:161" x14ac:dyDescent="0.25">
      <c r="A1020" s="7">
        <f t="shared" si="738"/>
        <v>74145</v>
      </c>
      <c r="B1020">
        <f t="shared" si="721"/>
        <v>1009</v>
      </c>
      <c r="C1020">
        <f t="shared" si="756"/>
        <v>84</v>
      </c>
      <c r="D1020">
        <f t="shared" si="757"/>
        <v>1</v>
      </c>
      <c r="E1020">
        <f t="shared" si="722"/>
        <v>136</v>
      </c>
      <c r="F1020">
        <f>IF(C1020&gt;=$T$2,0,VLOOKUP($E1020,EKM_F05!$A$3:$C$128,2,TRUE))</f>
        <v>0</v>
      </c>
      <c r="G1020">
        <f>F1020*'Real assumptions'!$B$3</f>
        <v>0</v>
      </c>
      <c r="H1020">
        <f t="shared" si="758"/>
        <v>0</v>
      </c>
      <c r="I1020">
        <f t="shared" si="759"/>
        <v>0</v>
      </c>
      <c r="J1020">
        <f>IF(B1020&gt;$AJ$2,0,HLOOKUP(C1020,'Real assumptions'!$B$5:$L$8,4,TRUE))</f>
        <v>3.7900000000000003E-2</v>
      </c>
      <c r="K1020">
        <f t="shared" si="711"/>
        <v>1</v>
      </c>
      <c r="L1020">
        <f t="shared" si="739"/>
        <v>8.3333333333333329E-2</v>
      </c>
      <c r="M1020">
        <f t="shared" si="760"/>
        <v>3.2145624959929453E-3</v>
      </c>
      <c r="N1020">
        <f t="shared" si="761"/>
        <v>4.2208403931564641E-8</v>
      </c>
      <c r="O1020" s="8">
        <f t="shared" si="723"/>
        <v>1.3088164386822623E-5</v>
      </c>
      <c r="P1020">
        <f t="shared" si="724"/>
        <v>3.151289469781005E-4</v>
      </c>
      <c r="Q1020">
        <f t="shared" si="740"/>
        <v>0</v>
      </c>
      <c r="R1020" s="89">
        <f t="shared" si="712"/>
        <v>5000</v>
      </c>
      <c r="S1020">
        <f t="shared" si="713"/>
        <v>0.9166666666666714</v>
      </c>
      <c r="U1020">
        <f>O1019*AV1019*'Real assumptions'!$B$33/12+AX1020*'Real assumptions'!$B$34</f>
        <v>3.8745835447234875E-4</v>
      </c>
      <c r="V1020">
        <f>IF(P1020=0,0,IF(E1020&lt;=$C$7,$AN$5*O1019,0))*'Real assumptions'!$D$28</f>
        <v>0</v>
      </c>
      <c r="X1020" s="94">
        <f t="shared" si="725"/>
        <v>0</v>
      </c>
      <c r="Y1020">
        <f t="shared" si="714"/>
        <v>24</v>
      </c>
      <c r="Z1020">
        <f t="shared" si="741"/>
        <v>15</v>
      </c>
      <c r="AA1020">
        <f t="shared" si="715"/>
        <v>14.916666666666671</v>
      </c>
      <c r="AB1020">
        <f t="shared" si="726"/>
        <v>50.505050505050505</v>
      </c>
      <c r="AC1020">
        <f t="shared" si="762"/>
        <v>753.36700336700358</v>
      </c>
      <c r="AD1020">
        <f t="shared" si="727"/>
        <v>80.505050505050505</v>
      </c>
      <c r="AE1020">
        <f t="shared" si="728"/>
        <v>60.043350168350187</v>
      </c>
      <c r="AF1020" s="94">
        <f t="shared" si="729"/>
        <v>4186.5896464646466</v>
      </c>
      <c r="AG1020">
        <f t="shared" si="742"/>
        <v>1.7670926689368621E-4</v>
      </c>
      <c r="AH1020">
        <f t="shared" si="730"/>
        <v>5.4794773513098902E-2</v>
      </c>
      <c r="AI1020">
        <f>HLOOKUP(AW1020,'Real assumptions'!$A$21:$AK$24,2,TRUE)</f>
        <v>0</v>
      </c>
      <c r="AJ1020" s="123">
        <f t="shared" si="763"/>
        <v>0</v>
      </c>
      <c r="AK1020" s="122">
        <f>(1+HLOOKUP(YEAR(A1020),'Real assumptions'!$A$21:$AK$24,2,TRUE)/100)^(1/12)-1</f>
        <v>0</v>
      </c>
      <c r="AL1020">
        <f t="shared" si="743"/>
        <v>3.8745835447234875E-4</v>
      </c>
      <c r="AM1020">
        <f>('Real assumptions'!$B$33/12)*O1019*AV1019</f>
        <v>3.7240040877278206E-4</v>
      </c>
      <c r="AN1020">
        <f t="shared" si="731"/>
        <v>5.4839486438566613E-2</v>
      </c>
      <c r="AO1020">
        <f t="shared" si="764"/>
        <v>0</v>
      </c>
      <c r="AP1020" s="121">
        <f t="shared" si="732"/>
        <v>0</v>
      </c>
      <c r="AQ1020">
        <f t="shared" si="733"/>
        <v>0</v>
      </c>
      <c r="AR1020">
        <v>0</v>
      </c>
      <c r="AS1020">
        <f t="shared" si="716"/>
        <v>0</v>
      </c>
      <c r="AT1020">
        <f t="shared" si="734"/>
        <v>0</v>
      </c>
      <c r="AU1020">
        <f>IFERROR(HLOOKUP(B1020,'Real assumptions'!$B$43:$AL$44,2,TRUE)*($W$3/$U$2),0)</f>
        <v>0</v>
      </c>
      <c r="AV1020">
        <f>AV1019*(1+'Real assumptions'!$B$35)^(1/12)</f>
        <v>2.8391130012282635</v>
      </c>
      <c r="AW1020">
        <f t="shared" si="717"/>
        <v>2102</v>
      </c>
      <c r="AX1020">
        <f t="shared" si="744"/>
        <v>5.4967078357806461E-2</v>
      </c>
      <c r="AY1020">
        <f t="shared" si="745"/>
        <v>5.5262511745598433E-5</v>
      </c>
      <c r="AZ1020">
        <f t="shared" si="718"/>
        <v>4.091924043678391E-2</v>
      </c>
      <c r="BA1020">
        <f t="shared" si="735"/>
        <v>1.7670926689368621E-4</v>
      </c>
      <c r="BB1020">
        <f t="shared" si="736"/>
        <v>14.916666666666671</v>
      </c>
      <c r="BC1020">
        <f t="shared" si="719"/>
        <v>8.9500000000000028</v>
      </c>
      <c r="BD1020">
        <f t="shared" si="737"/>
        <v>0</v>
      </c>
      <c r="BE1020">
        <f t="shared" si="720"/>
        <v>24</v>
      </c>
      <c r="BF1020">
        <f t="shared" si="746"/>
        <v>5000</v>
      </c>
      <c r="BU1020"/>
      <c r="DW1020" s="89"/>
      <c r="DX1020" s="89"/>
      <c r="FD1020"/>
      <c r="FE1020"/>
    </row>
    <row r="1021" spans="1:161" x14ac:dyDescent="0.25">
      <c r="A1021" s="7">
        <f t="shared" si="738"/>
        <v>74176</v>
      </c>
      <c r="B1021">
        <f t="shared" si="721"/>
        <v>1010</v>
      </c>
      <c r="C1021">
        <f t="shared" si="756"/>
        <v>84.083333333333329</v>
      </c>
      <c r="D1021">
        <f t="shared" si="757"/>
        <v>0</v>
      </c>
      <c r="E1021">
        <f t="shared" si="722"/>
        <v>136</v>
      </c>
      <c r="F1021">
        <f>IF(C1021&gt;=$T$2,0,VLOOKUP($E1021,EKM_F05!$A$3:$C$128,2,TRUE))</f>
        <v>0</v>
      </c>
      <c r="G1021">
        <f>F1021*'Real assumptions'!$B$3</f>
        <v>0</v>
      </c>
      <c r="H1021">
        <f t="shared" si="758"/>
        <v>0</v>
      </c>
      <c r="I1021">
        <f t="shared" si="759"/>
        <v>0</v>
      </c>
      <c r="J1021">
        <f>IF(B1021&gt;$AJ$2,0,HLOOKUP(C1021,'Real assumptions'!$B$5:$L$8,4,TRUE))</f>
        <v>3.7900000000000003E-2</v>
      </c>
      <c r="K1021">
        <f t="shared" si="711"/>
        <v>1</v>
      </c>
      <c r="L1021">
        <f t="shared" si="739"/>
        <v>8.3333333333333329E-2</v>
      </c>
      <c r="M1021">
        <f t="shared" si="760"/>
        <v>3.2145624959929453E-3</v>
      </c>
      <c r="N1021">
        <f t="shared" si="761"/>
        <v>4.207272237927051E-8</v>
      </c>
      <c r="O1021" s="8">
        <f t="shared" si="723"/>
        <v>1.3046091664443353E-5</v>
      </c>
      <c r="P1021">
        <f t="shared" si="724"/>
        <v>3.1411594528374295E-4</v>
      </c>
      <c r="Q1021">
        <f t="shared" si="740"/>
        <v>0</v>
      </c>
      <c r="R1021" s="89">
        <f t="shared" si="712"/>
        <v>5000</v>
      </c>
      <c r="S1021">
        <f t="shared" si="713"/>
        <v>0.8333333333333286</v>
      </c>
      <c r="U1021">
        <f>O1020*AV1020*'Real assumptions'!$B$33/12+AX1021*'Real assumptions'!$B$34</f>
        <v>3.8661361062373263E-4</v>
      </c>
      <c r="V1021">
        <f>IF(P1021=0,0,IF(E1021&lt;=$C$7,$AN$5*O1020,0))*'Real assumptions'!$D$28</f>
        <v>0</v>
      </c>
      <c r="X1021" s="94">
        <f t="shared" si="725"/>
        <v>0</v>
      </c>
      <c r="Y1021">
        <f t="shared" si="714"/>
        <v>24</v>
      </c>
      <c r="Z1021">
        <f t="shared" si="741"/>
        <v>14</v>
      </c>
      <c r="AA1021">
        <f t="shared" si="715"/>
        <v>14.833333333333329</v>
      </c>
      <c r="AB1021">
        <f t="shared" si="726"/>
        <v>50.505050505050505</v>
      </c>
      <c r="AC1021">
        <f t="shared" si="762"/>
        <v>749.15824915824896</v>
      </c>
      <c r="AD1021">
        <f t="shared" si="727"/>
        <v>80.505050505050505</v>
      </c>
      <c r="AE1021">
        <f t="shared" si="728"/>
        <v>59.707912457912435</v>
      </c>
      <c r="AF1021" s="94">
        <f t="shared" si="729"/>
        <v>4191.1338383838392</v>
      </c>
      <c r="AG1021">
        <f t="shared" si="742"/>
        <v>1.7633241043668967E-4</v>
      </c>
      <c r="AH1021">
        <f t="shared" si="730"/>
        <v>5.4677916233505881E-2</v>
      </c>
      <c r="AI1021">
        <f>HLOOKUP(AW1021,'Real assumptions'!$A$21:$AK$24,2,TRUE)</f>
        <v>0</v>
      </c>
      <c r="AJ1021" s="123">
        <f t="shared" si="763"/>
        <v>0</v>
      </c>
      <c r="AK1021" s="122">
        <f>(1+HLOOKUP(YEAR(A1021),'Real assumptions'!$A$21:$AK$24,2,TRUE)/100)^(1/12)-1</f>
        <v>0</v>
      </c>
      <c r="AL1021">
        <f t="shared" si="743"/>
        <v>3.8661361062373263E-4</v>
      </c>
      <c r="AM1021">
        <f>('Real assumptions'!$B$33/12)*O1020*AV1020</f>
        <v>3.7158777672840847E-4</v>
      </c>
      <c r="AN1021">
        <f t="shared" si="731"/>
        <v>5.4722275847758912E-2</v>
      </c>
      <c r="AO1021">
        <f t="shared" si="764"/>
        <v>0</v>
      </c>
      <c r="AP1021" s="121">
        <f t="shared" si="732"/>
        <v>0</v>
      </c>
      <c r="AQ1021">
        <f t="shared" si="733"/>
        <v>0</v>
      </c>
      <c r="AR1021">
        <v>0</v>
      </c>
      <c r="AS1021">
        <f t="shared" si="716"/>
        <v>0</v>
      </c>
      <c r="AT1021">
        <f t="shared" si="734"/>
        <v>0</v>
      </c>
      <c r="AU1021">
        <f>IFERROR(HLOOKUP(B1021,'Real assumptions'!$B$43:$AL$44,2,TRUE)*($W$3/$U$2),0)</f>
        <v>0</v>
      </c>
      <c r="AV1021">
        <f>AV1020*(1+'Real assumptions'!$B$35)^(1/12)</f>
        <v>2.8420536012045639</v>
      </c>
      <c r="AW1021">
        <f t="shared" si="717"/>
        <v>2103</v>
      </c>
      <c r="AX1021">
        <f t="shared" si="744"/>
        <v>5.4849858380046808E-2</v>
      </c>
      <c r="AY1021">
        <f t="shared" si="745"/>
        <v>5.5084866947906655E-5</v>
      </c>
      <c r="AZ1021">
        <f t="shared" si="718"/>
        <v>4.0670410361007228E-2</v>
      </c>
      <c r="BA1021">
        <f t="shared" si="735"/>
        <v>1.7633241043668967E-4</v>
      </c>
      <c r="BB1021">
        <f t="shared" si="736"/>
        <v>14.833333333333329</v>
      </c>
      <c r="BC1021">
        <f t="shared" si="719"/>
        <v>8.8999999999999968</v>
      </c>
      <c r="BD1021">
        <f t="shared" si="737"/>
        <v>0</v>
      </c>
      <c r="BE1021">
        <f t="shared" si="720"/>
        <v>24</v>
      </c>
      <c r="BF1021">
        <f t="shared" si="746"/>
        <v>5000</v>
      </c>
      <c r="BU1021"/>
      <c r="DW1021" s="89"/>
      <c r="DX1021" s="89"/>
      <c r="FD1021"/>
      <c r="FE1021"/>
    </row>
    <row r="1022" spans="1:161" x14ac:dyDescent="0.25">
      <c r="A1022" s="7">
        <f t="shared" si="738"/>
        <v>74204</v>
      </c>
      <c r="B1022">
        <f t="shared" si="721"/>
        <v>1011</v>
      </c>
      <c r="C1022">
        <f t="shared" si="756"/>
        <v>84.166666666666671</v>
      </c>
      <c r="D1022">
        <f t="shared" si="757"/>
        <v>0</v>
      </c>
      <c r="E1022">
        <f t="shared" si="722"/>
        <v>136</v>
      </c>
      <c r="F1022">
        <f>IF(C1022&gt;=$T$2,0,VLOOKUP($E1022,EKM_F05!$A$3:$C$128,2,TRUE))</f>
        <v>0</v>
      </c>
      <c r="G1022">
        <f>F1022*'Real assumptions'!$B$3</f>
        <v>0</v>
      </c>
      <c r="H1022">
        <f t="shared" si="758"/>
        <v>0</v>
      </c>
      <c r="I1022">
        <f t="shared" si="759"/>
        <v>0</v>
      </c>
      <c r="J1022">
        <f>IF(B1022&gt;$AJ$2,0,HLOOKUP(C1022,'Real assumptions'!$B$5:$L$8,4,TRUE))</f>
        <v>3.7900000000000003E-2</v>
      </c>
      <c r="K1022">
        <f t="shared" si="711"/>
        <v>1</v>
      </c>
      <c r="L1022">
        <f t="shared" si="739"/>
        <v>8.3333333333333329E-2</v>
      </c>
      <c r="M1022">
        <f t="shared" si="760"/>
        <v>3.2145624959929453E-3</v>
      </c>
      <c r="N1022">
        <f t="shared" si="761"/>
        <v>4.1937476983805786E-8</v>
      </c>
      <c r="O1022" s="8">
        <f t="shared" si="723"/>
        <v>1.3004154187459547E-5</v>
      </c>
      <c r="P1022">
        <f t="shared" si="724"/>
        <v>3.1310619994664047E-4</v>
      </c>
      <c r="Q1022">
        <f t="shared" si="740"/>
        <v>0</v>
      </c>
      <c r="R1022" s="89">
        <f t="shared" si="712"/>
        <v>5000</v>
      </c>
      <c r="S1022">
        <f t="shared" si="713"/>
        <v>0.75</v>
      </c>
      <c r="U1022">
        <f>O1021*AV1021*'Real assumptions'!$B$33/12+AX1022*'Real assumptions'!$B$34</f>
        <v>3.8577069090768817E-4</v>
      </c>
      <c r="V1022">
        <f>IF(P1022=0,0,IF(E1022&lt;=$C$7,$AN$5*O1021,0))*'Real assumptions'!$D$28</f>
        <v>0</v>
      </c>
      <c r="X1022" s="94">
        <f t="shared" si="725"/>
        <v>0</v>
      </c>
      <c r="Y1022">
        <f t="shared" si="714"/>
        <v>24</v>
      </c>
      <c r="Z1022">
        <f t="shared" si="741"/>
        <v>14</v>
      </c>
      <c r="AA1022">
        <f t="shared" si="715"/>
        <v>14.75</v>
      </c>
      <c r="AB1022">
        <f t="shared" si="726"/>
        <v>50.505050505050505</v>
      </c>
      <c r="AC1022">
        <f t="shared" si="762"/>
        <v>744.94949494949492</v>
      </c>
      <c r="AD1022">
        <f t="shared" si="727"/>
        <v>80.505050505050505</v>
      </c>
      <c r="AE1022">
        <f t="shared" si="728"/>
        <v>59.372474747474747</v>
      </c>
      <c r="AF1022" s="94">
        <f t="shared" si="729"/>
        <v>4195.6780303030309</v>
      </c>
      <c r="AG1022">
        <f t="shared" si="742"/>
        <v>1.7595615082729296E-4</v>
      </c>
      <c r="AH1022">
        <f t="shared" si="730"/>
        <v>5.4561244026997184E-2</v>
      </c>
      <c r="AI1022">
        <f>HLOOKUP(AW1022,'Real assumptions'!$A$21:$AK$24,2,TRUE)</f>
        <v>0</v>
      </c>
      <c r="AJ1022" s="123">
        <f t="shared" si="763"/>
        <v>0</v>
      </c>
      <c r="AK1022" s="122">
        <f>(1+HLOOKUP(YEAR(A1022),'Real assumptions'!$A$21:$AK$24,2,TRUE)/100)^(1/12)-1</f>
        <v>0</v>
      </c>
      <c r="AL1022">
        <f t="shared" si="743"/>
        <v>3.8577069090768817E-4</v>
      </c>
      <c r="AM1022">
        <f>('Real assumptions'!$B$33/12)*O1021*AV1021</f>
        <v>3.7077691796576071E-4</v>
      </c>
      <c r="AN1022">
        <f t="shared" si="731"/>
        <v>5.4605251742544839E-2</v>
      </c>
      <c r="AO1022">
        <f t="shared" si="764"/>
        <v>0</v>
      </c>
      <c r="AP1022" s="121">
        <f t="shared" si="732"/>
        <v>0</v>
      </c>
      <c r="AQ1022">
        <f t="shared" si="733"/>
        <v>0</v>
      </c>
      <c r="AR1022">
        <v>0</v>
      </c>
      <c r="AS1022">
        <f t="shared" si="716"/>
        <v>0</v>
      </c>
      <c r="AT1022">
        <f t="shared" si="734"/>
        <v>0</v>
      </c>
      <c r="AU1022">
        <f>IFERROR(HLOOKUP(B1022,'Real assumptions'!$B$43:$AL$44,2,TRUE)*($W$3/$U$2),0)</f>
        <v>0</v>
      </c>
      <c r="AV1022">
        <f>AV1021*(1+'Real assumptions'!$B$35)^(1/12)</f>
        <v>2.8449972468955704</v>
      </c>
      <c r="AW1022">
        <f t="shared" si="717"/>
        <v>2103</v>
      </c>
      <c r="AX1022">
        <f t="shared" si="744"/>
        <v>5.47328240267064E-2</v>
      </c>
      <c r="AY1022">
        <f t="shared" si="745"/>
        <v>5.4907793200519157E-5</v>
      </c>
      <c r="AZ1022">
        <f t="shared" si="718"/>
        <v>4.0421789719218892E-2</v>
      </c>
      <c r="BA1022">
        <f t="shared" si="735"/>
        <v>1.7595615082729296E-4</v>
      </c>
      <c r="BB1022">
        <f t="shared" si="736"/>
        <v>14.75</v>
      </c>
      <c r="BC1022">
        <f t="shared" si="719"/>
        <v>8.85</v>
      </c>
      <c r="BD1022">
        <f t="shared" si="737"/>
        <v>0</v>
      </c>
      <c r="BE1022">
        <f t="shared" si="720"/>
        <v>24</v>
      </c>
      <c r="BF1022">
        <f t="shared" si="746"/>
        <v>5000</v>
      </c>
      <c r="BU1022"/>
      <c r="DW1022" s="89"/>
      <c r="DX1022" s="89"/>
      <c r="FD1022"/>
      <c r="FE1022"/>
    </row>
    <row r="1023" spans="1:161" x14ac:dyDescent="0.25">
      <c r="A1023" s="7">
        <f t="shared" si="738"/>
        <v>74235</v>
      </c>
      <c r="B1023">
        <f t="shared" si="721"/>
        <v>1012</v>
      </c>
      <c r="C1023">
        <f t="shared" si="756"/>
        <v>84.25</v>
      </c>
      <c r="D1023">
        <f t="shared" si="757"/>
        <v>0</v>
      </c>
      <c r="E1023">
        <f t="shared" si="722"/>
        <v>136</v>
      </c>
      <c r="F1023">
        <f>IF(C1023&gt;=$T$2,0,VLOOKUP($E1023,EKM_F05!$A$3:$C$128,2,TRUE))</f>
        <v>0</v>
      </c>
      <c r="G1023">
        <f>F1023*'Real assumptions'!$B$3</f>
        <v>0</v>
      </c>
      <c r="H1023">
        <f t="shared" si="758"/>
        <v>0</v>
      </c>
      <c r="I1023">
        <f t="shared" si="759"/>
        <v>0</v>
      </c>
      <c r="J1023">
        <f>IF(B1023&gt;$AJ$2,0,HLOOKUP(C1023,'Real assumptions'!$B$5:$L$8,4,TRUE))</f>
        <v>3.7900000000000003E-2</v>
      </c>
      <c r="K1023">
        <f t="shared" si="711"/>
        <v>1</v>
      </c>
      <c r="L1023">
        <f t="shared" si="739"/>
        <v>8.3333333333333329E-2</v>
      </c>
      <c r="M1023">
        <f t="shared" si="760"/>
        <v>3.2145624959929453E-3</v>
      </c>
      <c r="N1023">
        <f t="shared" si="761"/>
        <v>4.1802666343117072E-8</v>
      </c>
      <c r="O1023" s="8">
        <f t="shared" si="723"/>
        <v>1.296235152111643E-5</v>
      </c>
      <c r="P1023">
        <f t="shared" si="724"/>
        <v>3.1209970049902915E-4</v>
      </c>
      <c r="Q1023">
        <f t="shared" si="740"/>
        <v>0</v>
      </c>
      <c r="R1023" s="89">
        <f t="shared" si="712"/>
        <v>5000</v>
      </c>
      <c r="S1023">
        <f t="shared" si="713"/>
        <v>0.6666666666666714</v>
      </c>
      <c r="U1023">
        <f>O1022*AV1022*'Real assumptions'!$B$33/12+AX1023*'Real assumptions'!$B$34</f>
        <v>3.8492959145955375E-4</v>
      </c>
      <c r="V1023">
        <f>IF(P1023=0,0,IF(E1023&lt;=$C$7,$AN$5*O1022,0))*'Real assumptions'!$D$28</f>
        <v>0</v>
      </c>
      <c r="X1023" s="94">
        <f t="shared" si="725"/>
        <v>0</v>
      </c>
      <c r="Y1023">
        <f t="shared" si="714"/>
        <v>24</v>
      </c>
      <c r="Z1023">
        <f t="shared" si="741"/>
        <v>14</v>
      </c>
      <c r="AA1023">
        <f t="shared" si="715"/>
        <v>14.666666666666671</v>
      </c>
      <c r="AB1023">
        <f t="shared" si="726"/>
        <v>50.505050505050505</v>
      </c>
      <c r="AC1023">
        <f t="shared" si="762"/>
        <v>740.74074074074099</v>
      </c>
      <c r="AD1023">
        <f t="shared" si="727"/>
        <v>80.505050505050505</v>
      </c>
      <c r="AE1023">
        <f t="shared" si="728"/>
        <v>59.037037037037052</v>
      </c>
      <c r="AF1023" s="94">
        <f t="shared" si="729"/>
        <v>4200.2222222222217</v>
      </c>
      <c r="AG1023">
        <f t="shared" si="742"/>
        <v>1.7558048812250126E-4</v>
      </c>
      <c r="AH1023">
        <f t="shared" si="730"/>
        <v>5.4444756911249247E-2</v>
      </c>
      <c r="AI1023">
        <f>HLOOKUP(AW1023,'Real assumptions'!$A$21:$AK$24,2,TRUE)</f>
        <v>0</v>
      </c>
      <c r="AJ1023" s="123">
        <f t="shared" si="763"/>
        <v>0</v>
      </c>
      <c r="AK1023" s="122">
        <f>(1+HLOOKUP(YEAR(A1023),'Real assumptions'!$A$21:$AK$24,2,TRUE)/100)^(1/12)-1</f>
        <v>0</v>
      </c>
      <c r="AL1023">
        <f t="shared" si="743"/>
        <v>3.8492959145955375E-4</v>
      </c>
      <c r="AM1023">
        <f>('Real assumptions'!$B$33/12)*O1022*AV1022</f>
        <v>3.6996782861527916E-4</v>
      </c>
      <c r="AN1023">
        <f t="shared" si="731"/>
        <v>5.448841413603666E-2</v>
      </c>
      <c r="AO1023">
        <f t="shared" si="764"/>
        <v>0</v>
      </c>
      <c r="AP1023" s="121">
        <f t="shared" si="732"/>
        <v>0</v>
      </c>
      <c r="AQ1023">
        <f t="shared" si="733"/>
        <v>0</v>
      </c>
      <c r="AR1023">
        <v>0</v>
      </c>
      <c r="AS1023">
        <f t="shared" si="716"/>
        <v>0</v>
      </c>
      <c r="AT1023">
        <f t="shared" si="734"/>
        <v>0</v>
      </c>
      <c r="AU1023">
        <f>IFERROR(HLOOKUP(B1023,'Real assumptions'!$B$43:$AL$44,2,TRUE)*($W$3/$U$2),0)</f>
        <v>0</v>
      </c>
      <c r="AV1023">
        <f>AV1022*(1+'Real assumptions'!$B$35)^(1/12)</f>
        <v>2.8479439414558705</v>
      </c>
      <c r="AW1023">
        <f t="shared" si="717"/>
        <v>2103</v>
      </c>
      <c r="AX1023">
        <f t="shared" si="744"/>
        <v>5.4615975315664943E-2</v>
      </c>
      <c r="AY1023">
        <f t="shared" si="745"/>
        <v>5.4731288667759037E-5</v>
      </c>
      <c r="AZ1023">
        <f t="shared" si="718"/>
        <v>4.0173379340135866E-2</v>
      </c>
      <c r="BA1023">
        <f t="shared" si="735"/>
        <v>1.7558048812250126E-4</v>
      </c>
      <c r="BB1023">
        <f t="shared" si="736"/>
        <v>14.666666666666671</v>
      </c>
      <c r="BC1023">
        <f t="shared" si="719"/>
        <v>8.8000000000000025</v>
      </c>
      <c r="BD1023">
        <f t="shared" si="737"/>
        <v>0</v>
      </c>
      <c r="BE1023">
        <f t="shared" si="720"/>
        <v>24</v>
      </c>
      <c r="BF1023">
        <f t="shared" si="746"/>
        <v>5000</v>
      </c>
      <c r="BU1023"/>
      <c r="DW1023" s="89"/>
      <c r="DX1023" s="89"/>
      <c r="FD1023"/>
      <c r="FE1023"/>
    </row>
    <row r="1024" spans="1:161" x14ac:dyDescent="0.25">
      <c r="A1024" s="7">
        <f t="shared" si="738"/>
        <v>74265</v>
      </c>
      <c r="B1024">
        <f t="shared" si="721"/>
        <v>1013</v>
      </c>
      <c r="C1024">
        <f t="shared" si="756"/>
        <v>84.333333333333329</v>
      </c>
      <c r="D1024">
        <f t="shared" si="757"/>
        <v>0</v>
      </c>
      <c r="E1024">
        <f t="shared" si="722"/>
        <v>136</v>
      </c>
      <c r="F1024">
        <f>IF(C1024&gt;=$T$2,0,VLOOKUP($E1024,EKM_F05!$A$3:$C$128,2,TRUE))</f>
        <v>0</v>
      </c>
      <c r="G1024">
        <f>F1024*'Real assumptions'!$B$3</f>
        <v>0</v>
      </c>
      <c r="H1024">
        <f t="shared" si="758"/>
        <v>0</v>
      </c>
      <c r="I1024">
        <f t="shared" si="759"/>
        <v>0</v>
      </c>
      <c r="J1024">
        <f>IF(B1024&gt;$AJ$2,0,HLOOKUP(C1024,'Real assumptions'!$B$5:$L$8,4,TRUE))</f>
        <v>3.7900000000000003E-2</v>
      </c>
      <c r="K1024">
        <f t="shared" si="711"/>
        <v>1</v>
      </c>
      <c r="L1024">
        <f t="shared" si="739"/>
        <v>8.3333333333333329E-2</v>
      </c>
      <c r="M1024">
        <f t="shared" si="760"/>
        <v>3.2145624959929453E-3</v>
      </c>
      <c r="N1024">
        <f t="shared" si="761"/>
        <v>4.1668289059657982E-8</v>
      </c>
      <c r="O1024" s="8">
        <f t="shared" si="723"/>
        <v>1.2920683232056772E-5</v>
      </c>
      <c r="P1024">
        <f t="shared" si="724"/>
        <v>3.1109643650679432E-4</v>
      </c>
      <c r="Q1024">
        <f t="shared" si="740"/>
        <v>0</v>
      </c>
      <c r="R1024" s="89">
        <f t="shared" si="712"/>
        <v>5000</v>
      </c>
      <c r="S1024">
        <f t="shared" si="713"/>
        <v>0.5833333333333286</v>
      </c>
      <c r="U1024">
        <f>O1023*AV1023*'Real assumptions'!$B$33/12+AX1024*'Real assumptions'!$B$34</f>
        <v>3.8409030842255493E-4</v>
      </c>
      <c r="V1024">
        <f>IF(P1024=0,0,IF(E1024&lt;=$C$7,$AN$5*O1023,0))*'Real assumptions'!$D$28</f>
        <v>0</v>
      </c>
      <c r="X1024" s="94">
        <f t="shared" si="725"/>
        <v>0</v>
      </c>
      <c r="Y1024">
        <f t="shared" si="714"/>
        <v>24</v>
      </c>
      <c r="Z1024">
        <f t="shared" si="741"/>
        <v>14</v>
      </c>
      <c r="AA1024">
        <f t="shared" si="715"/>
        <v>14.583333333333329</v>
      </c>
      <c r="AB1024">
        <f t="shared" si="726"/>
        <v>50.505050505050505</v>
      </c>
      <c r="AC1024">
        <f t="shared" si="762"/>
        <v>736.53198653198626</v>
      </c>
      <c r="AD1024">
        <f t="shared" si="727"/>
        <v>80.505050505050505</v>
      </c>
      <c r="AE1024">
        <f t="shared" si="728"/>
        <v>58.701599326599307</v>
      </c>
      <c r="AF1024" s="94">
        <f t="shared" si="729"/>
        <v>4204.7664141414143</v>
      </c>
      <c r="AG1024">
        <f t="shared" si="742"/>
        <v>1.7520542237278603E-4</v>
      </c>
      <c r="AH1024">
        <f t="shared" si="730"/>
        <v>5.4328454901912453E-2</v>
      </c>
      <c r="AI1024">
        <f>HLOOKUP(AW1024,'Real assumptions'!$A$21:$AK$24,2,TRUE)</f>
        <v>0</v>
      </c>
      <c r="AJ1024" s="123">
        <f t="shared" si="763"/>
        <v>0</v>
      </c>
      <c r="AK1024" s="122">
        <f>(1+HLOOKUP(YEAR(A1024),'Real assumptions'!$A$21:$AK$24,2,TRUE)/100)^(1/12)-1</f>
        <v>0</v>
      </c>
      <c r="AL1024">
        <f t="shared" si="743"/>
        <v>3.8409030842255493E-4</v>
      </c>
      <c r="AM1024">
        <f>('Real assumptions'!$B$33/12)*O1023*AV1023</f>
        <v>3.6916050481584824E-4</v>
      </c>
      <c r="AN1024">
        <f t="shared" si="731"/>
        <v>5.4371763039333484E-2</v>
      </c>
      <c r="AO1024">
        <f t="shared" si="764"/>
        <v>0</v>
      </c>
      <c r="AP1024" s="121">
        <f t="shared" si="732"/>
        <v>0</v>
      </c>
      <c r="AQ1024">
        <f t="shared" si="733"/>
        <v>0</v>
      </c>
      <c r="AR1024">
        <v>0</v>
      </c>
      <c r="AS1024">
        <f t="shared" si="716"/>
        <v>0</v>
      </c>
      <c r="AT1024">
        <f t="shared" si="734"/>
        <v>0</v>
      </c>
      <c r="AU1024">
        <f>IFERROR(HLOOKUP(B1024,'Real assumptions'!$B$43:$AL$44,2,TRUE)*($W$3/$U$2),0)</f>
        <v>0</v>
      </c>
      <c r="AV1024">
        <f>AV1023*(1+'Real assumptions'!$B$35)^(1/12)</f>
        <v>2.8508936880433176</v>
      </c>
      <c r="AW1024">
        <f t="shared" si="717"/>
        <v>2103</v>
      </c>
      <c r="AX1024">
        <f t="shared" si="744"/>
        <v>5.4499312262769099E-2</v>
      </c>
      <c r="AY1024">
        <f t="shared" si="745"/>
        <v>5.4555351519850292E-5</v>
      </c>
      <c r="AZ1024">
        <f t="shared" si="718"/>
        <v>3.9925180045847317E-2</v>
      </c>
      <c r="BA1024">
        <f t="shared" si="735"/>
        <v>1.7520542237278603E-4</v>
      </c>
      <c r="BB1024">
        <f t="shared" si="736"/>
        <v>14.583333333333329</v>
      </c>
      <c r="BC1024">
        <f t="shared" si="719"/>
        <v>8.7499999999999964</v>
      </c>
      <c r="BD1024">
        <f t="shared" si="737"/>
        <v>0</v>
      </c>
      <c r="BE1024">
        <f t="shared" si="720"/>
        <v>24</v>
      </c>
      <c r="BF1024">
        <f t="shared" si="746"/>
        <v>5000</v>
      </c>
      <c r="BU1024"/>
      <c r="DW1024" s="89"/>
      <c r="DX1024" s="89"/>
      <c r="FD1024"/>
      <c r="FE1024"/>
    </row>
    <row r="1025" spans="1:161" x14ac:dyDescent="0.25">
      <c r="A1025" s="7">
        <f t="shared" si="738"/>
        <v>74296</v>
      </c>
      <c r="B1025">
        <f t="shared" si="721"/>
        <v>1014</v>
      </c>
      <c r="C1025">
        <f t="shared" si="756"/>
        <v>84.416666666666671</v>
      </c>
      <c r="D1025">
        <f t="shared" si="757"/>
        <v>0</v>
      </c>
      <c r="E1025">
        <f t="shared" si="722"/>
        <v>136</v>
      </c>
      <c r="F1025">
        <f>IF(C1025&gt;=$T$2,0,VLOOKUP($E1025,EKM_F05!$A$3:$C$128,2,TRUE))</f>
        <v>0</v>
      </c>
      <c r="G1025">
        <f>F1025*'Real assumptions'!$B$3</f>
        <v>0</v>
      </c>
      <c r="H1025">
        <f t="shared" si="758"/>
        <v>0</v>
      </c>
      <c r="I1025">
        <f t="shared" si="759"/>
        <v>0</v>
      </c>
      <c r="J1025">
        <f>IF(B1025&gt;$AJ$2,0,HLOOKUP(C1025,'Real assumptions'!$B$5:$L$8,4,TRUE))</f>
        <v>3.7900000000000003E-2</v>
      </c>
      <c r="K1025">
        <f t="shared" si="711"/>
        <v>1</v>
      </c>
      <c r="L1025">
        <f t="shared" si="739"/>
        <v>8.3333333333333329E-2</v>
      </c>
      <c r="M1025">
        <f t="shared" si="760"/>
        <v>3.2145624959929453E-3</v>
      </c>
      <c r="N1025">
        <f t="shared" si="761"/>
        <v>4.1534343740374612E-8</v>
      </c>
      <c r="O1025" s="8">
        <f t="shared" si="723"/>
        <v>1.2879148888316398E-5</v>
      </c>
      <c r="P1025">
        <f t="shared" si="724"/>
        <v>3.1009639756936252E-4</v>
      </c>
      <c r="Q1025">
        <f t="shared" si="740"/>
        <v>0</v>
      </c>
      <c r="R1025" s="89">
        <f t="shared" si="712"/>
        <v>5000</v>
      </c>
      <c r="S1025">
        <f t="shared" si="713"/>
        <v>0.5</v>
      </c>
      <c r="U1025">
        <f>O1024*AV1024*'Real assumptions'!$B$33/12+AX1025*'Real assumptions'!$B$34</f>
        <v>3.8325283794778922E-4</v>
      </c>
      <c r="V1025">
        <f>IF(P1025=0,0,IF(E1025&lt;=$C$7,$AN$5*O1024,0))*'Real assumptions'!$D$28</f>
        <v>0</v>
      </c>
      <c r="X1025" s="94">
        <f t="shared" si="725"/>
        <v>0</v>
      </c>
      <c r="Y1025">
        <f t="shared" si="714"/>
        <v>24</v>
      </c>
      <c r="Z1025">
        <f t="shared" si="741"/>
        <v>14</v>
      </c>
      <c r="AA1025">
        <f t="shared" si="715"/>
        <v>14.5</v>
      </c>
      <c r="AB1025">
        <f t="shared" si="726"/>
        <v>50.505050505050505</v>
      </c>
      <c r="AC1025">
        <f t="shared" si="762"/>
        <v>732.32323232323233</v>
      </c>
      <c r="AD1025">
        <f t="shared" si="727"/>
        <v>80.505050505050505</v>
      </c>
      <c r="AE1025">
        <f t="shared" si="728"/>
        <v>58.366161616161612</v>
      </c>
      <c r="AF1025" s="94">
        <f t="shared" si="729"/>
        <v>4209.310606060606</v>
      </c>
      <c r="AG1025">
        <f t="shared" si="742"/>
        <v>1.748309536221258E-4</v>
      </c>
      <c r="AH1025">
        <f t="shared" si="730"/>
        <v>5.4212338012623873E-2</v>
      </c>
      <c r="AI1025">
        <f>HLOOKUP(AW1025,'Real assumptions'!$A$21:$AK$24,2,TRUE)</f>
        <v>0</v>
      </c>
      <c r="AJ1025" s="123">
        <f t="shared" si="763"/>
        <v>0</v>
      </c>
      <c r="AK1025" s="122">
        <f>(1+HLOOKUP(YEAR(A1025),'Real assumptions'!$A$21:$AK$24,2,TRUE)/100)^(1/12)-1</f>
        <v>0</v>
      </c>
      <c r="AL1025">
        <f t="shared" si="743"/>
        <v>3.8325283794778922E-4</v>
      </c>
      <c r="AM1025">
        <f>('Real assumptions'!$B$33/12)*O1024*AV1024</f>
        <v>3.6835494271477776E-4</v>
      </c>
      <c r="AN1025">
        <f t="shared" si="731"/>
        <v>5.4255298461534027E-2</v>
      </c>
      <c r="AO1025">
        <f t="shared" si="764"/>
        <v>0</v>
      </c>
      <c r="AP1025" s="121">
        <f t="shared" si="732"/>
        <v>0</v>
      </c>
      <c r="AQ1025">
        <f t="shared" si="733"/>
        <v>0</v>
      </c>
      <c r="AR1025">
        <v>0</v>
      </c>
      <c r="AS1025">
        <f t="shared" si="716"/>
        <v>0</v>
      </c>
      <c r="AT1025">
        <f t="shared" si="734"/>
        <v>0</v>
      </c>
      <c r="AU1025">
        <f>IFERROR(HLOOKUP(B1025,'Real assumptions'!$B$43:$AL$44,2,TRUE)*($W$3/$U$2),0)</f>
        <v>0</v>
      </c>
      <c r="AV1025">
        <f>AV1024*(1+'Real assumptions'!$B$35)^(1/12)</f>
        <v>2.8538464898190372</v>
      </c>
      <c r="AW1025">
        <f t="shared" si="717"/>
        <v>2103</v>
      </c>
      <c r="AX1025">
        <f t="shared" si="744"/>
        <v>5.4382834881845352E-2</v>
      </c>
      <c r="AY1025">
        <f t="shared" si="745"/>
        <v>5.4379979932898866E-5</v>
      </c>
      <c r="AZ1025">
        <f t="shared" si="718"/>
        <v>3.9677192651846764E-2</v>
      </c>
      <c r="BA1025">
        <f t="shared" si="735"/>
        <v>1.748309536221258E-4</v>
      </c>
      <c r="BB1025">
        <f t="shared" si="736"/>
        <v>14.5</v>
      </c>
      <c r="BC1025">
        <f t="shared" si="719"/>
        <v>8.6999999999999993</v>
      </c>
      <c r="BD1025">
        <f t="shared" si="737"/>
        <v>0</v>
      </c>
      <c r="BE1025">
        <f t="shared" si="720"/>
        <v>24</v>
      </c>
      <c r="BF1025">
        <f t="shared" si="746"/>
        <v>5000</v>
      </c>
      <c r="BU1025"/>
      <c r="DW1025" s="89"/>
      <c r="DX1025" s="89"/>
      <c r="FD1025"/>
      <c r="FE1025"/>
    </row>
    <row r="1026" spans="1:161" x14ac:dyDescent="0.25">
      <c r="A1026" s="7">
        <f t="shared" si="738"/>
        <v>74326</v>
      </c>
      <c r="B1026">
        <f t="shared" si="721"/>
        <v>1015</v>
      </c>
      <c r="C1026">
        <f t="shared" si="756"/>
        <v>84.5</v>
      </c>
      <c r="D1026">
        <f t="shared" si="757"/>
        <v>0</v>
      </c>
      <c r="E1026">
        <f t="shared" si="722"/>
        <v>136</v>
      </c>
      <c r="F1026">
        <f>IF(C1026&gt;=$T$2,0,VLOOKUP($E1026,EKM_F05!$A$3:$C$128,2,TRUE))</f>
        <v>0</v>
      </c>
      <c r="G1026">
        <f>F1026*'Real assumptions'!$B$3</f>
        <v>0</v>
      </c>
      <c r="H1026">
        <f t="shared" si="758"/>
        <v>0</v>
      </c>
      <c r="I1026">
        <f t="shared" si="759"/>
        <v>0</v>
      </c>
      <c r="J1026">
        <f>IF(B1026&gt;$AJ$2,0,HLOOKUP(C1026,'Real assumptions'!$B$5:$L$8,4,TRUE))</f>
        <v>3.7900000000000003E-2</v>
      </c>
      <c r="K1026">
        <f t="shared" si="711"/>
        <v>1</v>
      </c>
      <c r="L1026">
        <f t="shared" si="739"/>
        <v>8.3333333333333329E-2</v>
      </c>
      <c r="M1026">
        <f t="shared" si="760"/>
        <v>3.2145624959929453E-3</v>
      </c>
      <c r="N1026">
        <f t="shared" si="761"/>
        <v>4.1400828996691128E-8</v>
      </c>
      <c r="O1026" s="8">
        <f t="shared" si="723"/>
        <v>1.2837748059319707E-5</v>
      </c>
      <c r="P1026">
        <f t="shared" si="724"/>
        <v>3.0909957331959353E-4</v>
      </c>
      <c r="Q1026">
        <f t="shared" si="740"/>
        <v>0</v>
      </c>
      <c r="R1026" s="89">
        <f t="shared" si="712"/>
        <v>5000</v>
      </c>
      <c r="S1026">
        <f t="shared" si="713"/>
        <v>0.4166666666666714</v>
      </c>
      <c r="U1026">
        <f>O1025*AV1025*'Real assumptions'!$B$33/12+AX1026*'Real assumptions'!$B$34</f>
        <v>3.8241717619421159E-4</v>
      </c>
      <c r="V1026">
        <f>IF(P1026=0,0,IF(E1026&lt;=$C$7,$AN$5*O1025,0))*'Real assumptions'!$D$28</f>
        <v>0</v>
      </c>
      <c r="X1026" s="94">
        <f t="shared" si="725"/>
        <v>0</v>
      </c>
      <c r="Y1026">
        <f t="shared" si="714"/>
        <v>24</v>
      </c>
      <c r="Z1026">
        <f t="shared" si="741"/>
        <v>14</v>
      </c>
      <c r="AA1026">
        <f t="shared" si="715"/>
        <v>14.416666666666671</v>
      </c>
      <c r="AB1026">
        <f t="shared" si="726"/>
        <v>50.505050505050505</v>
      </c>
      <c r="AC1026">
        <f t="shared" si="762"/>
        <v>728.1144781144784</v>
      </c>
      <c r="AD1026">
        <f t="shared" si="727"/>
        <v>80.505050505050505</v>
      </c>
      <c r="AE1026">
        <f t="shared" si="728"/>
        <v>58.030723905723924</v>
      </c>
      <c r="AF1026" s="94">
        <f t="shared" si="729"/>
        <v>4213.8547979797977</v>
      </c>
      <c r="AG1026">
        <f t="shared" si="742"/>
        <v>1.7445708190804804E-4</v>
      </c>
      <c r="AH1026">
        <f t="shared" si="730"/>
        <v>5.4096406255020185E-2</v>
      </c>
      <c r="AI1026">
        <f>HLOOKUP(AW1026,'Real assumptions'!$A$21:$AK$24,2,TRUE)</f>
        <v>0</v>
      </c>
      <c r="AJ1026" s="123">
        <f t="shared" si="763"/>
        <v>0</v>
      </c>
      <c r="AK1026" s="122">
        <f>(1+HLOOKUP(YEAR(A1026),'Real assumptions'!$A$21:$AK$24,2,TRUE)/100)^(1/12)-1</f>
        <v>0</v>
      </c>
      <c r="AL1026">
        <f t="shared" si="743"/>
        <v>3.8241717619421159E-4</v>
      </c>
      <c r="AM1026">
        <f>('Real assumptions'!$B$33/12)*O1025*AV1025</f>
        <v>3.6755113846778501E-4</v>
      </c>
      <c r="AN1026">
        <f t="shared" si="731"/>
        <v>5.4139020409749251E-2</v>
      </c>
      <c r="AO1026">
        <f t="shared" si="764"/>
        <v>0</v>
      </c>
      <c r="AP1026" s="121">
        <f t="shared" si="732"/>
        <v>0</v>
      </c>
      <c r="AQ1026">
        <f t="shared" si="733"/>
        <v>0</v>
      </c>
      <c r="AR1026">
        <v>0</v>
      </c>
      <c r="AS1026">
        <f t="shared" si="716"/>
        <v>0</v>
      </c>
      <c r="AT1026">
        <f t="shared" si="734"/>
        <v>0</v>
      </c>
      <c r="AU1026">
        <f>IFERROR(HLOOKUP(B1026,'Real assumptions'!$B$43:$AL$44,2,TRUE)*($W$3/$U$2),0)</f>
        <v>0</v>
      </c>
      <c r="AV1026">
        <f>AV1025*(1+'Real assumptions'!$B$35)^(1/12)</f>
        <v>2.856802349947428</v>
      </c>
      <c r="AW1026">
        <f t="shared" si="717"/>
        <v>2103</v>
      </c>
      <c r="AX1026">
        <f t="shared" si="744"/>
        <v>5.4266543184712746E-2</v>
      </c>
      <c r="AY1026">
        <f t="shared" si="745"/>
        <v>5.4205172088873723E-5</v>
      </c>
      <c r="AZ1026">
        <f t="shared" si="718"/>
        <v>3.9429417967064097E-2</v>
      </c>
      <c r="BA1026">
        <f t="shared" si="735"/>
        <v>1.7445708190804804E-4</v>
      </c>
      <c r="BB1026">
        <f t="shared" si="736"/>
        <v>14.416666666666671</v>
      </c>
      <c r="BC1026">
        <f t="shared" si="719"/>
        <v>8.6500000000000021</v>
      </c>
      <c r="BD1026">
        <f t="shared" si="737"/>
        <v>0</v>
      </c>
      <c r="BE1026">
        <f t="shared" si="720"/>
        <v>24</v>
      </c>
      <c r="BF1026">
        <f t="shared" si="746"/>
        <v>5000</v>
      </c>
      <c r="BU1026"/>
      <c r="DW1026" s="89"/>
      <c r="DX1026" s="89"/>
      <c r="FD1026"/>
      <c r="FE1026"/>
    </row>
    <row r="1027" spans="1:161" x14ac:dyDescent="0.25">
      <c r="A1027" s="7">
        <f t="shared" si="738"/>
        <v>74357</v>
      </c>
      <c r="B1027">
        <f t="shared" si="721"/>
        <v>1016</v>
      </c>
      <c r="C1027">
        <f t="shared" si="756"/>
        <v>84.583333333333329</v>
      </c>
      <c r="D1027">
        <f t="shared" si="757"/>
        <v>0</v>
      </c>
      <c r="E1027">
        <f t="shared" si="722"/>
        <v>136</v>
      </c>
      <c r="F1027">
        <f>IF(C1027&gt;=$T$2,0,VLOOKUP($E1027,EKM_F05!$A$3:$C$128,2,TRUE))</f>
        <v>0</v>
      </c>
      <c r="G1027">
        <f>F1027*'Real assumptions'!$B$3</f>
        <v>0</v>
      </c>
      <c r="H1027">
        <f t="shared" si="758"/>
        <v>0</v>
      </c>
      <c r="I1027">
        <f t="shared" si="759"/>
        <v>0</v>
      </c>
      <c r="J1027">
        <f>IF(B1027&gt;$AJ$2,0,HLOOKUP(C1027,'Real assumptions'!$B$5:$L$8,4,TRUE))</f>
        <v>3.7900000000000003E-2</v>
      </c>
      <c r="K1027">
        <f t="shared" si="711"/>
        <v>1</v>
      </c>
      <c r="L1027">
        <f t="shared" si="739"/>
        <v>8.3333333333333329E-2</v>
      </c>
      <c r="M1027">
        <f t="shared" si="760"/>
        <v>3.2145624959929453E-3</v>
      </c>
      <c r="N1027">
        <f t="shared" si="761"/>
        <v>4.1267743444495346E-8</v>
      </c>
      <c r="O1027" s="8">
        <f t="shared" si="723"/>
        <v>1.279648031587521E-5</v>
      </c>
      <c r="P1027">
        <f t="shared" si="724"/>
        <v>3.0810595342367294E-4</v>
      </c>
      <c r="Q1027">
        <f t="shared" si="740"/>
        <v>0</v>
      </c>
      <c r="R1027" s="89">
        <f t="shared" si="712"/>
        <v>5000</v>
      </c>
      <c r="S1027">
        <f t="shared" si="713"/>
        <v>0.3333333333333286</v>
      </c>
      <c r="U1027">
        <f>O1026*AV1026*'Real assumptions'!$B$33/12+AX1027*'Real assumptions'!$B$34</f>
        <v>3.8158331932861927E-4</v>
      </c>
      <c r="V1027">
        <f>IF(P1027=0,0,IF(E1027&lt;=$C$7,$AN$5*O1026,0))*'Real assumptions'!$D$28</f>
        <v>0</v>
      </c>
      <c r="X1027" s="94">
        <f t="shared" si="725"/>
        <v>0</v>
      </c>
      <c r="Y1027">
        <f t="shared" si="714"/>
        <v>24</v>
      </c>
      <c r="Z1027">
        <f t="shared" si="741"/>
        <v>14</v>
      </c>
      <c r="AA1027">
        <f t="shared" si="715"/>
        <v>14.333333333333329</v>
      </c>
      <c r="AB1027">
        <f t="shared" si="726"/>
        <v>50.505050505050505</v>
      </c>
      <c r="AC1027">
        <f t="shared" si="762"/>
        <v>723.90572390572368</v>
      </c>
      <c r="AD1027">
        <f t="shared" si="727"/>
        <v>80.505050505050505</v>
      </c>
      <c r="AE1027">
        <f t="shared" si="728"/>
        <v>57.695286195286172</v>
      </c>
      <c r="AF1027" s="94">
        <f t="shared" si="729"/>
        <v>4218.3989898989903</v>
      </c>
      <c r="AG1027">
        <f t="shared" si="742"/>
        <v>1.7408380726166984E-4</v>
      </c>
      <c r="AH1027">
        <f t="shared" si="730"/>
        <v>5.3980659638750303E-2</v>
      </c>
      <c r="AI1027">
        <f>HLOOKUP(AW1027,'Real assumptions'!$A$21:$AK$24,2,TRUE)</f>
        <v>0</v>
      </c>
      <c r="AJ1027" s="123">
        <f t="shared" si="763"/>
        <v>0</v>
      </c>
      <c r="AK1027" s="122">
        <f>(1+HLOOKUP(YEAR(A1027),'Real assumptions'!$A$21:$AK$24,2,TRUE)/100)^(1/12)-1</f>
        <v>0</v>
      </c>
      <c r="AL1027">
        <f t="shared" si="743"/>
        <v>3.8158331932861927E-4</v>
      </c>
      <c r="AM1027">
        <f>('Real assumptions'!$B$33/12)*O1026*AV1026</f>
        <v>3.6674908823897573E-4</v>
      </c>
      <c r="AN1027">
        <f t="shared" si="731"/>
        <v>5.4022928889115245E-2</v>
      </c>
      <c r="AO1027">
        <f t="shared" si="764"/>
        <v>0</v>
      </c>
      <c r="AP1027" s="121">
        <f t="shared" si="732"/>
        <v>0</v>
      </c>
      <c r="AQ1027">
        <f t="shared" si="733"/>
        <v>0</v>
      </c>
      <c r="AR1027">
        <v>0</v>
      </c>
      <c r="AS1027">
        <f t="shared" si="716"/>
        <v>0</v>
      </c>
      <c r="AT1027">
        <f t="shared" si="734"/>
        <v>0</v>
      </c>
      <c r="AU1027">
        <f>IFERROR(HLOOKUP(B1027,'Real assumptions'!$B$43:$AL$44,2,TRUE)*($W$3/$U$2),0)</f>
        <v>0</v>
      </c>
      <c r="AV1027">
        <f>AV1026*(1+'Real assumptions'!$B$35)^(1/12)</f>
        <v>2.8597612715961671</v>
      </c>
      <c r="AW1027">
        <f t="shared" si="717"/>
        <v>2103</v>
      </c>
      <c r="AX1027">
        <f t="shared" si="744"/>
        <v>5.4150437181195776E-2</v>
      </c>
      <c r="AY1027">
        <f t="shared" si="745"/>
        <v>5.4030926175587988E-5</v>
      </c>
      <c r="AZ1027">
        <f t="shared" si="718"/>
        <v>3.9181856793897483E-2</v>
      </c>
      <c r="BA1027">
        <f t="shared" si="735"/>
        <v>1.7408380726166984E-4</v>
      </c>
      <c r="BB1027">
        <f t="shared" si="736"/>
        <v>14.333333333333329</v>
      </c>
      <c r="BC1027">
        <f t="shared" si="719"/>
        <v>8.5999999999999979</v>
      </c>
      <c r="BD1027">
        <f t="shared" si="737"/>
        <v>0</v>
      </c>
      <c r="BE1027">
        <f t="shared" si="720"/>
        <v>24</v>
      </c>
      <c r="BF1027">
        <f t="shared" si="746"/>
        <v>5000</v>
      </c>
      <c r="BU1027"/>
      <c r="DW1027" s="89"/>
      <c r="DX1027" s="89"/>
      <c r="FD1027"/>
      <c r="FE1027"/>
    </row>
    <row r="1028" spans="1:161" x14ac:dyDescent="0.25">
      <c r="A1028" s="7">
        <f t="shared" si="738"/>
        <v>74388</v>
      </c>
      <c r="B1028">
        <f t="shared" si="721"/>
        <v>1017</v>
      </c>
      <c r="C1028">
        <f t="shared" si="756"/>
        <v>84.666666666666671</v>
      </c>
      <c r="D1028">
        <f t="shared" si="757"/>
        <v>0</v>
      </c>
      <c r="E1028">
        <f t="shared" si="722"/>
        <v>136</v>
      </c>
      <c r="F1028">
        <f>IF(C1028&gt;=$T$2,0,VLOOKUP($E1028,EKM_F05!$A$3:$C$128,2,TRUE))</f>
        <v>0</v>
      </c>
      <c r="G1028">
        <f>F1028*'Real assumptions'!$B$3</f>
        <v>0</v>
      </c>
      <c r="H1028">
        <f t="shared" si="758"/>
        <v>0</v>
      </c>
      <c r="I1028">
        <f t="shared" si="759"/>
        <v>0</v>
      </c>
      <c r="J1028">
        <f>IF(B1028&gt;$AJ$2,0,HLOOKUP(C1028,'Real assumptions'!$B$5:$L$8,4,TRUE))</f>
        <v>3.7900000000000003E-2</v>
      </c>
      <c r="K1028">
        <f t="shared" si="711"/>
        <v>1</v>
      </c>
      <c r="L1028">
        <f t="shared" si="739"/>
        <v>8.3333333333333329E-2</v>
      </c>
      <c r="M1028">
        <f t="shared" si="760"/>
        <v>3.2145624959929453E-3</v>
      </c>
      <c r="N1028">
        <f t="shared" si="761"/>
        <v>4.1135085704124408E-8</v>
      </c>
      <c r="O1028" s="8">
        <f t="shared" si="723"/>
        <v>1.2755345230171086E-5</v>
      </c>
      <c r="P1028">
        <f t="shared" si="724"/>
        <v>3.0711552758100504E-4</v>
      </c>
      <c r="Q1028">
        <f t="shared" si="740"/>
        <v>0</v>
      </c>
      <c r="R1028" s="89">
        <f t="shared" si="712"/>
        <v>5000</v>
      </c>
      <c r="S1028">
        <f t="shared" si="713"/>
        <v>0.25</v>
      </c>
      <c r="U1028">
        <f>O1027*AV1027*'Real assumptions'!$B$33/12+AX1028*'Real assumptions'!$B$34</f>
        <v>3.8075126352563678E-4</v>
      </c>
      <c r="V1028">
        <f>IF(P1028=0,0,IF(E1028&lt;=$C$7,$AN$5*O1027,0))*'Real assumptions'!$D$28</f>
        <v>0</v>
      </c>
      <c r="X1028" s="94">
        <f t="shared" si="725"/>
        <v>0</v>
      </c>
      <c r="Y1028">
        <f t="shared" si="714"/>
        <v>24</v>
      </c>
      <c r="Z1028">
        <f t="shared" si="741"/>
        <v>14</v>
      </c>
      <c r="AA1028">
        <f t="shared" si="715"/>
        <v>14.25</v>
      </c>
      <c r="AB1028">
        <f t="shared" si="726"/>
        <v>50.505050505050505</v>
      </c>
      <c r="AC1028">
        <f t="shared" si="762"/>
        <v>719.69696969696975</v>
      </c>
      <c r="AD1028">
        <f t="shared" si="727"/>
        <v>80.505050505050505</v>
      </c>
      <c r="AE1028">
        <f t="shared" si="728"/>
        <v>57.359848484848484</v>
      </c>
      <c r="AF1028" s="94">
        <f t="shared" si="729"/>
        <v>4222.943181818182</v>
      </c>
      <c r="AG1028">
        <f t="shared" si="742"/>
        <v>1.7371112970773875E-4</v>
      </c>
      <c r="AH1028">
        <f t="shared" si="730"/>
        <v>5.3865098171488053E-2</v>
      </c>
      <c r="AI1028">
        <f>HLOOKUP(AW1028,'Real assumptions'!$A$21:$AK$24,2,TRUE)</f>
        <v>0</v>
      </c>
      <c r="AJ1028" s="123">
        <f t="shared" si="763"/>
        <v>0</v>
      </c>
      <c r="AK1028" s="122">
        <f>(1+HLOOKUP(YEAR(A1028),'Real assumptions'!$A$21:$AK$24,2,TRUE)/100)^(1/12)-1</f>
        <v>0</v>
      </c>
      <c r="AL1028">
        <f t="shared" si="743"/>
        <v>3.8075126352563678E-4</v>
      </c>
      <c r="AM1028">
        <f>('Real assumptions'!$B$33/12)*O1027*AV1027</f>
        <v>3.6594878820082611E-4</v>
      </c>
      <c r="AN1028">
        <f t="shared" si="731"/>
        <v>5.3907023902805669E-2</v>
      </c>
      <c r="AO1028">
        <f t="shared" si="764"/>
        <v>0</v>
      </c>
      <c r="AP1028" s="121">
        <f t="shared" si="732"/>
        <v>0</v>
      </c>
      <c r="AQ1028">
        <f t="shared" si="733"/>
        <v>0</v>
      </c>
      <c r="AR1028">
        <v>0</v>
      </c>
      <c r="AS1028">
        <f t="shared" si="716"/>
        <v>0</v>
      </c>
      <c r="AT1028">
        <f t="shared" si="734"/>
        <v>0</v>
      </c>
      <c r="AU1028">
        <f>IFERROR(HLOOKUP(B1028,'Real assumptions'!$B$43:$AL$44,2,TRUE)*($W$3/$U$2),0)</f>
        <v>0</v>
      </c>
      <c r="AV1028">
        <f>AV1027*(1+'Real assumptions'!$B$35)^(1/12)</f>
        <v>2.8627232579362114</v>
      </c>
      <c r="AW1028">
        <f t="shared" si="717"/>
        <v>2103</v>
      </c>
      <c r="AX1028">
        <f t="shared" si="744"/>
        <v>5.4034516879136983E-2</v>
      </c>
      <c r="AY1028">
        <f t="shared" si="745"/>
        <v>5.3857240386680176E-5</v>
      </c>
      <c r="AZ1028">
        <f t="shared" si="718"/>
        <v>3.8934509928245112E-2</v>
      </c>
      <c r="BA1028">
        <f t="shared" si="735"/>
        <v>1.7371112970773875E-4</v>
      </c>
      <c r="BB1028">
        <f t="shared" si="736"/>
        <v>14.25</v>
      </c>
      <c r="BC1028">
        <f t="shared" si="719"/>
        <v>8.5500000000000007</v>
      </c>
      <c r="BD1028">
        <f t="shared" si="737"/>
        <v>0</v>
      </c>
      <c r="BE1028">
        <f t="shared" si="720"/>
        <v>24</v>
      </c>
      <c r="BF1028">
        <f t="shared" si="746"/>
        <v>5000</v>
      </c>
      <c r="BU1028"/>
      <c r="DW1028" s="89"/>
      <c r="DX1028" s="89"/>
      <c r="FD1028"/>
      <c r="FE1028"/>
    </row>
    <row r="1029" spans="1:161" x14ac:dyDescent="0.25">
      <c r="A1029" s="7">
        <f t="shared" si="738"/>
        <v>74418</v>
      </c>
      <c r="B1029">
        <f t="shared" si="721"/>
        <v>1018</v>
      </c>
      <c r="C1029">
        <f t="shared" si="756"/>
        <v>84.75</v>
      </c>
      <c r="D1029">
        <f t="shared" si="757"/>
        <v>0</v>
      </c>
      <c r="E1029">
        <f t="shared" si="722"/>
        <v>136</v>
      </c>
      <c r="F1029">
        <f>IF(C1029&gt;=$T$2,0,VLOOKUP($E1029,EKM_F05!$A$3:$C$128,2,TRUE))</f>
        <v>0</v>
      </c>
      <c r="G1029">
        <f>F1029*'Real assumptions'!$B$3</f>
        <v>0</v>
      </c>
      <c r="H1029">
        <f t="shared" si="758"/>
        <v>0</v>
      </c>
      <c r="I1029">
        <f t="shared" si="759"/>
        <v>0</v>
      </c>
      <c r="J1029">
        <f>IF(B1029&gt;$AJ$2,0,HLOOKUP(C1029,'Real assumptions'!$B$5:$L$8,4,TRUE))</f>
        <v>3.7900000000000003E-2</v>
      </c>
      <c r="K1029">
        <f t="shared" si="711"/>
        <v>1</v>
      </c>
      <c r="L1029">
        <f t="shared" si="739"/>
        <v>8.3333333333333329E-2</v>
      </c>
      <c r="M1029">
        <f t="shared" si="760"/>
        <v>3.2145624959929453E-3</v>
      </c>
      <c r="N1029">
        <f t="shared" si="761"/>
        <v>4.1002854400350473E-8</v>
      </c>
      <c r="O1029" s="8">
        <f t="shared" si="723"/>
        <v>1.2714342375770735E-5</v>
      </c>
      <c r="P1029">
        <f t="shared" si="724"/>
        <v>3.0612828552410606E-4</v>
      </c>
      <c r="Q1029">
        <f t="shared" si="740"/>
        <v>0</v>
      </c>
      <c r="R1029" s="89">
        <f t="shared" si="712"/>
        <v>5000</v>
      </c>
      <c r="S1029">
        <f t="shared" si="713"/>
        <v>0.1666666666666714</v>
      </c>
      <c r="U1029">
        <f>O1028*AV1028*'Real assumptions'!$B$33/12+AX1029*'Real assumptions'!$B$34</f>
        <v>3.7992100496770189E-4</v>
      </c>
      <c r="V1029">
        <f>IF(P1029=0,0,IF(E1029&lt;=$C$7,$AN$5*O1028,0))*'Real assumptions'!$D$28</f>
        <v>0</v>
      </c>
      <c r="X1029" s="94">
        <f t="shared" si="725"/>
        <v>0</v>
      </c>
      <c r="Y1029">
        <f t="shared" si="714"/>
        <v>24</v>
      </c>
      <c r="Z1029">
        <f t="shared" si="741"/>
        <v>14</v>
      </c>
      <c r="AA1029">
        <f t="shared" si="715"/>
        <v>14.166666666666671</v>
      </c>
      <c r="AB1029">
        <f t="shared" si="726"/>
        <v>50.505050505050505</v>
      </c>
      <c r="AC1029">
        <f t="shared" si="762"/>
        <v>715.4882154882157</v>
      </c>
      <c r="AD1029">
        <f t="shared" si="727"/>
        <v>80.505050505050505</v>
      </c>
      <c r="AE1029">
        <f t="shared" si="728"/>
        <v>57.024410774410789</v>
      </c>
      <c r="AF1029" s="94">
        <f t="shared" si="729"/>
        <v>4227.4873737373728</v>
      </c>
      <c r="AG1029">
        <f t="shared" si="742"/>
        <v>1.7333904926467351E-4</v>
      </c>
      <c r="AH1029">
        <f t="shared" si="730"/>
        <v>5.3749721858944811E-2</v>
      </c>
      <c r="AI1029">
        <f>HLOOKUP(AW1029,'Real assumptions'!$A$21:$AK$24,2,TRUE)</f>
        <v>0</v>
      </c>
      <c r="AJ1029" s="123">
        <f t="shared" si="763"/>
        <v>0</v>
      </c>
      <c r="AK1029" s="122">
        <f>(1+HLOOKUP(YEAR(A1029),'Real assumptions'!$A$21:$AK$24,2,TRUE)/100)^(1/12)-1</f>
        <v>0</v>
      </c>
      <c r="AL1029">
        <f t="shared" si="743"/>
        <v>3.7992100496770189E-4</v>
      </c>
      <c r="AM1029">
        <f>('Real assumptions'!$B$33/12)*O1028*AV1028</f>
        <v>3.6515023453416489E-4</v>
      </c>
      <c r="AN1029">
        <f t="shared" si="731"/>
        <v>5.3791305452044455E-2</v>
      </c>
      <c r="AO1029">
        <f t="shared" si="764"/>
        <v>0</v>
      </c>
      <c r="AP1029" s="121">
        <f t="shared" si="732"/>
        <v>0</v>
      </c>
      <c r="AQ1029">
        <f t="shared" si="733"/>
        <v>0</v>
      </c>
      <c r="AR1029">
        <v>0</v>
      </c>
      <c r="AS1029">
        <f t="shared" si="716"/>
        <v>0</v>
      </c>
      <c r="AT1029">
        <f t="shared" si="734"/>
        <v>0</v>
      </c>
      <c r="AU1029">
        <f>IFERROR(HLOOKUP(B1029,'Real assumptions'!$B$43:$AL$44,2,TRUE)*($W$3/$U$2),0)</f>
        <v>0</v>
      </c>
      <c r="AV1029">
        <f>AV1028*(1+'Real assumptions'!$B$35)^(1/12)</f>
        <v>2.8656883121418031</v>
      </c>
      <c r="AW1029">
        <f t="shared" si="717"/>
        <v>2103</v>
      </c>
      <c r="AX1029">
        <f t="shared" si="744"/>
        <v>5.3918782284409647E-2</v>
      </c>
      <c r="AY1029">
        <f t="shared" si="745"/>
        <v>5.3684112921595478E-5</v>
      </c>
      <c r="AZ1029">
        <f t="shared" si="718"/>
        <v>3.8687378159536844E-2</v>
      </c>
      <c r="BA1029">
        <f t="shared" si="735"/>
        <v>1.7333904926467351E-4</v>
      </c>
      <c r="BB1029">
        <f t="shared" si="736"/>
        <v>14.166666666666671</v>
      </c>
      <c r="BC1029">
        <f t="shared" si="719"/>
        <v>8.5000000000000036</v>
      </c>
      <c r="BD1029">
        <f t="shared" si="737"/>
        <v>0</v>
      </c>
      <c r="BE1029">
        <f t="shared" si="720"/>
        <v>24</v>
      </c>
      <c r="BF1029">
        <f t="shared" si="746"/>
        <v>5000</v>
      </c>
      <c r="BU1029"/>
      <c r="DW1029" s="89"/>
      <c r="DX1029" s="89"/>
      <c r="FD1029"/>
      <c r="FE1029"/>
    </row>
    <row r="1030" spans="1:161" x14ac:dyDescent="0.25">
      <c r="A1030" s="7">
        <f t="shared" si="738"/>
        <v>74449</v>
      </c>
      <c r="B1030">
        <f t="shared" si="721"/>
        <v>1019</v>
      </c>
      <c r="C1030">
        <f t="shared" si="756"/>
        <v>84.833333333333329</v>
      </c>
      <c r="D1030">
        <f t="shared" si="757"/>
        <v>0</v>
      </c>
      <c r="E1030">
        <f t="shared" si="722"/>
        <v>136</v>
      </c>
      <c r="F1030">
        <f>IF(C1030&gt;=$T$2,0,VLOOKUP($E1030,EKM_F05!$A$3:$C$128,2,TRUE))</f>
        <v>0</v>
      </c>
      <c r="G1030">
        <f>F1030*'Real assumptions'!$B$3</f>
        <v>0</v>
      </c>
      <c r="H1030">
        <f t="shared" si="758"/>
        <v>0</v>
      </c>
      <c r="I1030">
        <f t="shared" si="759"/>
        <v>0</v>
      </c>
      <c r="J1030">
        <f>IF(B1030&gt;$AJ$2,0,HLOOKUP(C1030,'Real assumptions'!$B$5:$L$8,4,TRUE))</f>
        <v>3.7900000000000003E-2</v>
      </c>
      <c r="K1030">
        <f t="shared" si="711"/>
        <v>1</v>
      </c>
      <c r="L1030">
        <f t="shared" si="739"/>
        <v>8.3333333333333329E-2</v>
      </c>
      <c r="M1030">
        <f t="shared" si="760"/>
        <v>3.2145624959929453E-3</v>
      </c>
      <c r="N1030">
        <f t="shared" si="761"/>
        <v>4.0871048162366447E-8</v>
      </c>
      <c r="O1030" s="8">
        <f t="shared" si="723"/>
        <v>1.2673471327608368E-5</v>
      </c>
      <c r="P1030">
        <f t="shared" si="724"/>
        <v>3.0514421701849766E-4</v>
      </c>
      <c r="Q1030">
        <f t="shared" si="740"/>
        <v>0</v>
      </c>
      <c r="R1030" s="89">
        <f t="shared" si="712"/>
        <v>5000</v>
      </c>
      <c r="S1030">
        <f t="shared" si="713"/>
        <v>8.3333333333328596E-2</v>
      </c>
      <c r="U1030">
        <f>O1029*AV1029*'Real assumptions'!$B$33/12+AX1030*'Real assumptions'!$B$34</f>
        <v>3.7909253984504978E-4</v>
      </c>
      <c r="V1030">
        <f>IF(P1030=0,0,IF(E1030&lt;=$C$7,$AN$5*O1029,0))*'Real assumptions'!$D$28</f>
        <v>0</v>
      </c>
      <c r="X1030" s="94">
        <f t="shared" si="725"/>
        <v>0</v>
      </c>
      <c r="Y1030">
        <f t="shared" si="714"/>
        <v>24</v>
      </c>
      <c r="Z1030">
        <f t="shared" si="741"/>
        <v>14</v>
      </c>
      <c r="AA1030">
        <f t="shared" si="715"/>
        <v>14.083333333333329</v>
      </c>
      <c r="AB1030">
        <f t="shared" si="726"/>
        <v>50.505050505050505</v>
      </c>
      <c r="AC1030">
        <f t="shared" si="762"/>
        <v>711.27946127946109</v>
      </c>
      <c r="AD1030">
        <f t="shared" si="727"/>
        <v>80.505050505050505</v>
      </c>
      <c r="AE1030">
        <f t="shared" si="728"/>
        <v>56.688973063973044</v>
      </c>
      <c r="AF1030" s="94">
        <f t="shared" si="729"/>
        <v>4232.0315656565654</v>
      </c>
      <c r="AG1030">
        <f t="shared" si="742"/>
        <v>1.7296756594460457E-4</v>
      </c>
      <c r="AH1030">
        <f t="shared" si="730"/>
        <v>5.3634530704882034E-2</v>
      </c>
      <c r="AI1030">
        <f>HLOOKUP(AW1030,'Real assumptions'!$A$21:$AK$24,2,TRUE)</f>
        <v>0</v>
      </c>
      <c r="AJ1030" s="123">
        <f t="shared" si="763"/>
        <v>0</v>
      </c>
      <c r="AK1030" s="122">
        <f>(1+HLOOKUP(YEAR(A1030),'Real assumptions'!$A$21:$AK$24,2,TRUE)/100)^(1/12)-1</f>
        <v>0</v>
      </c>
      <c r="AL1030">
        <f t="shared" si="743"/>
        <v>3.7909253984504978E-4</v>
      </c>
      <c r="AM1030">
        <f>('Real assumptions'!$B$33/12)*O1029*AV1029</f>
        <v>3.6435342342815445E-4</v>
      </c>
      <c r="AN1030">
        <f t="shared" si="731"/>
        <v>5.3675773536118264E-2</v>
      </c>
      <c r="AO1030">
        <f t="shared" si="764"/>
        <v>0</v>
      </c>
      <c r="AP1030" s="121">
        <f t="shared" si="732"/>
        <v>0</v>
      </c>
      <c r="AQ1030">
        <f t="shared" si="733"/>
        <v>0</v>
      </c>
      <c r="AR1030">
        <v>0</v>
      </c>
      <c r="AS1030">
        <f t="shared" si="716"/>
        <v>0</v>
      </c>
      <c r="AT1030">
        <f t="shared" si="734"/>
        <v>0</v>
      </c>
      <c r="AU1030">
        <f>IFERROR(HLOOKUP(B1030,'Real assumptions'!$B$43:$AL$44,2,TRUE)*($W$3/$U$2),0)</f>
        <v>0</v>
      </c>
      <c r="AV1030">
        <f>AV1029*(1+'Real assumptions'!$B$35)^(1/12)</f>
        <v>2.8686564373904715</v>
      </c>
      <c r="AW1030">
        <f t="shared" si="717"/>
        <v>2103</v>
      </c>
      <c r="AX1030">
        <f t="shared" si="744"/>
        <v>5.3803233400930378E-2</v>
      </c>
      <c r="AY1030">
        <f t="shared" si="745"/>
        <v>5.3511541985567066E-5</v>
      </c>
      <c r="AZ1030">
        <f t="shared" si="718"/>
        <v>3.8440462270765689E-2</v>
      </c>
      <c r="BA1030">
        <f t="shared" si="735"/>
        <v>1.7296756594460457E-4</v>
      </c>
      <c r="BB1030">
        <f t="shared" si="736"/>
        <v>14.083333333333329</v>
      </c>
      <c r="BC1030">
        <f t="shared" si="719"/>
        <v>8.4499999999999957</v>
      </c>
      <c r="BD1030">
        <f t="shared" si="737"/>
        <v>0</v>
      </c>
      <c r="BE1030">
        <f t="shared" si="720"/>
        <v>24</v>
      </c>
      <c r="BF1030">
        <f t="shared" si="746"/>
        <v>5000</v>
      </c>
      <c r="BU1030"/>
      <c r="DW1030" s="89"/>
      <c r="DX1030" s="89"/>
      <c r="FD1030"/>
      <c r="FE1030"/>
    </row>
    <row r="1031" spans="1:161" x14ac:dyDescent="0.25">
      <c r="A1031" s="7">
        <f t="shared" si="738"/>
        <v>74479</v>
      </c>
      <c r="B1031">
        <f t="shared" si="721"/>
        <v>1020</v>
      </c>
      <c r="C1031">
        <f t="shared" si="756"/>
        <v>84.916666666666671</v>
      </c>
      <c r="D1031">
        <f t="shared" si="757"/>
        <v>0</v>
      </c>
      <c r="E1031">
        <f t="shared" si="722"/>
        <v>136</v>
      </c>
      <c r="F1031">
        <f>IF(C1031&gt;=$T$2,0,VLOOKUP($E1031,EKM_F05!$A$3:$C$128,2,TRUE))</f>
        <v>0</v>
      </c>
      <c r="G1031">
        <f>F1031*'Real assumptions'!$B$3</f>
        <v>0</v>
      </c>
      <c r="H1031">
        <f t="shared" si="758"/>
        <v>0</v>
      </c>
      <c r="I1031">
        <f t="shared" si="759"/>
        <v>0</v>
      </c>
      <c r="J1031">
        <f>IF(B1031&gt;$AJ$2,0,HLOOKUP(C1031,'Real assumptions'!$B$5:$L$8,4,TRUE))</f>
        <v>3.7900000000000003E-2</v>
      </c>
      <c r="K1031">
        <f t="shared" si="711"/>
        <v>1</v>
      </c>
      <c r="L1031">
        <f t="shared" si="739"/>
        <v>8.3333333333333329E-2</v>
      </c>
      <c r="M1031">
        <f t="shared" si="760"/>
        <v>3.2145624959929453E-3</v>
      </c>
      <c r="N1031">
        <f t="shared" si="761"/>
        <v>4.073966562377178E-8</v>
      </c>
      <c r="O1031" s="8">
        <f t="shared" si="723"/>
        <v>1.2632731661984597E-5</v>
      </c>
      <c r="P1031">
        <f t="shared" si="724"/>
        <v>3.0416331186260083E-4</v>
      </c>
      <c r="Q1031">
        <f t="shared" si="740"/>
        <v>0</v>
      </c>
      <c r="R1031" s="89">
        <f t="shared" si="712"/>
        <v>5000</v>
      </c>
      <c r="S1031">
        <f t="shared" si="713"/>
        <v>1</v>
      </c>
      <c r="U1031">
        <f>O1030*AV1030*'Real assumptions'!$B$33/12+AX1031*'Real assumptions'!$B$34</f>
        <v>3.7826586435569945E-4</v>
      </c>
      <c r="V1031">
        <f>IF(P1031=0,0,IF(E1031&lt;=$C$7,$AN$5*O1030,0))*'Real assumptions'!$D$28</f>
        <v>0</v>
      </c>
      <c r="X1031" s="94">
        <f t="shared" si="725"/>
        <v>0</v>
      </c>
      <c r="Y1031">
        <f t="shared" si="714"/>
        <v>24</v>
      </c>
      <c r="Z1031">
        <f t="shared" si="741"/>
        <v>14</v>
      </c>
      <c r="AA1031">
        <f t="shared" si="715"/>
        <v>14</v>
      </c>
      <c r="AB1031">
        <f t="shared" si="726"/>
        <v>50.505050505050505</v>
      </c>
      <c r="AC1031">
        <f t="shared" si="762"/>
        <v>707.07070707070704</v>
      </c>
      <c r="AD1031">
        <f t="shared" si="727"/>
        <v>80.505050505050505</v>
      </c>
      <c r="AE1031">
        <f t="shared" si="728"/>
        <v>56.353535353535349</v>
      </c>
      <c r="AF1031" s="94">
        <f t="shared" si="729"/>
        <v>4236.575757575758</v>
      </c>
      <c r="AG1031">
        <f t="shared" si="742"/>
        <v>1.72596679753414E-4</v>
      </c>
      <c r="AH1031">
        <f t="shared" si="730"/>
        <v>5.3519524711123659E-2</v>
      </c>
      <c r="AI1031">
        <f>HLOOKUP(AW1031,'Real assumptions'!$A$21:$AK$24,2,TRUE)</f>
        <v>0</v>
      </c>
      <c r="AJ1031" s="123">
        <f t="shared" si="763"/>
        <v>0</v>
      </c>
      <c r="AK1031" s="122">
        <f>(1+HLOOKUP(YEAR(A1031),'Real assumptions'!$A$21:$AK$24,2,TRUE)/100)^(1/12)-1</f>
        <v>0</v>
      </c>
      <c r="AL1031">
        <f t="shared" si="743"/>
        <v>3.7826586435569945E-4</v>
      </c>
      <c r="AM1031">
        <f>('Real assumptions'!$B$33/12)*O1030*AV1030</f>
        <v>3.6355835108027313E-4</v>
      </c>
      <c r="AN1031">
        <f t="shared" si="731"/>
        <v>5.3560428152388935E-2</v>
      </c>
      <c r="AO1031">
        <f t="shared" si="764"/>
        <v>0</v>
      </c>
      <c r="AP1031" s="121">
        <f t="shared" si="732"/>
        <v>0</v>
      </c>
      <c r="AQ1031">
        <f t="shared" si="733"/>
        <v>0</v>
      </c>
      <c r="AR1031">
        <v>0</v>
      </c>
      <c r="AS1031">
        <f t="shared" si="716"/>
        <v>0</v>
      </c>
      <c r="AT1031">
        <f t="shared" si="734"/>
        <v>0</v>
      </c>
      <c r="AU1031">
        <f>IFERROR(HLOOKUP(B1031,'Real assumptions'!$B$43:$AL$44,2,TRUE)*($W$3/$U$2),0)</f>
        <v>0</v>
      </c>
      <c r="AV1031">
        <f>AV1030*(1+'Real assumptions'!$B$35)^(1/12)</f>
        <v>2.8716276368630376</v>
      </c>
      <c r="AW1031">
        <f t="shared" si="717"/>
        <v>2103</v>
      </c>
      <c r="AX1031">
        <f t="shared" si="744"/>
        <v>5.3687870230671633E-2</v>
      </c>
      <c r="AY1031">
        <f t="shared" si="745"/>
        <v>5.3339525789597508E-5</v>
      </c>
      <c r="AZ1031">
        <f t="shared" si="718"/>
        <v>3.8193763038519173E-2</v>
      </c>
      <c r="BA1031">
        <f t="shared" si="735"/>
        <v>1.72596679753414E-4</v>
      </c>
      <c r="BB1031">
        <f t="shared" si="736"/>
        <v>14</v>
      </c>
      <c r="BC1031">
        <f t="shared" si="719"/>
        <v>8.3999999999999986</v>
      </c>
      <c r="BD1031">
        <f t="shared" si="737"/>
        <v>0</v>
      </c>
      <c r="BE1031">
        <f t="shared" si="720"/>
        <v>24</v>
      </c>
      <c r="BF1031">
        <f t="shared" si="746"/>
        <v>5000</v>
      </c>
      <c r="BU1031"/>
      <c r="DW1031" s="89"/>
      <c r="DX1031" s="89"/>
      <c r="FD1031"/>
      <c r="FE1031"/>
    </row>
    <row r="1032" spans="1:161" x14ac:dyDescent="0.25">
      <c r="A1032" s="7">
        <f t="shared" si="738"/>
        <v>74510</v>
      </c>
      <c r="B1032">
        <f t="shared" si="721"/>
        <v>1021</v>
      </c>
      <c r="C1032">
        <f t="shared" si="756"/>
        <v>85</v>
      </c>
      <c r="D1032">
        <f t="shared" si="757"/>
        <v>1</v>
      </c>
      <c r="E1032">
        <f t="shared" si="722"/>
        <v>137</v>
      </c>
      <c r="F1032">
        <f>IF(C1032&gt;=$T$2,0,VLOOKUP($E1032,EKM_F05!$A$3:$C$128,2,TRUE))</f>
        <v>0</v>
      </c>
      <c r="G1032">
        <f>F1032*'Real assumptions'!$B$3</f>
        <v>0</v>
      </c>
      <c r="H1032">
        <f t="shared" si="758"/>
        <v>0</v>
      </c>
      <c r="I1032">
        <f t="shared" si="759"/>
        <v>0</v>
      </c>
      <c r="J1032">
        <f>IF(B1032&gt;$AJ$2,0,HLOOKUP(C1032,'Real assumptions'!$B$5:$L$8,4,TRUE))</f>
        <v>3.7900000000000003E-2</v>
      </c>
      <c r="K1032">
        <f t="shared" si="711"/>
        <v>1</v>
      </c>
      <c r="L1032">
        <f t="shared" si="739"/>
        <v>8.3333333333333329E-2</v>
      </c>
      <c r="M1032">
        <f t="shared" si="760"/>
        <v>3.2145624959929453E-3</v>
      </c>
      <c r="N1032">
        <f t="shared" si="761"/>
        <v>4.0608705422558312E-8</v>
      </c>
      <c r="O1032" s="8">
        <f t="shared" si="723"/>
        <v>1.2592122956562038E-5</v>
      </c>
      <c r="P1032">
        <f t="shared" si="724"/>
        <v>3.0318555988763032E-4</v>
      </c>
      <c r="Q1032">
        <f t="shared" si="740"/>
        <v>0</v>
      </c>
      <c r="R1032" s="89">
        <f t="shared" si="712"/>
        <v>5000</v>
      </c>
      <c r="S1032">
        <f t="shared" si="713"/>
        <v>0.9166666666666714</v>
      </c>
      <c r="U1032">
        <f>O1031*AV1031*'Real assumptions'!$B$33/12+AX1032*'Real assumptions'!$B$34</f>
        <v>3.7744097470543777E-4</v>
      </c>
      <c r="V1032">
        <f>IF(P1032=0,0,IF(E1032&lt;=$C$7,$AN$5*O1031,0))*'Real assumptions'!$D$28</f>
        <v>0</v>
      </c>
      <c r="X1032" s="94">
        <f t="shared" si="725"/>
        <v>0</v>
      </c>
      <c r="Y1032">
        <f t="shared" si="714"/>
        <v>24</v>
      </c>
      <c r="Z1032">
        <f t="shared" si="741"/>
        <v>14</v>
      </c>
      <c r="AA1032">
        <f t="shared" si="715"/>
        <v>13.916666666666671</v>
      </c>
      <c r="AB1032">
        <f t="shared" si="726"/>
        <v>50.505050505050505</v>
      </c>
      <c r="AC1032">
        <f t="shared" si="762"/>
        <v>702.86195286195311</v>
      </c>
      <c r="AD1032">
        <f t="shared" si="727"/>
        <v>80.505050505050505</v>
      </c>
      <c r="AE1032">
        <f t="shared" si="728"/>
        <v>56.018097643097661</v>
      </c>
      <c r="AF1032" s="94">
        <f t="shared" si="729"/>
        <v>4241.1199494949497</v>
      </c>
      <c r="AG1032">
        <f t="shared" si="742"/>
        <v>1.7222639069077581E-4</v>
      </c>
      <c r="AH1032">
        <f t="shared" si="730"/>
        <v>5.3404703877568592E-2</v>
      </c>
      <c r="AI1032">
        <f>HLOOKUP(AW1032,'Real assumptions'!$A$21:$AK$24,2,TRUE)</f>
        <v>0</v>
      </c>
      <c r="AJ1032" s="123">
        <f t="shared" si="763"/>
        <v>0</v>
      </c>
      <c r="AK1032" s="122">
        <f>(1+HLOOKUP(YEAR(A1032),'Real assumptions'!$A$21:$AK$24,2,TRUE)/100)^(1/12)-1</f>
        <v>0</v>
      </c>
      <c r="AL1032">
        <f t="shared" si="743"/>
        <v>3.7744097470543777E-4</v>
      </c>
      <c r="AM1032">
        <f>('Real assumptions'!$B$33/12)*O1031*AV1031</f>
        <v>3.6276501369629705E-4</v>
      </c>
      <c r="AN1032">
        <f t="shared" si="731"/>
        <v>5.3445269296305851E-2</v>
      </c>
      <c r="AO1032">
        <f t="shared" si="764"/>
        <v>0</v>
      </c>
      <c r="AP1032" s="121">
        <f t="shared" si="732"/>
        <v>0</v>
      </c>
      <c r="AQ1032">
        <f t="shared" si="733"/>
        <v>0</v>
      </c>
      <c r="AR1032">
        <v>0</v>
      </c>
      <c r="AS1032">
        <f t="shared" si="716"/>
        <v>0</v>
      </c>
      <c r="AT1032">
        <f t="shared" si="734"/>
        <v>0</v>
      </c>
      <c r="AU1032">
        <f>IFERROR(HLOOKUP(B1032,'Real assumptions'!$B$43:$AL$44,2,TRUE)*($W$3/$U$2),0)</f>
        <v>0</v>
      </c>
      <c r="AV1032">
        <f>AV1031*(1+'Real assumptions'!$B$35)^(1/12)</f>
        <v>2.8746019137436161</v>
      </c>
      <c r="AW1032">
        <f t="shared" si="717"/>
        <v>2103</v>
      </c>
      <c r="AX1032">
        <f t="shared" si="744"/>
        <v>5.3572692773674102E-2</v>
      </c>
      <c r="AY1032">
        <f t="shared" si="745"/>
        <v>5.316806255044022E-5</v>
      </c>
      <c r="AZ1032">
        <f t="shared" si="718"/>
        <v>3.7947281233010589E-2</v>
      </c>
      <c r="BA1032">
        <f t="shared" si="735"/>
        <v>1.7222639069077581E-4</v>
      </c>
      <c r="BB1032">
        <f t="shared" si="736"/>
        <v>13.916666666666671</v>
      </c>
      <c r="BC1032">
        <f t="shared" si="719"/>
        <v>8.3500000000000014</v>
      </c>
      <c r="BD1032">
        <f t="shared" si="737"/>
        <v>0</v>
      </c>
      <c r="BE1032">
        <f t="shared" si="720"/>
        <v>24</v>
      </c>
      <c r="BF1032">
        <f t="shared" si="746"/>
        <v>5000</v>
      </c>
      <c r="BU1032"/>
      <c r="DW1032" s="89"/>
      <c r="DX1032" s="89"/>
      <c r="FD1032"/>
      <c r="FE1032"/>
    </row>
    <row r="1033" spans="1:161" x14ac:dyDescent="0.25">
      <c r="A1033" s="7">
        <f t="shared" si="738"/>
        <v>74541</v>
      </c>
      <c r="B1033">
        <f t="shared" si="721"/>
        <v>1022</v>
      </c>
      <c r="C1033">
        <f t="shared" si="756"/>
        <v>85.083333333333329</v>
      </c>
      <c r="D1033">
        <f t="shared" si="757"/>
        <v>0</v>
      </c>
      <c r="E1033">
        <f t="shared" si="722"/>
        <v>137</v>
      </c>
      <c r="F1033">
        <f>IF(C1033&gt;=$T$2,0,VLOOKUP($E1033,EKM_F05!$A$3:$C$128,2,TRUE))</f>
        <v>0</v>
      </c>
      <c r="G1033">
        <f>F1033*'Real assumptions'!$B$3</f>
        <v>0</v>
      </c>
      <c r="H1033">
        <f t="shared" si="758"/>
        <v>0</v>
      </c>
      <c r="I1033">
        <f t="shared" si="759"/>
        <v>0</v>
      </c>
      <c r="J1033">
        <f>IF(B1033&gt;$AJ$2,0,HLOOKUP(C1033,'Real assumptions'!$B$5:$L$8,4,TRUE))</f>
        <v>3.7900000000000003E-2</v>
      </c>
      <c r="K1033">
        <f t="shared" si="711"/>
        <v>1</v>
      </c>
      <c r="L1033">
        <f t="shared" si="739"/>
        <v>8.3333333333333329E-2</v>
      </c>
      <c r="M1033">
        <f t="shared" si="760"/>
        <v>3.2145624959929453E-3</v>
      </c>
      <c r="N1033">
        <f t="shared" si="761"/>
        <v>4.047816620109613E-8</v>
      </c>
      <c r="O1033" s="8">
        <f t="shared" si="723"/>
        <v>1.2551644790360943E-5</v>
      </c>
      <c r="P1033">
        <f t="shared" si="724"/>
        <v>3.0221095095748894E-4</v>
      </c>
      <c r="Q1033">
        <f t="shared" si="740"/>
        <v>0</v>
      </c>
      <c r="R1033" s="89">
        <f t="shared" si="712"/>
        <v>5000</v>
      </c>
      <c r="S1033">
        <f t="shared" si="713"/>
        <v>0.8333333333333286</v>
      </c>
      <c r="U1033">
        <f>O1032*AV1032*'Real assumptions'!$B$33/12+AX1033*'Real assumptions'!$B$34</f>
        <v>3.7661786710780579E-4</v>
      </c>
      <c r="V1033">
        <f>IF(P1033=0,0,IF(E1033&lt;=$C$7,$AN$5*O1032,0))*'Real assumptions'!$D$28</f>
        <v>0</v>
      </c>
      <c r="X1033" s="94">
        <f t="shared" si="725"/>
        <v>0</v>
      </c>
      <c r="Y1033">
        <f t="shared" si="714"/>
        <v>24</v>
      </c>
      <c r="Z1033">
        <f t="shared" si="741"/>
        <v>13</v>
      </c>
      <c r="AA1033">
        <f t="shared" si="715"/>
        <v>13.833333333333329</v>
      </c>
      <c r="AB1033">
        <f t="shared" si="726"/>
        <v>50.505050505050505</v>
      </c>
      <c r="AC1033">
        <f t="shared" si="762"/>
        <v>698.65319865319839</v>
      </c>
      <c r="AD1033">
        <f t="shared" si="727"/>
        <v>80.505050505050505</v>
      </c>
      <c r="AE1033">
        <f t="shared" si="728"/>
        <v>55.682659932659909</v>
      </c>
      <c r="AF1033" s="94">
        <f t="shared" si="729"/>
        <v>4245.6641414141423</v>
      </c>
      <c r="AG1033">
        <f t="shared" si="742"/>
        <v>1.7185669875019574E-4</v>
      </c>
      <c r="AH1033">
        <f t="shared" si="730"/>
        <v>5.3290068202203084E-2</v>
      </c>
      <c r="AI1033">
        <f>HLOOKUP(AW1033,'Real assumptions'!$A$21:$AK$24,2,TRUE)</f>
        <v>0</v>
      </c>
      <c r="AJ1033" s="123">
        <f t="shared" si="763"/>
        <v>0</v>
      </c>
      <c r="AK1033" s="122">
        <f>(1+HLOOKUP(YEAR(A1033),'Real assumptions'!$A$21:$AK$24,2,TRUE)/100)^(1/12)-1</f>
        <v>0</v>
      </c>
      <c r="AL1033">
        <f t="shared" si="743"/>
        <v>3.7661786710780579E-4</v>
      </c>
      <c r="AM1033">
        <f>('Real assumptions'!$B$33/12)*O1032*AV1032</f>
        <v>3.6197340749028161E-4</v>
      </c>
      <c r="AN1033">
        <f t="shared" si="731"/>
        <v>5.3330296961418278E-2</v>
      </c>
      <c r="AO1033">
        <f t="shared" si="764"/>
        <v>0</v>
      </c>
      <c r="AP1033" s="121">
        <f t="shared" si="732"/>
        <v>0</v>
      </c>
      <c r="AQ1033">
        <f t="shared" si="733"/>
        <v>0</v>
      </c>
      <c r="AR1033">
        <v>0</v>
      </c>
      <c r="AS1033">
        <f t="shared" si="716"/>
        <v>0</v>
      </c>
      <c r="AT1033">
        <f t="shared" si="734"/>
        <v>0</v>
      </c>
      <c r="AU1033">
        <f>IFERROR(HLOOKUP(B1033,'Real assumptions'!$B$43:$AL$44,2,TRUE)*($W$3/$U$2),0)</f>
        <v>0</v>
      </c>
      <c r="AV1033">
        <f>AV1032*(1+'Real assumptions'!$B$35)^(1/12)</f>
        <v>2.8775792712196204</v>
      </c>
      <c r="AW1033">
        <f t="shared" si="717"/>
        <v>2104</v>
      </c>
      <c r="AX1033">
        <f t="shared" si="744"/>
        <v>5.3457701028059176E-2</v>
      </c>
      <c r="AY1033">
        <f t="shared" si="745"/>
        <v>5.2997150490580969E-5</v>
      </c>
      <c r="AZ1033">
        <f t="shared" si="718"/>
        <v>3.770101761811008E-2</v>
      </c>
      <c r="BA1033">
        <f t="shared" si="735"/>
        <v>1.7185669875019574E-4</v>
      </c>
      <c r="BB1033">
        <f t="shared" si="736"/>
        <v>13.833333333333329</v>
      </c>
      <c r="BC1033">
        <f t="shared" si="719"/>
        <v>8.2999999999999972</v>
      </c>
      <c r="BD1033">
        <f t="shared" si="737"/>
        <v>0</v>
      </c>
      <c r="BE1033">
        <f t="shared" si="720"/>
        <v>24</v>
      </c>
      <c r="BF1033">
        <f t="shared" si="746"/>
        <v>5000</v>
      </c>
      <c r="BU1033"/>
      <c r="DW1033" s="89"/>
      <c r="DX1033" s="89"/>
      <c r="FD1033"/>
      <c r="FE1033"/>
    </row>
    <row r="1034" spans="1:161" x14ac:dyDescent="0.25">
      <c r="A1034" s="7">
        <f t="shared" si="738"/>
        <v>74570</v>
      </c>
      <c r="B1034">
        <f t="shared" si="721"/>
        <v>1023</v>
      </c>
      <c r="C1034">
        <f t="shared" si="756"/>
        <v>85.166666666666671</v>
      </c>
      <c r="D1034">
        <f t="shared" si="757"/>
        <v>0</v>
      </c>
      <c r="E1034">
        <f t="shared" si="722"/>
        <v>137</v>
      </c>
      <c r="F1034">
        <f>IF(C1034&gt;=$T$2,0,VLOOKUP($E1034,EKM_F05!$A$3:$C$128,2,TRUE))</f>
        <v>0</v>
      </c>
      <c r="G1034">
        <f>F1034*'Real assumptions'!$B$3</f>
        <v>0</v>
      </c>
      <c r="H1034">
        <f t="shared" si="758"/>
        <v>0</v>
      </c>
      <c r="I1034">
        <f t="shared" si="759"/>
        <v>0</v>
      </c>
      <c r="J1034">
        <f>IF(B1034&gt;$AJ$2,0,HLOOKUP(C1034,'Real assumptions'!$B$5:$L$8,4,TRUE))</f>
        <v>3.7900000000000003E-2</v>
      </c>
      <c r="K1034">
        <f t="shared" si="711"/>
        <v>1</v>
      </c>
      <c r="L1034">
        <f t="shared" si="739"/>
        <v>8.3333333333333329E-2</v>
      </c>
      <c r="M1034">
        <f t="shared" si="760"/>
        <v>3.2145624959929453E-3</v>
      </c>
      <c r="N1034">
        <f t="shared" si="761"/>
        <v>4.0348046606119519E-8</v>
      </c>
      <c r="O1034" s="8">
        <f t="shared" si="723"/>
        <v>1.2511296743754824E-5</v>
      </c>
      <c r="P1034">
        <f t="shared" si="724"/>
        <v>3.0123947496866262E-4</v>
      </c>
      <c r="Q1034">
        <f t="shared" si="740"/>
        <v>0</v>
      </c>
      <c r="R1034" s="89">
        <f t="shared" si="712"/>
        <v>5000</v>
      </c>
      <c r="S1034">
        <f t="shared" si="713"/>
        <v>0.75</v>
      </c>
      <c r="U1034">
        <f>O1033*AV1033*'Real assumptions'!$B$33/12+AX1034*'Real assumptions'!$B$34</f>
        <v>3.757965377840834E-4</v>
      </c>
      <c r="V1034">
        <f>IF(P1034=0,0,IF(E1034&lt;=$C$7,$AN$5*O1033,0))*'Real assumptions'!$D$28</f>
        <v>0</v>
      </c>
      <c r="X1034" s="94">
        <f t="shared" si="725"/>
        <v>0</v>
      </c>
      <c r="Y1034">
        <f t="shared" si="714"/>
        <v>24</v>
      </c>
      <c r="Z1034">
        <f t="shared" si="741"/>
        <v>13</v>
      </c>
      <c r="AA1034">
        <f t="shared" si="715"/>
        <v>13.75</v>
      </c>
      <c r="AB1034">
        <f t="shared" si="726"/>
        <v>50.505050505050505</v>
      </c>
      <c r="AC1034">
        <f t="shared" si="762"/>
        <v>694.44444444444446</v>
      </c>
      <c r="AD1034">
        <f t="shared" si="727"/>
        <v>80.505050505050505</v>
      </c>
      <c r="AE1034">
        <f t="shared" si="728"/>
        <v>55.347222222222221</v>
      </c>
      <c r="AF1034" s="94">
        <f t="shared" si="729"/>
        <v>4250.208333333333</v>
      </c>
      <c r="AG1034">
        <f t="shared" si="742"/>
        <v>1.714876039190509E-4</v>
      </c>
      <c r="AH1034">
        <f t="shared" si="730"/>
        <v>5.3175617681112945E-2</v>
      </c>
      <c r="AI1034">
        <f>HLOOKUP(AW1034,'Real assumptions'!$A$21:$AK$24,2,TRUE)</f>
        <v>0</v>
      </c>
      <c r="AJ1034" s="123">
        <f t="shared" si="763"/>
        <v>0</v>
      </c>
      <c r="AK1034" s="122">
        <f>(1+HLOOKUP(YEAR(A1034),'Real assumptions'!$A$21:$AK$24,2,TRUE)/100)^(1/12)-1</f>
        <v>0</v>
      </c>
      <c r="AL1034">
        <f t="shared" si="743"/>
        <v>3.757965377840834E-4</v>
      </c>
      <c r="AM1034">
        <f>('Real assumptions'!$B$33/12)*O1033*AV1033</f>
        <v>3.611835286845439E-4</v>
      </c>
      <c r="AN1034">
        <f t="shared" si="731"/>
        <v>5.3215511139387661E-2</v>
      </c>
      <c r="AO1034">
        <f t="shared" si="764"/>
        <v>0</v>
      </c>
      <c r="AP1034" s="121">
        <f t="shared" si="732"/>
        <v>0</v>
      </c>
      <c r="AQ1034">
        <f t="shared" si="733"/>
        <v>0</v>
      </c>
      <c r="AR1034">
        <v>0</v>
      </c>
      <c r="AS1034">
        <f t="shared" si="716"/>
        <v>0</v>
      </c>
      <c r="AT1034">
        <f t="shared" si="734"/>
        <v>0</v>
      </c>
      <c r="AU1034">
        <f>IFERROR(HLOOKUP(B1034,'Real assumptions'!$B$43:$AL$44,2,TRUE)*($W$3/$U$2),0)</f>
        <v>0</v>
      </c>
      <c r="AV1034">
        <f>AV1033*(1+'Real assumptions'!$B$35)^(1/12)</f>
        <v>2.8805597124817646</v>
      </c>
      <c r="AW1034">
        <f t="shared" si="717"/>
        <v>2104</v>
      </c>
      <c r="AX1034">
        <f t="shared" si="744"/>
        <v>5.3342894990041301E-2</v>
      </c>
      <c r="AY1034">
        <f t="shared" si="745"/>
        <v>5.2826787838219452E-5</v>
      </c>
      <c r="AZ1034">
        <f t="shared" si="718"/>
        <v>3.7454972951375606E-2</v>
      </c>
      <c r="BA1034">
        <f t="shared" si="735"/>
        <v>1.714876039190509E-4</v>
      </c>
      <c r="BB1034">
        <f t="shared" si="736"/>
        <v>13.75</v>
      </c>
      <c r="BC1034">
        <f t="shared" si="719"/>
        <v>8.25</v>
      </c>
      <c r="BD1034">
        <f t="shared" si="737"/>
        <v>0</v>
      </c>
      <c r="BE1034">
        <f t="shared" si="720"/>
        <v>24</v>
      </c>
      <c r="BF1034">
        <f t="shared" si="746"/>
        <v>5000</v>
      </c>
      <c r="BU1034"/>
      <c r="DW1034" s="89"/>
      <c r="DX1034" s="89"/>
      <c r="FD1034"/>
      <c r="FE1034"/>
    </row>
    <row r="1035" spans="1:161" x14ac:dyDescent="0.25">
      <c r="A1035" s="7">
        <f t="shared" si="738"/>
        <v>74601</v>
      </c>
      <c r="B1035">
        <f t="shared" si="721"/>
        <v>1024</v>
      </c>
      <c r="C1035">
        <f t="shared" si="756"/>
        <v>85.25</v>
      </c>
      <c r="D1035">
        <f t="shared" si="757"/>
        <v>0</v>
      </c>
      <c r="E1035">
        <f t="shared" si="722"/>
        <v>137</v>
      </c>
      <c r="F1035">
        <f>IF(C1035&gt;=$T$2,0,VLOOKUP($E1035,EKM_F05!$A$3:$C$128,2,TRUE))</f>
        <v>0</v>
      </c>
      <c r="G1035">
        <f>F1035*'Real assumptions'!$B$3</f>
        <v>0</v>
      </c>
      <c r="H1035">
        <f t="shared" si="758"/>
        <v>0</v>
      </c>
      <c r="I1035">
        <f t="shared" si="759"/>
        <v>0</v>
      </c>
      <c r="J1035">
        <f>IF(B1035&gt;$AJ$2,0,HLOOKUP(C1035,'Real assumptions'!$B$5:$L$8,4,TRUE))</f>
        <v>3.7900000000000003E-2</v>
      </c>
      <c r="K1035">
        <f t="shared" si="711"/>
        <v>1</v>
      </c>
      <c r="L1035">
        <f t="shared" si="739"/>
        <v>8.3333333333333329E-2</v>
      </c>
      <c r="M1035">
        <f t="shared" si="760"/>
        <v>3.2145624959929453E-3</v>
      </c>
      <c r="N1035">
        <f t="shared" si="761"/>
        <v>4.0218345288712918E-8</v>
      </c>
      <c r="O1035" s="8">
        <f t="shared" si="723"/>
        <v>1.2471078398466111E-5</v>
      </c>
      <c r="P1035">
        <f t="shared" si="724"/>
        <v>3.0027112185011578E-4</v>
      </c>
      <c r="Q1035">
        <f t="shared" si="740"/>
        <v>0</v>
      </c>
      <c r="R1035" s="89">
        <f t="shared" si="712"/>
        <v>5000</v>
      </c>
      <c r="S1035">
        <f t="shared" si="713"/>
        <v>0.6666666666666714</v>
      </c>
      <c r="U1035">
        <f>O1034*AV1034*'Real assumptions'!$B$33/12+AX1035*'Real assumptions'!$B$34</f>
        <v>3.7497698296327508E-4</v>
      </c>
      <c r="V1035">
        <f>IF(P1035=0,0,IF(E1035&lt;=$C$7,$AN$5*O1034,0))*'Real assumptions'!$D$28</f>
        <v>0</v>
      </c>
      <c r="X1035" s="94">
        <f t="shared" si="725"/>
        <v>0</v>
      </c>
      <c r="Y1035">
        <f t="shared" si="714"/>
        <v>24</v>
      </c>
      <c r="Z1035">
        <f t="shared" si="741"/>
        <v>13</v>
      </c>
      <c r="AA1035">
        <f t="shared" si="715"/>
        <v>13.666666666666671</v>
      </c>
      <c r="AB1035">
        <f t="shared" si="726"/>
        <v>50.505050505050505</v>
      </c>
      <c r="AC1035">
        <f t="shared" si="762"/>
        <v>690.23569023569053</v>
      </c>
      <c r="AD1035">
        <f t="shared" si="727"/>
        <v>80.505050505050505</v>
      </c>
      <c r="AE1035">
        <f t="shared" si="728"/>
        <v>55.011784511784526</v>
      </c>
      <c r="AF1035" s="94">
        <f t="shared" si="729"/>
        <v>4254.7525252525247</v>
      </c>
      <c r="AG1035">
        <f t="shared" si="742"/>
        <v>1.7111910617862927E-4</v>
      </c>
      <c r="AH1035">
        <f t="shared" si="730"/>
        <v>5.3061352308495895E-2</v>
      </c>
      <c r="AI1035">
        <f>HLOOKUP(AW1035,'Real assumptions'!$A$21:$AK$24,2,TRUE)</f>
        <v>0</v>
      </c>
      <c r="AJ1035" s="123">
        <f t="shared" si="763"/>
        <v>0</v>
      </c>
      <c r="AK1035" s="122">
        <f>(1+HLOOKUP(YEAR(A1035),'Real assumptions'!$A$21:$AK$24,2,TRUE)/100)^(1/12)-1</f>
        <v>0</v>
      </c>
      <c r="AL1035">
        <f t="shared" si="743"/>
        <v>3.7497698296327508E-4</v>
      </c>
      <c r="AM1035">
        <f>('Real assumptions'!$B$33/12)*O1034*AV1034</f>
        <v>3.6039537350964434E-4</v>
      </c>
      <c r="AN1035">
        <f t="shared" si="731"/>
        <v>5.3100911819999791E-2</v>
      </c>
      <c r="AO1035">
        <f t="shared" si="764"/>
        <v>0</v>
      </c>
      <c r="AP1035" s="121">
        <f t="shared" si="732"/>
        <v>0</v>
      </c>
      <c r="AQ1035">
        <f t="shared" si="733"/>
        <v>0</v>
      </c>
      <c r="AR1035">
        <v>0</v>
      </c>
      <c r="AS1035">
        <f t="shared" si="716"/>
        <v>0</v>
      </c>
      <c r="AT1035">
        <f t="shared" si="734"/>
        <v>0</v>
      </c>
      <c r="AU1035">
        <f>IFERROR(HLOOKUP(B1035,'Real assumptions'!$B$43:$AL$44,2,TRUE)*($W$3/$U$2),0)</f>
        <v>0</v>
      </c>
      <c r="AV1035">
        <f>AV1034*(1+'Real assumptions'!$B$35)^(1/12)</f>
        <v>2.8835432407240682</v>
      </c>
      <c r="AW1035">
        <f t="shared" si="717"/>
        <v>2104</v>
      </c>
      <c r="AX1035">
        <f t="shared" si="744"/>
        <v>5.32282746539402E-2</v>
      </c>
      <c r="AY1035">
        <f t="shared" si="745"/>
        <v>5.2656972827250938E-5</v>
      </c>
      <c r="AZ1035">
        <f t="shared" si="718"/>
        <v>3.7209147984083819E-2</v>
      </c>
      <c r="BA1035">
        <f t="shared" si="735"/>
        <v>1.7111910617862927E-4</v>
      </c>
      <c r="BB1035">
        <f t="shared" si="736"/>
        <v>13.666666666666671</v>
      </c>
      <c r="BC1035">
        <f t="shared" si="719"/>
        <v>8.2000000000000028</v>
      </c>
      <c r="BD1035">
        <f t="shared" si="737"/>
        <v>0</v>
      </c>
      <c r="BE1035">
        <f t="shared" si="720"/>
        <v>24</v>
      </c>
      <c r="BF1035">
        <f t="shared" si="746"/>
        <v>5000</v>
      </c>
      <c r="BU1035"/>
      <c r="DW1035" s="89"/>
      <c r="DX1035" s="89"/>
      <c r="FD1035"/>
      <c r="FE1035"/>
    </row>
    <row r="1036" spans="1:161" x14ac:dyDescent="0.25">
      <c r="A1036" s="7">
        <f t="shared" si="738"/>
        <v>74631</v>
      </c>
      <c r="B1036">
        <f t="shared" si="721"/>
        <v>1025</v>
      </c>
      <c r="C1036">
        <f t="shared" si="756"/>
        <v>85.333333333333329</v>
      </c>
      <c r="D1036">
        <f t="shared" si="757"/>
        <v>0</v>
      </c>
      <c r="E1036">
        <f t="shared" si="722"/>
        <v>137</v>
      </c>
      <c r="F1036">
        <f>IF(C1036&gt;=$T$2,0,VLOOKUP($E1036,EKM_F05!$A$3:$C$128,2,TRUE))</f>
        <v>0</v>
      </c>
      <c r="G1036">
        <f>F1036*'Real assumptions'!$B$3</f>
        <v>0</v>
      </c>
      <c r="H1036">
        <f t="shared" si="758"/>
        <v>0</v>
      </c>
      <c r="I1036">
        <f t="shared" si="759"/>
        <v>0</v>
      </c>
      <c r="J1036">
        <f>IF(B1036&gt;$AJ$2,0,HLOOKUP(C1036,'Real assumptions'!$B$5:$L$8,4,TRUE))</f>
        <v>3.7900000000000003E-2</v>
      </c>
      <c r="K1036">
        <f t="shared" ref="K1036:K1099" si="765">IF(B1036&gt;$AJ$2,0,IF(($U$2*(B1036+11))/12-INT(($U$2*(B1036+11))/12)=0,1,0))</f>
        <v>1</v>
      </c>
      <c r="L1036">
        <f t="shared" si="739"/>
        <v>8.3333333333333329E-2</v>
      </c>
      <c r="M1036">
        <f t="shared" si="760"/>
        <v>3.2145624959929453E-3</v>
      </c>
      <c r="N1036">
        <f t="shared" si="761"/>
        <v>4.0089060904296922E-8</v>
      </c>
      <c r="O1036" s="8">
        <f t="shared" si="723"/>
        <v>1.2430989337561815E-5</v>
      </c>
      <c r="P1036">
        <f t="shared" si="724"/>
        <v>2.9930588156318663E-4</v>
      </c>
      <c r="Q1036">
        <f t="shared" si="740"/>
        <v>0</v>
      </c>
      <c r="R1036" s="89">
        <f t="shared" ref="R1036:R1099" si="766">$AI$2</f>
        <v>5000</v>
      </c>
      <c r="S1036">
        <f t="shared" ref="S1036:S1099" si="767">INT(B1036/12)+1-B1036/12</f>
        <v>0.5833333333333286</v>
      </c>
      <c r="U1036">
        <f>O1035*AV1035*'Real assumptions'!$B$33/12+AX1036*'Real assumptions'!$B$34</f>
        <v>3.7415919888209498E-4</v>
      </c>
      <c r="V1036">
        <f>IF(P1036=0,0,IF(E1036&lt;=$C$7,$AN$5*O1035,0))*'Real assumptions'!$D$28</f>
        <v>0</v>
      </c>
      <c r="X1036" s="94">
        <f t="shared" si="725"/>
        <v>0</v>
      </c>
      <c r="Y1036">
        <f t="shared" ref="Y1036:Y1099" si="768">IF(P1036=0,0,$AN$5)</f>
        <v>24</v>
      </c>
      <c r="Z1036">
        <f t="shared" si="741"/>
        <v>13</v>
      </c>
      <c r="AA1036">
        <f t="shared" ref="AA1036:AA1099" si="769">99-(B1036/12)</f>
        <v>13.583333333333329</v>
      </c>
      <c r="AB1036">
        <f t="shared" si="726"/>
        <v>50.505050505050505</v>
      </c>
      <c r="AC1036">
        <f t="shared" si="762"/>
        <v>686.0269360269358</v>
      </c>
      <c r="AD1036">
        <f t="shared" si="727"/>
        <v>80.505050505050505</v>
      </c>
      <c r="AE1036">
        <f t="shared" si="728"/>
        <v>54.676346801346781</v>
      </c>
      <c r="AF1036" s="94">
        <f t="shared" si="729"/>
        <v>4259.2967171717173</v>
      </c>
      <c r="AG1036">
        <f t="shared" si="742"/>
        <v>1.7075120550416893E-4</v>
      </c>
      <c r="AH1036">
        <f t="shared" si="730"/>
        <v>5.2947272076673657E-2</v>
      </c>
      <c r="AI1036">
        <f>HLOOKUP(AW1036,'Real assumptions'!$A$21:$AK$24,2,TRUE)</f>
        <v>0</v>
      </c>
      <c r="AJ1036" s="123">
        <f t="shared" si="763"/>
        <v>0</v>
      </c>
      <c r="AK1036" s="122">
        <f>(1+HLOOKUP(YEAR(A1036),'Real assumptions'!$A$21:$AK$24,2,TRUE)/100)^(1/12)-1</f>
        <v>0</v>
      </c>
      <c r="AL1036">
        <f t="shared" si="743"/>
        <v>3.7415919888209498E-4</v>
      </c>
      <c r="AM1036">
        <f>('Real assumptions'!$B$33/12)*O1035*AV1035</f>
        <v>3.5960893820436893E-4</v>
      </c>
      <c r="AN1036">
        <f t="shared" si="731"/>
        <v>5.2986498991176981E-2</v>
      </c>
      <c r="AO1036">
        <f t="shared" si="764"/>
        <v>0</v>
      </c>
      <c r="AP1036" s="121">
        <f t="shared" si="732"/>
        <v>0</v>
      </c>
      <c r="AQ1036">
        <f t="shared" si="733"/>
        <v>0</v>
      </c>
      <c r="AR1036">
        <v>0</v>
      </c>
      <c r="AS1036">
        <f t="shared" ref="AS1036:AS1099" si="770">IF(B1036&gt;$B$12,IF(B1036&lt;=$AJ$2,AT1036,0),0)</f>
        <v>0</v>
      </c>
      <c r="AT1036">
        <f t="shared" si="734"/>
        <v>0</v>
      </c>
      <c r="AU1036">
        <f>IFERROR(HLOOKUP(B1036,'Real assumptions'!$B$43:$AL$44,2,TRUE)*($W$3/$U$2),0)</f>
        <v>0</v>
      </c>
      <c r="AV1036">
        <f>AV1035*(1+'Real assumptions'!$B$35)^(1/12)</f>
        <v>2.8865298591438586</v>
      </c>
      <c r="AW1036">
        <f t="shared" ref="AW1036:AW1099" si="771">YEAR(A1036)</f>
        <v>2104</v>
      </c>
      <c r="AX1036">
        <f t="shared" si="744"/>
        <v>5.3113840012193145E-2</v>
      </c>
      <c r="AY1036">
        <f t="shared" si="745"/>
        <v>5.2487703697247941E-5</v>
      </c>
      <c r="AZ1036">
        <f t="shared" ref="AZ1036:AZ1099" si="772">(AZ1037+BA1037-P1037+U1037+AQ1037)/((1+AJ1037))</f>
        <v>3.6963543461260739E-2</v>
      </c>
      <c r="BA1036">
        <f t="shared" si="735"/>
        <v>1.7075120550416893E-4</v>
      </c>
      <c r="BB1036">
        <f t="shared" si="736"/>
        <v>13.583333333333329</v>
      </c>
      <c r="BC1036">
        <f t="shared" ref="BC1036:BC1099" si="773">$AQ$5*BB1036+IF($W$3=0,0,$AP$5*AA1036)</f>
        <v>8.1499999999999968</v>
      </c>
      <c r="BD1036">
        <f t="shared" si="737"/>
        <v>0</v>
      </c>
      <c r="BE1036">
        <f t="shared" ref="BE1036:BE1099" si="774">IF(B1036=1,$AR$5,IF(P1036=0,0,$W$3/$U$2))</f>
        <v>24</v>
      </c>
      <c r="BF1036">
        <f t="shared" si="746"/>
        <v>5000</v>
      </c>
      <c r="BU1036"/>
      <c r="DW1036" s="89"/>
      <c r="DX1036" s="89"/>
      <c r="FD1036"/>
      <c r="FE1036"/>
    </row>
    <row r="1037" spans="1:161" x14ac:dyDescent="0.25">
      <c r="A1037" s="7">
        <f t="shared" si="738"/>
        <v>74662</v>
      </c>
      <c r="B1037">
        <f t="shared" ref="B1037:B1100" si="775">B1036+1</f>
        <v>1026</v>
      </c>
      <c r="C1037">
        <f t="shared" si="756"/>
        <v>85.416666666666671</v>
      </c>
      <c r="D1037">
        <f t="shared" si="757"/>
        <v>0</v>
      </c>
      <c r="E1037">
        <f t="shared" ref="E1037:E1100" si="776">$C$2+INT($C1037)</f>
        <v>137</v>
      </c>
      <c r="F1037">
        <f>IF(C1037&gt;=$T$2,0,VLOOKUP($E1037,EKM_F05!$A$3:$C$128,2,TRUE))</f>
        <v>0</v>
      </c>
      <c r="G1037">
        <f>F1037*'Real assumptions'!$B$3</f>
        <v>0</v>
      </c>
      <c r="H1037">
        <f t="shared" si="758"/>
        <v>0</v>
      </c>
      <c r="I1037">
        <f t="shared" si="759"/>
        <v>0</v>
      </c>
      <c r="J1037">
        <f>IF(B1037&gt;$AJ$2,0,HLOOKUP(C1037,'Real assumptions'!$B$5:$L$8,4,TRUE))</f>
        <v>3.7900000000000003E-2</v>
      </c>
      <c r="K1037">
        <f t="shared" si="765"/>
        <v>1</v>
      </c>
      <c r="L1037">
        <f t="shared" si="739"/>
        <v>8.3333333333333329E-2</v>
      </c>
      <c r="M1037">
        <f t="shared" si="760"/>
        <v>3.2145624959929453E-3</v>
      </c>
      <c r="N1037">
        <f t="shared" si="761"/>
        <v>3.9960192112614397E-8</v>
      </c>
      <c r="O1037" s="8">
        <f t="shared" ref="O1037:O1100" si="777">IF(E1038&gt;$C$5,0,IF(B1037&gt;$AJ$2,0,O1036-I1037-N1037))</f>
        <v>1.2391029145449201E-5</v>
      </c>
      <c r="P1037">
        <f t="shared" ref="P1037:P1100" si="778">IF($U$2=0,0,$W$3/$U$2*K1037*O1036)</f>
        <v>2.9834374410148357E-4</v>
      </c>
      <c r="Q1037">
        <f t="shared" si="740"/>
        <v>0</v>
      </c>
      <c r="R1037" s="89">
        <f t="shared" si="766"/>
        <v>5000</v>
      </c>
      <c r="S1037">
        <f t="shared" si="767"/>
        <v>0.5</v>
      </c>
      <c r="U1037">
        <f>O1036*AV1036*'Real assumptions'!$B$33/12+AX1037*'Real assumptions'!$B$34</f>
        <v>3.7334318178495243E-4</v>
      </c>
      <c r="V1037">
        <f>IF(P1037=0,0,IF(E1037&lt;=$C$7,$AN$5*O1036,0))*'Real assumptions'!$D$28</f>
        <v>0</v>
      </c>
      <c r="X1037" s="94">
        <f t="shared" ref="X1037:X1100" si="779">IF($U$2=12,0,IF($AM$2&lt;&gt;0,0,X1036+Y1037-($AN$5*($U$2/12))))</f>
        <v>0</v>
      </c>
      <c r="Y1037">
        <f t="shared" si="768"/>
        <v>24</v>
      </c>
      <c r="Z1037">
        <f t="shared" si="741"/>
        <v>13</v>
      </c>
      <c r="AA1037">
        <f t="shared" si="769"/>
        <v>13.5</v>
      </c>
      <c r="AB1037">
        <f t="shared" ref="AB1037:AB1100" si="780">IF($AM$2&lt;&gt;0,0,R1037/99)</f>
        <v>50.505050505050505</v>
      </c>
      <c r="AC1037">
        <f t="shared" si="762"/>
        <v>681.81818181818187</v>
      </c>
      <c r="AD1037">
        <f t="shared" ref="AD1037:AD1100" si="781">IF($AM$2&lt;&gt;0,0,AB1037+$Q$4*$AI$2+$Q$5*$AI$2)</f>
        <v>80.505050505050505</v>
      </c>
      <c r="AE1037">
        <f t="shared" ref="AE1037:AE1100" si="782">MIN($C$6*AD1037*AA1037,$AI$2-AC1037+BD1037)</f>
        <v>54.340909090909086</v>
      </c>
      <c r="AF1037" s="94">
        <f t="shared" ref="AF1037:AF1100" si="783">MAX(($AI$2+$Y$2-AC1037-AE1037+X1037+BD1037),0)</f>
        <v>4263.840909090909</v>
      </c>
      <c r="AG1037">
        <f t="shared" si="742"/>
        <v>1.7038390186489713E-4</v>
      </c>
      <c r="AH1037">
        <f t="shared" ref="AH1037:AH1100" si="784">AF1037*O1037</f>
        <v>5.2833376976104067E-2</v>
      </c>
      <c r="AI1037">
        <f>HLOOKUP(AW1037,'Real assumptions'!$A$21:$AK$24,2,TRUE)</f>
        <v>0</v>
      </c>
      <c r="AJ1037" s="123">
        <f t="shared" si="763"/>
        <v>0</v>
      </c>
      <c r="AK1037" s="122">
        <f>(1+HLOOKUP(YEAR(A1037),'Real assumptions'!$A$21:$AK$24,2,TRUE)/100)^(1/12)-1</f>
        <v>0</v>
      </c>
      <c r="AL1037">
        <f t="shared" si="743"/>
        <v>3.7334318178495243E-4</v>
      </c>
      <c r="AM1037">
        <f>('Real assumptions'!$B$33/12)*O1036*AV1036</f>
        <v>3.5882421901571116E-4</v>
      </c>
      <c r="AN1037">
        <f t="shared" ref="AN1037:AN1100" si="785">AP1036+P1037+AH1036-V1037-AL1037</f>
        <v>5.2872272638990185E-2</v>
      </c>
      <c r="AO1037">
        <f t="shared" si="764"/>
        <v>0</v>
      </c>
      <c r="AP1037" s="121">
        <f t="shared" ref="AP1037:AP1100" si="786">IF(MONTH(A1037)=12,0,AP1036+AO1037)</f>
        <v>0</v>
      </c>
      <c r="AQ1037">
        <f t="shared" ref="AQ1037:AQ1100" si="787">IF(P1037=0,0,AR1037+AS1037)</f>
        <v>0</v>
      </c>
      <c r="AR1037">
        <v>0</v>
      </c>
      <c r="AS1037">
        <f t="shared" si="770"/>
        <v>0</v>
      </c>
      <c r="AT1037">
        <f t="shared" ref="AT1037:AT1100" si="788">IF(OR(B1037&lt;=$B$12,B1037&gt;$AJ$2),0,AU1037*O1036)</f>
        <v>0</v>
      </c>
      <c r="AU1037">
        <f>IFERROR(HLOOKUP(B1037,'Real assumptions'!$B$43:$AL$44,2,TRUE)*($W$3/$U$2),0)</f>
        <v>0</v>
      </c>
      <c r="AV1037">
        <f>AV1036*(1+'Real assumptions'!$B$35)^(1/12)</f>
        <v>2.8895195709417747</v>
      </c>
      <c r="AW1037">
        <f t="shared" si="771"/>
        <v>2104</v>
      </c>
      <c r="AX1037">
        <f t="shared" si="744"/>
        <v>5.2999591055367098E-2</v>
      </c>
      <c r="AY1037">
        <f t="shared" si="745"/>
        <v>5.2318978693441979E-5</v>
      </c>
      <c r="AZ1037">
        <f t="shared" si="772"/>
        <v>3.6718160121712369E-2</v>
      </c>
      <c r="BA1037">
        <f t="shared" ref="BA1037:BA1100" si="789">AG1037+V1037+Q1037</f>
        <v>1.7038390186489713E-4</v>
      </c>
      <c r="BB1037">
        <f t="shared" ref="BB1037:BB1100" si="790">Z1038+IF(S1037=1,0,S1037)</f>
        <v>13.5</v>
      </c>
      <c r="BC1037">
        <f t="shared" si="773"/>
        <v>8.1</v>
      </c>
      <c r="BD1037">
        <f t="shared" ref="BD1037:BD1100" si="791">(BC1037/100)*($AI$2+$Y$2)-AA1037*(AD1037-AB1037)</f>
        <v>0</v>
      </c>
      <c r="BE1037">
        <f t="shared" si="774"/>
        <v>24</v>
      </c>
      <c r="BF1037">
        <f t="shared" si="746"/>
        <v>5000</v>
      </c>
      <c r="BU1037"/>
      <c r="DW1037" s="89"/>
      <c r="DX1037" s="89"/>
      <c r="FD1037"/>
      <c r="FE1037"/>
    </row>
    <row r="1038" spans="1:161" x14ac:dyDescent="0.25">
      <c r="A1038" s="7">
        <f t="shared" ref="A1038:A1101" si="792">DATE(YEAR(A1037),MONTH(A1037)+2,1)-1</f>
        <v>74692</v>
      </c>
      <c r="B1038">
        <f t="shared" si="775"/>
        <v>1027</v>
      </c>
      <c r="C1038">
        <f t="shared" si="756"/>
        <v>85.5</v>
      </c>
      <c r="D1038">
        <f t="shared" si="757"/>
        <v>0</v>
      </c>
      <c r="E1038">
        <f t="shared" si="776"/>
        <v>137</v>
      </c>
      <c r="F1038">
        <f>IF(C1038&gt;=$T$2,0,VLOOKUP($E1038,EKM_F05!$A$3:$C$128,2,TRUE))</f>
        <v>0</v>
      </c>
      <c r="G1038">
        <f>F1038*'Real assumptions'!$B$3</f>
        <v>0</v>
      </c>
      <c r="H1038">
        <f t="shared" si="758"/>
        <v>0</v>
      </c>
      <c r="I1038">
        <f t="shared" si="759"/>
        <v>0</v>
      </c>
      <c r="J1038">
        <f>IF(B1038&gt;$AJ$2,0,HLOOKUP(C1038,'Real assumptions'!$B$5:$L$8,4,TRUE))</f>
        <v>3.7900000000000003E-2</v>
      </c>
      <c r="K1038">
        <f t="shared" si="765"/>
        <v>1</v>
      </c>
      <c r="L1038">
        <f t="shared" ref="L1038:L1101" si="793">IF(B1038&gt;$AJ$2,0,1/12)</f>
        <v>8.3333333333333329E-2</v>
      </c>
      <c r="M1038">
        <f t="shared" si="760"/>
        <v>3.2145624959929453E-3</v>
      </c>
      <c r="N1038">
        <f t="shared" si="761"/>
        <v>3.9831737577716513E-8</v>
      </c>
      <c r="O1038" s="8">
        <f t="shared" si="777"/>
        <v>1.2351197407871485E-5</v>
      </c>
      <c r="P1038">
        <f t="shared" si="778"/>
        <v>2.9738469949078082E-4</v>
      </c>
      <c r="Q1038">
        <f t="shared" ref="Q1038:Q1101" si="794">BF1038*I1038</f>
        <v>0</v>
      </c>
      <c r="R1038" s="89">
        <f t="shared" si="766"/>
        <v>5000</v>
      </c>
      <c r="S1038">
        <f t="shared" si="767"/>
        <v>0.4166666666666714</v>
      </c>
      <c r="U1038">
        <f>O1037*AV1037*'Real assumptions'!$B$33/12+AX1038*'Real assumptions'!$B$34</f>
        <v>3.7252892792393719E-4</v>
      </c>
      <c r="V1038">
        <f>IF(P1038=0,0,IF(E1038&lt;=$C$7,$AN$5*O1037,0))*'Real assumptions'!$D$28</f>
        <v>0</v>
      </c>
      <c r="X1038" s="94">
        <f t="shared" si="779"/>
        <v>0</v>
      </c>
      <c r="Y1038">
        <f t="shared" si="768"/>
        <v>24</v>
      </c>
      <c r="Z1038">
        <f t="shared" ref="Z1038:Z1101" si="795">IF(S1036=1,Z1037-1,Z1037)</f>
        <v>13</v>
      </c>
      <c r="AA1038">
        <f t="shared" si="769"/>
        <v>13.416666666666671</v>
      </c>
      <c r="AB1038">
        <f t="shared" si="780"/>
        <v>50.505050505050505</v>
      </c>
      <c r="AC1038">
        <f t="shared" si="762"/>
        <v>677.60942760942783</v>
      </c>
      <c r="AD1038">
        <f t="shared" si="781"/>
        <v>80.505050505050505</v>
      </c>
      <c r="AE1038">
        <f t="shared" si="782"/>
        <v>54.005471380471398</v>
      </c>
      <c r="AF1038" s="94">
        <f t="shared" si="783"/>
        <v>4268.3851010101007</v>
      </c>
      <c r="AG1038">
        <f t="shared" ref="AG1038:AG1101" si="796">IF(B1038&lt;=$C$8,0,AF1038*N1038)</f>
        <v>1.7001719522406931E-4</v>
      </c>
      <c r="AH1038">
        <f t="shared" si="784"/>
        <v>5.2719666995393225E-2</v>
      </c>
      <c r="AI1038">
        <f>HLOOKUP(AW1038,'Real assumptions'!$A$21:$AK$24,2,TRUE)</f>
        <v>0</v>
      </c>
      <c r="AJ1038" s="123">
        <f t="shared" si="763"/>
        <v>0</v>
      </c>
      <c r="AK1038" s="122">
        <f>(1+HLOOKUP(YEAR(A1038),'Real assumptions'!$A$21:$AK$24,2,TRUE)/100)^(1/12)-1</f>
        <v>0</v>
      </c>
      <c r="AL1038">
        <f t="shared" ref="AL1038:AL1101" si="797">AQ1038+U1038</f>
        <v>3.7252892792393719E-4</v>
      </c>
      <c r="AM1038">
        <f>('Real assumptions'!$B$33/12)*O1037*AV1037</f>
        <v>3.5804121219885405E-4</v>
      </c>
      <c r="AN1038">
        <f t="shared" si="785"/>
        <v>5.2758232747670913E-2</v>
      </c>
      <c r="AO1038">
        <f t="shared" si="764"/>
        <v>0</v>
      </c>
      <c r="AP1038" s="121">
        <f t="shared" si="786"/>
        <v>0</v>
      </c>
      <c r="AQ1038">
        <f t="shared" si="787"/>
        <v>0</v>
      </c>
      <c r="AR1038">
        <v>0</v>
      </c>
      <c r="AS1038">
        <f t="shared" si="770"/>
        <v>0</v>
      </c>
      <c r="AT1038">
        <f t="shared" si="788"/>
        <v>0</v>
      </c>
      <c r="AU1038">
        <f>IFERROR(HLOOKUP(B1038,'Real assumptions'!$B$43:$AL$44,2,TRUE)*($W$3/$U$2),0)</f>
        <v>0</v>
      </c>
      <c r="AV1038">
        <f>AV1037*(1+'Real assumptions'!$B$35)^(1/12)</f>
        <v>2.8925123793217704</v>
      </c>
      <c r="AW1038">
        <f t="shared" si="771"/>
        <v>2104</v>
      </c>
      <c r="AX1038">
        <f t="shared" ref="AX1038:AX1101" si="798">MAX(0,AH1037+AP1037-V1038+AY1038)</f>
        <v>5.2885527772170773E-2</v>
      </c>
      <c r="AY1038">
        <f t="shared" ref="AY1038:AY1101" si="799">IF(P1038=0,0,(AB1038/$U$2)*O1037)</f>
        <v>5.2150796066705387E-5</v>
      </c>
      <c r="AZ1038">
        <f t="shared" si="772"/>
        <v>3.6472998698055148E-2</v>
      </c>
      <c r="BA1038">
        <f t="shared" si="789"/>
        <v>1.7001719522406931E-4</v>
      </c>
      <c r="BB1038">
        <f t="shared" si="790"/>
        <v>13.416666666666671</v>
      </c>
      <c r="BC1038">
        <f t="shared" si="773"/>
        <v>8.0500000000000025</v>
      </c>
      <c r="BD1038">
        <f t="shared" si="791"/>
        <v>0</v>
      </c>
      <c r="BE1038">
        <f t="shared" si="774"/>
        <v>24</v>
      </c>
      <c r="BF1038">
        <f t="shared" ref="BF1038:BF1101" si="800">((IF(B1038&lt;13,BF1037+BE1038,$AI$2+$Y$2)))</f>
        <v>5000</v>
      </c>
      <c r="BU1038"/>
      <c r="DW1038" s="89"/>
      <c r="DX1038" s="89"/>
      <c r="FD1038"/>
      <c r="FE1038"/>
    </row>
    <row r="1039" spans="1:161" x14ac:dyDescent="0.25">
      <c r="A1039" s="7">
        <f t="shared" si="792"/>
        <v>74723</v>
      </c>
      <c r="B1039">
        <f t="shared" si="775"/>
        <v>1028</v>
      </c>
      <c r="C1039">
        <f t="shared" si="756"/>
        <v>85.583333333333329</v>
      </c>
      <c r="D1039">
        <f t="shared" si="757"/>
        <v>0</v>
      </c>
      <c r="E1039">
        <f t="shared" si="776"/>
        <v>137</v>
      </c>
      <c r="F1039">
        <f>IF(C1039&gt;=$T$2,0,VLOOKUP($E1039,EKM_F05!$A$3:$C$128,2,TRUE))</f>
        <v>0</v>
      </c>
      <c r="G1039">
        <f>F1039*'Real assumptions'!$B$3</f>
        <v>0</v>
      </c>
      <c r="H1039">
        <f t="shared" si="758"/>
        <v>0</v>
      </c>
      <c r="I1039">
        <f t="shared" si="759"/>
        <v>0</v>
      </c>
      <c r="J1039">
        <f>IF(B1039&gt;$AJ$2,0,HLOOKUP(C1039,'Real assumptions'!$B$5:$L$8,4,TRUE))</f>
        <v>3.7900000000000003E-2</v>
      </c>
      <c r="K1039">
        <f t="shared" si="765"/>
        <v>1</v>
      </c>
      <c r="L1039">
        <f t="shared" si="793"/>
        <v>8.3333333333333329E-2</v>
      </c>
      <c r="M1039">
        <f t="shared" si="760"/>
        <v>3.2145624959929453E-3</v>
      </c>
      <c r="N1039">
        <f t="shared" si="761"/>
        <v>3.970369596794896E-8</v>
      </c>
      <c r="O1039" s="8">
        <f t="shared" si="777"/>
        <v>1.2311493711903536E-5</v>
      </c>
      <c r="P1039">
        <f t="shared" si="778"/>
        <v>2.9642873778891563E-4</v>
      </c>
      <c r="Q1039">
        <f t="shared" si="794"/>
        <v>0</v>
      </c>
      <c r="R1039" s="89">
        <f t="shared" si="766"/>
        <v>5000</v>
      </c>
      <c r="S1039">
        <f t="shared" si="767"/>
        <v>0.3333333333333286</v>
      </c>
      <c r="U1039">
        <f>O1038*AV1038*'Real assumptions'!$B$33/12+AX1039*'Real assumptions'!$B$34</f>
        <v>3.7171643355880536E-4</v>
      </c>
      <c r="V1039">
        <f>IF(P1039=0,0,IF(E1039&lt;=$C$7,$AN$5*O1038,0))*'Real assumptions'!$D$28</f>
        <v>0</v>
      </c>
      <c r="X1039" s="94">
        <f t="shared" si="779"/>
        <v>0</v>
      </c>
      <c r="Y1039">
        <f t="shared" si="768"/>
        <v>24</v>
      </c>
      <c r="Z1039">
        <f t="shared" si="795"/>
        <v>13</v>
      </c>
      <c r="AA1039">
        <f t="shared" si="769"/>
        <v>13.333333333333329</v>
      </c>
      <c r="AB1039">
        <f t="shared" si="780"/>
        <v>50.505050505050505</v>
      </c>
      <c r="AC1039">
        <f t="shared" si="762"/>
        <v>673.40067340067321</v>
      </c>
      <c r="AD1039">
        <f t="shared" si="781"/>
        <v>80.505050505050505</v>
      </c>
      <c r="AE1039">
        <f t="shared" si="782"/>
        <v>53.670033670033646</v>
      </c>
      <c r="AF1039" s="94">
        <f t="shared" si="783"/>
        <v>4272.9292929292933</v>
      </c>
      <c r="AG1039">
        <f t="shared" si="796"/>
        <v>1.6965108553900778E-4</v>
      </c>
      <c r="AH1039">
        <f t="shared" si="784"/>
        <v>5.2606142121307417E-2</v>
      </c>
      <c r="AI1039">
        <f>HLOOKUP(AW1039,'Real assumptions'!$A$21:$AK$24,2,TRUE)</f>
        <v>0</v>
      </c>
      <c r="AJ1039" s="123">
        <f t="shared" si="763"/>
        <v>0</v>
      </c>
      <c r="AK1039" s="122">
        <f>(1+HLOOKUP(YEAR(A1039),'Real assumptions'!$A$21:$AK$24,2,TRUE)/100)^(1/12)-1</f>
        <v>0</v>
      </c>
      <c r="AL1039">
        <f t="shared" si="797"/>
        <v>3.7171643355880536E-4</v>
      </c>
      <c r="AM1039">
        <f>('Real assumptions'!$B$33/12)*O1038*AV1038</f>
        <v>3.5725991401715235E-4</v>
      </c>
      <c r="AN1039">
        <f t="shared" si="785"/>
        <v>5.2644379299623331E-2</v>
      </c>
      <c r="AO1039">
        <f t="shared" si="764"/>
        <v>0</v>
      </c>
      <c r="AP1039" s="121">
        <f t="shared" si="786"/>
        <v>0</v>
      </c>
      <c r="AQ1039">
        <f t="shared" si="787"/>
        <v>0</v>
      </c>
      <c r="AR1039">
        <v>0</v>
      </c>
      <c r="AS1039">
        <f t="shared" si="770"/>
        <v>0</v>
      </c>
      <c r="AT1039">
        <f t="shared" si="788"/>
        <v>0</v>
      </c>
      <c r="AU1039">
        <f>IFERROR(HLOOKUP(B1039,'Real assumptions'!$B$43:$AL$44,2,TRUE)*($W$3/$U$2),0)</f>
        <v>0</v>
      </c>
      <c r="AV1039">
        <f>AV1038*(1+'Real assumptions'!$B$35)^(1/12)</f>
        <v>2.8955082874911184</v>
      </c>
      <c r="AW1039">
        <f t="shared" si="771"/>
        <v>2104</v>
      </c>
      <c r="AX1039">
        <f t="shared" si="798"/>
        <v>5.2771650149466755E-2</v>
      </c>
      <c r="AY1039">
        <f t="shared" si="799"/>
        <v>5.1983154073533181E-5</v>
      </c>
      <c r="AZ1039">
        <f t="shared" si="772"/>
        <v>3.6228059916746248E-2</v>
      </c>
      <c r="BA1039">
        <f t="shared" si="789"/>
        <v>1.6965108553900778E-4</v>
      </c>
      <c r="BB1039">
        <f t="shared" si="790"/>
        <v>13.333333333333329</v>
      </c>
      <c r="BC1039">
        <f t="shared" si="773"/>
        <v>7.9999999999999964</v>
      </c>
      <c r="BD1039">
        <f t="shared" si="791"/>
        <v>0</v>
      </c>
      <c r="BE1039">
        <f t="shared" si="774"/>
        <v>24</v>
      </c>
      <c r="BF1039">
        <f t="shared" si="800"/>
        <v>5000</v>
      </c>
      <c r="BU1039"/>
      <c r="DW1039" s="89"/>
      <c r="DX1039" s="89"/>
      <c r="FD1039"/>
      <c r="FE1039"/>
    </row>
    <row r="1040" spans="1:161" x14ac:dyDescent="0.25">
      <c r="A1040" s="7">
        <f t="shared" si="792"/>
        <v>74754</v>
      </c>
      <c r="B1040">
        <f t="shared" si="775"/>
        <v>1029</v>
      </c>
      <c r="C1040">
        <f t="shared" si="756"/>
        <v>85.666666666666671</v>
      </c>
      <c r="D1040">
        <f t="shared" si="757"/>
        <v>0</v>
      </c>
      <c r="E1040">
        <f t="shared" si="776"/>
        <v>137</v>
      </c>
      <c r="F1040">
        <f>IF(C1040&gt;=$T$2,0,VLOOKUP($E1040,EKM_F05!$A$3:$C$128,2,TRUE))</f>
        <v>0</v>
      </c>
      <c r="G1040">
        <f>F1040*'Real assumptions'!$B$3</f>
        <v>0</v>
      </c>
      <c r="H1040">
        <f t="shared" si="758"/>
        <v>0</v>
      </c>
      <c r="I1040">
        <f t="shared" si="759"/>
        <v>0</v>
      </c>
      <c r="J1040">
        <f>IF(B1040&gt;$AJ$2,0,HLOOKUP(C1040,'Real assumptions'!$B$5:$L$8,4,TRUE))</f>
        <v>3.7900000000000003E-2</v>
      </c>
      <c r="K1040">
        <f t="shared" si="765"/>
        <v>1</v>
      </c>
      <c r="L1040">
        <f t="shared" si="793"/>
        <v>8.3333333333333329E-2</v>
      </c>
      <c r="M1040">
        <f t="shared" si="760"/>
        <v>3.2145624959929453E-3</v>
      </c>
      <c r="N1040">
        <f t="shared" si="761"/>
        <v>3.9576065955938085E-8</v>
      </c>
      <c r="O1040" s="8">
        <f t="shared" si="777"/>
        <v>1.2271917645947598E-5</v>
      </c>
      <c r="P1040">
        <f t="shared" si="778"/>
        <v>2.9547584908568486E-4</v>
      </c>
      <c r="Q1040">
        <f t="shared" si="794"/>
        <v>0</v>
      </c>
      <c r="R1040" s="89">
        <f t="shared" si="766"/>
        <v>5000</v>
      </c>
      <c r="S1040">
        <f t="shared" si="767"/>
        <v>0.25</v>
      </c>
      <c r="U1040">
        <f>O1039*AV1039*'Real assumptions'!$B$33/12+AX1040*'Real assumptions'!$B$34</f>
        <v>3.7090569495696409E-4</v>
      </c>
      <c r="V1040">
        <f>IF(P1040=0,0,IF(E1040&lt;=$C$7,$AN$5*O1039,0))*'Real assumptions'!$D$28</f>
        <v>0</v>
      </c>
      <c r="X1040" s="94">
        <f t="shared" si="779"/>
        <v>0</v>
      </c>
      <c r="Y1040">
        <f t="shared" si="768"/>
        <v>24</v>
      </c>
      <c r="Z1040">
        <f t="shared" si="795"/>
        <v>13</v>
      </c>
      <c r="AA1040">
        <f t="shared" si="769"/>
        <v>13.25</v>
      </c>
      <c r="AB1040">
        <f t="shared" si="780"/>
        <v>50.505050505050505</v>
      </c>
      <c r="AC1040">
        <f t="shared" si="762"/>
        <v>669.19191919191917</v>
      </c>
      <c r="AD1040">
        <f t="shared" si="781"/>
        <v>80.505050505050505</v>
      </c>
      <c r="AE1040">
        <f t="shared" si="782"/>
        <v>53.334595959595958</v>
      </c>
      <c r="AF1040" s="94">
        <f t="shared" si="783"/>
        <v>4277.473484848485</v>
      </c>
      <c r="AG1040">
        <f t="shared" si="796"/>
        <v>1.6928557276113998E-4</v>
      </c>
      <c r="AH1040">
        <f t="shared" si="784"/>
        <v>5.2492802338785088E-2</v>
      </c>
      <c r="AI1040">
        <f>HLOOKUP(AW1040,'Real assumptions'!$A$21:$AK$24,2,TRUE)</f>
        <v>0</v>
      </c>
      <c r="AJ1040" s="123">
        <f t="shared" si="763"/>
        <v>0</v>
      </c>
      <c r="AK1040" s="122">
        <f>(1+HLOOKUP(YEAR(A1040),'Real assumptions'!$A$21:$AK$24,2,TRUE)/100)^(1/12)-1</f>
        <v>0</v>
      </c>
      <c r="AL1040">
        <f t="shared" si="797"/>
        <v>3.7090569495696409E-4</v>
      </c>
      <c r="AM1040">
        <f>('Real assumptions'!$B$33/12)*O1039*AV1039</f>
        <v>3.5648032074211478E-4</v>
      </c>
      <c r="AN1040">
        <f t="shared" si="785"/>
        <v>5.2530712275436139E-2</v>
      </c>
      <c r="AO1040">
        <f t="shared" si="764"/>
        <v>0</v>
      </c>
      <c r="AP1040" s="121">
        <f t="shared" si="786"/>
        <v>0</v>
      </c>
      <c r="AQ1040">
        <f t="shared" si="787"/>
        <v>0</v>
      </c>
      <c r="AR1040">
        <v>0</v>
      </c>
      <c r="AS1040">
        <f t="shared" si="770"/>
        <v>0</v>
      </c>
      <c r="AT1040">
        <f t="shared" si="788"/>
        <v>0</v>
      </c>
      <c r="AU1040">
        <f>IFERROR(HLOOKUP(B1040,'Real assumptions'!$B$43:$AL$44,2,TRUE)*($W$3/$U$2),0)</f>
        <v>0</v>
      </c>
      <c r="AV1040">
        <f>AV1039*(1+'Real assumptions'!$B$35)^(1/12)</f>
        <v>2.8985072986604132</v>
      </c>
      <c r="AW1040">
        <f t="shared" si="771"/>
        <v>2104</v>
      </c>
      <c r="AX1040">
        <f t="shared" si="798"/>
        <v>5.2657958172283442E-2</v>
      </c>
      <c r="AY1040">
        <f t="shared" si="799"/>
        <v>5.1816050976024983E-5</v>
      </c>
      <c r="AZ1040">
        <f t="shared" si="772"/>
        <v>3.5983344498113828E-2</v>
      </c>
      <c r="BA1040">
        <f t="shared" si="789"/>
        <v>1.6928557276113998E-4</v>
      </c>
      <c r="BB1040">
        <f t="shared" si="790"/>
        <v>13.25</v>
      </c>
      <c r="BC1040">
        <f t="shared" si="773"/>
        <v>7.9499999999999993</v>
      </c>
      <c r="BD1040">
        <f t="shared" si="791"/>
        <v>0</v>
      </c>
      <c r="BE1040">
        <f t="shared" si="774"/>
        <v>24</v>
      </c>
      <c r="BF1040">
        <f t="shared" si="800"/>
        <v>5000</v>
      </c>
      <c r="BU1040"/>
      <c r="DW1040" s="89"/>
      <c r="DX1040" s="89"/>
      <c r="FD1040"/>
      <c r="FE1040"/>
    </row>
    <row r="1041" spans="1:161" x14ac:dyDescent="0.25">
      <c r="A1041" s="7">
        <f t="shared" si="792"/>
        <v>74784</v>
      </c>
      <c r="B1041">
        <f t="shared" si="775"/>
        <v>1030</v>
      </c>
      <c r="C1041">
        <f t="shared" si="756"/>
        <v>85.75</v>
      </c>
      <c r="D1041">
        <f t="shared" si="757"/>
        <v>0</v>
      </c>
      <c r="E1041">
        <f t="shared" si="776"/>
        <v>137</v>
      </c>
      <c r="F1041">
        <f>IF(C1041&gt;=$T$2,0,VLOOKUP($E1041,EKM_F05!$A$3:$C$128,2,TRUE))</f>
        <v>0</v>
      </c>
      <c r="G1041">
        <f>F1041*'Real assumptions'!$B$3</f>
        <v>0</v>
      </c>
      <c r="H1041">
        <f t="shared" si="758"/>
        <v>0</v>
      </c>
      <c r="I1041">
        <f t="shared" si="759"/>
        <v>0</v>
      </c>
      <c r="J1041">
        <f>IF(B1041&gt;$AJ$2,0,HLOOKUP(C1041,'Real assumptions'!$B$5:$L$8,4,TRUE))</f>
        <v>3.7900000000000003E-2</v>
      </c>
      <c r="K1041">
        <f t="shared" si="765"/>
        <v>1</v>
      </c>
      <c r="L1041">
        <f t="shared" si="793"/>
        <v>8.3333333333333329E-2</v>
      </c>
      <c r="M1041">
        <f t="shared" si="760"/>
        <v>3.2145624959929453E-3</v>
      </c>
      <c r="N1041">
        <f t="shared" si="761"/>
        <v>3.9448846218577178E-8</v>
      </c>
      <c r="O1041" s="8">
        <f t="shared" si="777"/>
        <v>1.2232468799729021E-5</v>
      </c>
      <c r="P1041">
        <f t="shared" si="778"/>
        <v>2.9452602350274237E-4</v>
      </c>
      <c r="Q1041">
        <f t="shared" si="794"/>
        <v>0</v>
      </c>
      <c r="R1041" s="89">
        <f t="shared" si="766"/>
        <v>5000</v>
      </c>
      <c r="S1041">
        <f t="shared" si="767"/>
        <v>0.1666666666666714</v>
      </c>
      <c r="U1041">
        <f>O1040*AV1040*'Real assumptions'!$B$33/12+AX1041*'Real assumptions'!$B$34</f>
        <v>3.7009670839345765E-4</v>
      </c>
      <c r="V1041">
        <f>IF(P1041=0,0,IF(E1041&lt;=$C$7,$AN$5*O1040,0))*'Real assumptions'!$D$28</f>
        <v>0</v>
      </c>
      <c r="X1041" s="94">
        <f t="shared" si="779"/>
        <v>0</v>
      </c>
      <c r="Y1041">
        <f t="shared" si="768"/>
        <v>24</v>
      </c>
      <c r="Z1041">
        <f t="shared" si="795"/>
        <v>13</v>
      </c>
      <c r="AA1041">
        <f t="shared" si="769"/>
        <v>13.166666666666671</v>
      </c>
      <c r="AB1041">
        <f t="shared" si="780"/>
        <v>50.505050505050505</v>
      </c>
      <c r="AC1041">
        <f t="shared" si="762"/>
        <v>664.98316498316524</v>
      </c>
      <c r="AD1041">
        <f t="shared" si="781"/>
        <v>80.505050505050505</v>
      </c>
      <c r="AE1041">
        <f t="shared" si="782"/>
        <v>52.999158249158263</v>
      </c>
      <c r="AF1041" s="94">
        <f t="shared" si="783"/>
        <v>4282.0176767676767</v>
      </c>
      <c r="AG1041">
        <f t="shared" si="796"/>
        <v>1.689206568360372E-4</v>
      </c>
      <c r="AH1041">
        <f t="shared" si="784"/>
        <v>5.2379647630948753E-2</v>
      </c>
      <c r="AI1041">
        <f>HLOOKUP(AW1041,'Real assumptions'!$A$21:$AK$24,2,TRUE)</f>
        <v>0</v>
      </c>
      <c r="AJ1041" s="123">
        <f t="shared" si="763"/>
        <v>0</v>
      </c>
      <c r="AK1041" s="122">
        <f>(1+HLOOKUP(YEAR(A1041),'Real assumptions'!$A$21:$AK$24,2,TRUE)/100)^(1/12)-1</f>
        <v>0</v>
      </c>
      <c r="AL1041">
        <f t="shared" si="797"/>
        <v>3.7009670839345765E-4</v>
      </c>
      <c r="AM1041">
        <f>('Real assumptions'!$B$33/12)*O1040*AV1040</f>
        <v>3.5570242865338634E-4</v>
      </c>
      <c r="AN1041">
        <f t="shared" si="785"/>
        <v>5.2417231653894378E-2</v>
      </c>
      <c r="AO1041">
        <f t="shared" si="764"/>
        <v>0</v>
      </c>
      <c r="AP1041" s="121">
        <f t="shared" si="786"/>
        <v>0</v>
      </c>
      <c r="AQ1041">
        <f t="shared" si="787"/>
        <v>0</v>
      </c>
      <c r="AR1041">
        <v>0</v>
      </c>
      <c r="AS1041">
        <f t="shared" si="770"/>
        <v>0</v>
      </c>
      <c r="AT1041">
        <f t="shared" si="788"/>
        <v>0</v>
      </c>
      <c r="AU1041">
        <f>IFERROR(HLOOKUP(B1041,'Real assumptions'!$B$43:$AL$44,2,TRUE)*($W$3/$U$2),0)</f>
        <v>0</v>
      </c>
      <c r="AV1041">
        <f>AV1040*(1+'Real assumptions'!$B$35)^(1/12)</f>
        <v>2.901509416043575</v>
      </c>
      <c r="AW1041">
        <f t="shared" si="771"/>
        <v>2104</v>
      </c>
      <c r="AX1041">
        <f t="shared" si="798"/>
        <v>5.2544451823826957E-2</v>
      </c>
      <c r="AY1041">
        <f t="shared" si="799"/>
        <v>5.1649485041866995E-5</v>
      </c>
      <c r="AZ1041">
        <f t="shared" si="772"/>
        <v>3.5738853156387078E-2</v>
      </c>
      <c r="BA1041">
        <f t="shared" si="789"/>
        <v>1.689206568360372E-4</v>
      </c>
      <c r="BB1041">
        <f t="shared" si="790"/>
        <v>13.166666666666671</v>
      </c>
      <c r="BC1041">
        <f t="shared" si="773"/>
        <v>7.9000000000000021</v>
      </c>
      <c r="BD1041">
        <f t="shared" si="791"/>
        <v>0</v>
      </c>
      <c r="BE1041">
        <f t="shared" si="774"/>
        <v>24</v>
      </c>
      <c r="BF1041">
        <f t="shared" si="800"/>
        <v>5000</v>
      </c>
      <c r="BU1041"/>
      <c r="DW1041" s="89"/>
      <c r="DX1041" s="89"/>
      <c r="FD1041"/>
      <c r="FE1041"/>
    </row>
    <row r="1042" spans="1:161" x14ac:dyDescent="0.25">
      <c r="A1042" s="7">
        <f t="shared" si="792"/>
        <v>74815</v>
      </c>
      <c r="B1042">
        <f t="shared" si="775"/>
        <v>1031</v>
      </c>
      <c r="C1042">
        <f t="shared" si="756"/>
        <v>85.833333333333329</v>
      </c>
      <c r="D1042">
        <f t="shared" si="757"/>
        <v>0</v>
      </c>
      <c r="E1042">
        <f t="shared" si="776"/>
        <v>137</v>
      </c>
      <c r="F1042">
        <f>IF(C1042&gt;=$T$2,0,VLOOKUP($E1042,EKM_F05!$A$3:$C$128,2,TRUE))</f>
        <v>0</v>
      </c>
      <c r="G1042">
        <f>F1042*'Real assumptions'!$B$3</f>
        <v>0</v>
      </c>
      <c r="H1042">
        <f t="shared" si="758"/>
        <v>0</v>
      </c>
      <c r="I1042">
        <f t="shared" si="759"/>
        <v>0</v>
      </c>
      <c r="J1042">
        <f>IF(B1042&gt;$AJ$2,0,HLOOKUP(C1042,'Real assumptions'!$B$5:$L$8,4,TRUE))</f>
        <v>3.7900000000000003E-2</v>
      </c>
      <c r="K1042">
        <f t="shared" si="765"/>
        <v>1</v>
      </c>
      <c r="L1042">
        <f t="shared" si="793"/>
        <v>8.3333333333333329E-2</v>
      </c>
      <c r="M1042">
        <f t="shared" si="760"/>
        <v>3.2145624959929453E-3</v>
      </c>
      <c r="N1042">
        <f t="shared" si="761"/>
        <v>3.9322035437012747E-8</v>
      </c>
      <c r="O1042" s="8">
        <f t="shared" si="777"/>
        <v>1.2193146764292009E-5</v>
      </c>
      <c r="P1042">
        <f t="shared" si="778"/>
        <v>2.9357925119349653E-4</v>
      </c>
      <c r="Q1042">
        <f t="shared" si="794"/>
        <v>0</v>
      </c>
      <c r="R1042" s="89">
        <f t="shared" si="766"/>
        <v>5000</v>
      </c>
      <c r="S1042">
        <f t="shared" si="767"/>
        <v>8.3333333333328596E-2</v>
      </c>
      <c r="U1042">
        <f>O1041*AV1041*'Real assumptions'!$B$33/12+AX1042*'Real assumptions'!$B$34</f>
        <v>3.6928947015095264E-4</v>
      </c>
      <c r="V1042">
        <f>IF(P1042=0,0,IF(E1042&lt;=$C$7,$AN$5*O1041,0))*'Real assumptions'!$D$28</f>
        <v>0</v>
      </c>
      <c r="X1042" s="94">
        <f t="shared" si="779"/>
        <v>0</v>
      </c>
      <c r="Y1042">
        <f t="shared" si="768"/>
        <v>24</v>
      </c>
      <c r="Z1042">
        <f t="shared" si="795"/>
        <v>13</v>
      </c>
      <c r="AA1042">
        <f t="shared" si="769"/>
        <v>13.083333333333329</v>
      </c>
      <c r="AB1042">
        <f t="shared" si="780"/>
        <v>50.505050505050505</v>
      </c>
      <c r="AC1042">
        <f t="shared" si="762"/>
        <v>660.77441077441051</v>
      </c>
      <c r="AD1042">
        <f t="shared" si="781"/>
        <v>80.505050505050505</v>
      </c>
      <c r="AE1042">
        <f t="shared" si="782"/>
        <v>52.663720538720519</v>
      </c>
      <c r="AF1042" s="94">
        <f t="shared" si="783"/>
        <v>4286.5618686868693</v>
      </c>
      <c r="AG1042">
        <f t="shared" si="796"/>
        <v>1.6855633770345265E-4</v>
      </c>
      <c r="AH1042">
        <f t="shared" si="784"/>
        <v>5.2266677979116806E-2</v>
      </c>
      <c r="AI1042">
        <f>HLOOKUP(AW1042,'Real assumptions'!$A$21:$AK$24,2,TRUE)</f>
        <v>0</v>
      </c>
      <c r="AJ1042" s="123">
        <f t="shared" si="763"/>
        <v>0</v>
      </c>
      <c r="AK1042" s="122">
        <f>(1+HLOOKUP(YEAR(A1042),'Real assumptions'!$A$21:$AK$24,2,TRUE)/100)^(1/12)-1</f>
        <v>0</v>
      </c>
      <c r="AL1042">
        <f t="shared" si="797"/>
        <v>3.6928947015095264E-4</v>
      </c>
      <c r="AM1042">
        <f>('Real assumptions'!$B$33/12)*O1041*AV1041</f>
        <v>3.5492623403873E-4</v>
      </c>
      <c r="AN1042">
        <f t="shared" si="785"/>
        <v>5.2303937411991297E-2</v>
      </c>
      <c r="AO1042">
        <f t="shared" si="764"/>
        <v>0</v>
      </c>
      <c r="AP1042" s="121">
        <f t="shared" si="786"/>
        <v>0</v>
      </c>
      <c r="AQ1042">
        <f t="shared" si="787"/>
        <v>0</v>
      </c>
      <c r="AR1042">
        <v>0</v>
      </c>
      <c r="AS1042">
        <f t="shared" si="770"/>
        <v>0</v>
      </c>
      <c r="AT1042">
        <f t="shared" si="788"/>
        <v>0</v>
      </c>
      <c r="AU1042">
        <f>IFERROR(HLOOKUP(B1042,'Real assumptions'!$B$43:$AL$44,2,TRUE)*($W$3/$U$2),0)</f>
        <v>0</v>
      </c>
      <c r="AV1042">
        <f>AV1041*(1+'Real assumptions'!$B$35)^(1/12)</f>
        <v>2.9045146428578521</v>
      </c>
      <c r="AW1042">
        <f t="shared" si="771"/>
        <v>2104</v>
      </c>
      <c r="AX1042">
        <f t="shared" si="798"/>
        <v>5.243113108549307E-2</v>
      </c>
      <c r="AY1042">
        <f t="shared" si="799"/>
        <v>5.1483454544314062E-5</v>
      </c>
      <c r="AZ1042">
        <f t="shared" si="772"/>
        <v>3.5494586599726166E-2</v>
      </c>
      <c r="BA1042">
        <f t="shared" si="789"/>
        <v>1.6855633770345265E-4</v>
      </c>
      <c r="BB1042">
        <f t="shared" si="790"/>
        <v>13.083333333333329</v>
      </c>
      <c r="BC1042">
        <f t="shared" si="773"/>
        <v>7.849999999999997</v>
      </c>
      <c r="BD1042">
        <f t="shared" si="791"/>
        <v>0</v>
      </c>
      <c r="BE1042">
        <f t="shared" si="774"/>
        <v>24</v>
      </c>
      <c r="BF1042">
        <f t="shared" si="800"/>
        <v>5000</v>
      </c>
      <c r="BU1042"/>
      <c r="DW1042" s="89"/>
      <c r="DX1042" s="89"/>
      <c r="FD1042"/>
      <c r="FE1042"/>
    </row>
    <row r="1043" spans="1:161" x14ac:dyDescent="0.25">
      <c r="A1043" s="7">
        <f t="shared" si="792"/>
        <v>74845</v>
      </c>
      <c r="B1043">
        <f t="shared" si="775"/>
        <v>1032</v>
      </c>
      <c r="C1043">
        <f t="shared" si="756"/>
        <v>85.916666666666671</v>
      </c>
      <c r="D1043">
        <f t="shared" si="757"/>
        <v>0</v>
      </c>
      <c r="E1043">
        <f t="shared" si="776"/>
        <v>137</v>
      </c>
      <c r="F1043">
        <f>IF(C1043&gt;=$T$2,0,VLOOKUP($E1043,EKM_F05!$A$3:$C$128,2,TRUE))</f>
        <v>0</v>
      </c>
      <c r="G1043">
        <f>F1043*'Real assumptions'!$B$3</f>
        <v>0</v>
      </c>
      <c r="H1043">
        <f t="shared" si="758"/>
        <v>0</v>
      </c>
      <c r="I1043">
        <f t="shared" si="759"/>
        <v>0</v>
      </c>
      <c r="J1043">
        <f>IF(B1043&gt;$AJ$2,0,HLOOKUP(C1043,'Real assumptions'!$B$5:$L$8,4,TRUE))</f>
        <v>3.7900000000000003E-2</v>
      </c>
      <c r="K1043">
        <f t="shared" si="765"/>
        <v>1</v>
      </c>
      <c r="L1043">
        <f t="shared" si="793"/>
        <v>8.3333333333333329E-2</v>
      </c>
      <c r="M1043">
        <f t="shared" si="760"/>
        <v>3.2145624959929453E-3</v>
      </c>
      <c r="N1043">
        <f t="shared" si="761"/>
        <v>3.9195632296630823E-8</v>
      </c>
      <c r="O1043" s="8">
        <f t="shared" si="777"/>
        <v>1.2153951131995377E-5</v>
      </c>
      <c r="P1043">
        <f t="shared" si="778"/>
        <v>2.9263552234300822E-4</v>
      </c>
      <c r="Q1043">
        <f t="shared" si="794"/>
        <v>0</v>
      </c>
      <c r="R1043" s="89">
        <f t="shared" si="766"/>
        <v>5000</v>
      </c>
      <c r="S1043">
        <f t="shared" si="767"/>
        <v>1</v>
      </c>
      <c r="U1043">
        <f>O1042*AV1042*'Real assumptions'!$B$33/12+AX1043*'Real assumptions'!$B$34</f>
        <v>3.6848397651972393E-4</v>
      </c>
      <c r="V1043">
        <f>IF(P1043=0,0,IF(E1043&lt;=$C$7,$AN$5*O1042,0))*'Real assumptions'!$D$28</f>
        <v>0</v>
      </c>
      <c r="X1043" s="94">
        <f t="shared" si="779"/>
        <v>0</v>
      </c>
      <c r="Y1043">
        <f t="shared" si="768"/>
        <v>24</v>
      </c>
      <c r="Z1043">
        <f t="shared" si="795"/>
        <v>13</v>
      </c>
      <c r="AA1043">
        <f t="shared" si="769"/>
        <v>13</v>
      </c>
      <c r="AB1043">
        <f t="shared" si="780"/>
        <v>50.505050505050505</v>
      </c>
      <c r="AC1043">
        <f t="shared" si="762"/>
        <v>656.56565656565658</v>
      </c>
      <c r="AD1043">
        <f t="shared" si="781"/>
        <v>80.505050505050505</v>
      </c>
      <c r="AE1043">
        <f t="shared" si="782"/>
        <v>52.328282828282823</v>
      </c>
      <c r="AF1043" s="94">
        <f t="shared" si="783"/>
        <v>4291.106060606061</v>
      </c>
      <c r="AG1043">
        <f t="shared" si="796"/>
        <v>1.6819261529735918E-4</v>
      </c>
      <c r="AH1043">
        <f t="shared" si="784"/>
        <v>5.2153893362815257E-2</v>
      </c>
      <c r="AI1043">
        <f>HLOOKUP(AW1043,'Real assumptions'!$A$21:$AK$24,2,TRUE)</f>
        <v>0</v>
      </c>
      <c r="AJ1043" s="123">
        <f t="shared" si="763"/>
        <v>0</v>
      </c>
      <c r="AK1043" s="122">
        <f>(1+HLOOKUP(YEAR(A1043),'Real assumptions'!$A$21:$AK$24,2,TRUE)/100)^(1/12)-1</f>
        <v>0</v>
      </c>
      <c r="AL1043">
        <f t="shared" si="797"/>
        <v>3.6848397651972393E-4</v>
      </c>
      <c r="AM1043">
        <f>('Real assumptions'!$B$33/12)*O1042*AV1042</f>
        <v>3.5415173319400977E-4</v>
      </c>
      <c r="AN1043">
        <f t="shared" si="785"/>
        <v>5.2190829524940092E-2</v>
      </c>
      <c r="AO1043">
        <f t="shared" si="764"/>
        <v>0</v>
      </c>
      <c r="AP1043" s="121">
        <f t="shared" si="786"/>
        <v>0</v>
      </c>
      <c r="AQ1043">
        <f t="shared" si="787"/>
        <v>0</v>
      </c>
      <c r="AR1043">
        <v>0</v>
      </c>
      <c r="AS1043">
        <f t="shared" si="770"/>
        <v>0</v>
      </c>
      <c r="AT1043">
        <f t="shared" si="788"/>
        <v>0</v>
      </c>
      <c r="AU1043">
        <f>IFERROR(HLOOKUP(B1043,'Real assumptions'!$B$43:$AL$44,2,TRUE)*($W$3/$U$2),0)</f>
        <v>0</v>
      </c>
      <c r="AV1043">
        <f>AV1042*(1+'Real assumptions'!$B$35)^(1/12)</f>
        <v>2.9075229823238251</v>
      </c>
      <c r="AW1043">
        <f t="shared" si="771"/>
        <v>2104</v>
      </c>
      <c r="AX1043">
        <f t="shared" si="798"/>
        <v>5.2317995936878976E-2</v>
      </c>
      <c r="AY1043">
        <f t="shared" si="799"/>
        <v>5.1317957762171753E-5</v>
      </c>
      <c r="AZ1043">
        <f t="shared" si="772"/>
        <v>3.5250545530252093E-2</v>
      </c>
      <c r="BA1043">
        <f t="shared" si="789"/>
        <v>1.6819261529735918E-4</v>
      </c>
      <c r="BB1043">
        <f t="shared" si="790"/>
        <v>13</v>
      </c>
      <c r="BC1043">
        <f t="shared" si="773"/>
        <v>7.8</v>
      </c>
      <c r="BD1043">
        <f t="shared" si="791"/>
        <v>0</v>
      </c>
      <c r="BE1043">
        <f t="shared" si="774"/>
        <v>24</v>
      </c>
      <c r="BF1043">
        <f t="shared" si="800"/>
        <v>5000</v>
      </c>
      <c r="BU1043"/>
      <c r="DW1043" s="89"/>
      <c r="DX1043" s="89"/>
      <c r="FD1043"/>
      <c r="FE1043"/>
    </row>
    <row r="1044" spans="1:161" x14ac:dyDescent="0.25">
      <c r="A1044" s="7">
        <f t="shared" si="792"/>
        <v>74876</v>
      </c>
      <c r="B1044">
        <f t="shared" si="775"/>
        <v>1033</v>
      </c>
      <c r="C1044">
        <f t="shared" si="756"/>
        <v>86</v>
      </c>
      <c r="D1044">
        <f t="shared" si="757"/>
        <v>1</v>
      </c>
      <c r="E1044">
        <f t="shared" si="776"/>
        <v>138</v>
      </c>
      <c r="F1044">
        <f>IF(C1044&gt;=$T$2,0,VLOOKUP($E1044,EKM_F05!$A$3:$C$128,2,TRUE))</f>
        <v>0</v>
      </c>
      <c r="G1044">
        <f>F1044*'Real assumptions'!$B$3</f>
        <v>0</v>
      </c>
      <c r="H1044">
        <f t="shared" si="758"/>
        <v>0</v>
      </c>
      <c r="I1044">
        <f t="shared" si="759"/>
        <v>0</v>
      </c>
      <c r="J1044">
        <f>IF(B1044&gt;$AJ$2,0,HLOOKUP(C1044,'Real assumptions'!$B$5:$L$8,4,TRUE))</f>
        <v>3.7900000000000003E-2</v>
      </c>
      <c r="K1044">
        <f t="shared" si="765"/>
        <v>1</v>
      </c>
      <c r="L1044">
        <f t="shared" si="793"/>
        <v>8.3333333333333329E-2</v>
      </c>
      <c r="M1044">
        <f t="shared" si="760"/>
        <v>3.2145624959929453E-3</v>
      </c>
      <c r="N1044">
        <f t="shared" si="761"/>
        <v>3.906963548704334E-8</v>
      </c>
      <c r="O1044" s="8">
        <f t="shared" si="777"/>
        <v>1.2114881496508335E-5</v>
      </c>
      <c r="P1044">
        <f t="shared" si="778"/>
        <v>2.9169482716788904E-4</v>
      </c>
      <c r="Q1044">
        <f t="shared" si="794"/>
        <v>0</v>
      </c>
      <c r="R1044" s="89">
        <f t="shared" si="766"/>
        <v>5000</v>
      </c>
      <c r="S1044">
        <f t="shared" si="767"/>
        <v>0.9166666666666714</v>
      </c>
      <c r="U1044">
        <f>O1043*AV1043*'Real assumptions'!$B$33/12+AX1044*'Real assumptions'!$B$34</f>
        <v>3.6768022379763917E-4</v>
      </c>
      <c r="V1044">
        <f>IF(P1044=0,0,IF(E1044&lt;=$C$7,$AN$5*O1043,0))*'Real assumptions'!$D$28</f>
        <v>0</v>
      </c>
      <c r="X1044" s="94">
        <f t="shared" si="779"/>
        <v>0</v>
      </c>
      <c r="Y1044">
        <f t="shared" si="768"/>
        <v>24</v>
      </c>
      <c r="Z1044">
        <f t="shared" si="795"/>
        <v>13</v>
      </c>
      <c r="AA1044">
        <f t="shared" si="769"/>
        <v>12.916666666666671</v>
      </c>
      <c r="AB1044">
        <f t="shared" si="780"/>
        <v>50.505050505050505</v>
      </c>
      <c r="AC1044">
        <f t="shared" si="762"/>
        <v>652.35690235690265</v>
      </c>
      <c r="AD1044">
        <f t="shared" si="781"/>
        <v>80.505050505050505</v>
      </c>
      <c r="AE1044">
        <f t="shared" si="782"/>
        <v>51.992845117845135</v>
      </c>
      <c r="AF1044" s="94">
        <f t="shared" si="783"/>
        <v>4295.6502525252527</v>
      </c>
      <c r="AG1044">
        <f t="shared" si="796"/>
        <v>1.6782948954598731E-4</v>
      </c>
      <c r="AH1044">
        <f t="shared" si="784"/>
        <v>5.2041293759789539E-2</v>
      </c>
      <c r="AI1044">
        <f>HLOOKUP(AW1044,'Real assumptions'!$A$21:$AK$24,2,TRUE)</f>
        <v>0</v>
      </c>
      <c r="AJ1044" s="123">
        <f t="shared" si="763"/>
        <v>0</v>
      </c>
      <c r="AK1044" s="122">
        <f>(1+HLOOKUP(YEAR(A1044),'Real assumptions'!$A$21:$AK$24,2,TRUE)/100)^(1/12)-1</f>
        <v>0</v>
      </c>
      <c r="AL1044">
        <f t="shared" si="797"/>
        <v>3.6768022379763917E-4</v>
      </c>
      <c r="AM1044">
        <f>('Real assumptions'!$B$33/12)*O1043*AV1043</f>
        <v>3.533789224231723E-4</v>
      </c>
      <c r="AN1044">
        <f t="shared" si="785"/>
        <v>5.2077907966185506E-2</v>
      </c>
      <c r="AO1044">
        <f t="shared" si="764"/>
        <v>0</v>
      </c>
      <c r="AP1044" s="121">
        <f t="shared" si="786"/>
        <v>0</v>
      </c>
      <c r="AQ1044">
        <f t="shared" si="787"/>
        <v>0</v>
      </c>
      <c r="AR1044">
        <v>0</v>
      </c>
      <c r="AS1044">
        <f t="shared" si="770"/>
        <v>0</v>
      </c>
      <c r="AT1044">
        <f t="shared" si="788"/>
        <v>0</v>
      </c>
      <c r="AU1044">
        <f>IFERROR(HLOOKUP(B1044,'Real assumptions'!$B$43:$AL$44,2,TRUE)*($W$3/$U$2),0)</f>
        <v>0</v>
      </c>
      <c r="AV1044">
        <f>AV1043*(1+'Real assumptions'!$B$35)^(1/12)</f>
        <v>2.9105344376654108</v>
      </c>
      <c r="AW1044">
        <f t="shared" si="771"/>
        <v>2104</v>
      </c>
      <c r="AX1044">
        <f t="shared" si="798"/>
        <v>5.2205046355795037E-2</v>
      </c>
      <c r="AY1044">
        <f t="shared" si="799"/>
        <v>5.1152992979778522E-5</v>
      </c>
      <c r="AZ1044">
        <f t="shared" si="772"/>
        <v>3.5006730644076355E-2</v>
      </c>
      <c r="BA1044">
        <f t="shared" si="789"/>
        <v>1.6782948954598731E-4</v>
      </c>
      <c r="BB1044">
        <f t="shared" si="790"/>
        <v>12.916666666666671</v>
      </c>
      <c r="BC1044">
        <f t="shared" si="773"/>
        <v>7.7500000000000027</v>
      </c>
      <c r="BD1044">
        <f t="shared" si="791"/>
        <v>0</v>
      </c>
      <c r="BE1044">
        <f t="shared" si="774"/>
        <v>24</v>
      </c>
      <c r="BF1044">
        <f t="shared" si="800"/>
        <v>5000</v>
      </c>
      <c r="BU1044"/>
      <c r="DW1044" s="89"/>
      <c r="DX1044" s="89"/>
      <c r="FD1044"/>
      <c r="FE1044"/>
    </row>
    <row r="1045" spans="1:161" x14ac:dyDescent="0.25">
      <c r="A1045" s="7">
        <f t="shared" si="792"/>
        <v>74907</v>
      </c>
      <c r="B1045">
        <f t="shared" si="775"/>
        <v>1034</v>
      </c>
      <c r="C1045">
        <f t="shared" si="756"/>
        <v>86.083333333333329</v>
      </c>
      <c r="D1045">
        <f t="shared" si="757"/>
        <v>0</v>
      </c>
      <c r="E1045">
        <f t="shared" si="776"/>
        <v>138</v>
      </c>
      <c r="F1045">
        <f>IF(C1045&gt;=$T$2,0,VLOOKUP($E1045,EKM_F05!$A$3:$C$128,2,TRUE))</f>
        <v>0</v>
      </c>
      <c r="G1045">
        <f>F1045*'Real assumptions'!$B$3</f>
        <v>0</v>
      </c>
      <c r="H1045">
        <f t="shared" si="758"/>
        <v>0</v>
      </c>
      <c r="I1045">
        <f t="shared" si="759"/>
        <v>0</v>
      </c>
      <c r="J1045">
        <f>IF(B1045&gt;$AJ$2,0,HLOOKUP(C1045,'Real assumptions'!$B$5:$L$8,4,TRUE))</f>
        <v>3.7900000000000003E-2</v>
      </c>
      <c r="K1045">
        <f t="shared" si="765"/>
        <v>1</v>
      </c>
      <c r="L1045">
        <f t="shared" si="793"/>
        <v>8.3333333333333329E-2</v>
      </c>
      <c r="M1045">
        <f t="shared" si="760"/>
        <v>3.2145624959929453E-3</v>
      </c>
      <c r="N1045">
        <f t="shared" si="761"/>
        <v>3.8944043702074579E-8</v>
      </c>
      <c r="O1045" s="8">
        <f t="shared" si="777"/>
        <v>1.207593745280626E-5</v>
      </c>
      <c r="P1045">
        <f t="shared" si="778"/>
        <v>2.9075715591620003E-4</v>
      </c>
      <c r="Q1045">
        <f t="shared" si="794"/>
        <v>0</v>
      </c>
      <c r="R1045" s="89">
        <f t="shared" si="766"/>
        <v>5000</v>
      </c>
      <c r="S1045">
        <f t="shared" si="767"/>
        <v>0.8333333333333286</v>
      </c>
      <c r="U1045">
        <f>O1044*AV1044*'Real assumptions'!$B$33/12+AX1045*'Real assumptions'!$B$34</f>
        <v>3.6687820829014566E-4</v>
      </c>
      <c r="V1045">
        <f>IF(P1045=0,0,IF(E1045&lt;=$C$7,$AN$5*O1044,0))*'Real assumptions'!$D$28</f>
        <v>0</v>
      </c>
      <c r="X1045" s="94">
        <f t="shared" si="779"/>
        <v>0</v>
      </c>
      <c r="Y1045">
        <f t="shared" si="768"/>
        <v>24</v>
      </c>
      <c r="Z1045">
        <f t="shared" si="795"/>
        <v>12</v>
      </c>
      <c r="AA1045">
        <f t="shared" si="769"/>
        <v>12.833333333333329</v>
      </c>
      <c r="AB1045">
        <f t="shared" si="780"/>
        <v>50.505050505050505</v>
      </c>
      <c r="AC1045">
        <f t="shared" si="762"/>
        <v>648.14814814814792</v>
      </c>
      <c r="AD1045">
        <f t="shared" si="781"/>
        <v>80.505050505050505</v>
      </c>
      <c r="AE1045">
        <f t="shared" si="782"/>
        <v>51.657407407407383</v>
      </c>
      <c r="AF1045" s="94">
        <f t="shared" si="783"/>
        <v>4300.1944444444453</v>
      </c>
      <c r="AG1045">
        <f t="shared" si="796"/>
        <v>1.674669603718628E-4</v>
      </c>
      <c r="AH1045">
        <f t="shared" si="784"/>
        <v>5.1928879146016085E-2</v>
      </c>
      <c r="AI1045">
        <f>HLOOKUP(AW1045,'Real assumptions'!$A$21:$AK$24,2,TRUE)</f>
        <v>0</v>
      </c>
      <c r="AJ1045" s="123">
        <f t="shared" si="763"/>
        <v>0</v>
      </c>
      <c r="AK1045" s="122">
        <f>(1+HLOOKUP(YEAR(A1045),'Real assumptions'!$A$21:$AK$24,2,TRUE)/100)^(1/12)-1</f>
        <v>0</v>
      </c>
      <c r="AL1045">
        <f t="shared" si="797"/>
        <v>3.6687820829014566E-4</v>
      </c>
      <c r="AM1045">
        <f>('Real assumptions'!$B$33/12)*O1044*AV1044</f>
        <v>3.5260779803822974E-4</v>
      </c>
      <c r="AN1045">
        <f t="shared" si="785"/>
        <v>5.1965172707415595E-2</v>
      </c>
      <c r="AO1045">
        <f t="shared" si="764"/>
        <v>0</v>
      </c>
      <c r="AP1045" s="121">
        <f t="shared" si="786"/>
        <v>0</v>
      </c>
      <c r="AQ1045">
        <f t="shared" si="787"/>
        <v>0</v>
      </c>
      <c r="AR1045">
        <v>0</v>
      </c>
      <c r="AS1045">
        <f t="shared" si="770"/>
        <v>0</v>
      </c>
      <c r="AT1045">
        <f t="shared" si="788"/>
        <v>0</v>
      </c>
      <c r="AU1045">
        <f>IFERROR(HLOOKUP(B1045,'Real assumptions'!$B$43:$AL$44,2,TRUE)*($W$3/$U$2),0)</f>
        <v>0</v>
      </c>
      <c r="AV1045">
        <f>AV1044*(1+'Real assumptions'!$B$35)^(1/12)</f>
        <v>2.9135490121098648</v>
      </c>
      <c r="AW1045">
        <f t="shared" si="771"/>
        <v>2105</v>
      </c>
      <c r="AX1045">
        <f t="shared" si="798"/>
        <v>5.2092282318276527E-2</v>
      </c>
      <c r="AY1045">
        <f t="shared" si="799"/>
        <v>5.0988558486987939E-5</v>
      </c>
      <c r="AZ1045">
        <f t="shared" si="772"/>
        <v>3.4763142631330547E-2</v>
      </c>
      <c r="BA1045">
        <f t="shared" si="789"/>
        <v>1.674669603718628E-4</v>
      </c>
      <c r="BB1045">
        <f t="shared" si="790"/>
        <v>12.833333333333329</v>
      </c>
      <c r="BC1045">
        <f t="shared" si="773"/>
        <v>7.6999999999999966</v>
      </c>
      <c r="BD1045">
        <f t="shared" si="791"/>
        <v>0</v>
      </c>
      <c r="BE1045">
        <f t="shared" si="774"/>
        <v>24</v>
      </c>
      <c r="BF1045">
        <f t="shared" si="800"/>
        <v>5000</v>
      </c>
      <c r="BU1045"/>
      <c r="DW1045" s="89"/>
      <c r="DX1045" s="89"/>
      <c r="FD1045"/>
      <c r="FE1045"/>
    </row>
    <row r="1046" spans="1:161" x14ac:dyDescent="0.25">
      <c r="A1046" s="7">
        <f t="shared" si="792"/>
        <v>74935</v>
      </c>
      <c r="B1046">
        <f t="shared" si="775"/>
        <v>1035</v>
      </c>
      <c r="C1046">
        <f t="shared" si="756"/>
        <v>86.166666666666671</v>
      </c>
      <c r="D1046">
        <f t="shared" si="757"/>
        <v>0</v>
      </c>
      <c r="E1046">
        <f t="shared" si="776"/>
        <v>138</v>
      </c>
      <c r="F1046">
        <f>IF(C1046&gt;=$T$2,0,VLOOKUP($E1046,EKM_F05!$A$3:$C$128,2,TRUE))</f>
        <v>0</v>
      </c>
      <c r="G1046">
        <f>F1046*'Real assumptions'!$B$3</f>
        <v>0</v>
      </c>
      <c r="H1046">
        <f t="shared" si="758"/>
        <v>0</v>
      </c>
      <c r="I1046">
        <f t="shared" si="759"/>
        <v>0</v>
      </c>
      <c r="J1046">
        <f>IF(B1046&gt;$AJ$2,0,HLOOKUP(C1046,'Real assumptions'!$B$5:$L$8,4,TRUE))</f>
        <v>3.7900000000000003E-2</v>
      </c>
      <c r="K1046">
        <f t="shared" si="765"/>
        <v>1</v>
      </c>
      <c r="L1046">
        <f t="shared" si="793"/>
        <v>8.3333333333333329E-2</v>
      </c>
      <c r="M1046">
        <f t="shared" si="760"/>
        <v>3.2145624959929453E-3</v>
      </c>
      <c r="N1046">
        <f t="shared" si="761"/>
        <v>3.8818855639747582E-8</v>
      </c>
      <c r="O1046" s="8">
        <f t="shared" si="777"/>
        <v>1.2037118597166513E-5</v>
      </c>
      <c r="P1046">
        <f t="shared" si="778"/>
        <v>2.8982249886735023E-4</v>
      </c>
      <c r="Q1046">
        <f t="shared" si="794"/>
        <v>0</v>
      </c>
      <c r="R1046" s="89">
        <f t="shared" si="766"/>
        <v>5000</v>
      </c>
      <c r="S1046">
        <f t="shared" si="767"/>
        <v>0.75</v>
      </c>
      <c r="U1046">
        <f>O1045*AV1045*'Real assumptions'!$B$33/12+AX1046*'Real assumptions'!$B$34</f>
        <v>3.6607792631025514E-4</v>
      </c>
      <c r="V1046">
        <f>IF(P1046=0,0,IF(E1046&lt;=$C$7,$AN$5*O1045,0))*'Real assumptions'!$D$28</f>
        <v>0</v>
      </c>
      <c r="X1046" s="94">
        <f t="shared" si="779"/>
        <v>0</v>
      </c>
      <c r="Y1046">
        <f t="shared" si="768"/>
        <v>24</v>
      </c>
      <c r="Z1046">
        <f t="shared" si="795"/>
        <v>12</v>
      </c>
      <c r="AA1046">
        <f t="shared" si="769"/>
        <v>12.75</v>
      </c>
      <c r="AB1046">
        <f t="shared" si="780"/>
        <v>50.505050505050505</v>
      </c>
      <c r="AC1046">
        <f t="shared" si="762"/>
        <v>643.93939393939399</v>
      </c>
      <c r="AD1046">
        <f t="shared" si="781"/>
        <v>80.505050505050505</v>
      </c>
      <c r="AE1046">
        <f t="shared" si="782"/>
        <v>51.321969696969695</v>
      </c>
      <c r="AF1046" s="94">
        <f t="shared" si="783"/>
        <v>4304.738636363636</v>
      </c>
      <c r="AG1046">
        <f t="shared" si="796"/>
        <v>1.6710502769184385E-4</v>
      </c>
      <c r="AH1046">
        <f t="shared" si="784"/>
        <v>5.1816649495713941E-2</v>
      </c>
      <c r="AI1046">
        <f>HLOOKUP(AW1046,'Real assumptions'!$A$21:$AK$24,2,TRUE)</f>
        <v>0</v>
      </c>
      <c r="AJ1046" s="123">
        <f t="shared" si="763"/>
        <v>0</v>
      </c>
      <c r="AK1046" s="122">
        <f>(1+HLOOKUP(YEAR(A1046),'Real assumptions'!$A$21:$AK$24,2,TRUE)/100)^(1/12)-1</f>
        <v>0</v>
      </c>
      <c r="AL1046">
        <f t="shared" si="797"/>
        <v>3.6607792631025514E-4</v>
      </c>
      <c r="AM1046">
        <f>('Real assumptions'!$B$33/12)*O1045*AV1045</f>
        <v>3.5183835635924196E-4</v>
      </c>
      <c r="AN1046">
        <f t="shared" si="785"/>
        <v>5.1852623718573181E-2</v>
      </c>
      <c r="AO1046">
        <f t="shared" si="764"/>
        <v>0</v>
      </c>
      <c r="AP1046" s="121">
        <f t="shared" si="786"/>
        <v>0</v>
      </c>
      <c r="AQ1046">
        <f t="shared" si="787"/>
        <v>0</v>
      </c>
      <c r="AR1046">
        <v>0</v>
      </c>
      <c r="AS1046">
        <f t="shared" si="770"/>
        <v>0</v>
      </c>
      <c r="AT1046">
        <f t="shared" si="788"/>
        <v>0</v>
      </c>
      <c r="AU1046">
        <f>IFERROR(HLOOKUP(B1046,'Real assumptions'!$B$43:$AL$44,2,TRUE)*($W$3/$U$2),0)</f>
        <v>0</v>
      </c>
      <c r="AV1046">
        <f>AV1045*(1+'Real assumptions'!$B$35)^(1/12)</f>
        <v>2.9165667088877858</v>
      </c>
      <c r="AW1046">
        <f t="shared" si="771"/>
        <v>2105</v>
      </c>
      <c r="AX1046">
        <f t="shared" si="798"/>
        <v>5.1979703798595234E-2</v>
      </c>
      <c r="AY1046">
        <f t="shared" si="799"/>
        <v>5.0824652579150921E-5</v>
      </c>
      <c r="AZ1046">
        <f t="shared" si="772"/>
        <v>3.45197821761958E-2</v>
      </c>
      <c r="BA1046">
        <f t="shared" si="789"/>
        <v>1.6710502769184385E-4</v>
      </c>
      <c r="BB1046">
        <f t="shared" si="790"/>
        <v>12.75</v>
      </c>
      <c r="BC1046">
        <f t="shared" si="773"/>
        <v>7.6499999999999995</v>
      </c>
      <c r="BD1046">
        <f t="shared" si="791"/>
        <v>0</v>
      </c>
      <c r="BE1046">
        <f t="shared" si="774"/>
        <v>24</v>
      </c>
      <c r="BF1046">
        <f t="shared" si="800"/>
        <v>5000</v>
      </c>
      <c r="BU1046"/>
      <c r="DW1046" s="89"/>
      <c r="DX1046" s="89"/>
      <c r="FD1046"/>
      <c r="FE1046"/>
    </row>
    <row r="1047" spans="1:161" x14ac:dyDescent="0.25">
      <c r="A1047" s="7">
        <f t="shared" si="792"/>
        <v>74966</v>
      </c>
      <c r="B1047">
        <f t="shared" si="775"/>
        <v>1036</v>
      </c>
      <c r="C1047">
        <f t="shared" si="756"/>
        <v>86.25</v>
      </c>
      <c r="D1047">
        <f t="shared" si="757"/>
        <v>0</v>
      </c>
      <c r="E1047">
        <f t="shared" si="776"/>
        <v>138</v>
      </c>
      <c r="F1047">
        <f>IF(C1047&gt;=$T$2,0,VLOOKUP($E1047,EKM_F05!$A$3:$C$128,2,TRUE))</f>
        <v>0</v>
      </c>
      <c r="G1047">
        <f>F1047*'Real assumptions'!$B$3</f>
        <v>0</v>
      </c>
      <c r="H1047">
        <f t="shared" si="758"/>
        <v>0</v>
      </c>
      <c r="I1047">
        <f t="shared" si="759"/>
        <v>0</v>
      </c>
      <c r="J1047">
        <f>IF(B1047&gt;$AJ$2,0,HLOOKUP(C1047,'Real assumptions'!$B$5:$L$8,4,TRUE))</f>
        <v>3.7900000000000003E-2</v>
      </c>
      <c r="K1047">
        <f t="shared" si="765"/>
        <v>1</v>
      </c>
      <c r="L1047">
        <f t="shared" si="793"/>
        <v>8.3333333333333329E-2</v>
      </c>
      <c r="M1047">
        <f t="shared" si="760"/>
        <v>3.2145624959929453E-3</v>
      </c>
      <c r="N1047">
        <f t="shared" si="761"/>
        <v>3.8694070002270688E-8</v>
      </c>
      <c r="O1047" s="8">
        <f t="shared" si="777"/>
        <v>1.1998424527164242E-5</v>
      </c>
      <c r="P1047">
        <f t="shared" si="778"/>
        <v>2.8889084633199633E-4</v>
      </c>
      <c r="Q1047">
        <f t="shared" si="794"/>
        <v>0</v>
      </c>
      <c r="R1047" s="89">
        <f t="shared" si="766"/>
        <v>5000</v>
      </c>
      <c r="S1047">
        <f t="shared" si="767"/>
        <v>0.6666666666666714</v>
      </c>
      <c r="U1047">
        <f>O1046*AV1046*'Real assumptions'!$B$33/12+AX1047*'Real assumptions'!$B$34</f>
        <v>3.6527937417852962E-4</v>
      </c>
      <c r="V1047">
        <f>IF(P1047=0,0,IF(E1047&lt;=$C$7,$AN$5*O1046,0))*'Real assumptions'!$D$28</f>
        <v>0</v>
      </c>
      <c r="X1047" s="94">
        <f t="shared" si="779"/>
        <v>0</v>
      </c>
      <c r="Y1047">
        <f t="shared" si="768"/>
        <v>24</v>
      </c>
      <c r="Z1047">
        <f t="shared" si="795"/>
        <v>12</v>
      </c>
      <c r="AA1047">
        <f t="shared" si="769"/>
        <v>12.666666666666671</v>
      </c>
      <c r="AB1047">
        <f t="shared" si="780"/>
        <v>50.505050505050505</v>
      </c>
      <c r="AC1047">
        <f t="shared" si="762"/>
        <v>639.73063973063995</v>
      </c>
      <c r="AD1047">
        <f t="shared" si="781"/>
        <v>80.505050505050505</v>
      </c>
      <c r="AE1047">
        <f t="shared" si="782"/>
        <v>50.986531986532</v>
      </c>
      <c r="AF1047" s="94">
        <f t="shared" si="783"/>
        <v>4309.2828282828277</v>
      </c>
      <c r="AG1047">
        <f t="shared" si="796"/>
        <v>1.6674369141715876E-4</v>
      </c>
      <c r="AH1047">
        <f t="shared" si="784"/>
        <v>5.1704604781356377E-2</v>
      </c>
      <c r="AI1047">
        <f>HLOOKUP(AW1047,'Real assumptions'!$A$21:$AK$24,2,TRUE)</f>
        <v>0</v>
      </c>
      <c r="AJ1047" s="123">
        <f t="shared" si="763"/>
        <v>0</v>
      </c>
      <c r="AK1047" s="122">
        <f>(1+HLOOKUP(YEAR(A1047),'Real assumptions'!$A$21:$AK$24,2,TRUE)/100)^(1/12)-1</f>
        <v>0</v>
      </c>
      <c r="AL1047">
        <f t="shared" si="797"/>
        <v>3.6527937417852962E-4</v>
      </c>
      <c r="AM1047">
        <f>('Real assumptions'!$B$33/12)*O1046*AV1046</f>
        <v>3.5107059371429895E-4</v>
      </c>
      <c r="AN1047">
        <f t="shared" si="785"/>
        <v>5.1740260967867407E-2</v>
      </c>
      <c r="AO1047">
        <f t="shared" si="764"/>
        <v>0</v>
      </c>
      <c r="AP1047" s="121">
        <f t="shared" si="786"/>
        <v>0</v>
      </c>
      <c r="AQ1047">
        <f t="shared" si="787"/>
        <v>0</v>
      </c>
      <c r="AR1047">
        <v>0</v>
      </c>
      <c r="AS1047">
        <f t="shared" si="770"/>
        <v>0</v>
      </c>
      <c r="AT1047">
        <f t="shared" si="788"/>
        <v>0</v>
      </c>
      <c r="AU1047">
        <f>IFERROR(HLOOKUP(B1047,'Real assumptions'!$B$43:$AL$44,2,TRUE)*($W$3/$U$2),0)</f>
        <v>0</v>
      </c>
      <c r="AV1047">
        <f>AV1046*(1+'Real assumptions'!$B$35)^(1/12)</f>
        <v>2.9195875312331183</v>
      </c>
      <c r="AW1047">
        <f t="shared" si="771"/>
        <v>2105</v>
      </c>
      <c r="AX1047">
        <f t="shared" si="798"/>
        <v>5.1867310769271043E-2</v>
      </c>
      <c r="AY1047">
        <f t="shared" si="799"/>
        <v>5.0661273557098118E-5</v>
      </c>
      <c r="AZ1047">
        <f t="shared" si="772"/>
        <v>3.4276649956932109E-2</v>
      </c>
      <c r="BA1047">
        <f t="shared" si="789"/>
        <v>1.6674369141715876E-4</v>
      </c>
      <c r="BB1047">
        <f t="shared" si="790"/>
        <v>12.666666666666671</v>
      </c>
      <c r="BC1047">
        <f t="shared" si="773"/>
        <v>7.6000000000000023</v>
      </c>
      <c r="BD1047">
        <f t="shared" si="791"/>
        <v>0</v>
      </c>
      <c r="BE1047">
        <f t="shared" si="774"/>
        <v>24</v>
      </c>
      <c r="BF1047">
        <f t="shared" si="800"/>
        <v>5000</v>
      </c>
      <c r="BU1047"/>
      <c r="DW1047" s="89"/>
      <c r="DX1047" s="89"/>
      <c r="FD1047"/>
      <c r="FE1047"/>
    </row>
    <row r="1048" spans="1:161" x14ac:dyDescent="0.25">
      <c r="A1048" s="7">
        <f t="shared" si="792"/>
        <v>74996</v>
      </c>
      <c r="B1048">
        <f t="shared" si="775"/>
        <v>1037</v>
      </c>
      <c r="C1048">
        <f t="shared" si="756"/>
        <v>86.333333333333329</v>
      </c>
      <c r="D1048">
        <f t="shared" si="757"/>
        <v>0</v>
      </c>
      <c r="E1048">
        <f t="shared" si="776"/>
        <v>138</v>
      </c>
      <c r="F1048">
        <f>IF(C1048&gt;=$T$2,0,VLOOKUP($E1048,EKM_F05!$A$3:$C$128,2,TRUE))</f>
        <v>0</v>
      </c>
      <c r="G1048">
        <f>F1048*'Real assumptions'!$B$3</f>
        <v>0</v>
      </c>
      <c r="H1048">
        <f t="shared" si="758"/>
        <v>0</v>
      </c>
      <c r="I1048">
        <f t="shared" si="759"/>
        <v>0</v>
      </c>
      <c r="J1048">
        <f>IF(B1048&gt;$AJ$2,0,HLOOKUP(C1048,'Real assumptions'!$B$5:$L$8,4,TRUE))</f>
        <v>3.7900000000000003E-2</v>
      </c>
      <c r="K1048">
        <f t="shared" si="765"/>
        <v>1</v>
      </c>
      <c r="L1048">
        <f t="shared" si="793"/>
        <v>8.3333333333333329E-2</v>
      </c>
      <c r="M1048">
        <f t="shared" si="760"/>
        <v>3.2145624959929453E-3</v>
      </c>
      <c r="N1048">
        <f t="shared" si="761"/>
        <v>3.8569685496024058E-8</v>
      </c>
      <c r="O1048" s="8">
        <f t="shared" si="777"/>
        <v>1.1959854841668218E-5</v>
      </c>
      <c r="P1048">
        <f t="shared" si="778"/>
        <v>2.8796218865194184E-4</v>
      </c>
      <c r="Q1048">
        <f t="shared" si="794"/>
        <v>0</v>
      </c>
      <c r="R1048" s="89">
        <f t="shared" si="766"/>
        <v>5000</v>
      </c>
      <c r="S1048">
        <f t="shared" si="767"/>
        <v>0.5833333333333286</v>
      </c>
      <c r="U1048">
        <f>O1047*AV1047*'Real assumptions'!$B$33/12+AX1048*'Real assumptions'!$B$34</f>
        <v>3.6448254822306694E-4</v>
      </c>
      <c r="V1048">
        <f>IF(P1048=0,0,IF(E1048&lt;=$C$7,$AN$5*O1047,0))*'Real assumptions'!$D$28</f>
        <v>0</v>
      </c>
      <c r="X1048" s="94">
        <f t="shared" si="779"/>
        <v>0</v>
      </c>
      <c r="Y1048">
        <f t="shared" si="768"/>
        <v>24</v>
      </c>
      <c r="Z1048">
        <f t="shared" si="795"/>
        <v>12</v>
      </c>
      <c r="AA1048">
        <f t="shared" si="769"/>
        <v>12.583333333333329</v>
      </c>
      <c r="AB1048">
        <f t="shared" si="780"/>
        <v>50.505050505050505</v>
      </c>
      <c r="AC1048">
        <f t="shared" si="762"/>
        <v>635.52188552188534</v>
      </c>
      <c r="AD1048">
        <f t="shared" si="781"/>
        <v>80.505050505050505</v>
      </c>
      <c r="AE1048">
        <f t="shared" si="782"/>
        <v>50.651094276094256</v>
      </c>
      <c r="AF1048" s="94">
        <f t="shared" si="783"/>
        <v>4313.8270202020203</v>
      </c>
      <c r="AG1048">
        <f t="shared" si="796"/>
        <v>1.6638295145344256E-4</v>
      </c>
      <c r="AH1048">
        <f t="shared" si="784"/>
        <v>5.1592744973682311E-2</v>
      </c>
      <c r="AI1048">
        <f>HLOOKUP(AW1048,'Real assumptions'!$A$21:$AK$24,2,TRUE)</f>
        <v>0</v>
      </c>
      <c r="AJ1048" s="123">
        <f t="shared" si="763"/>
        <v>0</v>
      </c>
      <c r="AK1048" s="122">
        <f>(1+HLOOKUP(YEAR(A1048),'Real assumptions'!$A$21:$AK$24,2,TRUE)/100)^(1/12)-1</f>
        <v>0</v>
      </c>
      <c r="AL1048">
        <f t="shared" si="797"/>
        <v>3.6448254822306694E-4</v>
      </c>
      <c r="AM1048">
        <f>('Real assumptions'!$B$33/12)*O1047*AV1047</f>
        <v>3.5030450643950341E-4</v>
      </c>
      <c r="AN1048">
        <f t="shared" si="785"/>
        <v>5.162808442178525E-2</v>
      </c>
      <c r="AO1048">
        <f t="shared" si="764"/>
        <v>0</v>
      </c>
      <c r="AP1048" s="121">
        <f t="shared" si="786"/>
        <v>0</v>
      </c>
      <c r="AQ1048">
        <f t="shared" si="787"/>
        <v>0</v>
      </c>
      <c r="AR1048">
        <v>0</v>
      </c>
      <c r="AS1048">
        <f t="shared" si="770"/>
        <v>0</v>
      </c>
      <c r="AT1048">
        <f t="shared" si="788"/>
        <v>0</v>
      </c>
      <c r="AU1048">
        <f>IFERROR(HLOOKUP(B1048,'Real assumptions'!$B$43:$AL$44,2,TRUE)*($W$3/$U$2),0)</f>
        <v>0</v>
      </c>
      <c r="AV1048">
        <f>AV1047*(1+'Real assumptions'!$B$35)^(1/12)</f>
        <v>2.9226114823831559</v>
      </c>
      <c r="AW1048">
        <f t="shared" si="771"/>
        <v>2105</v>
      </c>
      <c r="AX1048">
        <f t="shared" si="798"/>
        <v>5.1755103201083501E-2</v>
      </c>
      <c r="AY1048">
        <f t="shared" si="799"/>
        <v>5.049841972712223E-5</v>
      </c>
      <c r="AZ1048">
        <f t="shared" si="772"/>
        <v>3.4033746645907546E-2</v>
      </c>
      <c r="BA1048">
        <f t="shared" si="789"/>
        <v>1.6638295145344256E-4</v>
      </c>
      <c r="BB1048">
        <f t="shared" si="790"/>
        <v>12.583333333333329</v>
      </c>
      <c r="BC1048">
        <f t="shared" si="773"/>
        <v>7.5499999999999972</v>
      </c>
      <c r="BD1048">
        <f t="shared" si="791"/>
        <v>0</v>
      </c>
      <c r="BE1048">
        <f t="shared" si="774"/>
        <v>24</v>
      </c>
      <c r="BF1048">
        <f t="shared" si="800"/>
        <v>5000</v>
      </c>
      <c r="BU1048"/>
      <c r="DW1048" s="89"/>
      <c r="DX1048" s="89"/>
      <c r="FD1048"/>
      <c r="FE1048"/>
    </row>
    <row r="1049" spans="1:161" x14ac:dyDescent="0.25">
      <c r="A1049" s="7">
        <f t="shared" si="792"/>
        <v>75027</v>
      </c>
      <c r="B1049">
        <f t="shared" si="775"/>
        <v>1038</v>
      </c>
      <c r="C1049">
        <f t="shared" si="756"/>
        <v>86.416666666666671</v>
      </c>
      <c r="D1049">
        <f t="shared" si="757"/>
        <v>0</v>
      </c>
      <c r="E1049">
        <f t="shared" si="776"/>
        <v>138</v>
      </c>
      <c r="F1049">
        <f>IF(C1049&gt;=$T$2,0,VLOOKUP($E1049,EKM_F05!$A$3:$C$128,2,TRUE))</f>
        <v>0</v>
      </c>
      <c r="G1049">
        <f>F1049*'Real assumptions'!$B$3</f>
        <v>0</v>
      </c>
      <c r="H1049">
        <f t="shared" si="758"/>
        <v>0</v>
      </c>
      <c r="I1049">
        <f t="shared" si="759"/>
        <v>0</v>
      </c>
      <c r="J1049">
        <f>IF(B1049&gt;$AJ$2,0,HLOOKUP(C1049,'Real assumptions'!$B$5:$L$8,4,TRUE))</f>
        <v>3.7900000000000003E-2</v>
      </c>
      <c r="K1049">
        <f t="shared" si="765"/>
        <v>1</v>
      </c>
      <c r="L1049">
        <f t="shared" si="793"/>
        <v>8.3333333333333329E-2</v>
      </c>
      <c r="M1049">
        <f t="shared" si="760"/>
        <v>3.2145624959929453E-3</v>
      </c>
      <c r="N1049">
        <f t="shared" si="761"/>
        <v>3.8445700831546296E-8</v>
      </c>
      <c r="O1049" s="8">
        <f t="shared" si="777"/>
        <v>1.1921409140836672E-5</v>
      </c>
      <c r="P1049">
        <f t="shared" si="778"/>
        <v>2.870365162000372E-4</v>
      </c>
      <c r="Q1049">
        <f t="shared" si="794"/>
        <v>0</v>
      </c>
      <c r="R1049" s="89">
        <f t="shared" si="766"/>
        <v>5000</v>
      </c>
      <c r="S1049">
        <f t="shared" si="767"/>
        <v>0.5</v>
      </c>
      <c r="U1049">
        <f>O1048*AV1048*'Real assumptions'!$B$33/12+AX1049*'Real assumptions'!$B$34</f>
        <v>3.6368744477948642E-4</v>
      </c>
      <c r="V1049">
        <f>IF(P1049=0,0,IF(E1049&lt;=$C$7,$AN$5*O1048,0))*'Real assumptions'!$D$28</f>
        <v>0</v>
      </c>
      <c r="X1049" s="94">
        <f t="shared" si="779"/>
        <v>0</v>
      </c>
      <c r="Y1049">
        <f t="shared" si="768"/>
        <v>24</v>
      </c>
      <c r="Z1049">
        <f t="shared" si="795"/>
        <v>12</v>
      </c>
      <c r="AA1049">
        <f t="shared" si="769"/>
        <v>12.5</v>
      </c>
      <c r="AB1049">
        <f t="shared" si="780"/>
        <v>50.505050505050505</v>
      </c>
      <c r="AC1049">
        <f t="shared" si="762"/>
        <v>631.31313131313129</v>
      </c>
      <c r="AD1049">
        <f t="shared" si="781"/>
        <v>80.505050505050505</v>
      </c>
      <c r="AE1049">
        <f t="shared" si="782"/>
        <v>50.31565656565656</v>
      </c>
      <c r="AF1049" s="94">
        <f t="shared" si="783"/>
        <v>4318.371212121212</v>
      </c>
      <c r="AG1049">
        <f t="shared" si="796"/>
        <v>1.6602280770077407E-4</v>
      </c>
      <c r="AH1049">
        <f t="shared" si="784"/>
        <v>5.1481070041707752E-2</v>
      </c>
      <c r="AI1049">
        <f>HLOOKUP(AW1049,'Real assumptions'!$A$21:$AK$24,2,TRUE)</f>
        <v>0</v>
      </c>
      <c r="AJ1049" s="123">
        <f t="shared" si="763"/>
        <v>0</v>
      </c>
      <c r="AK1049" s="122">
        <f>(1+HLOOKUP(YEAR(A1049),'Real assumptions'!$A$21:$AK$24,2,TRUE)/100)^(1/12)-1</f>
        <v>0</v>
      </c>
      <c r="AL1049">
        <f t="shared" si="797"/>
        <v>3.6368744477948642E-4</v>
      </c>
      <c r="AM1049">
        <f>('Real assumptions'!$B$33/12)*O1048*AV1048</f>
        <v>3.495400908789532E-4</v>
      </c>
      <c r="AN1049">
        <f t="shared" si="785"/>
        <v>5.1516094045102864E-2</v>
      </c>
      <c r="AO1049">
        <f t="shared" si="764"/>
        <v>0</v>
      </c>
      <c r="AP1049" s="121">
        <f t="shared" si="786"/>
        <v>0</v>
      </c>
      <c r="AQ1049">
        <f t="shared" si="787"/>
        <v>0</v>
      </c>
      <c r="AR1049">
        <v>0</v>
      </c>
      <c r="AS1049">
        <f t="shared" si="770"/>
        <v>0</v>
      </c>
      <c r="AT1049">
        <f t="shared" si="788"/>
        <v>0</v>
      </c>
      <c r="AU1049">
        <f>IFERROR(HLOOKUP(B1049,'Real assumptions'!$B$43:$AL$44,2,TRUE)*($W$3/$U$2),0)</f>
        <v>0</v>
      </c>
      <c r="AV1049">
        <f>AV1048*(1+'Real assumptions'!$B$35)^(1/12)</f>
        <v>2.925638565578546</v>
      </c>
      <c r="AW1049">
        <f t="shared" si="771"/>
        <v>2105</v>
      </c>
      <c r="AX1049">
        <f t="shared" si="798"/>
        <v>5.1643081063083275E-2</v>
      </c>
      <c r="AY1049">
        <f t="shared" si="799"/>
        <v>5.0336089400960512E-5</v>
      </c>
      <c r="AZ1049">
        <f t="shared" si="772"/>
        <v>3.3791072909627323E-2</v>
      </c>
      <c r="BA1049">
        <f t="shared" si="789"/>
        <v>1.6602280770077407E-4</v>
      </c>
      <c r="BB1049">
        <f t="shared" si="790"/>
        <v>12.5</v>
      </c>
      <c r="BC1049">
        <f t="shared" si="773"/>
        <v>7.5</v>
      </c>
      <c r="BD1049">
        <f t="shared" si="791"/>
        <v>0</v>
      </c>
      <c r="BE1049">
        <f t="shared" si="774"/>
        <v>24</v>
      </c>
      <c r="BF1049">
        <f t="shared" si="800"/>
        <v>5000</v>
      </c>
      <c r="BU1049"/>
      <c r="DW1049" s="89"/>
      <c r="DX1049" s="89"/>
      <c r="FD1049"/>
      <c r="FE1049"/>
    </row>
    <row r="1050" spans="1:161" x14ac:dyDescent="0.25">
      <c r="A1050" s="7">
        <f t="shared" si="792"/>
        <v>75057</v>
      </c>
      <c r="B1050">
        <f t="shared" si="775"/>
        <v>1039</v>
      </c>
      <c r="C1050">
        <f t="shared" si="756"/>
        <v>86.5</v>
      </c>
      <c r="D1050">
        <f t="shared" si="757"/>
        <v>0</v>
      </c>
      <c r="E1050">
        <f t="shared" si="776"/>
        <v>138</v>
      </c>
      <c r="F1050">
        <f>IF(C1050&gt;=$T$2,0,VLOOKUP($E1050,EKM_F05!$A$3:$C$128,2,TRUE))</f>
        <v>0</v>
      </c>
      <c r="G1050">
        <f>F1050*'Real assumptions'!$B$3</f>
        <v>0</v>
      </c>
      <c r="H1050">
        <f t="shared" si="758"/>
        <v>0</v>
      </c>
      <c r="I1050">
        <f t="shared" si="759"/>
        <v>0</v>
      </c>
      <c r="J1050">
        <f>IF(B1050&gt;$AJ$2,0,HLOOKUP(C1050,'Real assumptions'!$B$5:$L$8,4,TRUE))</f>
        <v>3.7900000000000003E-2</v>
      </c>
      <c r="K1050">
        <f t="shared" si="765"/>
        <v>1</v>
      </c>
      <c r="L1050">
        <f t="shared" si="793"/>
        <v>8.3333333333333329E-2</v>
      </c>
      <c r="M1050">
        <f t="shared" si="760"/>
        <v>3.2145624959929453E-3</v>
      </c>
      <c r="N1050">
        <f t="shared" si="761"/>
        <v>3.8322114723521045E-8</v>
      </c>
      <c r="O1050" s="8">
        <f t="shared" si="777"/>
        <v>1.1883087026113151E-5</v>
      </c>
      <c r="P1050">
        <f t="shared" si="778"/>
        <v>2.8611381938008012E-4</v>
      </c>
      <c r="Q1050">
        <f t="shared" si="794"/>
        <v>0</v>
      </c>
      <c r="R1050" s="89">
        <f t="shared" si="766"/>
        <v>5000</v>
      </c>
      <c r="S1050">
        <f t="shared" si="767"/>
        <v>0.4166666666666714</v>
      </c>
      <c r="U1050">
        <f>O1049*AV1049*'Real assumptions'!$B$33/12+AX1050*'Real assumptions'!$B$34</f>
        <v>3.6289406019091475E-4</v>
      </c>
      <c r="V1050">
        <f>IF(P1050=0,0,IF(E1050&lt;=$C$7,$AN$5*O1049,0))*'Real assumptions'!$D$28</f>
        <v>0</v>
      </c>
      <c r="X1050" s="94">
        <f t="shared" si="779"/>
        <v>0</v>
      </c>
      <c r="Y1050">
        <f t="shared" si="768"/>
        <v>24</v>
      </c>
      <c r="Z1050">
        <f t="shared" si="795"/>
        <v>12</v>
      </c>
      <c r="AA1050">
        <f t="shared" si="769"/>
        <v>12.416666666666671</v>
      </c>
      <c r="AB1050">
        <f t="shared" si="780"/>
        <v>50.505050505050505</v>
      </c>
      <c r="AC1050">
        <f t="shared" si="762"/>
        <v>627.10437710437736</v>
      </c>
      <c r="AD1050">
        <f t="shared" si="781"/>
        <v>80.505050505050505</v>
      </c>
      <c r="AE1050">
        <f t="shared" si="782"/>
        <v>49.980218855218872</v>
      </c>
      <c r="AF1050" s="94">
        <f t="shared" si="783"/>
        <v>4322.9154040404046</v>
      </c>
      <c r="AG1050">
        <f t="shared" si="796"/>
        <v>1.6566326005371272E-4</v>
      </c>
      <c r="AH1050">
        <f t="shared" si="784"/>
        <v>5.1369579952737221E-2</v>
      </c>
      <c r="AI1050">
        <f>HLOOKUP(AW1050,'Real assumptions'!$A$21:$AK$24,2,TRUE)</f>
        <v>0</v>
      </c>
      <c r="AJ1050" s="123">
        <f t="shared" si="763"/>
        <v>0</v>
      </c>
      <c r="AK1050" s="122">
        <f>(1+HLOOKUP(YEAR(A1050),'Real assumptions'!$A$21:$AK$24,2,TRUE)/100)^(1/12)-1</f>
        <v>0</v>
      </c>
      <c r="AL1050">
        <f t="shared" si="797"/>
        <v>3.6289406019091475E-4</v>
      </c>
      <c r="AM1050">
        <f>('Real assumptions'!$B$33/12)*O1049*AV1049</f>
        <v>3.4877734338472363E-4</v>
      </c>
      <c r="AN1050">
        <f t="shared" si="785"/>
        <v>5.1404289800896917E-2</v>
      </c>
      <c r="AO1050">
        <f t="shared" si="764"/>
        <v>0</v>
      </c>
      <c r="AP1050" s="121">
        <f t="shared" si="786"/>
        <v>0</v>
      </c>
      <c r="AQ1050">
        <f t="shared" si="787"/>
        <v>0</v>
      </c>
      <c r="AR1050">
        <v>0</v>
      </c>
      <c r="AS1050">
        <f t="shared" si="770"/>
        <v>0</v>
      </c>
      <c r="AT1050">
        <f t="shared" si="788"/>
        <v>0</v>
      </c>
      <c r="AU1050">
        <f>IFERROR(HLOOKUP(B1050,'Real assumptions'!$B$43:$AL$44,2,TRUE)*($W$3/$U$2),0)</f>
        <v>0</v>
      </c>
      <c r="AV1050">
        <f>AV1049*(1+'Real assumptions'!$B$35)^(1/12)</f>
        <v>2.9286687840632917</v>
      </c>
      <c r="AW1050">
        <f t="shared" si="771"/>
        <v>2105</v>
      </c>
      <c r="AX1050">
        <f t="shared" si="798"/>
        <v>5.1531244322603531E-2</v>
      </c>
      <c r="AY1050">
        <f t="shared" si="799"/>
        <v>5.0174280895777237E-5</v>
      </c>
      <c r="AZ1050">
        <f t="shared" si="772"/>
        <v>3.3548629408762777E-2</v>
      </c>
      <c r="BA1050">
        <f t="shared" si="789"/>
        <v>1.6566326005371272E-4</v>
      </c>
      <c r="BB1050">
        <f t="shared" si="790"/>
        <v>12.416666666666671</v>
      </c>
      <c r="BC1050">
        <f t="shared" si="773"/>
        <v>7.4500000000000028</v>
      </c>
      <c r="BD1050">
        <f t="shared" si="791"/>
        <v>0</v>
      </c>
      <c r="BE1050">
        <f t="shared" si="774"/>
        <v>24</v>
      </c>
      <c r="BF1050">
        <f t="shared" si="800"/>
        <v>5000</v>
      </c>
      <c r="BU1050"/>
      <c r="DW1050" s="89"/>
      <c r="DX1050" s="89"/>
      <c r="FD1050"/>
      <c r="FE1050"/>
    </row>
    <row r="1051" spans="1:161" x14ac:dyDescent="0.25">
      <c r="A1051" s="7">
        <f t="shared" si="792"/>
        <v>75088</v>
      </c>
      <c r="B1051">
        <f t="shared" si="775"/>
        <v>1040</v>
      </c>
      <c r="C1051">
        <f t="shared" si="756"/>
        <v>86.583333333333329</v>
      </c>
      <c r="D1051">
        <f t="shared" si="757"/>
        <v>0</v>
      </c>
      <c r="E1051">
        <f t="shared" si="776"/>
        <v>138</v>
      </c>
      <c r="F1051">
        <f>IF(C1051&gt;=$T$2,0,VLOOKUP($E1051,EKM_F05!$A$3:$C$128,2,TRUE))</f>
        <v>0</v>
      </c>
      <c r="G1051">
        <f>F1051*'Real assumptions'!$B$3</f>
        <v>0</v>
      </c>
      <c r="H1051">
        <f t="shared" si="758"/>
        <v>0</v>
      </c>
      <c r="I1051">
        <f t="shared" si="759"/>
        <v>0</v>
      </c>
      <c r="J1051">
        <f>IF(B1051&gt;$AJ$2,0,HLOOKUP(C1051,'Real assumptions'!$B$5:$L$8,4,TRUE))</f>
        <v>3.7900000000000003E-2</v>
      </c>
      <c r="K1051">
        <f t="shared" si="765"/>
        <v>1</v>
      </c>
      <c r="L1051">
        <f t="shared" si="793"/>
        <v>8.3333333333333329E-2</v>
      </c>
      <c r="M1051">
        <f t="shared" si="760"/>
        <v>3.2145624959929453E-3</v>
      </c>
      <c r="N1051">
        <f t="shared" si="761"/>
        <v>3.8198925890763673E-8</v>
      </c>
      <c r="O1051" s="8">
        <f t="shared" si="777"/>
        <v>1.1844888100222388E-5</v>
      </c>
      <c r="P1051">
        <f t="shared" si="778"/>
        <v>2.8519408862671562E-4</v>
      </c>
      <c r="Q1051">
        <f t="shared" si="794"/>
        <v>0</v>
      </c>
      <c r="R1051" s="89">
        <f t="shared" si="766"/>
        <v>5000</v>
      </c>
      <c r="S1051">
        <f t="shared" si="767"/>
        <v>0.3333333333333286</v>
      </c>
      <c r="U1051">
        <f>O1050*AV1050*'Real assumptions'!$B$33/12+AX1051*'Real assumptions'!$B$34</f>
        <v>3.6210239080797154E-4</v>
      </c>
      <c r="V1051">
        <f>IF(P1051=0,0,IF(E1051&lt;=$C$7,$AN$5*O1050,0))*'Real assumptions'!$D$28</f>
        <v>0</v>
      </c>
      <c r="X1051" s="94">
        <f t="shared" si="779"/>
        <v>0</v>
      </c>
      <c r="Y1051">
        <f t="shared" si="768"/>
        <v>24</v>
      </c>
      <c r="Z1051">
        <f t="shared" si="795"/>
        <v>12</v>
      </c>
      <c r="AA1051">
        <f t="shared" si="769"/>
        <v>12.333333333333329</v>
      </c>
      <c r="AB1051">
        <f t="shared" si="780"/>
        <v>50.505050505050505</v>
      </c>
      <c r="AC1051">
        <f t="shared" si="762"/>
        <v>622.89562289562264</v>
      </c>
      <c r="AD1051">
        <f t="shared" si="781"/>
        <v>80.505050505050505</v>
      </c>
      <c r="AE1051">
        <f t="shared" si="782"/>
        <v>49.64478114478112</v>
      </c>
      <c r="AF1051" s="94">
        <f t="shared" si="783"/>
        <v>4327.4595959595954</v>
      </c>
      <c r="AG1051">
        <f t="shared" si="796"/>
        <v>1.653043084013347E-4</v>
      </c>
      <c r="AH1051">
        <f t="shared" si="784"/>
        <v>5.1258274672374995E-2</v>
      </c>
      <c r="AI1051">
        <f>HLOOKUP(AW1051,'Real assumptions'!$A$21:$AK$24,2,TRUE)</f>
        <v>0</v>
      </c>
      <c r="AJ1051" s="123">
        <f t="shared" si="763"/>
        <v>0</v>
      </c>
      <c r="AK1051" s="122">
        <f>(1+HLOOKUP(YEAR(A1051),'Real assumptions'!$A$21:$AK$24,2,TRUE)/100)^(1/12)-1</f>
        <v>0</v>
      </c>
      <c r="AL1051">
        <f t="shared" si="797"/>
        <v>3.6210239080797154E-4</v>
      </c>
      <c r="AM1051">
        <f>('Real assumptions'!$B$33/12)*O1050*AV1050</f>
        <v>3.4801626031685079E-4</v>
      </c>
      <c r="AN1051">
        <f t="shared" si="785"/>
        <v>5.1292671650555961E-2</v>
      </c>
      <c r="AO1051">
        <f t="shared" si="764"/>
        <v>0</v>
      </c>
      <c r="AP1051" s="121">
        <f t="shared" si="786"/>
        <v>0</v>
      </c>
      <c r="AQ1051">
        <f t="shared" si="787"/>
        <v>0</v>
      </c>
      <c r="AR1051">
        <v>0</v>
      </c>
      <c r="AS1051">
        <f t="shared" si="770"/>
        <v>0</v>
      </c>
      <c r="AT1051">
        <f t="shared" si="788"/>
        <v>0</v>
      </c>
      <c r="AU1051">
        <f>IFERROR(HLOOKUP(B1051,'Real assumptions'!$B$43:$AL$44,2,TRUE)*($W$3/$U$2),0)</f>
        <v>0</v>
      </c>
      <c r="AV1051">
        <f>AV1050*(1+'Real assumptions'!$B$35)^(1/12)</f>
        <v>2.9317021410847568</v>
      </c>
      <c r="AW1051">
        <f t="shared" si="771"/>
        <v>2105</v>
      </c>
      <c r="AX1051">
        <f t="shared" si="798"/>
        <v>5.1419592945271368E-2</v>
      </c>
      <c r="AY1051">
        <f t="shared" si="799"/>
        <v>5.0012992534146256E-5</v>
      </c>
      <c r="AZ1051">
        <f t="shared" si="772"/>
        <v>3.330641679818018E-2</v>
      </c>
      <c r="BA1051">
        <f t="shared" si="789"/>
        <v>1.653043084013347E-4</v>
      </c>
      <c r="BB1051">
        <f t="shared" si="790"/>
        <v>12.333333333333329</v>
      </c>
      <c r="BC1051">
        <f t="shared" si="773"/>
        <v>7.3999999999999968</v>
      </c>
      <c r="BD1051">
        <f t="shared" si="791"/>
        <v>0</v>
      </c>
      <c r="BE1051">
        <f t="shared" si="774"/>
        <v>24</v>
      </c>
      <c r="BF1051">
        <f t="shared" si="800"/>
        <v>5000</v>
      </c>
      <c r="BU1051"/>
      <c r="DW1051" s="89"/>
      <c r="DX1051" s="89"/>
      <c r="FD1051"/>
      <c r="FE1051"/>
    </row>
    <row r="1052" spans="1:161" x14ac:dyDescent="0.25">
      <c r="A1052" s="7">
        <f t="shared" si="792"/>
        <v>75119</v>
      </c>
      <c r="B1052">
        <f t="shared" si="775"/>
        <v>1041</v>
      </c>
      <c r="C1052">
        <f t="shared" si="756"/>
        <v>86.666666666666671</v>
      </c>
      <c r="D1052">
        <f t="shared" si="757"/>
        <v>0</v>
      </c>
      <c r="E1052">
        <f t="shared" si="776"/>
        <v>138</v>
      </c>
      <c r="F1052">
        <f>IF(C1052&gt;=$T$2,0,VLOOKUP($E1052,EKM_F05!$A$3:$C$128,2,TRUE))</f>
        <v>0</v>
      </c>
      <c r="G1052">
        <f>F1052*'Real assumptions'!$B$3</f>
        <v>0</v>
      </c>
      <c r="H1052">
        <f t="shared" si="758"/>
        <v>0</v>
      </c>
      <c r="I1052">
        <f t="shared" si="759"/>
        <v>0</v>
      </c>
      <c r="J1052">
        <f>IF(B1052&gt;$AJ$2,0,HLOOKUP(C1052,'Real assumptions'!$B$5:$L$8,4,TRUE))</f>
        <v>3.7900000000000003E-2</v>
      </c>
      <c r="K1052">
        <f t="shared" si="765"/>
        <v>1</v>
      </c>
      <c r="L1052">
        <f t="shared" si="793"/>
        <v>8.3333333333333329E-2</v>
      </c>
      <c r="M1052">
        <f t="shared" si="760"/>
        <v>3.2145624959929453E-3</v>
      </c>
      <c r="N1052">
        <f t="shared" si="761"/>
        <v>3.8076133056208017E-8</v>
      </c>
      <c r="O1052" s="8">
        <f t="shared" si="777"/>
        <v>1.180681196716618E-5</v>
      </c>
      <c r="P1052">
        <f t="shared" si="778"/>
        <v>2.8427731440533731E-4</v>
      </c>
      <c r="Q1052">
        <f t="shared" si="794"/>
        <v>0</v>
      </c>
      <c r="R1052" s="89">
        <f t="shared" si="766"/>
        <v>5000</v>
      </c>
      <c r="S1052">
        <f t="shared" si="767"/>
        <v>0.25</v>
      </c>
      <c r="U1052">
        <f>O1051*AV1051*'Real assumptions'!$B$33/12+AX1052*'Real assumptions'!$B$34</f>
        <v>3.613124329887549E-4</v>
      </c>
      <c r="V1052">
        <f>IF(P1052=0,0,IF(E1052&lt;=$C$7,$AN$5*O1051,0))*'Real assumptions'!$D$28</f>
        <v>0</v>
      </c>
      <c r="X1052" s="94">
        <f t="shared" si="779"/>
        <v>0</v>
      </c>
      <c r="Y1052">
        <f t="shared" si="768"/>
        <v>24</v>
      </c>
      <c r="Z1052">
        <f t="shared" si="795"/>
        <v>12</v>
      </c>
      <c r="AA1052">
        <f t="shared" si="769"/>
        <v>12.25</v>
      </c>
      <c r="AB1052">
        <f t="shared" si="780"/>
        <v>50.505050505050505</v>
      </c>
      <c r="AC1052">
        <f t="shared" si="762"/>
        <v>618.68686868686871</v>
      </c>
      <c r="AD1052">
        <f t="shared" si="781"/>
        <v>80.505050505050505</v>
      </c>
      <c r="AE1052">
        <f t="shared" si="782"/>
        <v>49.309343434343432</v>
      </c>
      <c r="AF1052" s="94">
        <f t="shared" si="783"/>
        <v>4332.003787878788</v>
      </c>
      <c r="AG1052">
        <f t="shared" si="796"/>
        <v>1.6494595262726987E-4</v>
      </c>
      <c r="AH1052">
        <f t="shared" si="784"/>
        <v>5.1147154164536496E-2</v>
      </c>
      <c r="AI1052">
        <f>HLOOKUP(AW1052,'Real assumptions'!$A$21:$AK$24,2,TRUE)</f>
        <v>0</v>
      </c>
      <c r="AJ1052" s="123">
        <f t="shared" si="763"/>
        <v>0</v>
      </c>
      <c r="AK1052" s="122">
        <f>(1+HLOOKUP(YEAR(A1052),'Real assumptions'!$A$21:$AK$24,2,TRUE)/100)^(1/12)-1</f>
        <v>0</v>
      </c>
      <c r="AL1052">
        <f t="shared" si="797"/>
        <v>3.613124329887549E-4</v>
      </c>
      <c r="AM1052">
        <f>('Real assumptions'!$B$33/12)*O1051*AV1051</f>
        <v>3.4725683804331334E-4</v>
      </c>
      <c r="AN1052">
        <f t="shared" si="785"/>
        <v>5.1181239553791578E-2</v>
      </c>
      <c r="AO1052">
        <f t="shared" si="764"/>
        <v>0</v>
      </c>
      <c r="AP1052" s="121">
        <f t="shared" si="786"/>
        <v>0</v>
      </c>
      <c r="AQ1052">
        <f t="shared" si="787"/>
        <v>0</v>
      </c>
      <c r="AR1052">
        <v>0</v>
      </c>
      <c r="AS1052">
        <f t="shared" si="770"/>
        <v>0</v>
      </c>
      <c r="AT1052">
        <f t="shared" si="788"/>
        <v>0</v>
      </c>
      <c r="AU1052">
        <f>IFERROR(HLOOKUP(B1052,'Real assumptions'!$B$43:$AL$44,2,TRUE)*($W$3/$U$2),0)</f>
        <v>0</v>
      </c>
      <c r="AV1052">
        <f>AV1051*(1+'Real assumptions'!$B$35)^(1/12)</f>
        <v>2.9347386398936681</v>
      </c>
      <c r="AW1052">
        <f t="shared" si="771"/>
        <v>2105</v>
      </c>
      <c r="AX1052">
        <f t="shared" si="798"/>
        <v>5.1308126895019027E-2</v>
      </c>
      <c r="AY1052">
        <f t="shared" si="799"/>
        <v>4.9852222644033618E-5</v>
      </c>
      <c r="AZ1052">
        <f t="shared" si="772"/>
        <v>3.3064435726969495E-2</v>
      </c>
      <c r="BA1052">
        <f t="shared" si="789"/>
        <v>1.6494595262726987E-4</v>
      </c>
      <c r="BB1052">
        <f t="shared" si="790"/>
        <v>12.25</v>
      </c>
      <c r="BC1052">
        <f t="shared" si="773"/>
        <v>7.35</v>
      </c>
      <c r="BD1052">
        <f t="shared" si="791"/>
        <v>0</v>
      </c>
      <c r="BE1052">
        <f t="shared" si="774"/>
        <v>24</v>
      </c>
      <c r="BF1052">
        <f t="shared" si="800"/>
        <v>5000</v>
      </c>
      <c r="BU1052"/>
      <c r="DW1052" s="89"/>
      <c r="DX1052" s="89"/>
      <c r="FD1052"/>
      <c r="FE1052"/>
    </row>
    <row r="1053" spans="1:161" x14ac:dyDescent="0.25">
      <c r="A1053" s="7">
        <f t="shared" si="792"/>
        <v>75149</v>
      </c>
      <c r="B1053">
        <f t="shared" si="775"/>
        <v>1042</v>
      </c>
      <c r="C1053">
        <f t="shared" si="756"/>
        <v>86.75</v>
      </c>
      <c r="D1053">
        <f t="shared" si="757"/>
        <v>0</v>
      </c>
      <c r="E1053">
        <f t="shared" si="776"/>
        <v>138</v>
      </c>
      <c r="F1053">
        <f>IF(C1053&gt;=$T$2,0,VLOOKUP($E1053,EKM_F05!$A$3:$C$128,2,TRUE))</f>
        <v>0</v>
      </c>
      <c r="G1053">
        <f>F1053*'Real assumptions'!$B$3</f>
        <v>0</v>
      </c>
      <c r="H1053">
        <f t="shared" si="758"/>
        <v>0</v>
      </c>
      <c r="I1053">
        <f t="shared" si="759"/>
        <v>0</v>
      </c>
      <c r="J1053">
        <f>IF(B1053&gt;$AJ$2,0,HLOOKUP(C1053,'Real assumptions'!$B$5:$L$8,4,TRUE))</f>
        <v>3.7900000000000003E-2</v>
      </c>
      <c r="K1053">
        <f t="shared" si="765"/>
        <v>1</v>
      </c>
      <c r="L1053">
        <f t="shared" si="793"/>
        <v>8.3333333333333329E-2</v>
      </c>
      <c r="M1053">
        <f t="shared" si="760"/>
        <v>3.2145624959929453E-3</v>
      </c>
      <c r="N1053">
        <f t="shared" si="761"/>
        <v>3.7953734946893094E-8</v>
      </c>
      <c r="O1053" s="8">
        <f t="shared" si="777"/>
        <v>1.1768858232219287E-5</v>
      </c>
      <c r="P1053">
        <f t="shared" si="778"/>
        <v>2.8336348721198833E-4</v>
      </c>
      <c r="Q1053">
        <f t="shared" si="794"/>
        <v>0</v>
      </c>
      <c r="R1053" s="89">
        <f t="shared" si="766"/>
        <v>5000</v>
      </c>
      <c r="S1053">
        <f t="shared" si="767"/>
        <v>0.1666666666666714</v>
      </c>
      <c r="U1053">
        <f>O1052*AV1052*'Real assumptions'!$B$33/12+AX1053*'Real assumptions'!$B$34</f>
        <v>3.6052418309882747E-4</v>
      </c>
      <c r="V1053">
        <f>IF(P1053=0,0,IF(E1053&lt;=$C$7,$AN$5*O1052,0))*'Real assumptions'!$D$28</f>
        <v>0</v>
      </c>
      <c r="X1053" s="94">
        <f t="shared" si="779"/>
        <v>0</v>
      </c>
      <c r="Y1053">
        <f t="shared" si="768"/>
        <v>24</v>
      </c>
      <c r="Z1053">
        <f t="shared" si="795"/>
        <v>12</v>
      </c>
      <c r="AA1053">
        <f t="shared" si="769"/>
        <v>12.166666666666671</v>
      </c>
      <c r="AB1053">
        <f t="shared" si="780"/>
        <v>50.505050505050505</v>
      </c>
      <c r="AC1053">
        <f t="shared" si="762"/>
        <v>614.47811447811478</v>
      </c>
      <c r="AD1053">
        <f t="shared" si="781"/>
        <v>80.505050505050505</v>
      </c>
      <c r="AE1053">
        <f t="shared" si="782"/>
        <v>48.973905723905737</v>
      </c>
      <c r="AF1053" s="94">
        <f t="shared" si="783"/>
        <v>4336.5479797979797</v>
      </c>
      <c r="AG1053">
        <f t="shared" si="796"/>
        <v>1.6458819260973723E-4</v>
      </c>
      <c r="AH1053">
        <f t="shared" si="784"/>
        <v>5.1036218391459373E-2</v>
      </c>
      <c r="AI1053">
        <f>HLOOKUP(AW1053,'Real assumptions'!$A$21:$AK$24,2,TRUE)</f>
        <v>0</v>
      </c>
      <c r="AJ1053" s="123">
        <f t="shared" si="763"/>
        <v>0</v>
      </c>
      <c r="AK1053" s="122">
        <f>(1+HLOOKUP(YEAR(A1053),'Real assumptions'!$A$21:$AK$24,2,TRUE)/100)^(1/12)-1</f>
        <v>0</v>
      </c>
      <c r="AL1053">
        <f t="shared" si="797"/>
        <v>3.6052418309882747E-4</v>
      </c>
      <c r="AM1053">
        <f>('Real assumptions'!$B$33/12)*O1052*AV1052</f>
        <v>3.4649907294001558E-4</v>
      </c>
      <c r="AN1053">
        <f t="shared" si="785"/>
        <v>5.1069993468649655E-2</v>
      </c>
      <c r="AO1053">
        <f t="shared" si="764"/>
        <v>0</v>
      </c>
      <c r="AP1053" s="121">
        <f t="shared" si="786"/>
        <v>0</v>
      </c>
      <c r="AQ1053">
        <f t="shared" si="787"/>
        <v>0</v>
      </c>
      <c r="AR1053">
        <v>0</v>
      </c>
      <c r="AS1053">
        <f t="shared" si="770"/>
        <v>0</v>
      </c>
      <c r="AT1053">
        <f t="shared" si="788"/>
        <v>0</v>
      </c>
      <c r="AU1053">
        <f>IFERROR(HLOOKUP(B1053,'Real assumptions'!$B$43:$AL$44,2,TRUE)*($W$3/$U$2),0)</f>
        <v>0</v>
      </c>
      <c r="AV1053">
        <f>AV1052*(1+'Real assumptions'!$B$35)^(1/12)</f>
        <v>2.9377782837441191</v>
      </c>
      <c r="AW1053">
        <f t="shared" si="771"/>
        <v>2105</v>
      </c>
      <c r="AX1053">
        <f t="shared" si="798"/>
        <v>5.1196846134095274E-2</v>
      </c>
      <c r="AY1053">
        <f t="shared" si="799"/>
        <v>4.9691969558780215E-5</v>
      </c>
      <c r="AZ1053">
        <f t="shared" si="772"/>
        <v>3.282268683847292E-2</v>
      </c>
      <c r="BA1053">
        <f t="shared" si="789"/>
        <v>1.6458819260973723E-4</v>
      </c>
      <c r="BB1053">
        <f t="shared" si="790"/>
        <v>12.166666666666671</v>
      </c>
      <c r="BC1053">
        <f t="shared" si="773"/>
        <v>7.3000000000000025</v>
      </c>
      <c r="BD1053">
        <f t="shared" si="791"/>
        <v>0</v>
      </c>
      <c r="BE1053">
        <f t="shared" si="774"/>
        <v>24</v>
      </c>
      <c r="BF1053">
        <f t="shared" si="800"/>
        <v>5000</v>
      </c>
      <c r="BU1053"/>
      <c r="DW1053" s="89"/>
      <c r="DX1053" s="89"/>
      <c r="FD1053"/>
      <c r="FE1053"/>
    </row>
    <row r="1054" spans="1:161" x14ac:dyDescent="0.25">
      <c r="A1054" s="7">
        <f t="shared" si="792"/>
        <v>75180</v>
      </c>
      <c r="B1054">
        <f t="shared" si="775"/>
        <v>1043</v>
      </c>
      <c r="C1054">
        <f t="shared" si="756"/>
        <v>86.833333333333329</v>
      </c>
      <c r="D1054">
        <f t="shared" si="757"/>
        <v>0</v>
      </c>
      <c r="E1054">
        <f t="shared" si="776"/>
        <v>138</v>
      </c>
      <c r="F1054">
        <f>IF(C1054&gt;=$T$2,0,VLOOKUP($E1054,EKM_F05!$A$3:$C$128,2,TRUE))</f>
        <v>0</v>
      </c>
      <c r="G1054">
        <f>F1054*'Real assumptions'!$B$3</f>
        <v>0</v>
      </c>
      <c r="H1054">
        <f t="shared" si="758"/>
        <v>0</v>
      </c>
      <c r="I1054">
        <f t="shared" si="759"/>
        <v>0</v>
      </c>
      <c r="J1054">
        <f>IF(B1054&gt;$AJ$2,0,HLOOKUP(C1054,'Real assumptions'!$B$5:$L$8,4,TRUE))</f>
        <v>3.7900000000000003E-2</v>
      </c>
      <c r="K1054">
        <f t="shared" si="765"/>
        <v>1</v>
      </c>
      <c r="L1054">
        <f t="shared" si="793"/>
        <v>8.3333333333333329E-2</v>
      </c>
      <c r="M1054">
        <f t="shared" si="760"/>
        <v>3.2145624959929453E-3</v>
      </c>
      <c r="N1054">
        <f t="shared" si="761"/>
        <v>3.7831730293949951E-8</v>
      </c>
      <c r="O1054" s="8">
        <f t="shared" si="777"/>
        <v>1.1731026501925337E-5</v>
      </c>
      <c r="P1054">
        <f t="shared" si="778"/>
        <v>2.8245259757326288E-4</v>
      </c>
      <c r="Q1054">
        <f t="shared" si="794"/>
        <v>0</v>
      </c>
      <c r="R1054" s="89">
        <f t="shared" si="766"/>
        <v>5000</v>
      </c>
      <c r="S1054">
        <f t="shared" si="767"/>
        <v>8.3333333333328596E-2</v>
      </c>
      <c r="U1054">
        <f>O1053*AV1053*'Real assumptions'!$B$33/12+AX1054*'Real assumptions'!$B$34</f>
        <v>3.5973763751120192E-4</v>
      </c>
      <c r="V1054">
        <f>IF(P1054=0,0,IF(E1054&lt;=$C$7,$AN$5*O1053,0))*'Real assumptions'!$D$28</f>
        <v>0</v>
      </c>
      <c r="X1054" s="94">
        <f t="shared" si="779"/>
        <v>0</v>
      </c>
      <c r="Y1054">
        <f t="shared" si="768"/>
        <v>24</v>
      </c>
      <c r="Z1054">
        <f t="shared" si="795"/>
        <v>12</v>
      </c>
      <c r="AA1054">
        <f t="shared" si="769"/>
        <v>12.083333333333329</v>
      </c>
      <c r="AB1054">
        <f t="shared" si="780"/>
        <v>50.505050505050505</v>
      </c>
      <c r="AC1054">
        <f t="shared" si="762"/>
        <v>610.26936026936005</v>
      </c>
      <c r="AD1054">
        <f t="shared" si="781"/>
        <v>80.505050505050505</v>
      </c>
      <c r="AE1054">
        <f t="shared" si="782"/>
        <v>48.638468013467993</v>
      </c>
      <c r="AF1054" s="94">
        <f t="shared" si="783"/>
        <v>4341.0921717171723</v>
      </c>
      <c r="AG1054">
        <f t="shared" si="796"/>
        <v>1.6423102822158152E-4</v>
      </c>
      <c r="AH1054">
        <f t="shared" si="784"/>
        <v>5.0925467313714765E-2</v>
      </c>
      <c r="AI1054">
        <f>HLOOKUP(AW1054,'Real assumptions'!$A$21:$AK$24,2,TRUE)</f>
        <v>0</v>
      </c>
      <c r="AJ1054" s="123">
        <f t="shared" si="763"/>
        <v>0</v>
      </c>
      <c r="AK1054" s="122">
        <f>(1+HLOOKUP(YEAR(A1054),'Real assumptions'!$A$21:$AK$24,2,TRUE)/100)^(1/12)-1</f>
        <v>0</v>
      </c>
      <c r="AL1054">
        <f t="shared" si="797"/>
        <v>3.5973763751120192E-4</v>
      </c>
      <c r="AM1054">
        <f>('Real assumptions'!$B$33/12)*O1053*AV1053</f>
        <v>3.4574296139077023E-4</v>
      </c>
      <c r="AN1054">
        <f t="shared" si="785"/>
        <v>5.0958933351521435E-2</v>
      </c>
      <c r="AO1054">
        <f t="shared" si="764"/>
        <v>0</v>
      </c>
      <c r="AP1054" s="121">
        <f t="shared" si="786"/>
        <v>0</v>
      </c>
      <c r="AQ1054">
        <f t="shared" si="787"/>
        <v>0</v>
      </c>
      <c r="AR1054">
        <v>0</v>
      </c>
      <c r="AS1054">
        <f t="shared" si="770"/>
        <v>0</v>
      </c>
      <c r="AT1054">
        <f t="shared" si="788"/>
        <v>0</v>
      </c>
      <c r="AU1054">
        <f>IFERROR(HLOOKUP(B1054,'Real assumptions'!$B$43:$AL$44,2,TRUE)*($W$3/$U$2),0)</f>
        <v>0</v>
      </c>
      <c r="AV1054">
        <f>AV1053*(1+'Real assumptions'!$B$35)^(1/12)</f>
        <v>2.9408210758935742</v>
      </c>
      <c r="AW1054">
        <f t="shared" si="771"/>
        <v>2105</v>
      </c>
      <c r="AX1054">
        <f t="shared" si="798"/>
        <v>5.1085750623076458E-2</v>
      </c>
      <c r="AY1054">
        <f t="shared" si="799"/>
        <v>4.953223161708454E-5</v>
      </c>
      <c r="AZ1054">
        <f t="shared" si="772"/>
        <v>3.2581170770313403E-2</v>
      </c>
      <c r="BA1054">
        <f t="shared" si="789"/>
        <v>1.6423102822158152E-4</v>
      </c>
      <c r="BB1054">
        <f t="shared" si="790"/>
        <v>12.083333333333329</v>
      </c>
      <c r="BC1054">
        <f t="shared" si="773"/>
        <v>7.2499999999999964</v>
      </c>
      <c r="BD1054">
        <f t="shared" si="791"/>
        <v>0</v>
      </c>
      <c r="BE1054">
        <f t="shared" si="774"/>
        <v>24</v>
      </c>
      <c r="BF1054">
        <f t="shared" si="800"/>
        <v>5000</v>
      </c>
      <c r="BU1054"/>
      <c r="DW1054" s="89"/>
      <c r="DX1054" s="89"/>
      <c r="FD1054"/>
      <c r="FE1054"/>
    </row>
    <row r="1055" spans="1:161" x14ac:dyDescent="0.25">
      <c r="A1055" s="7">
        <f t="shared" si="792"/>
        <v>75210</v>
      </c>
      <c r="B1055">
        <f t="shared" si="775"/>
        <v>1044</v>
      </c>
      <c r="C1055">
        <f t="shared" si="756"/>
        <v>86.916666666666671</v>
      </c>
      <c r="D1055">
        <f t="shared" si="757"/>
        <v>0</v>
      </c>
      <c r="E1055">
        <f t="shared" si="776"/>
        <v>138</v>
      </c>
      <c r="F1055">
        <f>IF(C1055&gt;=$T$2,0,VLOOKUP($E1055,EKM_F05!$A$3:$C$128,2,TRUE))</f>
        <v>0</v>
      </c>
      <c r="G1055">
        <f>F1055*'Real assumptions'!$B$3</f>
        <v>0</v>
      </c>
      <c r="H1055">
        <f t="shared" si="758"/>
        <v>0</v>
      </c>
      <c r="I1055">
        <f t="shared" si="759"/>
        <v>0</v>
      </c>
      <c r="J1055">
        <f>IF(B1055&gt;$AJ$2,0,HLOOKUP(C1055,'Real assumptions'!$B$5:$L$8,4,TRUE))</f>
        <v>3.7900000000000003E-2</v>
      </c>
      <c r="K1055">
        <f t="shared" si="765"/>
        <v>1</v>
      </c>
      <c r="L1055">
        <f t="shared" si="793"/>
        <v>8.3333333333333329E-2</v>
      </c>
      <c r="M1055">
        <f t="shared" si="760"/>
        <v>3.2145624959929453E-3</v>
      </c>
      <c r="N1055">
        <f t="shared" si="761"/>
        <v>3.77101178325885E-8</v>
      </c>
      <c r="O1055" s="8">
        <f t="shared" si="777"/>
        <v>1.1693316384092749E-5</v>
      </c>
      <c r="P1055">
        <f t="shared" si="778"/>
        <v>2.8154463604620811E-4</v>
      </c>
      <c r="Q1055">
        <f t="shared" si="794"/>
        <v>0</v>
      </c>
      <c r="R1055" s="89">
        <f t="shared" si="766"/>
        <v>5000</v>
      </c>
      <c r="S1055">
        <f t="shared" si="767"/>
        <v>1</v>
      </c>
      <c r="U1055">
        <f>O1054*AV1054*'Real assumptions'!$B$33/12+AX1055*'Real assumptions'!$B$34</f>
        <v>3.5895279260632709E-4</v>
      </c>
      <c r="V1055">
        <f>IF(P1055=0,0,IF(E1055&lt;=$C$7,$AN$5*O1054,0))*'Real assumptions'!$D$28</f>
        <v>0</v>
      </c>
      <c r="X1055" s="94">
        <f t="shared" si="779"/>
        <v>0</v>
      </c>
      <c r="Y1055">
        <f t="shared" si="768"/>
        <v>24</v>
      </c>
      <c r="Z1055">
        <f t="shared" si="795"/>
        <v>12</v>
      </c>
      <c r="AA1055">
        <f t="shared" si="769"/>
        <v>12</v>
      </c>
      <c r="AB1055">
        <f t="shared" si="780"/>
        <v>50.505050505050505</v>
      </c>
      <c r="AC1055">
        <f t="shared" si="762"/>
        <v>606.06060606060601</v>
      </c>
      <c r="AD1055">
        <f t="shared" si="781"/>
        <v>80.505050505050505</v>
      </c>
      <c r="AE1055">
        <f t="shared" si="782"/>
        <v>48.303030303030297</v>
      </c>
      <c r="AF1055" s="94">
        <f t="shared" si="783"/>
        <v>4345.636363636364</v>
      </c>
      <c r="AG1055">
        <f t="shared" si="796"/>
        <v>1.638744593303087E-4</v>
      </c>
      <c r="AH1055">
        <f t="shared" si="784"/>
        <v>5.0814900890218333E-2</v>
      </c>
      <c r="AI1055">
        <f>HLOOKUP(AW1055,'Real assumptions'!$A$21:$AK$24,2,TRUE)</f>
        <v>0</v>
      </c>
      <c r="AJ1055" s="123">
        <f t="shared" si="763"/>
        <v>0</v>
      </c>
      <c r="AK1055" s="122">
        <f>(1+HLOOKUP(YEAR(A1055),'Real assumptions'!$A$21:$AK$24,2,TRUE)/100)^(1/12)-1</f>
        <v>0</v>
      </c>
      <c r="AL1055">
        <f t="shared" si="797"/>
        <v>3.5895279260632709E-4</v>
      </c>
      <c r="AM1055">
        <f>('Real assumptions'!$B$33/12)*O1054*AV1054</f>
        <v>3.4498849978728102E-4</v>
      </c>
      <c r="AN1055">
        <f t="shared" si="785"/>
        <v>5.0848059157154644E-2</v>
      </c>
      <c r="AO1055">
        <f t="shared" si="764"/>
        <v>0</v>
      </c>
      <c r="AP1055" s="121">
        <f t="shared" si="786"/>
        <v>0</v>
      </c>
      <c r="AQ1055">
        <f t="shared" si="787"/>
        <v>0</v>
      </c>
      <c r="AR1055">
        <v>0</v>
      </c>
      <c r="AS1055">
        <f t="shared" si="770"/>
        <v>0</v>
      </c>
      <c r="AT1055">
        <f t="shared" si="788"/>
        <v>0</v>
      </c>
      <c r="AU1055">
        <f>IFERROR(HLOOKUP(B1055,'Real assumptions'!$B$43:$AL$44,2,TRUE)*($W$3/$U$2),0)</f>
        <v>0</v>
      </c>
      <c r="AV1055">
        <f>AV1054*(1+'Real assumptions'!$B$35)^(1/12)</f>
        <v>2.9438670196028718</v>
      </c>
      <c r="AW1055">
        <f t="shared" si="771"/>
        <v>2105</v>
      </c>
      <c r="AX1055">
        <f t="shared" si="798"/>
        <v>5.0974840320877748E-2</v>
      </c>
      <c r="AY1055">
        <f t="shared" si="799"/>
        <v>4.9373007162985425E-5</v>
      </c>
      <c r="AZ1055">
        <f t="shared" si="772"/>
        <v>3.2339888154422972E-2</v>
      </c>
      <c r="BA1055">
        <f t="shared" si="789"/>
        <v>1.638744593303087E-4</v>
      </c>
      <c r="BB1055">
        <f t="shared" si="790"/>
        <v>12</v>
      </c>
      <c r="BC1055">
        <f t="shared" si="773"/>
        <v>7.1999999999999993</v>
      </c>
      <c r="BD1055">
        <f t="shared" si="791"/>
        <v>0</v>
      </c>
      <c r="BE1055">
        <f t="shared" si="774"/>
        <v>24</v>
      </c>
      <c r="BF1055">
        <f t="shared" si="800"/>
        <v>5000</v>
      </c>
      <c r="BU1055"/>
      <c r="DW1055" s="89"/>
      <c r="DX1055" s="89"/>
      <c r="FD1055"/>
      <c r="FE1055"/>
    </row>
    <row r="1056" spans="1:161" x14ac:dyDescent="0.25">
      <c r="A1056" s="7">
        <f t="shared" si="792"/>
        <v>75241</v>
      </c>
      <c r="B1056">
        <f t="shared" si="775"/>
        <v>1045</v>
      </c>
      <c r="C1056">
        <f t="shared" si="756"/>
        <v>87</v>
      </c>
      <c r="D1056">
        <f t="shared" si="757"/>
        <v>1</v>
      </c>
      <c r="E1056">
        <f t="shared" si="776"/>
        <v>139</v>
      </c>
      <c r="F1056">
        <f>IF(C1056&gt;=$T$2,0,VLOOKUP($E1056,EKM_F05!$A$3:$C$128,2,TRUE))</f>
        <v>0</v>
      </c>
      <c r="G1056">
        <f>F1056*'Real assumptions'!$B$3</f>
        <v>0</v>
      </c>
      <c r="H1056">
        <f t="shared" si="758"/>
        <v>0</v>
      </c>
      <c r="I1056">
        <f t="shared" si="759"/>
        <v>0</v>
      </c>
      <c r="J1056">
        <f>IF(B1056&gt;$AJ$2,0,HLOOKUP(C1056,'Real assumptions'!$B$5:$L$8,4,TRUE))</f>
        <v>3.7900000000000003E-2</v>
      </c>
      <c r="K1056">
        <f t="shared" si="765"/>
        <v>1</v>
      </c>
      <c r="L1056">
        <f t="shared" si="793"/>
        <v>8.3333333333333329E-2</v>
      </c>
      <c r="M1056">
        <f t="shared" si="760"/>
        <v>3.2145624959929453E-3</v>
      </c>
      <c r="N1056">
        <f t="shared" si="761"/>
        <v>3.7588896302084388E-8</v>
      </c>
      <c r="O1056" s="8">
        <f t="shared" si="777"/>
        <v>1.1655727487790665E-5</v>
      </c>
      <c r="P1056">
        <f t="shared" si="778"/>
        <v>2.8063959321822596E-4</v>
      </c>
      <c r="Q1056">
        <f t="shared" si="794"/>
        <v>0</v>
      </c>
      <c r="R1056" s="89">
        <f t="shared" si="766"/>
        <v>5000</v>
      </c>
      <c r="S1056">
        <f t="shared" si="767"/>
        <v>0.9166666666666714</v>
      </c>
      <c r="U1056">
        <f>O1055*AV1055*'Real assumptions'!$B$33/12+AX1056*'Real assumptions'!$B$34</f>
        <v>3.5816964477207349E-4</v>
      </c>
      <c r="V1056">
        <f>IF(P1056=0,0,IF(E1056&lt;=$C$7,$AN$5*O1055,0))*'Real assumptions'!$D$28</f>
        <v>0</v>
      </c>
      <c r="X1056" s="94">
        <f t="shared" si="779"/>
        <v>0</v>
      </c>
      <c r="Y1056">
        <f t="shared" si="768"/>
        <v>24</v>
      </c>
      <c r="Z1056">
        <f t="shared" si="795"/>
        <v>12</v>
      </c>
      <c r="AA1056">
        <f t="shared" si="769"/>
        <v>11.916666666666671</v>
      </c>
      <c r="AB1056">
        <f t="shared" si="780"/>
        <v>50.505050505050505</v>
      </c>
      <c r="AC1056">
        <f t="shared" si="762"/>
        <v>601.85185185185208</v>
      </c>
      <c r="AD1056">
        <f t="shared" si="781"/>
        <v>80.505050505050505</v>
      </c>
      <c r="AE1056">
        <f t="shared" si="782"/>
        <v>47.967592592592609</v>
      </c>
      <c r="AF1056" s="94">
        <f t="shared" si="783"/>
        <v>4350.1805555555547</v>
      </c>
      <c r="AG1056">
        <f t="shared" si="796"/>
        <v>1.6351848579812159E-4</v>
      </c>
      <c r="AH1056">
        <f t="shared" si="784"/>
        <v>5.0704519078241347E-2</v>
      </c>
      <c r="AI1056">
        <f>HLOOKUP(AW1056,'Real assumptions'!$A$21:$AK$24,2,TRUE)</f>
        <v>0</v>
      </c>
      <c r="AJ1056" s="123">
        <f t="shared" si="763"/>
        <v>0</v>
      </c>
      <c r="AK1056" s="122">
        <f>(1+HLOOKUP(YEAR(A1056),'Real assumptions'!$A$21:$AK$24,2,TRUE)/100)^(1/12)-1</f>
        <v>0</v>
      </c>
      <c r="AL1056">
        <f t="shared" si="797"/>
        <v>3.5816964477207349E-4</v>
      </c>
      <c r="AM1056">
        <f>('Real assumptions'!$B$33/12)*O1055*AV1055</f>
        <v>3.4423568452912552E-4</v>
      </c>
      <c r="AN1056">
        <f t="shared" si="785"/>
        <v>5.0737370838664482E-2</v>
      </c>
      <c r="AO1056">
        <f t="shared" si="764"/>
        <v>0</v>
      </c>
      <c r="AP1056" s="121">
        <f t="shared" si="786"/>
        <v>0</v>
      </c>
      <c r="AQ1056">
        <f t="shared" si="787"/>
        <v>0</v>
      </c>
      <c r="AR1056">
        <v>0</v>
      </c>
      <c r="AS1056">
        <f t="shared" si="770"/>
        <v>0</v>
      </c>
      <c r="AT1056">
        <f t="shared" si="788"/>
        <v>0</v>
      </c>
      <c r="AU1056">
        <f>IFERROR(HLOOKUP(B1056,'Real assumptions'!$B$43:$AL$44,2,TRUE)*($W$3/$U$2),0)</f>
        <v>0</v>
      </c>
      <c r="AV1056">
        <f>AV1055*(1+'Real assumptions'!$B$35)^(1/12)</f>
        <v>2.9469161181362273</v>
      </c>
      <c r="AW1056">
        <f t="shared" si="771"/>
        <v>2105</v>
      </c>
      <c r="AX1056">
        <f t="shared" si="798"/>
        <v>5.0864115184764178E-2</v>
      </c>
      <c r="AY1056">
        <f t="shared" si="799"/>
        <v>4.9214294545844902E-5</v>
      </c>
      <c r="AZ1056">
        <f t="shared" si="772"/>
        <v>3.2098839617071002E-2</v>
      </c>
      <c r="BA1056">
        <f t="shared" si="789"/>
        <v>1.6351848579812159E-4</v>
      </c>
      <c r="BB1056">
        <f t="shared" si="790"/>
        <v>11.916666666666671</v>
      </c>
      <c r="BC1056">
        <f t="shared" si="773"/>
        <v>7.150000000000003</v>
      </c>
      <c r="BD1056">
        <f t="shared" si="791"/>
        <v>0</v>
      </c>
      <c r="BE1056">
        <f t="shared" si="774"/>
        <v>24</v>
      </c>
      <c r="BF1056">
        <f t="shared" si="800"/>
        <v>5000</v>
      </c>
      <c r="BU1056"/>
      <c r="DW1056" s="89"/>
      <c r="DX1056" s="89"/>
      <c r="FD1056"/>
      <c r="FE1056"/>
    </row>
    <row r="1057" spans="1:161" x14ac:dyDescent="0.25">
      <c r="A1057" s="7">
        <f t="shared" si="792"/>
        <v>75272</v>
      </c>
      <c r="B1057">
        <f t="shared" si="775"/>
        <v>1046</v>
      </c>
      <c r="C1057">
        <f t="shared" si="756"/>
        <v>87.083333333333329</v>
      </c>
      <c r="D1057">
        <f t="shared" si="757"/>
        <v>0</v>
      </c>
      <c r="E1057">
        <f t="shared" si="776"/>
        <v>139</v>
      </c>
      <c r="F1057">
        <f>IF(C1057&gt;=$T$2,0,VLOOKUP($E1057,EKM_F05!$A$3:$C$128,2,TRUE))</f>
        <v>0</v>
      </c>
      <c r="G1057">
        <f>F1057*'Real assumptions'!$B$3</f>
        <v>0</v>
      </c>
      <c r="H1057">
        <f t="shared" si="758"/>
        <v>0</v>
      </c>
      <c r="I1057">
        <f t="shared" si="759"/>
        <v>0</v>
      </c>
      <c r="J1057">
        <f>IF(B1057&gt;$AJ$2,0,HLOOKUP(C1057,'Real assumptions'!$B$5:$L$8,4,TRUE))</f>
        <v>3.7900000000000003E-2</v>
      </c>
      <c r="K1057">
        <f t="shared" si="765"/>
        <v>1</v>
      </c>
      <c r="L1057">
        <f t="shared" si="793"/>
        <v>8.3333333333333329E-2</v>
      </c>
      <c r="M1057">
        <f t="shared" si="760"/>
        <v>3.2145624959929453E-3</v>
      </c>
      <c r="N1057">
        <f t="shared" si="761"/>
        <v>3.746806444576594E-8</v>
      </c>
      <c r="O1057" s="8">
        <f t="shared" si="777"/>
        <v>1.1618259423344898E-5</v>
      </c>
      <c r="P1057">
        <f t="shared" si="778"/>
        <v>2.7973745970697595E-4</v>
      </c>
      <c r="Q1057">
        <f t="shared" si="794"/>
        <v>0</v>
      </c>
      <c r="R1057" s="89">
        <f t="shared" si="766"/>
        <v>5000</v>
      </c>
      <c r="S1057">
        <f t="shared" si="767"/>
        <v>0.8333333333333286</v>
      </c>
      <c r="U1057">
        <f>O1056*AV1056*'Real assumptions'!$B$33/12+AX1057*'Real assumptions'!$B$34</f>
        <v>3.5738819040371942E-4</v>
      </c>
      <c r="V1057">
        <f>IF(P1057=0,0,IF(E1057&lt;=$C$7,$AN$5*O1056,0))*'Real assumptions'!$D$28</f>
        <v>0</v>
      </c>
      <c r="X1057" s="94">
        <f t="shared" si="779"/>
        <v>0</v>
      </c>
      <c r="Y1057">
        <f t="shared" si="768"/>
        <v>24</v>
      </c>
      <c r="Z1057">
        <f t="shared" si="795"/>
        <v>11</v>
      </c>
      <c r="AA1057">
        <f t="shared" si="769"/>
        <v>11.833333333333329</v>
      </c>
      <c r="AB1057">
        <f t="shared" si="780"/>
        <v>50.505050505050505</v>
      </c>
      <c r="AC1057">
        <f t="shared" si="762"/>
        <v>597.64309764309746</v>
      </c>
      <c r="AD1057">
        <f t="shared" si="781"/>
        <v>80.505050505050505</v>
      </c>
      <c r="AE1057">
        <f t="shared" si="782"/>
        <v>47.632154882154865</v>
      </c>
      <c r="AF1057" s="94">
        <f t="shared" si="783"/>
        <v>4354.7247474747473</v>
      </c>
      <c r="AG1057">
        <f t="shared" si="796"/>
        <v>1.6316310748195565E-4</v>
      </c>
      <c r="AH1057">
        <f t="shared" si="784"/>
        <v>5.0594321833421718E-2</v>
      </c>
      <c r="AI1057">
        <f>HLOOKUP(AW1057,'Real assumptions'!$A$21:$AK$24,2,TRUE)</f>
        <v>0</v>
      </c>
      <c r="AJ1057" s="123">
        <f t="shared" si="763"/>
        <v>0</v>
      </c>
      <c r="AK1057" s="122">
        <f>(1+HLOOKUP(YEAR(A1057),'Real assumptions'!$A$21:$AK$24,2,TRUE)/100)^(1/12)-1</f>
        <v>0</v>
      </c>
      <c r="AL1057">
        <f t="shared" si="797"/>
        <v>3.5738819040371942E-4</v>
      </c>
      <c r="AM1057">
        <f>('Real assumptions'!$B$33/12)*O1056*AV1056</f>
        <v>3.4348451202373788E-4</v>
      </c>
      <c r="AN1057">
        <f t="shared" si="785"/>
        <v>5.0626868347544603E-2</v>
      </c>
      <c r="AO1057">
        <f t="shared" si="764"/>
        <v>0</v>
      </c>
      <c r="AP1057" s="121">
        <f t="shared" si="786"/>
        <v>0</v>
      </c>
      <c r="AQ1057">
        <f t="shared" si="787"/>
        <v>0</v>
      </c>
      <c r="AR1057">
        <v>0</v>
      </c>
      <c r="AS1057">
        <f t="shared" si="770"/>
        <v>0</v>
      </c>
      <c r="AT1057">
        <f t="shared" si="788"/>
        <v>0</v>
      </c>
      <c r="AU1057">
        <f>IFERROR(HLOOKUP(B1057,'Real assumptions'!$B$43:$AL$44,2,TRUE)*($W$3/$U$2),0)</f>
        <v>0</v>
      </c>
      <c r="AV1057">
        <f>AV1056*(1+'Real assumptions'!$B$35)^(1/12)</f>
        <v>2.9499683747612373</v>
      </c>
      <c r="AW1057">
        <f t="shared" si="771"/>
        <v>2106</v>
      </c>
      <c r="AX1057">
        <f t="shared" si="798"/>
        <v>5.0753575170361678E-2</v>
      </c>
      <c r="AY1057">
        <f t="shared" si="799"/>
        <v>4.9056092120331077E-5</v>
      </c>
      <c r="AZ1057">
        <f t="shared" si="772"/>
        <v>3.1858025778892303E-2</v>
      </c>
      <c r="BA1057">
        <f t="shared" si="789"/>
        <v>1.6316310748195565E-4</v>
      </c>
      <c r="BB1057">
        <f t="shared" si="790"/>
        <v>11.833333333333329</v>
      </c>
      <c r="BC1057">
        <f t="shared" si="773"/>
        <v>7.099999999999997</v>
      </c>
      <c r="BD1057">
        <f t="shared" si="791"/>
        <v>0</v>
      </c>
      <c r="BE1057">
        <f t="shared" si="774"/>
        <v>24</v>
      </c>
      <c r="BF1057">
        <f t="shared" si="800"/>
        <v>5000</v>
      </c>
      <c r="BU1057"/>
      <c r="DW1057" s="89"/>
      <c r="DX1057" s="89"/>
      <c r="FD1057"/>
      <c r="FE1057"/>
    </row>
    <row r="1058" spans="1:161" x14ac:dyDescent="0.25">
      <c r="A1058" s="7">
        <f t="shared" si="792"/>
        <v>75300</v>
      </c>
      <c r="B1058">
        <f t="shared" si="775"/>
        <v>1047</v>
      </c>
      <c r="C1058">
        <f t="shared" si="756"/>
        <v>87.166666666666671</v>
      </c>
      <c r="D1058">
        <f t="shared" si="757"/>
        <v>0</v>
      </c>
      <c r="E1058">
        <f t="shared" si="776"/>
        <v>139</v>
      </c>
      <c r="F1058">
        <f>IF(C1058&gt;=$T$2,0,VLOOKUP($E1058,EKM_F05!$A$3:$C$128,2,TRUE))</f>
        <v>0</v>
      </c>
      <c r="G1058">
        <f>F1058*'Real assumptions'!$B$3</f>
        <v>0</v>
      </c>
      <c r="H1058">
        <f t="shared" si="758"/>
        <v>0</v>
      </c>
      <c r="I1058">
        <f t="shared" si="759"/>
        <v>0</v>
      </c>
      <c r="J1058">
        <f>IF(B1058&gt;$AJ$2,0,HLOOKUP(C1058,'Real assumptions'!$B$5:$L$8,4,TRUE))</f>
        <v>3.7900000000000003E-2</v>
      </c>
      <c r="K1058">
        <f t="shared" si="765"/>
        <v>1</v>
      </c>
      <c r="L1058">
        <f t="shared" si="793"/>
        <v>8.3333333333333329E-2</v>
      </c>
      <c r="M1058">
        <f t="shared" si="760"/>
        <v>3.2145624959929453E-3</v>
      </c>
      <c r="N1058">
        <f t="shared" si="761"/>
        <v>3.7347621011001131E-8</v>
      </c>
      <c r="O1058" s="8">
        <f t="shared" si="777"/>
        <v>1.1580911802333897E-5</v>
      </c>
      <c r="P1058">
        <f t="shared" si="778"/>
        <v>2.7883822616027757E-4</v>
      </c>
      <c r="Q1058">
        <f t="shared" si="794"/>
        <v>0</v>
      </c>
      <c r="R1058" s="89">
        <f t="shared" si="766"/>
        <v>5000</v>
      </c>
      <c r="S1058">
        <f t="shared" si="767"/>
        <v>0.75</v>
      </c>
      <c r="U1058">
        <f>O1057*AV1057*'Real assumptions'!$B$33/12+AX1058*'Real assumptions'!$B$34</f>
        <v>3.5660842590393626E-4</v>
      </c>
      <c r="V1058">
        <f>IF(P1058=0,0,IF(E1058&lt;=$C$7,$AN$5*O1057,0))*'Real assumptions'!$D$28</f>
        <v>0</v>
      </c>
      <c r="X1058" s="94">
        <f t="shared" si="779"/>
        <v>0</v>
      </c>
      <c r="Y1058">
        <f t="shared" si="768"/>
        <v>24</v>
      </c>
      <c r="Z1058">
        <f t="shared" si="795"/>
        <v>11</v>
      </c>
      <c r="AA1058">
        <f t="shared" si="769"/>
        <v>11.75</v>
      </c>
      <c r="AB1058">
        <f t="shared" si="780"/>
        <v>50.505050505050505</v>
      </c>
      <c r="AC1058">
        <f t="shared" si="762"/>
        <v>593.43434343434342</v>
      </c>
      <c r="AD1058">
        <f t="shared" si="781"/>
        <v>80.505050505050505</v>
      </c>
      <c r="AE1058">
        <f t="shared" si="782"/>
        <v>47.296717171717169</v>
      </c>
      <c r="AF1058" s="94">
        <f t="shared" si="783"/>
        <v>4359.268939393939</v>
      </c>
      <c r="AG1058">
        <f t="shared" si="796"/>
        <v>1.628083242335137E-4</v>
      </c>
      <c r="AH1058">
        <f t="shared" si="784"/>
        <v>5.048430910977484E-2</v>
      </c>
      <c r="AI1058">
        <f>HLOOKUP(AW1058,'Real assumptions'!$A$21:$AK$24,2,TRUE)</f>
        <v>0</v>
      </c>
      <c r="AJ1058" s="123">
        <f t="shared" si="763"/>
        <v>0</v>
      </c>
      <c r="AK1058" s="122">
        <f>(1+HLOOKUP(YEAR(A1058),'Real assumptions'!$A$21:$AK$24,2,TRUE)/100)^(1/12)-1</f>
        <v>0</v>
      </c>
      <c r="AL1058">
        <f t="shared" si="797"/>
        <v>3.5660842590393626E-4</v>
      </c>
      <c r="AM1058">
        <f>('Real assumptions'!$B$33/12)*O1057*AV1057</f>
        <v>3.4273497868639178E-4</v>
      </c>
      <c r="AN1058">
        <f t="shared" si="785"/>
        <v>5.0516551633678054E-2</v>
      </c>
      <c r="AO1058">
        <f t="shared" si="764"/>
        <v>0</v>
      </c>
      <c r="AP1058" s="121">
        <f t="shared" si="786"/>
        <v>0</v>
      </c>
      <c r="AQ1058">
        <f t="shared" si="787"/>
        <v>0</v>
      </c>
      <c r="AR1058">
        <v>0</v>
      </c>
      <c r="AS1058">
        <f t="shared" si="770"/>
        <v>0</v>
      </c>
      <c r="AT1058">
        <f t="shared" si="788"/>
        <v>0</v>
      </c>
      <c r="AU1058">
        <f>IFERROR(HLOOKUP(B1058,'Real assumptions'!$B$43:$AL$44,2,TRUE)*($W$3/$U$2),0)</f>
        <v>0</v>
      </c>
      <c r="AV1058">
        <f>AV1057*(1+'Real assumptions'!$B$35)^(1/12)</f>
        <v>2.9530237927488825</v>
      </c>
      <c r="AW1058">
        <f t="shared" si="771"/>
        <v>2106</v>
      </c>
      <c r="AX1058">
        <f t="shared" si="798"/>
        <v>5.0643220231668118E-2</v>
      </c>
      <c r="AY1058">
        <f t="shared" si="799"/>
        <v>4.8898398246401085E-5</v>
      </c>
      <c r="AZ1058">
        <f t="shared" si="772"/>
        <v>3.1617447254915124E-2</v>
      </c>
      <c r="BA1058">
        <f t="shared" si="789"/>
        <v>1.628083242335137E-4</v>
      </c>
      <c r="BB1058">
        <f t="shared" si="790"/>
        <v>11.75</v>
      </c>
      <c r="BC1058">
        <f t="shared" si="773"/>
        <v>7.05</v>
      </c>
      <c r="BD1058">
        <f t="shared" si="791"/>
        <v>0</v>
      </c>
      <c r="BE1058">
        <f t="shared" si="774"/>
        <v>24</v>
      </c>
      <c r="BF1058">
        <f t="shared" si="800"/>
        <v>5000</v>
      </c>
      <c r="BU1058"/>
      <c r="DW1058" s="89"/>
      <c r="DX1058" s="89"/>
      <c r="FD1058"/>
      <c r="FE1058"/>
    </row>
    <row r="1059" spans="1:161" x14ac:dyDescent="0.25">
      <c r="A1059" s="7">
        <f t="shared" si="792"/>
        <v>75331</v>
      </c>
      <c r="B1059">
        <f t="shared" si="775"/>
        <v>1048</v>
      </c>
      <c r="C1059">
        <f t="shared" si="756"/>
        <v>87.25</v>
      </c>
      <c r="D1059">
        <f t="shared" si="757"/>
        <v>0</v>
      </c>
      <c r="E1059">
        <f t="shared" si="776"/>
        <v>139</v>
      </c>
      <c r="F1059">
        <f>IF(C1059&gt;=$T$2,0,VLOOKUP($E1059,EKM_F05!$A$3:$C$128,2,TRUE))</f>
        <v>0</v>
      </c>
      <c r="G1059">
        <f>F1059*'Real assumptions'!$B$3</f>
        <v>0</v>
      </c>
      <c r="H1059">
        <f t="shared" si="758"/>
        <v>0</v>
      </c>
      <c r="I1059">
        <f t="shared" si="759"/>
        <v>0</v>
      </c>
      <c r="J1059">
        <f>IF(B1059&gt;$AJ$2,0,HLOOKUP(C1059,'Real assumptions'!$B$5:$L$8,4,TRUE))</f>
        <v>3.7900000000000003E-2</v>
      </c>
      <c r="K1059">
        <f t="shared" si="765"/>
        <v>1</v>
      </c>
      <c r="L1059">
        <f t="shared" si="793"/>
        <v>8.3333333333333329E-2</v>
      </c>
      <c r="M1059">
        <f t="shared" si="760"/>
        <v>3.2145624959929453E-3</v>
      </c>
      <c r="N1059">
        <f t="shared" si="761"/>
        <v>3.7227564749184609E-8</v>
      </c>
      <c r="O1059" s="8">
        <f t="shared" si="777"/>
        <v>1.1543684237584712E-5</v>
      </c>
      <c r="P1059">
        <f t="shared" si="778"/>
        <v>2.7794188325601355E-4</v>
      </c>
      <c r="Q1059">
        <f t="shared" si="794"/>
        <v>0</v>
      </c>
      <c r="R1059" s="89">
        <f t="shared" si="766"/>
        <v>5000</v>
      </c>
      <c r="S1059">
        <f t="shared" si="767"/>
        <v>0.6666666666666714</v>
      </c>
      <c r="U1059">
        <f>O1058*AV1058*'Real assumptions'!$B$33/12+AX1059*'Real assumptions'!$B$34</f>
        <v>3.5583034768277511E-4</v>
      </c>
      <c r="V1059">
        <f>IF(P1059=0,0,IF(E1059&lt;=$C$7,$AN$5*O1058,0))*'Real assumptions'!$D$28</f>
        <v>0</v>
      </c>
      <c r="X1059" s="94">
        <f t="shared" si="779"/>
        <v>0</v>
      </c>
      <c r="Y1059">
        <f t="shared" si="768"/>
        <v>24</v>
      </c>
      <c r="Z1059">
        <f t="shared" si="795"/>
        <v>11</v>
      </c>
      <c r="AA1059">
        <f t="shared" si="769"/>
        <v>11.666666666666671</v>
      </c>
      <c r="AB1059">
        <f t="shared" si="780"/>
        <v>50.505050505050505</v>
      </c>
      <c r="AC1059">
        <f t="shared" si="762"/>
        <v>589.22558922558949</v>
      </c>
      <c r="AD1059">
        <f t="shared" si="781"/>
        <v>80.505050505050505</v>
      </c>
      <c r="AE1059">
        <f t="shared" si="782"/>
        <v>46.961279461279481</v>
      </c>
      <c r="AF1059" s="94">
        <f t="shared" si="783"/>
        <v>4363.8131313131307</v>
      </c>
      <c r="AG1059">
        <f t="shared" si="796"/>
        <v>1.624541358993016E-4</v>
      </c>
      <c r="AH1059">
        <f t="shared" si="784"/>
        <v>5.0374480859704571E-2</v>
      </c>
      <c r="AI1059">
        <f>HLOOKUP(AW1059,'Real assumptions'!$A$21:$AK$24,2,TRUE)</f>
        <v>0</v>
      </c>
      <c r="AJ1059" s="123">
        <f t="shared" si="763"/>
        <v>0</v>
      </c>
      <c r="AK1059" s="122">
        <f>(1+HLOOKUP(YEAR(A1059),'Real assumptions'!$A$21:$AK$24,2,TRUE)/100)^(1/12)-1</f>
        <v>0</v>
      </c>
      <c r="AL1059">
        <f t="shared" si="797"/>
        <v>3.5583034768277511E-4</v>
      </c>
      <c r="AM1059">
        <f>('Real assumptions'!$B$33/12)*O1058*AV1058</f>
        <v>3.4198708094018341E-4</v>
      </c>
      <c r="AN1059">
        <f t="shared" si="785"/>
        <v>5.0406420645348081E-2</v>
      </c>
      <c r="AO1059">
        <f t="shared" si="764"/>
        <v>0</v>
      </c>
      <c r="AP1059" s="121">
        <f t="shared" si="786"/>
        <v>0</v>
      </c>
      <c r="AQ1059">
        <f t="shared" si="787"/>
        <v>0</v>
      </c>
      <c r="AR1059">
        <v>0</v>
      </c>
      <c r="AS1059">
        <f t="shared" si="770"/>
        <v>0</v>
      </c>
      <c r="AT1059">
        <f t="shared" si="788"/>
        <v>0</v>
      </c>
      <c r="AU1059">
        <f>IFERROR(HLOOKUP(B1059,'Real assumptions'!$B$43:$AL$44,2,TRUE)*($W$3/$U$2),0)</f>
        <v>0</v>
      </c>
      <c r="AV1059">
        <f>AV1058*(1+'Real assumptions'!$B$35)^(1/12)</f>
        <v>2.9560823753735317</v>
      </c>
      <c r="AW1059">
        <f t="shared" si="771"/>
        <v>2106</v>
      </c>
      <c r="AX1059">
        <f t="shared" si="798"/>
        <v>5.0533050321064123E-2</v>
      </c>
      <c r="AY1059">
        <f t="shared" si="799"/>
        <v>4.8741211289284076E-5</v>
      </c>
      <c r="AZ1059">
        <f t="shared" si="772"/>
        <v>3.1377104654589066E-2</v>
      </c>
      <c r="BA1059">
        <f t="shared" si="789"/>
        <v>1.624541358993016E-4</v>
      </c>
      <c r="BB1059">
        <f t="shared" si="790"/>
        <v>11.666666666666671</v>
      </c>
      <c r="BC1059">
        <f t="shared" si="773"/>
        <v>7.0000000000000027</v>
      </c>
      <c r="BD1059">
        <f t="shared" si="791"/>
        <v>0</v>
      </c>
      <c r="BE1059">
        <f t="shared" si="774"/>
        <v>24</v>
      </c>
      <c r="BF1059">
        <f t="shared" si="800"/>
        <v>5000</v>
      </c>
      <c r="BU1059"/>
      <c r="DW1059" s="89"/>
      <c r="DX1059" s="89"/>
      <c r="FD1059"/>
      <c r="FE1059"/>
    </row>
    <row r="1060" spans="1:161" x14ac:dyDescent="0.25">
      <c r="A1060" s="7">
        <f t="shared" si="792"/>
        <v>75361</v>
      </c>
      <c r="B1060">
        <f t="shared" si="775"/>
        <v>1049</v>
      </c>
      <c r="C1060">
        <f t="shared" si="756"/>
        <v>87.333333333333329</v>
      </c>
      <c r="D1060">
        <f t="shared" si="757"/>
        <v>0</v>
      </c>
      <c r="E1060">
        <f t="shared" si="776"/>
        <v>139</v>
      </c>
      <c r="F1060">
        <f>IF(C1060&gt;=$T$2,0,VLOOKUP($E1060,EKM_F05!$A$3:$C$128,2,TRUE))</f>
        <v>0</v>
      </c>
      <c r="G1060">
        <f>F1060*'Real assumptions'!$B$3</f>
        <v>0</v>
      </c>
      <c r="H1060">
        <f t="shared" si="758"/>
        <v>0</v>
      </c>
      <c r="I1060">
        <f t="shared" si="759"/>
        <v>0</v>
      </c>
      <c r="J1060">
        <f>IF(B1060&gt;$AJ$2,0,HLOOKUP(C1060,'Real assumptions'!$B$5:$L$8,4,TRUE))</f>
        <v>3.7900000000000003E-2</v>
      </c>
      <c r="K1060">
        <f t="shared" si="765"/>
        <v>1</v>
      </c>
      <c r="L1060">
        <f t="shared" si="793"/>
        <v>8.3333333333333329E-2</v>
      </c>
      <c r="M1060">
        <f t="shared" si="760"/>
        <v>3.2145624959929453E-3</v>
      </c>
      <c r="N1060">
        <f t="shared" si="761"/>
        <v>3.7107894415724733E-8</v>
      </c>
      <c r="O1060" s="8">
        <f t="shared" si="777"/>
        <v>1.1506576343168987E-5</v>
      </c>
      <c r="P1060">
        <f t="shared" si="778"/>
        <v>2.7704842170203311E-4</v>
      </c>
      <c r="Q1060">
        <f t="shared" si="794"/>
        <v>0</v>
      </c>
      <c r="R1060" s="89">
        <f t="shared" si="766"/>
        <v>5000</v>
      </c>
      <c r="S1060">
        <f t="shared" si="767"/>
        <v>0.5833333333333286</v>
      </c>
      <c r="U1060">
        <f>O1059*AV1059*'Real assumptions'!$B$33/12+AX1060*'Real assumptions'!$B$34</f>
        <v>3.5505395215765245E-4</v>
      </c>
      <c r="V1060">
        <f>IF(P1060=0,0,IF(E1060&lt;=$C$7,$AN$5*O1059,0))*'Real assumptions'!$D$28</f>
        <v>0</v>
      </c>
      <c r="X1060" s="94">
        <f t="shared" si="779"/>
        <v>0</v>
      </c>
      <c r="Y1060">
        <f t="shared" si="768"/>
        <v>24</v>
      </c>
      <c r="Z1060">
        <f t="shared" si="795"/>
        <v>11</v>
      </c>
      <c r="AA1060">
        <f t="shared" si="769"/>
        <v>11.583333333333329</v>
      </c>
      <c r="AB1060">
        <f t="shared" si="780"/>
        <v>50.505050505050505</v>
      </c>
      <c r="AC1060">
        <f t="shared" si="762"/>
        <v>585.01683501683476</v>
      </c>
      <c r="AD1060">
        <f t="shared" si="781"/>
        <v>80.505050505050505</v>
      </c>
      <c r="AE1060">
        <f t="shared" si="782"/>
        <v>46.62584175084173</v>
      </c>
      <c r="AF1060" s="94">
        <f t="shared" si="783"/>
        <v>4368.3573232323233</v>
      </c>
      <c r="AG1060">
        <f t="shared" si="796"/>
        <v>1.6210054232066297E-4</v>
      </c>
      <c r="AH1060">
        <f t="shared" si="784"/>
        <v>5.0264837034014048E-2</v>
      </c>
      <c r="AI1060">
        <f>HLOOKUP(AW1060,'Real assumptions'!$A$21:$AK$24,2,TRUE)</f>
        <v>0</v>
      </c>
      <c r="AJ1060" s="123">
        <f t="shared" si="763"/>
        <v>0</v>
      </c>
      <c r="AK1060" s="122">
        <f>(1+HLOOKUP(YEAR(A1060),'Real assumptions'!$A$21:$AK$24,2,TRUE)/100)^(1/12)-1</f>
        <v>0</v>
      </c>
      <c r="AL1060">
        <f t="shared" si="797"/>
        <v>3.5505395215765245E-4</v>
      </c>
      <c r="AM1060">
        <f>('Real assumptions'!$B$33/12)*O1059*AV1059</f>
        <v>3.4124081521601414E-4</v>
      </c>
      <c r="AN1060">
        <f t="shared" si="785"/>
        <v>5.0296475329248955E-2</v>
      </c>
      <c r="AO1060">
        <f t="shared" si="764"/>
        <v>0</v>
      </c>
      <c r="AP1060" s="121">
        <f t="shared" si="786"/>
        <v>0</v>
      </c>
      <c r="AQ1060">
        <f t="shared" si="787"/>
        <v>0</v>
      </c>
      <c r="AR1060">
        <v>0</v>
      </c>
      <c r="AS1060">
        <f t="shared" si="770"/>
        <v>0</v>
      </c>
      <c r="AT1060">
        <f t="shared" si="788"/>
        <v>0</v>
      </c>
      <c r="AU1060">
        <f>IFERROR(HLOOKUP(B1060,'Real assumptions'!$B$43:$AL$44,2,TRUE)*($W$3/$U$2),0)</f>
        <v>0</v>
      </c>
      <c r="AV1060">
        <f>AV1059*(1+'Real assumptions'!$B$35)^(1/12)</f>
        <v>2.9591441259129447</v>
      </c>
      <c r="AW1060">
        <f t="shared" si="771"/>
        <v>2106</v>
      </c>
      <c r="AX1060">
        <f t="shared" si="798"/>
        <v>5.0423065389324034E-2</v>
      </c>
      <c r="AY1060">
        <f t="shared" si="799"/>
        <v>4.8584529619464273E-5</v>
      </c>
      <c r="AZ1060">
        <f t="shared" si="772"/>
        <v>3.1136998581812778E-2</v>
      </c>
      <c r="BA1060">
        <f t="shared" si="789"/>
        <v>1.6210054232066297E-4</v>
      </c>
      <c r="BB1060">
        <f t="shared" si="790"/>
        <v>11.583333333333329</v>
      </c>
      <c r="BC1060">
        <f t="shared" si="773"/>
        <v>6.9499999999999966</v>
      </c>
      <c r="BD1060">
        <f t="shared" si="791"/>
        <v>0</v>
      </c>
      <c r="BE1060">
        <f t="shared" si="774"/>
        <v>24</v>
      </c>
      <c r="BF1060">
        <f t="shared" si="800"/>
        <v>5000</v>
      </c>
      <c r="BU1060"/>
      <c r="DW1060" s="89"/>
      <c r="DX1060" s="89"/>
      <c r="FD1060"/>
      <c r="FE1060"/>
    </row>
    <row r="1061" spans="1:161" x14ac:dyDescent="0.25">
      <c r="A1061" s="7">
        <f t="shared" si="792"/>
        <v>75392</v>
      </c>
      <c r="B1061">
        <f t="shared" si="775"/>
        <v>1050</v>
      </c>
      <c r="C1061">
        <f t="shared" si="756"/>
        <v>87.416666666666671</v>
      </c>
      <c r="D1061">
        <f t="shared" si="757"/>
        <v>0</v>
      </c>
      <c r="E1061">
        <f t="shared" si="776"/>
        <v>139</v>
      </c>
      <c r="F1061">
        <f>IF(C1061&gt;=$T$2,0,VLOOKUP($E1061,EKM_F05!$A$3:$C$128,2,TRUE))</f>
        <v>0</v>
      </c>
      <c r="G1061">
        <f>F1061*'Real assumptions'!$B$3</f>
        <v>0</v>
      </c>
      <c r="H1061">
        <f t="shared" si="758"/>
        <v>0</v>
      </c>
      <c r="I1061">
        <f t="shared" si="759"/>
        <v>0</v>
      </c>
      <c r="J1061">
        <f>IF(B1061&gt;$AJ$2,0,HLOOKUP(C1061,'Real assumptions'!$B$5:$L$8,4,TRUE))</f>
        <v>3.7900000000000003E-2</v>
      </c>
      <c r="K1061">
        <f t="shared" si="765"/>
        <v>1</v>
      </c>
      <c r="L1061">
        <f t="shared" si="793"/>
        <v>8.3333333333333329E-2</v>
      </c>
      <c r="M1061">
        <f t="shared" si="760"/>
        <v>3.2145624959929453E-3</v>
      </c>
      <c r="N1061">
        <f t="shared" si="761"/>
        <v>3.6988608770030673E-8</v>
      </c>
      <c r="O1061" s="8">
        <f t="shared" si="777"/>
        <v>1.1469587734398957E-5</v>
      </c>
      <c r="P1061">
        <f t="shared" si="778"/>
        <v>2.761578322360557E-4</v>
      </c>
      <c r="Q1061">
        <f t="shared" si="794"/>
        <v>0</v>
      </c>
      <c r="R1061" s="89">
        <f t="shared" si="766"/>
        <v>5000</v>
      </c>
      <c r="S1061">
        <f t="shared" si="767"/>
        <v>0.5</v>
      </c>
      <c r="U1061">
        <f>O1060*AV1060*'Real assumptions'!$B$33/12+AX1061*'Real assumptions'!$B$34</f>
        <v>3.5427923575333546E-4</v>
      </c>
      <c r="V1061">
        <f>IF(P1061=0,0,IF(E1061&lt;=$C$7,$AN$5*O1060,0))*'Real assumptions'!$D$28</f>
        <v>0</v>
      </c>
      <c r="X1061" s="94">
        <f t="shared" si="779"/>
        <v>0</v>
      </c>
      <c r="Y1061">
        <f t="shared" si="768"/>
        <v>24</v>
      </c>
      <c r="Z1061">
        <f t="shared" si="795"/>
        <v>11</v>
      </c>
      <c r="AA1061">
        <f t="shared" si="769"/>
        <v>11.5</v>
      </c>
      <c r="AB1061">
        <f t="shared" si="780"/>
        <v>50.505050505050505</v>
      </c>
      <c r="AC1061">
        <f t="shared" si="762"/>
        <v>580.80808080808083</v>
      </c>
      <c r="AD1061">
        <f t="shared" si="781"/>
        <v>80.505050505050505</v>
      </c>
      <c r="AE1061">
        <f t="shared" si="782"/>
        <v>46.290404040404042</v>
      </c>
      <c r="AF1061" s="94">
        <f t="shared" si="783"/>
        <v>4372.901515151515</v>
      </c>
      <c r="AG1061">
        <f t="shared" si="796"/>
        <v>1.6174754333381374E-4</v>
      </c>
      <c r="AH1061">
        <f t="shared" si="784"/>
        <v>5.0155377581916433E-2</v>
      </c>
      <c r="AI1061">
        <f>HLOOKUP(AW1061,'Real assumptions'!$A$21:$AK$24,2,TRUE)</f>
        <v>0</v>
      </c>
      <c r="AJ1061" s="123">
        <f t="shared" si="763"/>
        <v>0</v>
      </c>
      <c r="AK1061" s="122">
        <f>(1+HLOOKUP(YEAR(A1061),'Real assumptions'!$A$21:$AK$24,2,TRUE)/100)^(1/12)-1</f>
        <v>0</v>
      </c>
      <c r="AL1061">
        <f t="shared" si="797"/>
        <v>3.5427923575333546E-4</v>
      </c>
      <c r="AM1061">
        <f>('Real assumptions'!$B$33/12)*O1060*AV1060</f>
        <v>3.404961779525736E-4</v>
      </c>
      <c r="AN1061">
        <f t="shared" si="785"/>
        <v>5.0186715630496773E-2</v>
      </c>
      <c r="AO1061">
        <f t="shared" si="764"/>
        <v>0</v>
      </c>
      <c r="AP1061" s="121">
        <f t="shared" si="786"/>
        <v>0</v>
      </c>
      <c r="AQ1061">
        <f t="shared" si="787"/>
        <v>0</v>
      </c>
      <c r="AR1061">
        <v>0</v>
      </c>
      <c r="AS1061">
        <f t="shared" si="770"/>
        <v>0</v>
      </c>
      <c r="AT1061">
        <f t="shared" si="788"/>
        <v>0</v>
      </c>
      <c r="AU1061">
        <f>IFERROR(HLOOKUP(B1061,'Real assumptions'!$B$43:$AL$44,2,TRUE)*($W$3/$U$2),0)</f>
        <v>0</v>
      </c>
      <c r="AV1061">
        <f>AV1060*(1+'Real assumptions'!$B$35)^(1/12)</f>
        <v>2.962209047648277</v>
      </c>
      <c r="AW1061">
        <f t="shared" si="771"/>
        <v>2106</v>
      </c>
      <c r="AX1061">
        <f t="shared" si="798"/>
        <v>5.0313265385626714E-2</v>
      </c>
      <c r="AY1061">
        <f t="shared" si="799"/>
        <v>4.8428351612664085E-5</v>
      </c>
      <c r="AZ1061">
        <f t="shared" si="772"/>
        <v>3.0897129634961686E-2</v>
      </c>
      <c r="BA1061">
        <f t="shared" si="789"/>
        <v>1.6174754333381374E-4</v>
      </c>
      <c r="BB1061">
        <f t="shared" si="790"/>
        <v>11.5</v>
      </c>
      <c r="BC1061">
        <f t="shared" si="773"/>
        <v>6.8999999999999995</v>
      </c>
      <c r="BD1061">
        <f t="shared" si="791"/>
        <v>0</v>
      </c>
      <c r="BE1061">
        <f t="shared" si="774"/>
        <v>24</v>
      </c>
      <c r="BF1061">
        <f t="shared" si="800"/>
        <v>5000</v>
      </c>
      <c r="BU1061"/>
      <c r="DW1061" s="89"/>
      <c r="DX1061" s="89"/>
      <c r="FD1061"/>
      <c r="FE1061"/>
    </row>
    <row r="1062" spans="1:161" x14ac:dyDescent="0.25">
      <c r="A1062" s="7">
        <f t="shared" si="792"/>
        <v>75422</v>
      </c>
      <c r="B1062">
        <f t="shared" si="775"/>
        <v>1051</v>
      </c>
      <c r="C1062">
        <f t="shared" si="756"/>
        <v>87.5</v>
      </c>
      <c r="D1062">
        <f t="shared" si="757"/>
        <v>0</v>
      </c>
      <c r="E1062">
        <f t="shared" si="776"/>
        <v>139</v>
      </c>
      <c r="F1062">
        <f>IF(C1062&gt;=$T$2,0,VLOOKUP($E1062,EKM_F05!$A$3:$C$128,2,TRUE))</f>
        <v>0</v>
      </c>
      <c r="G1062">
        <f>F1062*'Real assumptions'!$B$3</f>
        <v>0</v>
      </c>
      <c r="H1062">
        <f t="shared" si="758"/>
        <v>0</v>
      </c>
      <c r="I1062">
        <f t="shared" si="759"/>
        <v>0</v>
      </c>
      <c r="J1062">
        <f>IF(B1062&gt;$AJ$2,0,HLOOKUP(C1062,'Real assumptions'!$B$5:$L$8,4,TRUE))</f>
        <v>3.7900000000000003E-2</v>
      </c>
      <c r="K1062">
        <f t="shared" si="765"/>
        <v>1</v>
      </c>
      <c r="L1062">
        <f t="shared" si="793"/>
        <v>8.3333333333333329E-2</v>
      </c>
      <c r="M1062">
        <f t="shared" si="760"/>
        <v>3.2145624959929453E-3</v>
      </c>
      <c r="N1062">
        <f t="shared" si="761"/>
        <v>3.686970657549958E-8</v>
      </c>
      <c r="O1062" s="8">
        <f t="shared" si="777"/>
        <v>1.1432718027823458E-5</v>
      </c>
      <c r="P1062">
        <f t="shared" si="778"/>
        <v>2.7527010562557495E-4</v>
      </c>
      <c r="Q1062">
        <f t="shared" si="794"/>
        <v>0</v>
      </c>
      <c r="R1062" s="89">
        <f t="shared" si="766"/>
        <v>5000</v>
      </c>
      <c r="S1062">
        <f t="shared" si="767"/>
        <v>0.4166666666666714</v>
      </c>
      <c r="U1062">
        <f>O1061*AV1061*'Real assumptions'!$B$33/12+AX1062*'Real assumptions'!$B$34</f>
        <v>3.5350619490192919E-4</v>
      </c>
      <c r="V1062">
        <f>IF(P1062=0,0,IF(E1062&lt;=$C$7,$AN$5*O1061,0))*'Real assumptions'!$D$28</f>
        <v>0</v>
      </c>
      <c r="X1062" s="94">
        <f t="shared" si="779"/>
        <v>0</v>
      </c>
      <c r="Y1062">
        <f t="shared" si="768"/>
        <v>24</v>
      </c>
      <c r="Z1062">
        <f t="shared" si="795"/>
        <v>11</v>
      </c>
      <c r="AA1062">
        <f t="shared" si="769"/>
        <v>11.416666666666671</v>
      </c>
      <c r="AB1062">
        <f t="shared" si="780"/>
        <v>50.505050505050505</v>
      </c>
      <c r="AC1062">
        <f t="shared" si="762"/>
        <v>576.59932659932679</v>
      </c>
      <c r="AD1062">
        <f t="shared" si="781"/>
        <v>80.505050505050505</v>
      </c>
      <c r="AE1062">
        <f t="shared" si="782"/>
        <v>45.954966329966346</v>
      </c>
      <c r="AF1062" s="94">
        <f t="shared" si="783"/>
        <v>4377.4457070707067</v>
      </c>
      <c r="AG1062">
        <f t="shared" si="796"/>
        <v>1.6139513876987723E-4</v>
      </c>
      <c r="AH1062">
        <f t="shared" si="784"/>
        <v>5.0046102451045668E-2</v>
      </c>
      <c r="AI1062">
        <f>HLOOKUP(AW1062,'Real assumptions'!$A$21:$AK$24,2,TRUE)</f>
        <v>0</v>
      </c>
      <c r="AJ1062" s="123">
        <f t="shared" si="763"/>
        <v>0</v>
      </c>
      <c r="AK1062" s="122">
        <f>(1+HLOOKUP(YEAR(A1062),'Real assumptions'!$A$21:$AK$24,2,TRUE)/100)^(1/12)-1</f>
        <v>0</v>
      </c>
      <c r="AL1062">
        <f t="shared" si="797"/>
        <v>3.5350619490192919E-4</v>
      </c>
      <c r="AM1062">
        <f>('Real assumptions'!$B$33/12)*O1061*AV1061</f>
        <v>3.3975316559632293E-4</v>
      </c>
      <c r="AN1062">
        <f t="shared" si="785"/>
        <v>5.0077141492640073E-2</v>
      </c>
      <c r="AO1062">
        <f t="shared" si="764"/>
        <v>0</v>
      </c>
      <c r="AP1062" s="121">
        <f t="shared" si="786"/>
        <v>0</v>
      </c>
      <c r="AQ1062">
        <f t="shared" si="787"/>
        <v>0</v>
      </c>
      <c r="AR1062">
        <v>0</v>
      </c>
      <c r="AS1062">
        <f t="shared" si="770"/>
        <v>0</v>
      </c>
      <c r="AT1062">
        <f t="shared" si="788"/>
        <v>0</v>
      </c>
      <c r="AU1062">
        <f>IFERROR(HLOOKUP(B1062,'Real assumptions'!$B$43:$AL$44,2,TRUE)*($W$3/$U$2),0)</f>
        <v>0</v>
      </c>
      <c r="AV1062">
        <f>AV1061*(1+'Real assumptions'!$B$35)^(1/12)</f>
        <v>2.9652771438640819</v>
      </c>
      <c r="AW1062">
        <f t="shared" si="771"/>
        <v>2106</v>
      </c>
      <c r="AX1062">
        <f t="shared" si="798"/>
        <v>5.0203650257566262E-2</v>
      </c>
      <c r="AY1062">
        <f t="shared" si="799"/>
        <v>4.8272675649827253E-5</v>
      </c>
      <c r="AZ1062">
        <f t="shared" si="772"/>
        <v>3.0657498406915458E-2</v>
      </c>
      <c r="BA1062">
        <f t="shared" si="789"/>
        <v>1.6139513876987723E-4</v>
      </c>
      <c r="BB1062">
        <f t="shared" si="790"/>
        <v>11.416666666666671</v>
      </c>
      <c r="BC1062">
        <f t="shared" si="773"/>
        <v>6.8500000000000032</v>
      </c>
      <c r="BD1062">
        <f t="shared" si="791"/>
        <v>0</v>
      </c>
      <c r="BE1062">
        <f t="shared" si="774"/>
        <v>24</v>
      </c>
      <c r="BF1062">
        <f t="shared" si="800"/>
        <v>5000</v>
      </c>
      <c r="BU1062"/>
      <c r="DW1062" s="89"/>
      <c r="DX1062" s="89"/>
      <c r="FD1062"/>
      <c r="FE1062"/>
    </row>
    <row r="1063" spans="1:161" x14ac:dyDescent="0.25">
      <c r="A1063" s="7">
        <f t="shared" si="792"/>
        <v>75453</v>
      </c>
      <c r="B1063">
        <f t="shared" si="775"/>
        <v>1052</v>
      </c>
      <c r="C1063">
        <f t="shared" si="756"/>
        <v>87.583333333333329</v>
      </c>
      <c r="D1063">
        <f t="shared" si="757"/>
        <v>0</v>
      </c>
      <c r="E1063">
        <f t="shared" si="776"/>
        <v>139</v>
      </c>
      <c r="F1063">
        <f>IF(C1063&gt;=$T$2,0,VLOOKUP($E1063,EKM_F05!$A$3:$C$128,2,TRUE))</f>
        <v>0</v>
      </c>
      <c r="G1063">
        <f>F1063*'Real assumptions'!$B$3</f>
        <v>0</v>
      </c>
      <c r="H1063">
        <f t="shared" si="758"/>
        <v>0</v>
      </c>
      <c r="I1063">
        <f t="shared" si="759"/>
        <v>0</v>
      </c>
      <c r="J1063">
        <f>IF(B1063&gt;$AJ$2,0,HLOOKUP(C1063,'Real assumptions'!$B$5:$L$8,4,TRUE))</f>
        <v>3.7900000000000003E-2</v>
      </c>
      <c r="K1063">
        <f t="shared" si="765"/>
        <v>1</v>
      </c>
      <c r="L1063">
        <f t="shared" si="793"/>
        <v>8.3333333333333329E-2</v>
      </c>
      <c r="M1063">
        <f t="shared" si="760"/>
        <v>3.2145624959929453E-3</v>
      </c>
      <c r="N1063">
        <f t="shared" si="761"/>
        <v>3.6751186599503717E-8</v>
      </c>
      <c r="O1063" s="8">
        <f t="shared" si="777"/>
        <v>1.1395966841223954E-5</v>
      </c>
      <c r="P1063">
        <f t="shared" si="778"/>
        <v>2.7438523266776297E-4</v>
      </c>
      <c r="Q1063">
        <f t="shared" si="794"/>
        <v>0</v>
      </c>
      <c r="R1063" s="89">
        <f t="shared" si="766"/>
        <v>5000</v>
      </c>
      <c r="S1063">
        <f t="shared" si="767"/>
        <v>0.3333333333333286</v>
      </c>
      <c r="U1063">
        <f>O1062*AV1062*'Real assumptions'!$B$33/12+AX1063*'Real assumptions'!$B$34</f>
        <v>3.5273482604286134E-4</v>
      </c>
      <c r="V1063">
        <f>IF(P1063=0,0,IF(E1063&lt;=$C$7,$AN$5*O1062,0))*'Real assumptions'!$D$28</f>
        <v>0</v>
      </c>
      <c r="X1063" s="94">
        <f t="shared" si="779"/>
        <v>0</v>
      </c>
      <c r="Y1063">
        <f t="shared" si="768"/>
        <v>24</v>
      </c>
      <c r="Z1063">
        <f t="shared" si="795"/>
        <v>11</v>
      </c>
      <c r="AA1063">
        <f t="shared" si="769"/>
        <v>11.333333333333329</v>
      </c>
      <c r="AB1063">
        <f t="shared" si="780"/>
        <v>50.505050505050505</v>
      </c>
      <c r="AC1063">
        <f t="shared" si="762"/>
        <v>572.39057239057217</v>
      </c>
      <c r="AD1063">
        <f t="shared" si="781"/>
        <v>80.505050505050505</v>
      </c>
      <c r="AE1063">
        <f t="shared" si="782"/>
        <v>45.619528619528602</v>
      </c>
      <c r="AF1063" s="94">
        <f t="shared" si="783"/>
        <v>4381.9898989898993</v>
      </c>
      <c r="AG1063">
        <f t="shared" si="796"/>
        <v>1.6104332845491825E-4</v>
      </c>
      <c r="AH1063">
        <f t="shared" si="784"/>
        <v>4.9937011587467196E-2</v>
      </c>
      <c r="AI1063">
        <f>HLOOKUP(AW1063,'Real assumptions'!$A$21:$AK$24,2,TRUE)</f>
        <v>0</v>
      </c>
      <c r="AJ1063" s="123">
        <f t="shared" si="763"/>
        <v>0</v>
      </c>
      <c r="AK1063" s="122">
        <f>(1+HLOOKUP(YEAR(A1063),'Real assumptions'!$A$21:$AK$24,2,TRUE)/100)^(1/12)-1</f>
        <v>0</v>
      </c>
      <c r="AL1063">
        <f t="shared" si="797"/>
        <v>3.5273482604286134E-4</v>
      </c>
      <c r="AM1063">
        <f>('Real assumptions'!$B$33/12)*O1062*AV1062</f>
        <v>3.3901177460147743E-4</v>
      </c>
      <c r="AN1063">
        <f t="shared" si="785"/>
        <v>4.9967752857670571E-2</v>
      </c>
      <c r="AO1063">
        <f t="shared" si="764"/>
        <v>0</v>
      </c>
      <c r="AP1063" s="121">
        <f t="shared" si="786"/>
        <v>0</v>
      </c>
      <c r="AQ1063">
        <f t="shared" si="787"/>
        <v>0</v>
      </c>
      <c r="AR1063">
        <v>0</v>
      </c>
      <c r="AS1063">
        <f t="shared" si="770"/>
        <v>0</v>
      </c>
      <c r="AT1063">
        <f t="shared" si="788"/>
        <v>0</v>
      </c>
      <c r="AU1063">
        <f>IFERROR(HLOOKUP(B1063,'Real assumptions'!$B$43:$AL$44,2,TRUE)*($W$3/$U$2),0)</f>
        <v>0</v>
      </c>
      <c r="AV1063">
        <f>AV1062*(1+'Real assumptions'!$B$35)^(1/12)</f>
        <v>2.9683484178483153</v>
      </c>
      <c r="AW1063">
        <f t="shared" si="771"/>
        <v>2106</v>
      </c>
      <c r="AX1063">
        <f t="shared" si="798"/>
        <v>5.0094219951162769E-2</v>
      </c>
      <c r="AY1063">
        <f t="shared" si="799"/>
        <v>4.8117500117102089E-5</v>
      </c>
      <c r="AZ1063">
        <f t="shared" si="772"/>
        <v>3.0418105485085438E-2</v>
      </c>
      <c r="BA1063">
        <f t="shared" si="789"/>
        <v>1.6104332845491825E-4</v>
      </c>
      <c r="BB1063">
        <f t="shared" si="790"/>
        <v>11.333333333333329</v>
      </c>
      <c r="BC1063">
        <f t="shared" si="773"/>
        <v>6.7999999999999972</v>
      </c>
      <c r="BD1063">
        <f t="shared" si="791"/>
        <v>0</v>
      </c>
      <c r="BE1063">
        <f t="shared" si="774"/>
        <v>24</v>
      </c>
      <c r="BF1063">
        <f t="shared" si="800"/>
        <v>5000</v>
      </c>
      <c r="BU1063"/>
      <c r="DW1063" s="89"/>
      <c r="DX1063" s="89"/>
      <c r="FD1063"/>
      <c r="FE1063"/>
    </row>
    <row r="1064" spans="1:161" x14ac:dyDescent="0.25">
      <c r="A1064" s="7">
        <f t="shared" si="792"/>
        <v>75484</v>
      </c>
      <c r="B1064">
        <f t="shared" si="775"/>
        <v>1053</v>
      </c>
      <c r="C1064">
        <f t="shared" si="756"/>
        <v>87.666666666666671</v>
      </c>
      <c r="D1064">
        <f t="shared" si="757"/>
        <v>0</v>
      </c>
      <c r="E1064">
        <f t="shared" si="776"/>
        <v>139</v>
      </c>
      <c r="F1064">
        <f>IF(C1064&gt;=$T$2,0,VLOOKUP($E1064,EKM_F05!$A$3:$C$128,2,TRUE))</f>
        <v>0</v>
      </c>
      <c r="G1064">
        <f>F1064*'Real assumptions'!$B$3</f>
        <v>0</v>
      </c>
      <c r="H1064">
        <f t="shared" si="758"/>
        <v>0</v>
      </c>
      <c r="I1064">
        <f t="shared" si="759"/>
        <v>0</v>
      </c>
      <c r="J1064">
        <f>IF(B1064&gt;$AJ$2,0,HLOOKUP(C1064,'Real assumptions'!$B$5:$L$8,4,TRUE))</f>
        <v>3.7900000000000003E-2</v>
      </c>
      <c r="K1064">
        <f t="shared" si="765"/>
        <v>1</v>
      </c>
      <c r="L1064">
        <f t="shared" si="793"/>
        <v>8.3333333333333329E-2</v>
      </c>
      <c r="M1064">
        <f t="shared" si="760"/>
        <v>3.2145624959929453E-3</v>
      </c>
      <c r="N1064">
        <f t="shared" si="761"/>
        <v>3.6633047613377717E-8</v>
      </c>
      <c r="O1064" s="8">
        <f t="shared" si="777"/>
        <v>1.1359333793610576E-5</v>
      </c>
      <c r="P1064">
        <f t="shared" si="778"/>
        <v>2.7350320418937491E-4</v>
      </c>
      <c r="Q1064">
        <f t="shared" si="794"/>
        <v>0</v>
      </c>
      <c r="R1064" s="89">
        <f t="shared" si="766"/>
        <v>5000</v>
      </c>
      <c r="S1064">
        <f t="shared" si="767"/>
        <v>0.25</v>
      </c>
      <c r="U1064">
        <f>O1063*AV1063*'Real assumptions'!$B$33/12+AX1064*'Real assumptions'!$B$34</f>
        <v>3.5196512562286891E-4</v>
      </c>
      <c r="V1064">
        <f>IF(P1064=0,0,IF(E1064&lt;=$C$7,$AN$5*O1063,0))*'Real assumptions'!$D$28</f>
        <v>0</v>
      </c>
      <c r="X1064" s="94">
        <f t="shared" si="779"/>
        <v>0</v>
      </c>
      <c r="Y1064">
        <f t="shared" si="768"/>
        <v>24</v>
      </c>
      <c r="Z1064">
        <f t="shared" si="795"/>
        <v>11</v>
      </c>
      <c r="AA1064">
        <f t="shared" si="769"/>
        <v>11.25</v>
      </c>
      <c r="AB1064">
        <f t="shared" si="780"/>
        <v>50.505050505050505</v>
      </c>
      <c r="AC1064">
        <f t="shared" si="762"/>
        <v>568.18181818181813</v>
      </c>
      <c r="AD1064">
        <f t="shared" si="781"/>
        <v>80.505050505050505</v>
      </c>
      <c r="AE1064">
        <f t="shared" si="782"/>
        <v>45.284090909090907</v>
      </c>
      <c r="AF1064" s="94">
        <f t="shared" si="783"/>
        <v>4386.534090909091</v>
      </c>
      <c r="AG1064">
        <f t="shared" si="796"/>
        <v>1.6069211220997727E-4</v>
      </c>
      <c r="AH1064">
        <f t="shared" si="784"/>
        <v>4.9828104935688483E-2</v>
      </c>
      <c r="AI1064">
        <f>HLOOKUP(AW1064,'Real assumptions'!$A$21:$AK$24,2,TRUE)</f>
        <v>0</v>
      </c>
      <c r="AJ1064" s="123">
        <f t="shared" si="763"/>
        <v>0</v>
      </c>
      <c r="AK1064" s="122">
        <f>(1+HLOOKUP(YEAR(A1064),'Real assumptions'!$A$21:$AK$24,2,TRUE)/100)^(1/12)-1</f>
        <v>0</v>
      </c>
      <c r="AL1064">
        <f t="shared" si="797"/>
        <v>3.5196512562286891E-4</v>
      </c>
      <c r="AM1064">
        <f>('Real assumptions'!$B$33/12)*O1063*AV1063</f>
        <v>3.3827200142998984E-4</v>
      </c>
      <c r="AN1064">
        <f t="shared" si="785"/>
        <v>4.9858549666033702E-2</v>
      </c>
      <c r="AO1064">
        <f t="shared" si="764"/>
        <v>0</v>
      </c>
      <c r="AP1064" s="121">
        <f t="shared" si="786"/>
        <v>0</v>
      </c>
      <c r="AQ1064">
        <f t="shared" si="787"/>
        <v>0</v>
      </c>
      <c r="AR1064">
        <v>0</v>
      </c>
      <c r="AS1064">
        <f t="shared" si="770"/>
        <v>0</v>
      </c>
      <c r="AT1064">
        <f t="shared" si="788"/>
        <v>0</v>
      </c>
      <c r="AU1064">
        <f>IFERROR(HLOOKUP(B1064,'Real assumptions'!$B$43:$AL$44,2,TRUE)*($W$3/$U$2),0)</f>
        <v>0</v>
      </c>
      <c r="AV1064">
        <f>AV1063*(1+'Real assumptions'!$B$35)^(1/12)</f>
        <v>2.971422872892338</v>
      </c>
      <c r="AW1064">
        <f t="shared" si="771"/>
        <v>2106</v>
      </c>
      <c r="AX1064">
        <f t="shared" si="798"/>
        <v>4.9984974410873018E-2</v>
      </c>
      <c r="AY1064">
        <f t="shared" si="799"/>
        <v>4.7962823405824717E-5</v>
      </c>
      <c r="AZ1064">
        <f t="shared" si="772"/>
        <v>3.0178951451441966E-2</v>
      </c>
      <c r="BA1064">
        <f t="shared" si="789"/>
        <v>1.6069211220997727E-4</v>
      </c>
      <c r="BB1064">
        <f t="shared" si="790"/>
        <v>11.25</v>
      </c>
      <c r="BC1064">
        <f t="shared" si="773"/>
        <v>6.75</v>
      </c>
      <c r="BD1064">
        <f t="shared" si="791"/>
        <v>0</v>
      </c>
      <c r="BE1064">
        <f t="shared" si="774"/>
        <v>24</v>
      </c>
      <c r="BF1064">
        <f t="shared" si="800"/>
        <v>5000</v>
      </c>
      <c r="BU1064"/>
      <c r="DW1064" s="89"/>
      <c r="DX1064" s="89"/>
      <c r="FD1064"/>
      <c r="FE1064"/>
    </row>
    <row r="1065" spans="1:161" x14ac:dyDescent="0.25">
      <c r="A1065" s="7">
        <f t="shared" si="792"/>
        <v>75514</v>
      </c>
      <c r="B1065">
        <f t="shared" si="775"/>
        <v>1054</v>
      </c>
      <c r="C1065">
        <f t="shared" si="756"/>
        <v>87.75</v>
      </c>
      <c r="D1065">
        <f t="shared" si="757"/>
        <v>0</v>
      </c>
      <c r="E1065">
        <f t="shared" si="776"/>
        <v>139</v>
      </c>
      <c r="F1065">
        <f>IF(C1065&gt;=$T$2,0,VLOOKUP($E1065,EKM_F05!$A$3:$C$128,2,TRUE))</f>
        <v>0</v>
      </c>
      <c r="G1065">
        <f>F1065*'Real assumptions'!$B$3</f>
        <v>0</v>
      </c>
      <c r="H1065">
        <f t="shared" si="758"/>
        <v>0</v>
      </c>
      <c r="I1065">
        <f t="shared" si="759"/>
        <v>0</v>
      </c>
      <c r="J1065">
        <f>IF(B1065&gt;$AJ$2,0,HLOOKUP(C1065,'Real assumptions'!$B$5:$L$8,4,TRUE))</f>
        <v>3.7900000000000003E-2</v>
      </c>
      <c r="K1065">
        <f t="shared" si="765"/>
        <v>1</v>
      </c>
      <c r="L1065">
        <f t="shared" si="793"/>
        <v>8.3333333333333329E-2</v>
      </c>
      <c r="M1065">
        <f t="shared" si="760"/>
        <v>3.2145624959929453E-3</v>
      </c>
      <c r="N1065">
        <f t="shared" si="761"/>
        <v>3.6515288392405826E-8</v>
      </c>
      <c r="O1065" s="8">
        <f t="shared" si="777"/>
        <v>1.132281850521817E-5</v>
      </c>
      <c r="P1065">
        <f t="shared" si="778"/>
        <v>2.7262401104665384E-4</v>
      </c>
      <c r="Q1065">
        <f t="shared" si="794"/>
        <v>0</v>
      </c>
      <c r="R1065" s="89">
        <f t="shared" si="766"/>
        <v>5000</v>
      </c>
      <c r="S1065">
        <f t="shared" si="767"/>
        <v>0.1666666666666714</v>
      </c>
      <c r="U1065">
        <f>O1064*AV1064*'Real assumptions'!$B$33/12+AX1065*'Real assumptions'!$B$34</f>
        <v>3.5119709009598404E-4</v>
      </c>
      <c r="V1065">
        <f>IF(P1065=0,0,IF(E1065&lt;=$C$7,$AN$5*O1064,0))*'Real assumptions'!$D$28</f>
        <v>0</v>
      </c>
      <c r="X1065" s="94">
        <f t="shared" si="779"/>
        <v>0</v>
      </c>
      <c r="Y1065">
        <f t="shared" si="768"/>
        <v>24</v>
      </c>
      <c r="Z1065">
        <f t="shared" si="795"/>
        <v>11</v>
      </c>
      <c r="AA1065">
        <f t="shared" si="769"/>
        <v>11.166666666666671</v>
      </c>
      <c r="AB1065">
        <f t="shared" si="780"/>
        <v>50.505050505050505</v>
      </c>
      <c r="AC1065">
        <f t="shared" si="762"/>
        <v>563.9730639730642</v>
      </c>
      <c r="AD1065">
        <f t="shared" si="781"/>
        <v>80.505050505050505</v>
      </c>
      <c r="AE1065">
        <f t="shared" si="782"/>
        <v>44.948653198653219</v>
      </c>
      <c r="AF1065" s="94">
        <f t="shared" si="783"/>
        <v>4391.0782828282827</v>
      </c>
      <c r="AG1065">
        <f t="shared" si="796"/>
        <v>1.603414898511049E-4</v>
      </c>
      <c r="AH1065">
        <f t="shared" si="784"/>
        <v>4.9719382438669704E-2</v>
      </c>
      <c r="AI1065">
        <f>HLOOKUP(AW1065,'Real assumptions'!$A$21:$AK$24,2,TRUE)</f>
        <v>0</v>
      </c>
      <c r="AJ1065" s="123">
        <f t="shared" si="763"/>
        <v>0</v>
      </c>
      <c r="AK1065" s="122">
        <f>(1+HLOOKUP(YEAR(A1065),'Real assumptions'!$A$21:$AK$24,2,TRUE)/100)^(1/12)-1</f>
        <v>0</v>
      </c>
      <c r="AL1065">
        <f t="shared" si="797"/>
        <v>3.5119709009598404E-4</v>
      </c>
      <c r="AM1065">
        <f>('Real assumptions'!$B$33/12)*O1064*AV1064</f>
        <v>3.3753384255153358E-4</v>
      </c>
      <c r="AN1065">
        <f t="shared" si="785"/>
        <v>4.9749531856639155E-2</v>
      </c>
      <c r="AO1065">
        <f t="shared" si="764"/>
        <v>0</v>
      </c>
      <c r="AP1065" s="121">
        <f t="shared" si="786"/>
        <v>0</v>
      </c>
      <c r="AQ1065">
        <f t="shared" si="787"/>
        <v>0</v>
      </c>
      <c r="AR1065">
        <v>0</v>
      </c>
      <c r="AS1065">
        <f t="shared" si="770"/>
        <v>0</v>
      </c>
      <c r="AT1065">
        <f t="shared" si="788"/>
        <v>0</v>
      </c>
      <c r="AU1065">
        <f>IFERROR(HLOOKUP(B1065,'Real assumptions'!$B$43:$AL$44,2,TRUE)*($W$3/$U$2),0)</f>
        <v>0</v>
      </c>
      <c r="AV1065">
        <f>AV1064*(1+'Real assumptions'!$B$35)^(1/12)</f>
        <v>2.9745005122909198</v>
      </c>
      <c r="AW1065">
        <f t="shared" si="771"/>
        <v>2106</v>
      </c>
      <c r="AX1065">
        <f t="shared" si="798"/>
        <v>4.9875913579600986E-2</v>
      </c>
      <c r="AY1065">
        <f t="shared" si="799"/>
        <v>4.780864391250242E-5</v>
      </c>
      <c r="AZ1065">
        <f t="shared" si="772"/>
        <v>2.9940036882541529E-2</v>
      </c>
      <c r="BA1065">
        <f t="shared" si="789"/>
        <v>1.603414898511049E-4</v>
      </c>
      <c r="BB1065">
        <f t="shared" si="790"/>
        <v>11.166666666666671</v>
      </c>
      <c r="BC1065">
        <f t="shared" si="773"/>
        <v>6.7000000000000028</v>
      </c>
      <c r="BD1065">
        <f t="shared" si="791"/>
        <v>0</v>
      </c>
      <c r="BE1065">
        <f t="shared" si="774"/>
        <v>24</v>
      </c>
      <c r="BF1065">
        <f t="shared" si="800"/>
        <v>5000</v>
      </c>
      <c r="BU1065"/>
      <c r="DW1065" s="89"/>
      <c r="DX1065" s="89"/>
      <c r="FD1065"/>
      <c r="FE1065"/>
    </row>
    <row r="1066" spans="1:161" x14ac:dyDescent="0.25">
      <c r="A1066" s="7">
        <f t="shared" si="792"/>
        <v>75545</v>
      </c>
      <c r="B1066">
        <f t="shared" si="775"/>
        <v>1055</v>
      </c>
      <c r="C1066">
        <f t="shared" si="756"/>
        <v>87.833333333333329</v>
      </c>
      <c r="D1066">
        <f t="shared" si="757"/>
        <v>0</v>
      </c>
      <c r="E1066">
        <f t="shared" si="776"/>
        <v>139</v>
      </c>
      <c r="F1066">
        <f>IF(C1066&gt;=$T$2,0,VLOOKUP($E1066,EKM_F05!$A$3:$C$128,2,TRUE))</f>
        <v>0</v>
      </c>
      <c r="G1066">
        <f>F1066*'Real assumptions'!$B$3</f>
        <v>0</v>
      </c>
      <c r="H1066">
        <f t="shared" si="758"/>
        <v>0</v>
      </c>
      <c r="I1066">
        <f t="shared" si="759"/>
        <v>0</v>
      </c>
      <c r="J1066">
        <f>IF(B1066&gt;$AJ$2,0,HLOOKUP(C1066,'Real assumptions'!$B$5:$L$8,4,TRUE))</f>
        <v>3.7900000000000003E-2</v>
      </c>
      <c r="K1066">
        <f t="shared" si="765"/>
        <v>1</v>
      </c>
      <c r="L1066">
        <f t="shared" si="793"/>
        <v>8.3333333333333329E-2</v>
      </c>
      <c r="M1066">
        <f t="shared" si="760"/>
        <v>3.2145624959929453E-3</v>
      </c>
      <c r="N1066">
        <f t="shared" si="761"/>
        <v>3.6397907715809233E-8</v>
      </c>
      <c r="O1066" s="8">
        <f t="shared" si="777"/>
        <v>1.1286420597502361E-5</v>
      </c>
      <c r="P1066">
        <f t="shared" si="778"/>
        <v>2.7174764412523608E-4</v>
      </c>
      <c r="Q1066">
        <f t="shared" si="794"/>
        <v>0</v>
      </c>
      <c r="R1066" s="89">
        <f t="shared" si="766"/>
        <v>5000</v>
      </c>
      <c r="S1066">
        <f t="shared" si="767"/>
        <v>8.3333333333328596E-2</v>
      </c>
      <c r="U1066">
        <f>O1065*AV1065*'Real assumptions'!$B$33/12+AX1066*'Real assumptions'!$B$34</f>
        <v>3.5043071592352E-4</v>
      </c>
      <c r="V1066">
        <f>IF(P1066=0,0,IF(E1066&lt;=$C$7,$AN$5*O1065,0))*'Real assumptions'!$D$28</f>
        <v>0</v>
      </c>
      <c r="X1066" s="94">
        <f t="shared" si="779"/>
        <v>0</v>
      </c>
      <c r="Y1066">
        <f t="shared" si="768"/>
        <v>24</v>
      </c>
      <c r="Z1066">
        <f t="shared" si="795"/>
        <v>11</v>
      </c>
      <c r="AA1066">
        <f t="shared" si="769"/>
        <v>11.083333333333329</v>
      </c>
      <c r="AB1066">
        <f t="shared" si="780"/>
        <v>50.505050505050505</v>
      </c>
      <c r="AC1066">
        <f t="shared" si="762"/>
        <v>559.76430976430947</v>
      </c>
      <c r="AD1066">
        <f t="shared" si="781"/>
        <v>80.505050505050505</v>
      </c>
      <c r="AE1066">
        <f t="shared" si="782"/>
        <v>44.613215488215467</v>
      </c>
      <c r="AF1066" s="94">
        <f t="shared" si="783"/>
        <v>4395.6224747474753</v>
      </c>
      <c r="AG1066">
        <f t="shared" si="796"/>
        <v>1.599914611893956E-4</v>
      </c>
      <c r="AH1066">
        <f t="shared" si="784"/>
        <v>4.9610844037834209E-2</v>
      </c>
      <c r="AI1066">
        <f>HLOOKUP(AW1066,'Real assumptions'!$A$21:$AK$24,2,TRUE)</f>
        <v>0</v>
      </c>
      <c r="AJ1066" s="123">
        <f t="shared" si="763"/>
        <v>0</v>
      </c>
      <c r="AK1066" s="122">
        <f>(1+HLOOKUP(YEAR(A1066),'Real assumptions'!$A$21:$AK$24,2,TRUE)/100)^(1/12)-1</f>
        <v>0</v>
      </c>
      <c r="AL1066">
        <f t="shared" si="797"/>
        <v>3.5043071592352E-4</v>
      </c>
      <c r="AM1066">
        <f>('Real assumptions'!$B$33/12)*O1065*AV1065</f>
        <v>3.3679729444348555E-4</v>
      </c>
      <c r="AN1066">
        <f t="shared" si="785"/>
        <v>4.9640699366871419E-2</v>
      </c>
      <c r="AO1066">
        <f t="shared" si="764"/>
        <v>0</v>
      </c>
      <c r="AP1066" s="121">
        <f t="shared" si="786"/>
        <v>0</v>
      </c>
      <c r="AQ1066">
        <f t="shared" si="787"/>
        <v>0</v>
      </c>
      <c r="AR1066">
        <v>0</v>
      </c>
      <c r="AS1066">
        <f t="shared" si="770"/>
        <v>0</v>
      </c>
      <c r="AT1066">
        <f t="shared" si="788"/>
        <v>0</v>
      </c>
      <c r="AU1066">
        <f>IFERROR(HLOOKUP(B1066,'Real assumptions'!$B$43:$AL$44,2,TRUE)*($W$3/$U$2),0)</f>
        <v>0</v>
      </c>
      <c r="AV1066">
        <f>AV1065*(1+'Real assumptions'!$B$35)^(1/12)</f>
        <v>2.9775813393422434</v>
      </c>
      <c r="AW1066">
        <f t="shared" si="771"/>
        <v>2106</v>
      </c>
      <c r="AX1066">
        <f t="shared" si="798"/>
        <v>4.9767037398708504E-2</v>
      </c>
      <c r="AY1066">
        <f t="shared" si="799"/>
        <v>4.765496003879701E-5</v>
      </c>
      <c r="AZ1066">
        <f t="shared" si="772"/>
        <v>2.970136234955385E-2</v>
      </c>
      <c r="BA1066">
        <f t="shared" si="789"/>
        <v>1.599914611893956E-4</v>
      </c>
      <c r="BB1066">
        <f t="shared" si="790"/>
        <v>11.083333333333329</v>
      </c>
      <c r="BC1066">
        <f t="shared" si="773"/>
        <v>6.6499999999999968</v>
      </c>
      <c r="BD1066">
        <f t="shared" si="791"/>
        <v>0</v>
      </c>
      <c r="BE1066">
        <f t="shared" si="774"/>
        <v>24</v>
      </c>
      <c r="BF1066">
        <f t="shared" si="800"/>
        <v>5000</v>
      </c>
      <c r="BU1066"/>
      <c r="DW1066" s="89"/>
      <c r="DX1066" s="89"/>
      <c r="FD1066"/>
      <c r="FE1066"/>
    </row>
    <row r="1067" spans="1:161" x14ac:dyDescent="0.25">
      <c r="A1067" s="7">
        <f t="shared" si="792"/>
        <v>75575</v>
      </c>
      <c r="B1067">
        <f t="shared" si="775"/>
        <v>1056</v>
      </c>
      <c r="C1067">
        <f t="shared" si="756"/>
        <v>87.916666666666671</v>
      </c>
      <c r="D1067">
        <f t="shared" si="757"/>
        <v>0</v>
      </c>
      <c r="E1067">
        <f t="shared" si="776"/>
        <v>139</v>
      </c>
      <c r="F1067">
        <f>IF(C1067&gt;=$T$2,0,VLOOKUP($E1067,EKM_F05!$A$3:$C$128,2,TRUE))</f>
        <v>0</v>
      </c>
      <c r="G1067">
        <f>F1067*'Real assumptions'!$B$3</f>
        <v>0</v>
      </c>
      <c r="H1067">
        <f t="shared" si="758"/>
        <v>0</v>
      </c>
      <c r="I1067">
        <f t="shared" si="759"/>
        <v>0</v>
      </c>
      <c r="J1067">
        <f>IF(B1067&gt;$AJ$2,0,HLOOKUP(C1067,'Real assumptions'!$B$5:$L$8,4,TRUE))</f>
        <v>3.7900000000000003E-2</v>
      </c>
      <c r="K1067">
        <f t="shared" si="765"/>
        <v>1</v>
      </c>
      <c r="L1067">
        <f t="shared" si="793"/>
        <v>8.3333333333333329E-2</v>
      </c>
      <c r="M1067">
        <f t="shared" si="760"/>
        <v>3.2145624959929453E-3</v>
      </c>
      <c r="N1067">
        <f t="shared" si="761"/>
        <v>3.6280904366733378E-8</v>
      </c>
      <c r="O1067" s="8">
        <f t="shared" si="777"/>
        <v>1.1250139693135627E-5</v>
      </c>
      <c r="P1067">
        <f t="shared" si="778"/>
        <v>2.7087409434005665E-4</v>
      </c>
      <c r="Q1067">
        <f t="shared" si="794"/>
        <v>0</v>
      </c>
      <c r="R1067" s="89">
        <f t="shared" si="766"/>
        <v>5000</v>
      </c>
      <c r="S1067">
        <f t="shared" si="767"/>
        <v>1</v>
      </c>
      <c r="U1067">
        <f>O1066*AV1066*'Real assumptions'!$B$33/12+AX1067*'Real assumptions'!$B$34</f>
        <v>3.4966599957405767E-4</v>
      </c>
      <c r="V1067">
        <f>IF(P1067=0,0,IF(E1067&lt;=$C$7,$AN$5*O1066,0))*'Real assumptions'!$D$28</f>
        <v>0</v>
      </c>
      <c r="X1067" s="94">
        <f t="shared" si="779"/>
        <v>0</v>
      </c>
      <c r="Y1067">
        <f t="shared" si="768"/>
        <v>24</v>
      </c>
      <c r="Z1067">
        <f t="shared" si="795"/>
        <v>11</v>
      </c>
      <c r="AA1067">
        <f t="shared" si="769"/>
        <v>11</v>
      </c>
      <c r="AB1067">
        <f t="shared" si="780"/>
        <v>50.505050505050505</v>
      </c>
      <c r="AC1067">
        <f t="shared" si="762"/>
        <v>555.55555555555554</v>
      </c>
      <c r="AD1067">
        <f t="shared" si="781"/>
        <v>80.505050505050505</v>
      </c>
      <c r="AE1067">
        <f t="shared" si="782"/>
        <v>44.277777777777779</v>
      </c>
      <c r="AF1067" s="94">
        <f t="shared" si="783"/>
        <v>4400.166666666667</v>
      </c>
      <c r="AG1067">
        <f t="shared" si="796"/>
        <v>1.5964202603102132E-4</v>
      </c>
      <c r="AH1067">
        <f t="shared" si="784"/>
        <v>4.950248967307895E-2</v>
      </c>
      <c r="AI1067">
        <f>HLOOKUP(AW1067,'Real assumptions'!$A$21:$AK$24,2,TRUE)</f>
        <v>0</v>
      </c>
      <c r="AJ1067" s="123">
        <f t="shared" si="763"/>
        <v>0</v>
      </c>
      <c r="AK1067" s="122">
        <f>(1+HLOOKUP(YEAR(A1067),'Real assumptions'!$A$21:$AK$24,2,TRUE)/100)^(1/12)-1</f>
        <v>0</v>
      </c>
      <c r="AL1067">
        <f t="shared" si="797"/>
        <v>3.4966599957405767E-4</v>
      </c>
      <c r="AM1067">
        <f>('Real assumptions'!$B$33/12)*O1066*AV1066</f>
        <v>3.3606235359090963E-4</v>
      </c>
      <c r="AN1067">
        <f t="shared" si="785"/>
        <v>4.9532052132600209E-2</v>
      </c>
      <c r="AO1067">
        <f t="shared" si="764"/>
        <v>0</v>
      </c>
      <c r="AP1067" s="121">
        <f t="shared" si="786"/>
        <v>0</v>
      </c>
      <c r="AQ1067">
        <f t="shared" si="787"/>
        <v>0</v>
      </c>
      <c r="AR1067">
        <v>0</v>
      </c>
      <c r="AS1067">
        <f t="shared" si="770"/>
        <v>0</v>
      </c>
      <c r="AT1067">
        <f t="shared" si="788"/>
        <v>0</v>
      </c>
      <c r="AU1067">
        <f>IFERROR(HLOOKUP(B1067,'Real assumptions'!$B$43:$AL$44,2,TRUE)*($W$3/$U$2),0)</f>
        <v>0</v>
      </c>
      <c r="AV1067">
        <f>AV1066*(1+'Real assumptions'!$B$35)^(1/12)</f>
        <v>2.9806653573479074</v>
      </c>
      <c r="AW1067">
        <f t="shared" si="771"/>
        <v>2106</v>
      </c>
      <c r="AX1067">
        <f t="shared" si="798"/>
        <v>4.9658345808025715E-2</v>
      </c>
      <c r="AY1067">
        <f t="shared" si="799"/>
        <v>4.7501770191508252E-5</v>
      </c>
      <c r="AZ1067">
        <f t="shared" si="772"/>
        <v>2.9462928418288827E-2</v>
      </c>
      <c r="BA1067">
        <f t="shared" si="789"/>
        <v>1.5964202603102132E-4</v>
      </c>
      <c r="BB1067">
        <f t="shared" si="790"/>
        <v>11</v>
      </c>
      <c r="BC1067">
        <f t="shared" si="773"/>
        <v>6.6</v>
      </c>
      <c r="BD1067">
        <f t="shared" si="791"/>
        <v>0</v>
      </c>
      <c r="BE1067">
        <f t="shared" si="774"/>
        <v>24</v>
      </c>
      <c r="BF1067">
        <f t="shared" si="800"/>
        <v>5000</v>
      </c>
      <c r="BU1067"/>
      <c r="DW1067" s="89"/>
      <c r="DX1067" s="89"/>
      <c r="FD1067"/>
      <c r="FE1067"/>
    </row>
    <row r="1068" spans="1:161" x14ac:dyDescent="0.25">
      <c r="A1068" s="7">
        <f t="shared" si="792"/>
        <v>75606</v>
      </c>
      <c r="B1068">
        <f t="shared" si="775"/>
        <v>1057</v>
      </c>
      <c r="C1068">
        <f t="shared" si="756"/>
        <v>88</v>
      </c>
      <c r="D1068">
        <f t="shared" si="757"/>
        <v>1</v>
      </c>
      <c r="E1068">
        <f t="shared" si="776"/>
        <v>140</v>
      </c>
      <c r="F1068">
        <f>IF(C1068&gt;=$T$2,0,VLOOKUP($E1068,EKM_F05!$A$3:$C$128,2,TRUE))</f>
        <v>0</v>
      </c>
      <c r="G1068">
        <f>F1068*'Real assumptions'!$B$3</f>
        <v>0</v>
      </c>
      <c r="H1068">
        <f t="shared" si="758"/>
        <v>0</v>
      </c>
      <c r="I1068">
        <f t="shared" si="759"/>
        <v>0</v>
      </c>
      <c r="J1068">
        <f>IF(B1068&gt;$AJ$2,0,HLOOKUP(C1068,'Real assumptions'!$B$5:$L$8,4,TRUE))</f>
        <v>3.7900000000000003E-2</v>
      </c>
      <c r="K1068">
        <f t="shared" si="765"/>
        <v>1</v>
      </c>
      <c r="L1068">
        <f t="shared" si="793"/>
        <v>8.3333333333333329E-2</v>
      </c>
      <c r="M1068">
        <f t="shared" si="760"/>
        <v>3.2145624959929453E-3</v>
      </c>
      <c r="N1068">
        <f t="shared" si="761"/>
        <v>3.6164277132235367E-8</v>
      </c>
      <c r="O1068" s="8">
        <f t="shared" si="777"/>
        <v>1.1213975416003391E-5</v>
      </c>
      <c r="P1068">
        <f t="shared" si="778"/>
        <v>2.7000335263525503E-4</v>
      </c>
      <c r="Q1068">
        <f t="shared" si="794"/>
        <v>0</v>
      </c>
      <c r="R1068" s="89">
        <f t="shared" si="766"/>
        <v>5000</v>
      </c>
      <c r="S1068">
        <f t="shared" si="767"/>
        <v>0.9166666666666714</v>
      </c>
      <c r="U1068">
        <f>O1067*AV1067*'Real assumptions'!$B$33/12+AX1068*'Real assumptions'!$B$34</f>
        <v>3.4890293752343091E-4</v>
      </c>
      <c r="V1068">
        <f>IF(P1068=0,0,IF(E1068&lt;=$C$7,$AN$5*O1067,0))*'Real assumptions'!$D$28</f>
        <v>0</v>
      </c>
      <c r="X1068" s="94">
        <f t="shared" si="779"/>
        <v>0</v>
      </c>
      <c r="Y1068">
        <f t="shared" si="768"/>
        <v>24</v>
      </c>
      <c r="Z1068">
        <f t="shared" si="795"/>
        <v>11</v>
      </c>
      <c r="AA1068">
        <f t="shared" si="769"/>
        <v>10.916666666666671</v>
      </c>
      <c r="AB1068">
        <f t="shared" si="780"/>
        <v>50.505050505050505</v>
      </c>
      <c r="AC1068">
        <f t="shared" si="762"/>
        <v>551.34680134680161</v>
      </c>
      <c r="AD1068">
        <f t="shared" si="781"/>
        <v>80.505050505050505</v>
      </c>
      <c r="AE1068">
        <f t="shared" si="782"/>
        <v>43.942340067340083</v>
      </c>
      <c r="AF1068" s="94">
        <f t="shared" si="783"/>
        <v>4404.7108585858577</v>
      </c>
      <c r="AG1068">
        <f t="shared" si="796"/>
        <v>1.5929318417726534E-4</v>
      </c>
      <c r="AH1068">
        <f t="shared" si="784"/>
        <v>4.9394319282784996E-2</v>
      </c>
      <c r="AI1068">
        <f>HLOOKUP(AW1068,'Real assumptions'!$A$21:$AK$24,2,TRUE)</f>
        <v>0</v>
      </c>
      <c r="AJ1068" s="123">
        <f t="shared" si="763"/>
        <v>0</v>
      </c>
      <c r="AK1068" s="122">
        <f>(1+HLOOKUP(YEAR(A1068),'Real assumptions'!$A$21:$AK$24,2,TRUE)/100)^(1/12)-1</f>
        <v>0</v>
      </c>
      <c r="AL1068">
        <f t="shared" si="797"/>
        <v>3.4890293752343091E-4</v>
      </c>
      <c r="AM1068">
        <f>('Real assumptions'!$B$33/12)*O1067*AV1067</f>
        <v>3.3532901648653982E-4</v>
      </c>
      <c r="AN1068">
        <f t="shared" si="785"/>
        <v>4.9423590088190771E-2</v>
      </c>
      <c r="AO1068">
        <f t="shared" si="764"/>
        <v>0</v>
      </c>
      <c r="AP1068" s="121">
        <f t="shared" si="786"/>
        <v>0</v>
      </c>
      <c r="AQ1068">
        <f t="shared" si="787"/>
        <v>0</v>
      </c>
      <c r="AR1068">
        <v>0</v>
      </c>
      <c r="AS1068">
        <f t="shared" si="770"/>
        <v>0</v>
      </c>
      <c r="AT1068">
        <f t="shared" si="788"/>
        <v>0</v>
      </c>
      <c r="AU1068">
        <f>IFERROR(HLOOKUP(B1068,'Real assumptions'!$B$43:$AL$44,2,TRUE)*($W$3/$U$2),0)</f>
        <v>0</v>
      </c>
      <c r="AV1068">
        <f>AV1067*(1+'Real assumptions'!$B$35)^(1/12)</f>
        <v>2.9837525696129301</v>
      </c>
      <c r="AW1068">
        <f t="shared" si="771"/>
        <v>2106</v>
      </c>
      <c r="AX1068">
        <f t="shared" si="798"/>
        <v>4.954983874586151E-2</v>
      </c>
      <c r="AY1068">
        <f t="shared" si="799"/>
        <v>4.7349072782557349E-5</v>
      </c>
      <c r="AZ1068">
        <f t="shared" si="772"/>
        <v>2.9224735649223385E-2</v>
      </c>
      <c r="BA1068">
        <f t="shared" si="789"/>
        <v>1.5929318417726534E-4</v>
      </c>
      <c r="BB1068">
        <f t="shared" si="790"/>
        <v>10.916666666666671</v>
      </c>
      <c r="BC1068">
        <f t="shared" si="773"/>
        <v>6.5500000000000025</v>
      </c>
      <c r="BD1068">
        <f t="shared" si="791"/>
        <v>0</v>
      </c>
      <c r="BE1068">
        <f t="shared" si="774"/>
        <v>24</v>
      </c>
      <c r="BF1068">
        <f t="shared" si="800"/>
        <v>5000</v>
      </c>
      <c r="BU1068"/>
      <c r="DW1068" s="89"/>
      <c r="DX1068" s="89"/>
      <c r="FD1068"/>
      <c r="FE1068"/>
    </row>
    <row r="1069" spans="1:161" x14ac:dyDescent="0.25">
      <c r="A1069" s="7">
        <f t="shared" si="792"/>
        <v>75637</v>
      </c>
      <c r="B1069">
        <f t="shared" si="775"/>
        <v>1058</v>
      </c>
      <c r="C1069">
        <f t="shared" si="756"/>
        <v>88.083333333333329</v>
      </c>
      <c r="D1069">
        <f t="shared" si="757"/>
        <v>0</v>
      </c>
      <c r="E1069">
        <f t="shared" si="776"/>
        <v>140</v>
      </c>
      <c r="F1069">
        <f>IF(C1069&gt;=$T$2,0,VLOOKUP($E1069,EKM_F05!$A$3:$C$128,2,TRUE))</f>
        <v>0</v>
      </c>
      <c r="G1069">
        <f>F1069*'Real assumptions'!$B$3</f>
        <v>0</v>
      </c>
      <c r="H1069">
        <f t="shared" si="758"/>
        <v>0</v>
      </c>
      <c r="I1069">
        <f t="shared" si="759"/>
        <v>0</v>
      </c>
      <c r="J1069">
        <f>IF(B1069&gt;$AJ$2,0,HLOOKUP(C1069,'Real assumptions'!$B$5:$L$8,4,TRUE))</f>
        <v>3.7900000000000003E-2</v>
      </c>
      <c r="K1069">
        <f t="shared" si="765"/>
        <v>1</v>
      </c>
      <c r="L1069">
        <f t="shared" si="793"/>
        <v>8.3333333333333329E-2</v>
      </c>
      <c r="M1069">
        <f t="shared" si="760"/>
        <v>3.2145624959929453E-3</v>
      </c>
      <c r="N1069">
        <f t="shared" si="761"/>
        <v>3.6048024803271388E-8</v>
      </c>
      <c r="O1069" s="8">
        <f t="shared" si="777"/>
        <v>1.1177927391200119E-5</v>
      </c>
      <c r="P1069">
        <f t="shared" si="778"/>
        <v>2.691354099840814E-4</v>
      </c>
      <c r="Q1069">
        <f t="shared" si="794"/>
        <v>0</v>
      </c>
      <c r="R1069" s="89">
        <f t="shared" si="766"/>
        <v>5000</v>
      </c>
      <c r="S1069">
        <f t="shared" si="767"/>
        <v>0.8333333333333286</v>
      </c>
      <c r="U1069">
        <f>O1068*AV1068*'Real assumptions'!$B$33/12+AX1069*'Real assumptions'!$B$34</f>
        <v>3.4814152625471325E-4</v>
      </c>
      <c r="V1069">
        <f>IF(P1069=0,0,IF(E1069&lt;=$C$7,$AN$5*O1068,0))*'Real assumptions'!$D$28</f>
        <v>0</v>
      </c>
      <c r="X1069" s="94">
        <f t="shared" si="779"/>
        <v>0</v>
      </c>
      <c r="Y1069">
        <f t="shared" si="768"/>
        <v>24</v>
      </c>
      <c r="Z1069">
        <f t="shared" si="795"/>
        <v>10</v>
      </c>
      <c r="AA1069">
        <f t="shared" si="769"/>
        <v>10.833333333333329</v>
      </c>
      <c r="AB1069">
        <f t="shared" si="780"/>
        <v>50.505050505050505</v>
      </c>
      <c r="AC1069">
        <f t="shared" si="762"/>
        <v>547.13804713804689</v>
      </c>
      <c r="AD1069">
        <f t="shared" si="781"/>
        <v>80.505050505050505</v>
      </c>
      <c r="AE1069">
        <f t="shared" si="782"/>
        <v>43.606902356902339</v>
      </c>
      <c r="AF1069" s="94">
        <f t="shared" si="783"/>
        <v>4409.2550505050503</v>
      </c>
      <c r="AG1069">
        <f t="shared" si="796"/>
        <v>1.5894493542455569E-4</v>
      </c>
      <c r="AH1069">
        <f t="shared" si="784"/>
        <v>4.9286332803827868E-2</v>
      </c>
      <c r="AI1069">
        <f>HLOOKUP(AW1069,'Real assumptions'!$A$21:$AK$24,2,TRUE)</f>
        <v>0</v>
      </c>
      <c r="AJ1069" s="123">
        <f t="shared" si="763"/>
        <v>0</v>
      </c>
      <c r="AK1069" s="122">
        <f>(1+HLOOKUP(YEAR(A1069),'Real assumptions'!$A$21:$AK$24,2,TRUE)/100)^(1/12)-1</f>
        <v>0</v>
      </c>
      <c r="AL1069">
        <f t="shared" si="797"/>
        <v>3.4814152625471325E-4</v>
      </c>
      <c r="AM1069">
        <f>('Real assumptions'!$B$33/12)*O1068*AV1068</f>
        <v>3.3459727963076343E-4</v>
      </c>
      <c r="AN1069">
        <f t="shared" si="785"/>
        <v>4.9315313166514357E-2</v>
      </c>
      <c r="AO1069">
        <f t="shared" si="764"/>
        <v>0</v>
      </c>
      <c r="AP1069" s="121">
        <f t="shared" si="786"/>
        <v>0</v>
      </c>
      <c r="AQ1069">
        <f t="shared" si="787"/>
        <v>0</v>
      </c>
      <c r="AR1069">
        <v>0</v>
      </c>
      <c r="AS1069">
        <f t="shared" si="770"/>
        <v>0</v>
      </c>
      <c r="AT1069">
        <f t="shared" si="788"/>
        <v>0</v>
      </c>
      <c r="AU1069">
        <f>IFERROR(HLOOKUP(B1069,'Real assumptions'!$B$43:$AL$44,2,TRUE)*($W$3/$U$2),0)</f>
        <v>0</v>
      </c>
      <c r="AV1069">
        <f>AV1068*(1+'Real assumptions'!$B$35)^(1/12)</f>
        <v>2.9868429794457527</v>
      </c>
      <c r="AW1069">
        <f t="shared" si="771"/>
        <v>2107</v>
      </c>
      <c r="AX1069">
        <f t="shared" si="798"/>
        <v>4.9441516149013966E-2</v>
      </c>
      <c r="AY1069">
        <f t="shared" si="799"/>
        <v>4.7196866228970498E-5</v>
      </c>
      <c r="AZ1069">
        <f t="shared" si="772"/>
        <v>2.8986784597528199E-2</v>
      </c>
      <c r="BA1069">
        <f t="shared" si="789"/>
        <v>1.5894493542455569E-4</v>
      </c>
      <c r="BB1069">
        <f t="shared" si="790"/>
        <v>10.833333333333329</v>
      </c>
      <c r="BC1069">
        <f t="shared" si="773"/>
        <v>6.4999999999999964</v>
      </c>
      <c r="BD1069">
        <f t="shared" si="791"/>
        <v>0</v>
      </c>
      <c r="BE1069">
        <f t="shared" si="774"/>
        <v>24</v>
      </c>
      <c r="BF1069">
        <f t="shared" si="800"/>
        <v>5000</v>
      </c>
      <c r="BU1069"/>
      <c r="DW1069" s="89"/>
      <c r="DX1069" s="89"/>
      <c r="FD1069"/>
      <c r="FE1069"/>
    </row>
    <row r="1070" spans="1:161" x14ac:dyDescent="0.25">
      <c r="A1070" s="7">
        <f t="shared" si="792"/>
        <v>75665</v>
      </c>
      <c r="B1070">
        <f t="shared" si="775"/>
        <v>1059</v>
      </c>
      <c r="C1070">
        <f t="shared" si="756"/>
        <v>88.166666666666671</v>
      </c>
      <c r="D1070">
        <f t="shared" si="757"/>
        <v>0</v>
      </c>
      <c r="E1070">
        <f t="shared" si="776"/>
        <v>140</v>
      </c>
      <c r="F1070">
        <f>IF(C1070&gt;=$T$2,0,VLOOKUP($E1070,EKM_F05!$A$3:$C$128,2,TRUE))</f>
        <v>0</v>
      </c>
      <c r="G1070">
        <f>F1070*'Real assumptions'!$B$3</f>
        <v>0</v>
      </c>
      <c r="H1070">
        <f t="shared" si="758"/>
        <v>0</v>
      </c>
      <c r="I1070">
        <f t="shared" si="759"/>
        <v>0</v>
      </c>
      <c r="J1070">
        <f>IF(B1070&gt;$AJ$2,0,HLOOKUP(C1070,'Real assumptions'!$B$5:$L$8,4,TRUE))</f>
        <v>3.7900000000000003E-2</v>
      </c>
      <c r="K1070">
        <f t="shared" si="765"/>
        <v>1</v>
      </c>
      <c r="L1070">
        <f t="shared" si="793"/>
        <v>8.3333333333333329E-2</v>
      </c>
      <c r="M1070">
        <f t="shared" si="760"/>
        <v>3.2145624959929453E-3</v>
      </c>
      <c r="N1070">
        <f t="shared" si="761"/>
        <v>3.5932146174684168E-8</v>
      </c>
      <c r="O1070" s="8">
        <f t="shared" si="777"/>
        <v>1.1141995245025435E-5</v>
      </c>
      <c r="P1070">
        <f t="shared" si="778"/>
        <v>2.6827025738880285E-4</v>
      </c>
      <c r="Q1070">
        <f t="shared" si="794"/>
        <v>0</v>
      </c>
      <c r="R1070" s="89">
        <f t="shared" si="766"/>
        <v>5000</v>
      </c>
      <c r="S1070">
        <f t="shared" si="767"/>
        <v>0.75</v>
      </c>
      <c r="U1070">
        <f>O1069*AV1069*'Real assumptions'!$B$33/12+AX1070*'Real assumptions'!$B$34</f>
        <v>3.4738176225820384E-4</v>
      </c>
      <c r="V1070">
        <f>IF(P1070=0,0,IF(E1070&lt;=$C$7,$AN$5*O1069,0))*'Real assumptions'!$D$28</f>
        <v>0</v>
      </c>
      <c r="X1070" s="94">
        <f t="shared" si="779"/>
        <v>0</v>
      </c>
      <c r="Y1070">
        <f t="shared" si="768"/>
        <v>24</v>
      </c>
      <c r="Z1070">
        <f t="shared" si="795"/>
        <v>10</v>
      </c>
      <c r="AA1070">
        <f t="shared" si="769"/>
        <v>10.75</v>
      </c>
      <c r="AB1070">
        <f t="shared" si="780"/>
        <v>50.505050505050505</v>
      </c>
      <c r="AC1070">
        <f t="shared" si="762"/>
        <v>542.92929292929296</v>
      </c>
      <c r="AD1070">
        <f t="shared" si="781"/>
        <v>80.505050505050505</v>
      </c>
      <c r="AE1070">
        <f t="shared" si="782"/>
        <v>43.271464646464644</v>
      </c>
      <c r="AF1070" s="94">
        <f t="shared" si="783"/>
        <v>4413.799242424242</v>
      </c>
      <c r="AG1070">
        <f t="shared" si="796"/>
        <v>1.5859727956449811E-4</v>
      </c>
      <c r="AH1070">
        <f t="shared" si="784"/>
        <v>4.917853017158777E-2</v>
      </c>
      <c r="AI1070">
        <f>HLOOKUP(AW1070,'Real assumptions'!$A$21:$AK$24,2,TRUE)</f>
        <v>0</v>
      </c>
      <c r="AJ1070" s="123">
        <f t="shared" si="763"/>
        <v>0</v>
      </c>
      <c r="AK1070" s="122">
        <f>(1+HLOOKUP(YEAR(A1070),'Real assumptions'!$A$21:$AK$24,2,TRUE)/100)^(1/12)-1</f>
        <v>0</v>
      </c>
      <c r="AL1070">
        <f t="shared" si="797"/>
        <v>3.4738176225820384E-4</v>
      </c>
      <c r="AM1070">
        <f>('Real assumptions'!$B$33/12)*O1069*AV1069</f>
        <v>3.3386713953160454E-4</v>
      </c>
      <c r="AN1070">
        <f t="shared" si="785"/>
        <v>4.9207221298958471E-2</v>
      </c>
      <c r="AO1070">
        <f t="shared" si="764"/>
        <v>0</v>
      </c>
      <c r="AP1070" s="121">
        <f t="shared" si="786"/>
        <v>0</v>
      </c>
      <c r="AQ1070">
        <f t="shared" si="787"/>
        <v>0</v>
      </c>
      <c r="AR1070">
        <v>0</v>
      </c>
      <c r="AS1070">
        <f t="shared" si="770"/>
        <v>0</v>
      </c>
      <c r="AT1070">
        <f t="shared" si="788"/>
        <v>0</v>
      </c>
      <c r="AU1070">
        <f>IFERROR(HLOOKUP(B1070,'Real assumptions'!$B$43:$AL$44,2,TRUE)*($W$3/$U$2),0)</f>
        <v>0</v>
      </c>
      <c r="AV1070">
        <f>AV1069*(1+'Real assumptions'!$B$35)^(1/12)</f>
        <v>2.9899365901582433</v>
      </c>
      <c r="AW1070">
        <f t="shared" si="771"/>
        <v>2107</v>
      </c>
      <c r="AX1070">
        <f t="shared" si="798"/>
        <v>4.9333377952780727E-2</v>
      </c>
      <c r="AY1070">
        <f t="shared" si="799"/>
        <v>4.7045148952862449E-5</v>
      </c>
      <c r="AZ1070">
        <f t="shared" si="772"/>
        <v>2.8749075813094299E-2</v>
      </c>
      <c r="BA1070">
        <f t="shared" si="789"/>
        <v>1.5859727956449811E-4</v>
      </c>
      <c r="BB1070">
        <f t="shared" si="790"/>
        <v>10.75</v>
      </c>
      <c r="BC1070">
        <f t="shared" si="773"/>
        <v>6.4499999999999993</v>
      </c>
      <c r="BD1070">
        <f t="shared" si="791"/>
        <v>0</v>
      </c>
      <c r="BE1070">
        <f t="shared" si="774"/>
        <v>24</v>
      </c>
      <c r="BF1070">
        <f t="shared" si="800"/>
        <v>5000</v>
      </c>
      <c r="BU1070"/>
      <c r="DW1070" s="89"/>
      <c r="DX1070" s="89"/>
      <c r="FD1070"/>
      <c r="FE1070"/>
    </row>
    <row r="1071" spans="1:161" x14ac:dyDescent="0.25">
      <c r="A1071" s="7">
        <f t="shared" si="792"/>
        <v>75696</v>
      </c>
      <c r="B1071">
        <f t="shared" si="775"/>
        <v>1060</v>
      </c>
      <c r="C1071">
        <f t="shared" ref="C1071:C1134" si="801">(B1071+11)/12-1</f>
        <v>88.25</v>
      </c>
      <c r="D1071">
        <f t="shared" ref="D1071:D1134" si="802">IF(C1071-INT(C1071)=0,1,0)</f>
        <v>0</v>
      </c>
      <c r="E1071">
        <f t="shared" si="776"/>
        <v>140</v>
      </c>
      <c r="F1071">
        <f>IF(C1071&gt;=$T$2,0,VLOOKUP($E1071,EKM_F05!$A$3:$C$128,2,TRUE))</f>
        <v>0</v>
      </c>
      <c r="G1071">
        <f>F1071*'Real assumptions'!$B$3</f>
        <v>0</v>
      </c>
      <c r="H1071">
        <f t="shared" ref="H1071:H1134" si="803">(1-(1-G1071)^(1/12))</f>
        <v>0</v>
      </c>
      <c r="I1071">
        <f t="shared" ref="I1071:I1134" si="804">H1071*O1070*(1-M1071/2)</f>
        <v>0</v>
      </c>
      <c r="J1071">
        <f>IF(B1071&gt;$AJ$2,0,HLOOKUP(C1071,'Real assumptions'!$B$5:$L$8,4,TRUE))</f>
        <v>3.7900000000000003E-2</v>
      </c>
      <c r="K1071">
        <f t="shared" si="765"/>
        <v>1</v>
      </c>
      <c r="L1071">
        <f t="shared" si="793"/>
        <v>8.3333333333333329E-2</v>
      </c>
      <c r="M1071">
        <f t="shared" ref="M1071:M1134" si="805">(1-(1-J1071)^L1071)</f>
        <v>3.2145624959929453E-3</v>
      </c>
      <c r="N1071">
        <f t="shared" ref="N1071:N1134" si="806">M1071*O1070*(1-H1071/2)</f>
        <v>3.5816640045190492E-8</v>
      </c>
      <c r="O1071" s="8">
        <f t="shared" si="777"/>
        <v>1.1106178604980244E-5</v>
      </c>
      <c r="P1071">
        <f t="shared" si="778"/>
        <v>2.674078858806104E-4</v>
      </c>
      <c r="Q1071">
        <f t="shared" si="794"/>
        <v>0</v>
      </c>
      <c r="R1071" s="89">
        <f t="shared" si="766"/>
        <v>5000</v>
      </c>
      <c r="S1071">
        <f t="shared" si="767"/>
        <v>0.6666666666666714</v>
      </c>
      <c r="U1071">
        <f>O1070*AV1070*'Real assumptions'!$B$33/12+AX1071*'Real assumptions'!$B$34</f>
        <v>3.466236420314135E-4</v>
      </c>
      <c r="V1071">
        <f>IF(P1071=0,0,IF(E1071&lt;=$C$7,$AN$5*O1070,0))*'Real assumptions'!$D$28</f>
        <v>0</v>
      </c>
      <c r="X1071" s="94">
        <f t="shared" si="779"/>
        <v>0</v>
      </c>
      <c r="Y1071">
        <f t="shared" si="768"/>
        <v>24</v>
      </c>
      <c r="Z1071">
        <f t="shared" si="795"/>
        <v>10</v>
      </c>
      <c r="AA1071">
        <f t="shared" si="769"/>
        <v>10.666666666666671</v>
      </c>
      <c r="AB1071">
        <f t="shared" si="780"/>
        <v>50.505050505050505</v>
      </c>
      <c r="AC1071">
        <f t="shared" ref="AC1071:AC1134" si="807">AB1071*AA1071</f>
        <v>538.72053872053891</v>
      </c>
      <c r="AD1071">
        <f t="shared" si="781"/>
        <v>80.505050505050505</v>
      </c>
      <c r="AE1071">
        <f t="shared" si="782"/>
        <v>42.936026936026956</v>
      </c>
      <c r="AF1071" s="94">
        <f t="shared" si="783"/>
        <v>4418.3434343434346</v>
      </c>
      <c r="AG1071">
        <f t="shared" si="796"/>
        <v>1.5825021638390954E-4</v>
      </c>
      <c r="AH1071">
        <f t="shared" si="784"/>
        <v>4.9070911319959984E-2</v>
      </c>
      <c r="AI1071">
        <f>HLOOKUP(AW1071,'Real assumptions'!$A$21:$AK$24,2,TRUE)</f>
        <v>0</v>
      </c>
      <c r="AJ1071" s="123">
        <f t="shared" ref="AJ1071:AJ1134" si="808">((1+AI1071/100)^(1/12))-1</f>
        <v>0</v>
      </c>
      <c r="AK1071" s="122">
        <f>(1+HLOOKUP(YEAR(A1071),'Real assumptions'!$A$21:$AK$24,2,TRUE)/100)^(1/12)-1</f>
        <v>0</v>
      </c>
      <c r="AL1071">
        <f t="shared" si="797"/>
        <v>3.466236420314135E-4</v>
      </c>
      <c r="AM1071">
        <f>('Real assumptions'!$B$33/12)*O1070*AV1070</f>
        <v>3.3313859270470711E-4</v>
      </c>
      <c r="AN1071">
        <f t="shared" si="785"/>
        <v>4.9099314415436968E-2</v>
      </c>
      <c r="AO1071">
        <f t="shared" ref="AO1071:AO1134" si="809">AN1071*AJ1071</f>
        <v>0</v>
      </c>
      <c r="AP1071" s="121">
        <f t="shared" si="786"/>
        <v>0</v>
      </c>
      <c r="AQ1071">
        <f t="shared" si="787"/>
        <v>0</v>
      </c>
      <c r="AR1071">
        <v>0</v>
      </c>
      <c r="AS1071">
        <f t="shared" si="770"/>
        <v>0</v>
      </c>
      <c r="AT1071">
        <f t="shared" si="788"/>
        <v>0</v>
      </c>
      <c r="AU1071">
        <f>IFERROR(HLOOKUP(B1071,'Real assumptions'!$B$43:$AL$44,2,TRUE)*($W$3/$U$2),0)</f>
        <v>0</v>
      </c>
      <c r="AV1071">
        <f>AV1070*(1+'Real assumptions'!$B$35)^(1/12)</f>
        <v>2.9930334050657006</v>
      </c>
      <c r="AW1071">
        <f t="shared" si="771"/>
        <v>2107</v>
      </c>
      <c r="AX1071">
        <f t="shared" si="798"/>
        <v>4.9225424090969187E-2</v>
      </c>
      <c r="AY1071">
        <f t="shared" si="799"/>
        <v>4.6893919381420177E-5</v>
      </c>
      <c r="AZ1071">
        <f t="shared" si="772"/>
        <v>2.8511609840559584E-2</v>
      </c>
      <c r="BA1071">
        <f t="shared" si="789"/>
        <v>1.5825021638390954E-4</v>
      </c>
      <c r="BB1071">
        <f t="shared" si="790"/>
        <v>10.666666666666671</v>
      </c>
      <c r="BC1071">
        <f t="shared" si="773"/>
        <v>6.4000000000000021</v>
      </c>
      <c r="BD1071">
        <f t="shared" si="791"/>
        <v>0</v>
      </c>
      <c r="BE1071">
        <f t="shared" si="774"/>
        <v>24</v>
      </c>
      <c r="BF1071">
        <f t="shared" si="800"/>
        <v>5000</v>
      </c>
      <c r="BU1071"/>
      <c r="DW1071" s="89"/>
      <c r="DX1071" s="89"/>
      <c r="FD1071"/>
      <c r="FE1071"/>
    </row>
    <row r="1072" spans="1:161" x14ac:dyDescent="0.25">
      <c r="A1072" s="7">
        <f t="shared" si="792"/>
        <v>75726</v>
      </c>
      <c r="B1072">
        <f t="shared" si="775"/>
        <v>1061</v>
      </c>
      <c r="C1072">
        <f t="shared" si="801"/>
        <v>88.333333333333329</v>
      </c>
      <c r="D1072">
        <f t="shared" si="802"/>
        <v>0</v>
      </c>
      <c r="E1072">
        <f t="shared" si="776"/>
        <v>140</v>
      </c>
      <c r="F1072">
        <f>IF(C1072&gt;=$T$2,0,VLOOKUP($E1072,EKM_F05!$A$3:$C$128,2,TRUE))</f>
        <v>0</v>
      </c>
      <c r="G1072">
        <f>F1072*'Real assumptions'!$B$3</f>
        <v>0</v>
      </c>
      <c r="H1072">
        <f t="shared" si="803"/>
        <v>0</v>
      </c>
      <c r="I1072">
        <f t="shared" si="804"/>
        <v>0</v>
      </c>
      <c r="J1072">
        <f>IF(B1072&gt;$AJ$2,0,HLOOKUP(C1072,'Real assumptions'!$B$5:$L$8,4,TRUE))</f>
        <v>3.7900000000000003E-2</v>
      </c>
      <c r="K1072">
        <f t="shared" si="765"/>
        <v>1</v>
      </c>
      <c r="L1072">
        <f t="shared" si="793"/>
        <v>8.3333333333333329E-2</v>
      </c>
      <c r="M1072">
        <f t="shared" si="805"/>
        <v>3.2145624959929453E-3</v>
      </c>
      <c r="N1072">
        <f t="shared" si="806"/>
        <v>3.570150521736874E-8</v>
      </c>
      <c r="O1072" s="8">
        <f t="shared" si="777"/>
        <v>1.1070477099762875E-5</v>
      </c>
      <c r="P1072">
        <f t="shared" si="778"/>
        <v>2.6654828651952585E-4</v>
      </c>
      <c r="Q1072">
        <f t="shared" si="794"/>
        <v>0</v>
      </c>
      <c r="R1072" s="89">
        <f t="shared" si="766"/>
        <v>5000</v>
      </c>
      <c r="S1072">
        <f t="shared" si="767"/>
        <v>0.5833333333333286</v>
      </c>
      <c r="U1072">
        <f>O1071*AV1071*'Real assumptions'!$B$33/12+AX1072*'Real assumptions'!$B$34</f>
        <v>3.4586716207905122E-4</v>
      </c>
      <c r="V1072">
        <f>IF(P1072=0,0,IF(E1072&lt;=$C$7,$AN$5*O1071,0))*'Real assumptions'!$D$28</f>
        <v>0</v>
      </c>
      <c r="X1072" s="94">
        <f t="shared" si="779"/>
        <v>0</v>
      </c>
      <c r="Y1072">
        <f t="shared" si="768"/>
        <v>24</v>
      </c>
      <c r="Z1072">
        <f t="shared" si="795"/>
        <v>10</v>
      </c>
      <c r="AA1072">
        <f t="shared" si="769"/>
        <v>10.583333333333329</v>
      </c>
      <c r="AB1072">
        <f t="shared" si="780"/>
        <v>50.505050505050505</v>
      </c>
      <c r="AC1072">
        <f t="shared" si="807"/>
        <v>534.5117845117843</v>
      </c>
      <c r="AD1072">
        <f t="shared" si="781"/>
        <v>80.505050505050505</v>
      </c>
      <c r="AE1072">
        <f t="shared" si="782"/>
        <v>42.600589225589204</v>
      </c>
      <c r="AF1072" s="94">
        <f t="shared" si="783"/>
        <v>4422.8876262626272</v>
      </c>
      <c r="AG1072">
        <f t="shared" si="796"/>
        <v>1.5790374566485084E-4</v>
      </c>
      <c r="AH1072">
        <f t="shared" si="784"/>
        <v>4.8963476181364998E-2</v>
      </c>
      <c r="AI1072">
        <f>HLOOKUP(AW1072,'Real assumptions'!$A$21:$AK$24,2,TRUE)</f>
        <v>0</v>
      </c>
      <c r="AJ1072" s="123">
        <f t="shared" si="808"/>
        <v>0</v>
      </c>
      <c r="AK1072" s="122">
        <f>(1+HLOOKUP(YEAR(A1072),'Real assumptions'!$A$21:$AK$24,2,TRUE)/100)^(1/12)-1</f>
        <v>0</v>
      </c>
      <c r="AL1072">
        <f t="shared" si="797"/>
        <v>3.4586716207905122E-4</v>
      </c>
      <c r="AM1072">
        <f>('Real assumptions'!$B$33/12)*O1071*AV1071</f>
        <v>3.3241163567331852E-4</v>
      </c>
      <c r="AN1072">
        <f t="shared" si="785"/>
        <v>4.8991592444400461E-2</v>
      </c>
      <c r="AO1072">
        <f t="shared" si="809"/>
        <v>0</v>
      </c>
      <c r="AP1072" s="121">
        <f t="shared" si="786"/>
        <v>0</v>
      </c>
      <c r="AQ1072">
        <f t="shared" si="787"/>
        <v>0</v>
      </c>
      <c r="AR1072">
        <v>0</v>
      </c>
      <c r="AS1072">
        <f t="shared" si="770"/>
        <v>0</v>
      </c>
      <c r="AT1072">
        <f t="shared" si="788"/>
        <v>0</v>
      </c>
      <c r="AU1072">
        <f>IFERROR(HLOOKUP(B1072,'Real assumptions'!$B$43:$AL$44,2,TRUE)*($W$3/$U$2),0)</f>
        <v>0</v>
      </c>
      <c r="AV1072">
        <f>AV1071*(1+'Real assumptions'!$B$35)^(1/12)</f>
        <v>2.9961334274868565</v>
      </c>
      <c r="AW1072">
        <f t="shared" si="771"/>
        <v>2107</v>
      </c>
      <c r="AX1072">
        <f t="shared" si="798"/>
        <v>4.9117654495906868E-2</v>
      </c>
      <c r="AY1072">
        <f t="shared" si="799"/>
        <v>4.6743175946886546E-5</v>
      </c>
      <c r="AZ1072">
        <f t="shared" si="772"/>
        <v>2.8274387219335208E-2</v>
      </c>
      <c r="BA1072">
        <f t="shared" si="789"/>
        <v>1.5790374566485084E-4</v>
      </c>
      <c r="BB1072">
        <f t="shared" si="790"/>
        <v>10.583333333333329</v>
      </c>
      <c r="BC1072">
        <f t="shared" si="773"/>
        <v>6.349999999999997</v>
      </c>
      <c r="BD1072">
        <f t="shared" si="791"/>
        <v>0</v>
      </c>
      <c r="BE1072">
        <f t="shared" si="774"/>
        <v>24</v>
      </c>
      <c r="BF1072">
        <f t="shared" si="800"/>
        <v>5000</v>
      </c>
      <c r="BU1072"/>
      <c r="DW1072" s="89"/>
      <c r="DX1072" s="89"/>
      <c r="FD1072"/>
      <c r="FE1072"/>
    </row>
    <row r="1073" spans="1:161" x14ac:dyDescent="0.25">
      <c r="A1073" s="7">
        <f t="shared" si="792"/>
        <v>75757</v>
      </c>
      <c r="B1073">
        <f t="shared" si="775"/>
        <v>1062</v>
      </c>
      <c r="C1073">
        <f t="shared" si="801"/>
        <v>88.416666666666671</v>
      </c>
      <c r="D1073">
        <f t="shared" si="802"/>
        <v>0</v>
      </c>
      <c r="E1073">
        <f t="shared" si="776"/>
        <v>140</v>
      </c>
      <c r="F1073">
        <f>IF(C1073&gt;=$T$2,0,VLOOKUP($E1073,EKM_F05!$A$3:$C$128,2,TRUE))</f>
        <v>0</v>
      </c>
      <c r="G1073">
        <f>F1073*'Real assumptions'!$B$3</f>
        <v>0</v>
      </c>
      <c r="H1073">
        <f t="shared" si="803"/>
        <v>0</v>
      </c>
      <c r="I1073">
        <f t="shared" si="804"/>
        <v>0</v>
      </c>
      <c r="J1073">
        <f>IF(B1073&gt;$AJ$2,0,HLOOKUP(C1073,'Real assumptions'!$B$5:$L$8,4,TRUE))</f>
        <v>3.7900000000000003E-2</v>
      </c>
      <c r="K1073">
        <f t="shared" si="765"/>
        <v>1</v>
      </c>
      <c r="L1073">
        <f t="shared" si="793"/>
        <v>8.3333333333333329E-2</v>
      </c>
      <c r="M1073">
        <f t="shared" si="805"/>
        <v>3.2145624959929453E-3</v>
      </c>
      <c r="N1073">
        <f t="shared" si="806"/>
        <v>3.558674049764649E-8</v>
      </c>
      <c r="O1073" s="8">
        <f t="shared" si="777"/>
        <v>1.1034890359265229E-5</v>
      </c>
      <c r="P1073">
        <f t="shared" si="778"/>
        <v>2.6569145039430901E-4</v>
      </c>
      <c r="Q1073">
        <f t="shared" si="794"/>
        <v>0</v>
      </c>
      <c r="R1073" s="89">
        <f t="shared" si="766"/>
        <v>5000</v>
      </c>
      <c r="S1073">
        <f t="shared" si="767"/>
        <v>0.5</v>
      </c>
      <c r="U1073">
        <f>O1072*AV1072*'Real assumptions'!$B$33/12+AX1073*'Real assumptions'!$B$34</f>
        <v>3.4511231891301005E-4</v>
      </c>
      <c r="V1073">
        <f>IF(P1073=0,0,IF(E1073&lt;=$C$7,$AN$5*O1072,0))*'Real assumptions'!$D$28</f>
        <v>0</v>
      </c>
      <c r="X1073" s="94">
        <f t="shared" si="779"/>
        <v>0</v>
      </c>
      <c r="Y1073">
        <f t="shared" si="768"/>
        <v>24</v>
      </c>
      <c r="Z1073">
        <f t="shared" si="795"/>
        <v>10</v>
      </c>
      <c r="AA1073">
        <f t="shared" si="769"/>
        <v>10.5</v>
      </c>
      <c r="AB1073">
        <f t="shared" si="780"/>
        <v>50.505050505050505</v>
      </c>
      <c r="AC1073">
        <f t="shared" si="807"/>
        <v>530.30303030303025</v>
      </c>
      <c r="AD1073">
        <f t="shared" si="781"/>
        <v>80.505050505050505</v>
      </c>
      <c r="AE1073">
        <f t="shared" si="782"/>
        <v>42.265151515151516</v>
      </c>
      <c r="AF1073" s="94">
        <f t="shared" si="783"/>
        <v>4427.431818181818</v>
      </c>
      <c r="AG1073">
        <f t="shared" si="796"/>
        <v>1.5755786718465954E-4</v>
      </c>
      <c r="AH1073">
        <f t="shared" si="784"/>
        <v>4.8856224686758667E-2</v>
      </c>
      <c r="AI1073">
        <f>HLOOKUP(AW1073,'Real assumptions'!$A$21:$AK$24,2,TRUE)</f>
        <v>0</v>
      </c>
      <c r="AJ1073" s="123">
        <f t="shared" si="808"/>
        <v>0</v>
      </c>
      <c r="AK1073" s="122">
        <f>(1+HLOOKUP(YEAR(A1073),'Real assumptions'!$A$21:$AK$24,2,TRUE)/100)^(1/12)-1</f>
        <v>0</v>
      </c>
      <c r="AL1073">
        <f t="shared" si="797"/>
        <v>3.4511231891301005E-4</v>
      </c>
      <c r="AM1073">
        <f>('Real assumptions'!$B$33/12)*O1072*AV1072</f>
        <v>3.31686264968273E-4</v>
      </c>
      <c r="AN1073">
        <f t="shared" si="785"/>
        <v>4.88840553128463E-2</v>
      </c>
      <c r="AO1073">
        <f t="shared" si="809"/>
        <v>0</v>
      </c>
      <c r="AP1073" s="121">
        <f t="shared" si="786"/>
        <v>0</v>
      </c>
      <c r="AQ1073">
        <f t="shared" si="787"/>
        <v>0</v>
      </c>
      <c r="AR1073">
        <v>0</v>
      </c>
      <c r="AS1073">
        <f t="shared" si="770"/>
        <v>0</v>
      </c>
      <c r="AT1073">
        <f t="shared" si="788"/>
        <v>0</v>
      </c>
      <c r="AU1073">
        <f>IFERROR(HLOOKUP(B1073,'Real assumptions'!$B$43:$AL$44,2,TRUE)*($W$3/$U$2),0)</f>
        <v>0</v>
      </c>
      <c r="AV1073">
        <f>AV1072*(1+'Real assumptions'!$B$35)^(1/12)</f>
        <v>2.9992366607438807</v>
      </c>
      <c r="AW1073">
        <f t="shared" si="771"/>
        <v>2107</v>
      </c>
      <c r="AX1073">
        <f t="shared" si="798"/>
        <v>4.9010069098451542E-2</v>
      </c>
      <c r="AY1073">
        <f t="shared" si="799"/>
        <v>4.6592917086544086E-5</v>
      </c>
      <c r="AZ1073">
        <f t="shared" si="772"/>
        <v>2.803740848363185E-2</v>
      </c>
      <c r="BA1073">
        <f t="shared" si="789"/>
        <v>1.5755786718465954E-4</v>
      </c>
      <c r="BB1073">
        <f t="shared" si="790"/>
        <v>10.5</v>
      </c>
      <c r="BC1073">
        <f t="shared" si="773"/>
        <v>6.3</v>
      </c>
      <c r="BD1073">
        <f t="shared" si="791"/>
        <v>0</v>
      </c>
      <c r="BE1073">
        <f t="shared" si="774"/>
        <v>24</v>
      </c>
      <c r="BF1073">
        <f t="shared" si="800"/>
        <v>5000</v>
      </c>
      <c r="BU1073"/>
      <c r="DW1073" s="89"/>
      <c r="DX1073" s="89"/>
      <c r="FD1073"/>
      <c r="FE1073"/>
    </row>
    <row r="1074" spans="1:161" x14ac:dyDescent="0.25">
      <c r="A1074" s="7">
        <f t="shared" si="792"/>
        <v>75787</v>
      </c>
      <c r="B1074">
        <f t="shared" si="775"/>
        <v>1063</v>
      </c>
      <c r="C1074">
        <f t="shared" si="801"/>
        <v>88.5</v>
      </c>
      <c r="D1074">
        <f t="shared" si="802"/>
        <v>0</v>
      </c>
      <c r="E1074">
        <f t="shared" si="776"/>
        <v>140</v>
      </c>
      <c r="F1074">
        <f>IF(C1074&gt;=$T$2,0,VLOOKUP($E1074,EKM_F05!$A$3:$C$128,2,TRUE))</f>
        <v>0</v>
      </c>
      <c r="G1074">
        <f>F1074*'Real assumptions'!$B$3</f>
        <v>0</v>
      </c>
      <c r="H1074">
        <f t="shared" si="803"/>
        <v>0</v>
      </c>
      <c r="I1074">
        <f t="shared" si="804"/>
        <v>0</v>
      </c>
      <c r="J1074">
        <f>IF(B1074&gt;$AJ$2,0,HLOOKUP(C1074,'Real assumptions'!$B$5:$L$8,4,TRUE))</f>
        <v>3.7900000000000003E-2</v>
      </c>
      <c r="K1074">
        <f t="shared" si="765"/>
        <v>1</v>
      </c>
      <c r="L1074">
        <f t="shared" si="793"/>
        <v>8.3333333333333329E-2</v>
      </c>
      <c r="M1074">
        <f t="shared" si="805"/>
        <v>3.2145624959929453E-3</v>
      </c>
      <c r="N1074">
        <f t="shared" si="806"/>
        <v>3.5472344696288127E-8</v>
      </c>
      <c r="O1074" s="8">
        <f t="shared" si="777"/>
        <v>1.0999418014568941E-5</v>
      </c>
      <c r="P1074">
        <f t="shared" si="778"/>
        <v>2.6483736862236551E-4</v>
      </c>
      <c r="Q1074">
        <f t="shared" si="794"/>
        <v>0</v>
      </c>
      <c r="R1074" s="89">
        <f t="shared" si="766"/>
        <v>5000</v>
      </c>
      <c r="S1074">
        <f t="shared" si="767"/>
        <v>0.4166666666666714</v>
      </c>
      <c r="U1074">
        <f>O1073*AV1073*'Real assumptions'!$B$33/12+AX1074*'Real assumptions'!$B$34</f>
        <v>3.4435910905235317E-4</v>
      </c>
      <c r="V1074">
        <f>IF(P1074=0,0,IF(E1074&lt;=$C$7,$AN$5*O1073,0))*'Real assumptions'!$D$28</f>
        <v>0</v>
      </c>
      <c r="X1074" s="94">
        <f t="shared" si="779"/>
        <v>0</v>
      </c>
      <c r="Y1074">
        <f t="shared" si="768"/>
        <v>24</v>
      </c>
      <c r="Z1074">
        <f t="shared" si="795"/>
        <v>10</v>
      </c>
      <c r="AA1074">
        <f t="shared" si="769"/>
        <v>10.416666666666671</v>
      </c>
      <c r="AB1074">
        <f t="shared" si="780"/>
        <v>50.505050505050505</v>
      </c>
      <c r="AC1074">
        <f t="shared" si="807"/>
        <v>526.09427609427632</v>
      </c>
      <c r="AD1074">
        <f t="shared" si="781"/>
        <v>80.505050505050505</v>
      </c>
      <c r="AE1074">
        <f t="shared" si="782"/>
        <v>41.92971380471382</v>
      </c>
      <c r="AF1074" s="94">
        <f t="shared" si="783"/>
        <v>4431.9760101010097</v>
      </c>
      <c r="AG1074">
        <f t="shared" si="796"/>
        <v>1.5721258071598276E-4</v>
      </c>
      <c r="AH1074">
        <f t="shared" si="784"/>
        <v>4.8749156765642426E-2</v>
      </c>
      <c r="AI1074">
        <f>HLOOKUP(AW1074,'Real assumptions'!$A$21:$AK$24,2,TRUE)</f>
        <v>0</v>
      </c>
      <c r="AJ1074" s="123">
        <f t="shared" si="808"/>
        <v>0</v>
      </c>
      <c r="AK1074" s="122">
        <f>(1+HLOOKUP(YEAR(A1074),'Real assumptions'!$A$21:$AK$24,2,TRUE)/100)^(1/12)-1</f>
        <v>0</v>
      </c>
      <c r="AL1074">
        <f t="shared" si="797"/>
        <v>3.4435910905235317E-4</v>
      </c>
      <c r="AM1074">
        <f>('Real assumptions'!$B$33/12)*O1073*AV1073</f>
        <v>3.309624771279749E-4</v>
      </c>
      <c r="AN1074">
        <f t="shared" si="785"/>
        <v>4.877670294632868E-2</v>
      </c>
      <c r="AO1074">
        <f t="shared" si="809"/>
        <v>0</v>
      </c>
      <c r="AP1074" s="121">
        <f t="shared" si="786"/>
        <v>0</v>
      </c>
      <c r="AQ1074">
        <f t="shared" si="787"/>
        <v>0</v>
      </c>
      <c r="AR1074">
        <v>0</v>
      </c>
      <c r="AS1074">
        <f t="shared" si="770"/>
        <v>0</v>
      </c>
      <c r="AT1074">
        <f t="shared" si="788"/>
        <v>0</v>
      </c>
      <c r="AU1074">
        <f>IFERROR(HLOOKUP(B1074,'Real assumptions'!$B$43:$AL$44,2,TRUE)*($W$3/$U$2),0)</f>
        <v>0</v>
      </c>
      <c r="AV1074">
        <f>AV1073*(1+'Real assumptions'!$B$35)^(1/12)</f>
        <v>3.0023431081623833</v>
      </c>
      <c r="AW1074">
        <f t="shared" si="771"/>
        <v>2107</v>
      </c>
      <c r="AX1074">
        <f t="shared" si="798"/>
        <v>4.8902667828001366E-2</v>
      </c>
      <c r="AY1074">
        <f t="shared" si="799"/>
        <v>4.6443141242698773E-5</v>
      </c>
      <c r="AZ1074">
        <f t="shared" si="772"/>
        <v>2.780067416248588E-2</v>
      </c>
      <c r="BA1074">
        <f t="shared" si="789"/>
        <v>1.5721258071598276E-4</v>
      </c>
      <c r="BB1074">
        <f t="shared" si="790"/>
        <v>10.416666666666671</v>
      </c>
      <c r="BC1074">
        <f t="shared" si="773"/>
        <v>6.2500000000000027</v>
      </c>
      <c r="BD1074">
        <f t="shared" si="791"/>
        <v>0</v>
      </c>
      <c r="BE1074">
        <f t="shared" si="774"/>
        <v>24</v>
      </c>
      <c r="BF1074">
        <f t="shared" si="800"/>
        <v>5000</v>
      </c>
      <c r="BU1074"/>
      <c r="DW1074" s="89"/>
      <c r="DX1074" s="89"/>
      <c r="FD1074"/>
      <c r="FE1074"/>
    </row>
    <row r="1075" spans="1:161" x14ac:dyDescent="0.25">
      <c r="A1075" s="7">
        <f t="shared" si="792"/>
        <v>75818</v>
      </c>
      <c r="B1075">
        <f t="shared" si="775"/>
        <v>1064</v>
      </c>
      <c r="C1075">
        <f t="shared" si="801"/>
        <v>88.583333333333329</v>
      </c>
      <c r="D1075">
        <f t="shared" si="802"/>
        <v>0</v>
      </c>
      <c r="E1075">
        <f t="shared" si="776"/>
        <v>140</v>
      </c>
      <c r="F1075">
        <f>IF(C1075&gt;=$T$2,0,VLOOKUP($E1075,EKM_F05!$A$3:$C$128,2,TRUE))</f>
        <v>0</v>
      </c>
      <c r="G1075">
        <f>F1075*'Real assumptions'!$B$3</f>
        <v>0</v>
      </c>
      <c r="H1075">
        <f t="shared" si="803"/>
        <v>0</v>
      </c>
      <c r="I1075">
        <f t="shared" si="804"/>
        <v>0</v>
      </c>
      <c r="J1075">
        <f>IF(B1075&gt;$AJ$2,0,HLOOKUP(C1075,'Real assumptions'!$B$5:$L$8,4,TRUE))</f>
        <v>3.7900000000000003E-2</v>
      </c>
      <c r="K1075">
        <f t="shared" si="765"/>
        <v>1</v>
      </c>
      <c r="L1075">
        <f t="shared" si="793"/>
        <v>8.3333333333333329E-2</v>
      </c>
      <c r="M1075">
        <f t="shared" si="805"/>
        <v>3.2145624959929453E-3</v>
      </c>
      <c r="N1075">
        <f t="shared" si="806"/>
        <v>3.53583166273825E-8</v>
      </c>
      <c r="O1075" s="8">
        <f t="shared" si="777"/>
        <v>1.0964059697941559E-5</v>
      </c>
      <c r="P1075">
        <f t="shared" si="778"/>
        <v>2.6398603234965455E-4</v>
      </c>
      <c r="Q1075">
        <f t="shared" si="794"/>
        <v>0</v>
      </c>
      <c r="R1075" s="89">
        <f t="shared" si="766"/>
        <v>5000</v>
      </c>
      <c r="S1075">
        <f t="shared" si="767"/>
        <v>0.3333333333333286</v>
      </c>
      <c r="U1075">
        <f>O1074*AV1074*'Real assumptions'!$B$33/12+AX1075*'Real assumptions'!$B$34</f>
        <v>3.4360752902330065E-4</v>
      </c>
      <c r="V1075">
        <f>IF(P1075=0,0,IF(E1075&lt;=$C$7,$AN$5*O1074,0))*'Real assumptions'!$D$28</f>
        <v>0</v>
      </c>
      <c r="X1075" s="94">
        <f t="shared" si="779"/>
        <v>0</v>
      </c>
      <c r="Y1075">
        <f t="shared" si="768"/>
        <v>24</v>
      </c>
      <c r="Z1075">
        <f t="shared" si="795"/>
        <v>10</v>
      </c>
      <c r="AA1075">
        <f t="shared" si="769"/>
        <v>10.333333333333329</v>
      </c>
      <c r="AB1075">
        <f t="shared" si="780"/>
        <v>50.505050505050505</v>
      </c>
      <c r="AC1075">
        <f t="shared" si="807"/>
        <v>521.8855218855216</v>
      </c>
      <c r="AD1075">
        <f t="shared" si="781"/>
        <v>80.505050505050505</v>
      </c>
      <c r="AE1075">
        <f t="shared" si="782"/>
        <v>41.594276094276076</v>
      </c>
      <c r="AF1075" s="94">
        <f t="shared" si="783"/>
        <v>4436.5202020202023</v>
      </c>
      <c r="AG1075">
        <f t="shared" si="796"/>
        <v>1.5686788602680928E-4</v>
      </c>
      <c r="AH1075">
        <f t="shared" si="784"/>
        <v>4.864227234607324E-2</v>
      </c>
      <c r="AI1075">
        <f>HLOOKUP(AW1075,'Real assumptions'!$A$21:$AK$24,2,TRUE)</f>
        <v>0</v>
      </c>
      <c r="AJ1075" s="123">
        <f t="shared" si="808"/>
        <v>0</v>
      </c>
      <c r="AK1075" s="122">
        <f>(1+HLOOKUP(YEAR(A1075),'Real assumptions'!$A$21:$AK$24,2,TRUE)/100)^(1/12)-1</f>
        <v>0</v>
      </c>
      <c r="AL1075">
        <f t="shared" si="797"/>
        <v>3.4360752902330065E-4</v>
      </c>
      <c r="AM1075">
        <f>('Real assumptions'!$B$33/12)*O1074*AV1074</f>
        <v>3.3024026869838227E-4</v>
      </c>
      <c r="AN1075">
        <f t="shared" si="785"/>
        <v>4.8669535268968778E-2</v>
      </c>
      <c r="AO1075">
        <f t="shared" si="809"/>
        <v>0</v>
      </c>
      <c r="AP1075" s="121">
        <f t="shared" si="786"/>
        <v>0</v>
      </c>
      <c r="AQ1075">
        <f t="shared" si="787"/>
        <v>0</v>
      </c>
      <c r="AR1075">
        <v>0</v>
      </c>
      <c r="AS1075">
        <f t="shared" si="770"/>
        <v>0</v>
      </c>
      <c r="AT1075">
        <f t="shared" si="788"/>
        <v>0</v>
      </c>
      <c r="AU1075">
        <f>IFERROR(HLOOKUP(B1075,'Real assumptions'!$B$43:$AL$44,2,TRUE)*($W$3/$U$2),0)</f>
        <v>0</v>
      </c>
      <c r="AV1075">
        <f>AV1074*(1+'Real assumptions'!$B$35)^(1/12)</f>
        <v>3.0054527730714193</v>
      </c>
      <c r="AW1075">
        <f t="shared" si="771"/>
        <v>2107</v>
      </c>
      <c r="AX1075">
        <f t="shared" si="798"/>
        <v>4.8795450612505092E-2</v>
      </c>
      <c r="AY1075">
        <f t="shared" si="799"/>
        <v>4.629384686266389E-5</v>
      </c>
      <c r="AZ1075">
        <f t="shared" si="772"/>
        <v>2.7564184779785426E-2</v>
      </c>
      <c r="BA1075">
        <f t="shared" si="789"/>
        <v>1.5686788602680928E-4</v>
      </c>
      <c r="BB1075">
        <f t="shared" si="790"/>
        <v>10.333333333333329</v>
      </c>
      <c r="BC1075">
        <f t="shared" si="773"/>
        <v>6.1999999999999975</v>
      </c>
      <c r="BD1075">
        <f t="shared" si="791"/>
        <v>0</v>
      </c>
      <c r="BE1075">
        <f t="shared" si="774"/>
        <v>24</v>
      </c>
      <c r="BF1075">
        <f t="shared" si="800"/>
        <v>5000</v>
      </c>
      <c r="BU1075"/>
      <c r="DW1075" s="89"/>
      <c r="DX1075" s="89"/>
      <c r="FD1075"/>
      <c r="FE1075"/>
    </row>
    <row r="1076" spans="1:161" x14ac:dyDescent="0.25">
      <c r="A1076" s="7">
        <f t="shared" si="792"/>
        <v>75849</v>
      </c>
      <c r="B1076">
        <f t="shared" si="775"/>
        <v>1065</v>
      </c>
      <c r="C1076">
        <f t="shared" si="801"/>
        <v>88.666666666666671</v>
      </c>
      <c r="D1076">
        <f t="shared" si="802"/>
        <v>0</v>
      </c>
      <c r="E1076">
        <f t="shared" si="776"/>
        <v>140</v>
      </c>
      <c r="F1076">
        <f>IF(C1076&gt;=$T$2,0,VLOOKUP($E1076,EKM_F05!$A$3:$C$128,2,TRUE))</f>
        <v>0</v>
      </c>
      <c r="G1076">
        <f>F1076*'Real assumptions'!$B$3</f>
        <v>0</v>
      </c>
      <c r="H1076">
        <f t="shared" si="803"/>
        <v>0</v>
      </c>
      <c r="I1076">
        <f t="shared" si="804"/>
        <v>0</v>
      </c>
      <c r="J1076">
        <f>IF(B1076&gt;$AJ$2,0,HLOOKUP(C1076,'Real assumptions'!$B$5:$L$8,4,TRUE))</f>
        <v>3.7900000000000003E-2</v>
      </c>
      <c r="K1076">
        <f t="shared" si="765"/>
        <v>1</v>
      </c>
      <c r="L1076">
        <f t="shared" si="793"/>
        <v>8.3333333333333329E-2</v>
      </c>
      <c r="M1076">
        <f t="shared" si="805"/>
        <v>3.2145624959929453E-3</v>
      </c>
      <c r="N1076">
        <f t="shared" si="806"/>
        <v>3.5244655108830672E-8</v>
      </c>
      <c r="O1076" s="8">
        <f t="shared" si="777"/>
        <v>1.0928815042832729E-5</v>
      </c>
      <c r="P1076">
        <f t="shared" si="778"/>
        <v>2.6313743275059739E-4</v>
      </c>
      <c r="Q1076">
        <f t="shared" si="794"/>
        <v>0</v>
      </c>
      <c r="R1076" s="89">
        <f t="shared" si="766"/>
        <v>5000</v>
      </c>
      <c r="S1076">
        <f t="shared" si="767"/>
        <v>0.25</v>
      </c>
      <c r="U1076">
        <f>O1075*AV1075*'Real assumptions'!$B$33/12+AX1076*'Real assumptions'!$B$34</f>
        <v>3.4285757535921563E-4</v>
      </c>
      <c r="V1076">
        <f>IF(P1076=0,0,IF(E1076&lt;=$C$7,$AN$5*O1075,0))*'Real assumptions'!$D$28</f>
        <v>0</v>
      </c>
      <c r="X1076" s="94">
        <f t="shared" si="779"/>
        <v>0</v>
      </c>
      <c r="Y1076">
        <f t="shared" si="768"/>
        <v>24</v>
      </c>
      <c r="Z1076">
        <f t="shared" si="795"/>
        <v>10</v>
      </c>
      <c r="AA1076">
        <f t="shared" si="769"/>
        <v>10.25</v>
      </c>
      <c r="AB1076">
        <f t="shared" si="780"/>
        <v>50.505050505050505</v>
      </c>
      <c r="AC1076">
        <f t="shared" si="807"/>
        <v>517.67676767676767</v>
      </c>
      <c r="AD1076">
        <f t="shared" si="781"/>
        <v>80.505050505050505</v>
      </c>
      <c r="AE1076">
        <f t="shared" si="782"/>
        <v>41.258838383838381</v>
      </c>
      <c r="AF1076" s="94">
        <f t="shared" si="783"/>
        <v>4441.064393939394</v>
      </c>
      <c r="AG1076">
        <f t="shared" si="796"/>
        <v>1.5652378288050206E-4</v>
      </c>
      <c r="AH1076">
        <f t="shared" si="784"/>
        <v>4.8535571354673665E-2</v>
      </c>
      <c r="AI1076">
        <f>HLOOKUP(AW1076,'Real assumptions'!$A$21:$AK$24,2,TRUE)</f>
        <v>0</v>
      </c>
      <c r="AJ1076" s="123">
        <f t="shared" si="808"/>
        <v>0</v>
      </c>
      <c r="AK1076" s="122">
        <f>(1+HLOOKUP(YEAR(A1076),'Real assumptions'!$A$21:$AK$24,2,TRUE)/100)^(1/12)-1</f>
        <v>0</v>
      </c>
      <c r="AL1076">
        <f t="shared" si="797"/>
        <v>3.4285757535921563E-4</v>
      </c>
      <c r="AM1076">
        <f>('Real assumptions'!$B$33/12)*O1075*AV1075</f>
        <v>3.2951963623299046E-4</v>
      </c>
      <c r="AN1076">
        <f t="shared" si="785"/>
        <v>4.8562552203464622E-2</v>
      </c>
      <c r="AO1076">
        <f t="shared" si="809"/>
        <v>0</v>
      </c>
      <c r="AP1076" s="121">
        <f t="shared" si="786"/>
        <v>0</v>
      </c>
      <c r="AQ1076">
        <f t="shared" si="787"/>
        <v>0</v>
      </c>
      <c r="AR1076">
        <v>0</v>
      </c>
      <c r="AS1076">
        <f t="shared" si="770"/>
        <v>0</v>
      </c>
      <c r="AT1076">
        <f t="shared" si="788"/>
        <v>0</v>
      </c>
      <c r="AU1076">
        <f>IFERROR(HLOOKUP(B1076,'Real assumptions'!$B$43:$AL$44,2,TRUE)*($W$3/$U$2),0)</f>
        <v>0</v>
      </c>
      <c r="AV1076">
        <f>AV1075*(1+'Real assumptions'!$B$35)^(1/12)</f>
        <v>3.0085656588034921</v>
      </c>
      <c r="AW1076">
        <f t="shared" si="771"/>
        <v>2107</v>
      </c>
      <c r="AX1076">
        <f t="shared" si="798"/>
        <v>4.8688417378471981E-2</v>
      </c>
      <c r="AY1076">
        <f t="shared" si="799"/>
        <v>4.6145032398743932E-5</v>
      </c>
      <c r="AZ1076">
        <f t="shared" si="772"/>
        <v>2.7327940854296302E-2</v>
      </c>
      <c r="BA1076">
        <f t="shared" si="789"/>
        <v>1.5652378288050206E-4</v>
      </c>
      <c r="BB1076">
        <f t="shared" si="790"/>
        <v>10.25</v>
      </c>
      <c r="BC1076">
        <f t="shared" si="773"/>
        <v>6.15</v>
      </c>
      <c r="BD1076">
        <f t="shared" si="791"/>
        <v>0</v>
      </c>
      <c r="BE1076">
        <f t="shared" si="774"/>
        <v>24</v>
      </c>
      <c r="BF1076">
        <f t="shared" si="800"/>
        <v>5000</v>
      </c>
      <c r="BU1076"/>
      <c r="DW1076" s="89"/>
      <c r="DX1076" s="89"/>
      <c r="FD1076"/>
      <c r="FE1076"/>
    </row>
    <row r="1077" spans="1:161" x14ac:dyDescent="0.25">
      <c r="A1077" s="7">
        <f t="shared" si="792"/>
        <v>75879</v>
      </c>
      <c r="B1077">
        <f t="shared" si="775"/>
        <v>1066</v>
      </c>
      <c r="C1077">
        <f t="shared" si="801"/>
        <v>88.75</v>
      </c>
      <c r="D1077">
        <f t="shared" si="802"/>
        <v>0</v>
      </c>
      <c r="E1077">
        <f t="shared" si="776"/>
        <v>140</v>
      </c>
      <c r="F1077">
        <f>IF(C1077&gt;=$T$2,0,VLOOKUP($E1077,EKM_F05!$A$3:$C$128,2,TRUE))</f>
        <v>0</v>
      </c>
      <c r="G1077">
        <f>F1077*'Real assumptions'!$B$3</f>
        <v>0</v>
      </c>
      <c r="H1077">
        <f t="shared" si="803"/>
        <v>0</v>
      </c>
      <c r="I1077">
        <f t="shared" si="804"/>
        <v>0</v>
      </c>
      <c r="J1077">
        <f>IF(B1077&gt;$AJ$2,0,HLOOKUP(C1077,'Real assumptions'!$B$5:$L$8,4,TRUE))</f>
        <v>3.7900000000000003E-2</v>
      </c>
      <c r="K1077">
        <f t="shared" si="765"/>
        <v>1</v>
      </c>
      <c r="L1077">
        <f t="shared" si="793"/>
        <v>8.3333333333333329E-2</v>
      </c>
      <c r="M1077">
        <f t="shared" si="805"/>
        <v>3.2145624959929453E-3</v>
      </c>
      <c r="N1077">
        <f t="shared" si="806"/>
        <v>3.5131358962333627E-8</v>
      </c>
      <c r="O1077" s="8">
        <f t="shared" si="777"/>
        <v>1.0893683683870396E-5</v>
      </c>
      <c r="P1077">
        <f t="shared" si="778"/>
        <v>2.6229156102798546E-4</v>
      </c>
      <c r="Q1077">
        <f t="shared" si="794"/>
        <v>0</v>
      </c>
      <c r="R1077" s="89">
        <f t="shared" si="766"/>
        <v>5000</v>
      </c>
      <c r="S1077">
        <f t="shared" si="767"/>
        <v>0.1666666666666714</v>
      </c>
      <c r="U1077">
        <f>O1076*AV1076*'Real assumptions'!$B$33/12+AX1077*'Real assumptions'!$B$34</f>
        <v>3.4210924460059005E-4</v>
      </c>
      <c r="V1077">
        <f>IF(P1077=0,0,IF(E1077&lt;=$C$7,$AN$5*O1076,0))*'Real assumptions'!$D$28</f>
        <v>0</v>
      </c>
      <c r="X1077" s="94">
        <f t="shared" si="779"/>
        <v>0</v>
      </c>
      <c r="Y1077">
        <f t="shared" si="768"/>
        <v>24</v>
      </c>
      <c r="Z1077">
        <f t="shared" si="795"/>
        <v>10</v>
      </c>
      <c r="AA1077">
        <f t="shared" si="769"/>
        <v>10.166666666666671</v>
      </c>
      <c r="AB1077">
        <f t="shared" si="780"/>
        <v>50.505050505050505</v>
      </c>
      <c r="AC1077">
        <f t="shared" si="807"/>
        <v>513.46801346801374</v>
      </c>
      <c r="AD1077">
        <f t="shared" si="781"/>
        <v>80.505050505050505</v>
      </c>
      <c r="AE1077">
        <f t="shared" si="782"/>
        <v>40.923400673400693</v>
      </c>
      <c r="AF1077" s="94">
        <f t="shared" si="783"/>
        <v>4445.6085858585857</v>
      </c>
      <c r="AG1077">
        <f t="shared" si="796"/>
        <v>1.5618027103583035E-4</v>
      </c>
      <c r="AH1077">
        <f t="shared" si="784"/>
        <v>4.8429053716641815E-2</v>
      </c>
      <c r="AI1077">
        <f>HLOOKUP(AW1077,'Real assumptions'!$A$21:$AK$24,2,TRUE)</f>
        <v>0</v>
      </c>
      <c r="AJ1077" s="123">
        <f t="shared" si="808"/>
        <v>0</v>
      </c>
      <c r="AK1077" s="122">
        <f>(1+HLOOKUP(YEAR(A1077),'Real assumptions'!$A$21:$AK$24,2,TRUE)/100)^(1/12)-1</f>
        <v>0</v>
      </c>
      <c r="AL1077">
        <f t="shared" si="797"/>
        <v>3.4210924460059005E-4</v>
      </c>
      <c r="AM1077">
        <f>('Real assumptions'!$B$33/12)*O1076*AV1076</f>
        <v>3.2880057629281563E-4</v>
      </c>
      <c r="AN1077">
        <f t="shared" si="785"/>
        <v>4.8455753671101061E-2</v>
      </c>
      <c r="AO1077">
        <f t="shared" si="809"/>
        <v>0</v>
      </c>
      <c r="AP1077" s="121">
        <f t="shared" si="786"/>
        <v>0</v>
      </c>
      <c r="AQ1077">
        <f t="shared" si="787"/>
        <v>0</v>
      </c>
      <c r="AR1077">
        <v>0</v>
      </c>
      <c r="AS1077">
        <f t="shared" si="770"/>
        <v>0</v>
      </c>
      <c r="AT1077">
        <f t="shared" si="788"/>
        <v>0</v>
      </c>
      <c r="AU1077">
        <f>IFERROR(HLOOKUP(B1077,'Real assumptions'!$B$43:$AL$44,2,TRUE)*($W$3/$U$2),0)</f>
        <v>0</v>
      </c>
      <c r="AV1077">
        <f>AV1076*(1+'Real assumptions'!$B$35)^(1/12)</f>
        <v>3.0116817686945563</v>
      </c>
      <c r="AW1077">
        <f t="shared" si="771"/>
        <v>2107</v>
      </c>
      <c r="AX1077">
        <f t="shared" si="798"/>
        <v>4.8581568050981884E-2</v>
      </c>
      <c r="AY1077">
        <f t="shared" si="799"/>
        <v>4.5996696308218554E-5</v>
      </c>
      <c r="AZ1077">
        <f t="shared" si="772"/>
        <v>2.7091942899687867E-2</v>
      </c>
      <c r="BA1077">
        <f t="shared" si="789"/>
        <v>1.5618027103583035E-4</v>
      </c>
      <c r="BB1077">
        <f t="shared" si="790"/>
        <v>10.166666666666671</v>
      </c>
      <c r="BC1077">
        <f t="shared" si="773"/>
        <v>6.1000000000000032</v>
      </c>
      <c r="BD1077">
        <f t="shared" si="791"/>
        <v>0</v>
      </c>
      <c r="BE1077">
        <f t="shared" si="774"/>
        <v>24</v>
      </c>
      <c r="BF1077">
        <f t="shared" si="800"/>
        <v>5000</v>
      </c>
      <c r="BU1077"/>
      <c r="DW1077" s="89"/>
      <c r="DX1077" s="89"/>
      <c r="FD1077"/>
      <c r="FE1077"/>
    </row>
    <row r="1078" spans="1:161" x14ac:dyDescent="0.25">
      <c r="A1078" s="7">
        <f t="shared" si="792"/>
        <v>75910</v>
      </c>
      <c r="B1078">
        <f t="shared" si="775"/>
        <v>1067</v>
      </c>
      <c r="C1078">
        <f t="shared" si="801"/>
        <v>88.833333333333329</v>
      </c>
      <c r="D1078">
        <f t="shared" si="802"/>
        <v>0</v>
      </c>
      <c r="E1078">
        <f t="shared" si="776"/>
        <v>140</v>
      </c>
      <c r="F1078">
        <f>IF(C1078&gt;=$T$2,0,VLOOKUP($E1078,EKM_F05!$A$3:$C$128,2,TRUE))</f>
        <v>0</v>
      </c>
      <c r="G1078">
        <f>F1078*'Real assumptions'!$B$3</f>
        <v>0</v>
      </c>
      <c r="H1078">
        <f t="shared" si="803"/>
        <v>0</v>
      </c>
      <c r="I1078">
        <f t="shared" si="804"/>
        <v>0</v>
      </c>
      <c r="J1078">
        <f>IF(B1078&gt;$AJ$2,0,HLOOKUP(C1078,'Real assumptions'!$B$5:$L$8,4,TRUE))</f>
        <v>3.7900000000000003E-2</v>
      </c>
      <c r="K1078">
        <f t="shared" si="765"/>
        <v>1</v>
      </c>
      <c r="L1078">
        <f t="shared" si="793"/>
        <v>8.3333333333333329E-2</v>
      </c>
      <c r="M1078">
        <f t="shared" si="805"/>
        <v>3.2145624959929453E-3</v>
      </c>
      <c r="N1078">
        <f t="shared" si="806"/>
        <v>3.501842701338004E-8</v>
      </c>
      <c r="O1078" s="8">
        <f t="shared" si="777"/>
        <v>1.0858665256857016E-5</v>
      </c>
      <c r="P1078">
        <f t="shared" si="778"/>
        <v>2.6144840841288951E-4</v>
      </c>
      <c r="Q1078">
        <f t="shared" si="794"/>
        <v>0</v>
      </c>
      <c r="R1078" s="89">
        <f t="shared" si="766"/>
        <v>5000</v>
      </c>
      <c r="S1078">
        <f t="shared" si="767"/>
        <v>8.3333333333328596E-2</v>
      </c>
      <c r="U1078">
        <f>O1077*AV1077*'Real assumptions'!$B$33/12+AX1078*'Real assumptions'!$B$34</f>
        <v>3.4136253329503156E-4</v>
      </c>
      <c r="V1078">
        <f>IF(P1078=0,0,IF(E1078&lt;=$C$7,$AN$5*O1077,0))*'Real assumptions'!$D$28</f>
        <v>0</v>
      </c>
      <c r="X1078" s="94">
        <f t="shared" si="779"/>
        <v>0</v>
      </c>
      <c r="Y1078">
        <f t="shared" si="768"/>
        <v>24</v>
      </c>
      <c r="Z1078">
        <f t="shared" si="795"/>
        <v>10</v>
      </c>
      <c r="AA1078">
        <f t="shared" si="769"/>
        <v>10.083333333333329</v>
      </c>
      <c r="AB1078">
        <f t="shared" si="780"/>
        <v>50.505050505050505</v>
      </c>
      <c r="AC1078">
        <f t="shared" si="807"/>
        <v>509.25925925925901</v>
      </c>
      <c r="AD1078">
        <f t="shared" si="781"/>
        <v>80.505050505050505</v>
      </c>
      <c r="AE1078">
        <f t="shared" si="782"/>
        <v>40.587962962962941</v>
      </c>
      <c r="AF1078" s="94">
        <f t="shared" si="783"/>
        <v>4450.1527777777783</v>
      </c>
      <c r="AG1078">
        <f t="shared" si="796"/>
        <v>1.5583735024700157E-4</v>
      </c>
      <c r="AH1078">
        <f t="shared" si="784"/>
        <v>4.8322719355761302E-2</v>
      </c>
      <c r="AI1078">
        <f>HLOOKUP(AW1078,'Real assumptions'!$A$21:$AK$24,2,TRUE)</f>
        <v>0</v>
      </c>
      <c r="AJ1078" s="123">
        <f t="shared" si="808"/>
        <v>0</v>
      </c>
      <c r="AK1078" s="122">
        <f>(1+HLOOKUP(YEAR(A1078),'Real assumptions'!$A$21:$AK$24,2,TRUE)/100)^(1/12)-1</f>
        <v>0</v>
      </c>
      <c r="AL1078">
        <f t="shared" si="797"/>
        <v>3.4136253329503156E-4</v>
      </c>
      <c r="AM1078">
        <f>('Real assumptions'!$B$33/12)*O1077*AV1077</f>
        <v>3.2808308544637823E-4</v>
      </c>
      <c r="AN1078">
        <f t="shared" si="785"/>
        <v>4.8349139591759675E-2</v>
      </c>
      <c r="AO1078">
        <f t="shared" si="809"/>
        <v>0</v>
      </c>
      <c r="AP1078" s="121">
        <f t="shared" si="786"/>
        <v>0</v>
      </c>
      <c r="AQ1078">
        <f t="shared" si="787"/>
        <v>0</v>
      </c>
      <c r="AR1078">
        <v>0</v>
      </c>
      <c r="AS1078">
        <f t="shared" si="770"/>
        <v>0</v>
      </c>
      <c r="AT1078">
        <f t="shared" si="788"/>
        <v>0</v>
      </c>
      <c r="AU1078">
        <f>IFERROR(HLOOKUP(B1078,'Real assumptions'!$B$43:$AL$44,2,TRUE)*($W$3/$U$2),0)</f>
        <v>0</v>
      </c>
      <c r="AV1078">
        <f>AV1077*(1+'Real assumptions'!$B$35)^(1/12)</f>
        <v>3.0148011060840214</v>
      </c>
      <c r="AW1078">
        <f t="shared" si="771"/>
        <v>2107</v>
      </c>
      <c r="AX1078">
        <f t="shared" si="798"/>
        <v>4.8474902553695139E-2</v>
      </c>
      <c r="AY1078">
        <f t="shared" si="799"/>
        <v>4.584883705332658E-5</v>
      </c>
      <c r="AZ1078">
        <f t="shared" si="772"/>
        <v>2.6856191424558726E-2</v>
      </c>
      <c r="BA1078">
        <f t="shared" si="789"/>
        <v>1.5583735024700157E-4</v>
      </c>
      <c r="BB1078">
        <f t="shared" si="790"/>
        <v>10.083333333333329</v>
      </c>
      <c r="BC1078">
        <f t="shared" si="773"/>
        <v>6.0499999999999972</v>
      </c>
      <c r="BD1078">
        <f t="shared" si="791"/>
        <v>0</v>
      </c>
      <c r="BE1078">
        <f t="shared" si="774"/>
        <v>24</v>
      </c>
      <c r="BF1078">
        <f t="shared" si="800"/>
        <v>5000</v>
      </c>
      <c r="BU1078"/>
      <c r="DW1078" s="89"/>
      <c r="DX1078" s="89"/>
      <c r="FD1078"/>
      <c r="FE1078"/>
    </row>
    <row r="1079" spans="1:161" x14ac:dyDescent="0.25">
      <c r="A1079" s="7">
        <f t="shared" si="792"/>
        <v>75940</v>
      </c>
      <c r="B1079">
        <f t="shared" si="775"/>
        <v>1068</v>
      </c>
      <c r="C1079">
        <f t="shared" si="801"/>
        <v>88.916666666666671</v>
      </c>
      <c r="D1079">
        <f t="shared" si="802"/>
        <v>0</v>
      </c>
      <c r="E1079">
        <f t="shared" si="776"/>
        <v>140</v>
      </c>
      <c r="F1079">
        <f>IF(C1079&gt;=$T$2,0,VLOOKUP($E1079,EKM_F05!$A$3:$C$128,2,TRUE))</f>
        <v>0</v>
      </c>
      <c r="G1079">
        <f>F1079*'Real assumptions'!$B$3</f>
        <v>0</v>
      </c>
      <c r="H1079">
        <f t="shared" si="803"/>
        <v>0</v>
      </c>
      <c r="I1079">
        <f t="shared" si="804"/>
        <v>0</v>
      </c>
      <c r="J1079">
        <f>IF(B1079&gt;$AJ$2,0,HLOOKUP(C1079,'Real assumptions'!$B$5:$L$8,4,TRUE))</f>
        <v>3.7900000000000003E-2</v>
      </c>
      <c r="K1079">
        <f t="shared" si="765"/>
        <v>1</v>
      </c>
      <c r="L1079">
        <f t="shared" si="793"/>
        <v>8.3333333333333329E-2</v>
      </c>
      <c r="M1079">
        <f t="shared" si="805"/>
        <v>3.2145624959929453E-3</v>
      </c>
      <c r="N1079">
        <f t="shared" si="806"/>
        <v>3.4905858091234166E-8</v>
      </c>
      <c r="O1079" s="8">
        <f t="shared" si="777"/>
        <v>1.0823759398765782E-5</v>
      </c>
      <c r="P1079">
        <f t="shared" si="778"/>
        <v>2.6060796616456837E-4</v>
      </c>
      <c r="Q1079">
        <f t="shared" si="794"/>
        <v>0</v>
      </c>
      <c r="R1079" s="89">
        <f t="shared" si="766"/>
        <v>5000</v>
      </c>
      <c r="S1079">
        <f t="shared" si="767"/>
        <v>1</v>
      </c>
      <c r="U1079">
        <f>O1078*AV1078*'Real assumptions'!$B$33/12+AX1079*'Real assumptions'!$B$34</f>
        <v>3.4061743799724956E-4</v>
      </c>
      <c r="V1079">
        <f>IF(P1079=0,0,IF(E1079&lt;=$C$7,$AN$5*O1078,0))*'Real assumptions'!$D$28</f>
        <v>0</v>
      </c>
      <c r="X1079" s="94">
        <f t="shared" si="779"/>
        <v>0</v>
      </c>
      <c r="Y1079">
        <f t="shared" si="768"/>
        <v>24</v>
      </c>
      <c r="Z1079">
        <f t="shared" si="795"/>
        <v>10</v>
      </c>
      <c r="AA1079">
        <f t="shared" si="769"/>
        <v>10</v>
      </c>
      <c r="AB1079">
        <f t="shared" si="780"/>
        <v>50.505050505050505</v>
      </c>
      <c r="AC1079">
        <f t="shared" si="807"/>
        <v>505.05050505050508</v>
      </c>
      <c r="AD1079">
        <f t="shared" si="781"/>
        <v>80.505050505050505</v>
      </c>
      <c r="AE1079">
        <f t="shared" si="782"/>
        <v>40.252525252525253</v>
      </c>
      <c r="AF1079" s="94">
        <f t="shared" si="783"/>
        <v>4454.6969696969691</v>
      </c>
      <c r="AG1079">
        <f t="shared" si="796"/>
        <v>1.5549502026369327E-4</v>
      </c>
      <c r="AH1079">
        <f t="shared" si="784"/>
        <v>4.8216568194411016E-2</v>
      </c>
      <c r="AI1079">
        <f>HLOOKUP(AW1079,'Real assumptions'!$A$21:$AK$24,2,TRUE)</f>
        <v>0</v>
      </c>
      <c r="AJ1079" s="123">
        <f t="shared" si="808"/>
        <v>0</v>
      </c>
      <c r="AK1079" s="122">
        <f>(1+HLOOKUP(YEAR(A1079),'Real assumptions'!$A$21:$AK$24,2,TRUE)/100)^(1/12)-1</f>
        <v>0</v>
      </c>
      <c r="AL1079">
        <f t="shared" si="797"/>
        <v>3.4061743799724956E-4</v>
      </c>
      <c r="AM1079">
        <f>('Real assumptions'!$B$33/12)*O1078*AV1078</f>
        <v>3.2736716026968669E-4</v>
      </c>
      <c r="AN1079">
        <f t="shared" si="785"/>
        <v>4.8242709883928619E-2</v>
      </c>
      <c r="AO1079">
        <f t="shared" si="809"/>
        <v>0</v>
      </c>
      <c r="AP1079" s="121">
        <f t="shared" si="786"/>
        <v>0</v>
      </c>
      <c r="AQ1079">
        <f t="shared" si="787"/>
        <v>0</v>
      </c>
      <c r="AR1079">
        <v>0</v>
      </c>
      <c r="AS1079">
        <f t="shared" si="770"/>
        <v>0</v>
      </c>
      <c r="AT1079">
        <f t="shared" si="788"/>
        <v>0</v>
      </c>
      <c r="AU1079">
        <f>IFERROR(HLOOKUP(B1079,'Real assumptions'!$B$43:$AL$44,2,TRUE)*($W$3/$U$2),0)</f>
        <v>0</v>
      </c>
      <c r="AV1079">
        <f>AV1078*(1+'Real assumptions'!$B$35)^(1/12)</f>
        <v>3.0179236743147562</v>
      </c>
      <c r="AW1079">
        <f t="shared" si="771"/>
        <v>2107</v>
      </c>
      <c r="AX1079">
        <f t="shared" si="798"/>
        <v>4.8368420808862556E-2</v>
      </c>
      <c r="AY1079">
        <f t="shared" si="799"/>
        <v>4.5701453101250064E-5</v>
      </c>
      <c r="AZ1079">
        <f t="shared" si="772"/>
        <v>2.6620686932462351E-2</v>
      </c>
      <c r="BA1079">
        <f t="shared" si="789"/>
        <v>1.5549502026369327E-4</v>
      </c>
      <c r="BB1079">
        <f t="shared" si="790"/>
        <v>10</v>
      </c>
      <c r="BC1079">
        <f t="shared" si="773"/>
        <v>6</v>
      </c>
      <c r="BD1079">
        <f t="shared" si="791"/>
        <v>0</v>
      </c>
      <c r="BE1079">
        <f t="shared" si="774"/>
        <v>24</v>
      </c>
      <c r="BF1079">
        <f t="shared" si="800"/>
        <v>5000</v>
      </c>
      <c r="BU1079"/>
      <c r="DW1079" s="89"/>
      <c r="DX1079" s="89"/>
      <c r="FD1079"/>
      <c r="FE1079"/>
    </row>
    <row r="1080" spans="1:161" x14ac:dyDescent="0.25">
      <c r="A1080" s="7">
        <f t="shared" si="792"/>
        <v>75971</v>
      </c>
      <c r="B1080">
        <f t="shared" si="775"/>
        <v>1069</v>
      </c>
      <c r="C1080">
        <f t="shared" si="801"/>
        <v>89</v>
      </c>
      <c r="D1080">
        <f t="shared" si="802"/>
        <v>1</v>
      </c>
      <c r="E1080">
        <f t="shared" si="776"/>
        <v>141</v>
      </c>
      <c r="F1080">
        <f>IF(C1080&gt;=$T$2,0,VLOOKUP($E1080,EKM_F05!$A$3:$C$128,2,TRUE))</f>
        <v>0</v>
      </c>
      <c r="G1080">
        <f>F1080*'Real assumptions'!$B$3</f>
        <v>0</v>
      </c>
      <c r="H1080">
        <f t="shared" si="803"/>
        <v>0</v>
      </c>
      <c r="I1080">
        <f t="shared" si="804"/>
        <v>0</v>
      </c>
      <c r="J1080">
        <f>IF(B1080&gt;$AJ$2,0,HLOOKUP(C1080,'Real assumptions'!$B$5:$L$8,4,TRUE))</f>
        <v>3.7900000000000003E-2</v>
      </c>
      <c r="K1080">
        <f t="shared" si="765"/>
        <v>1</v>
      </c>
      <c r="L1080">
        <f t="shared" si="793"/>
        <v>8.3333333333333329E-2</v>
      </c>
      <c r="M1080">
        <f t="shared" si="805"/>
        <v>3.2145624959929453E-3</v>
      </c>
      <c r="N1080">
        <f t="shared" si="806"/>
        <v>3.4793651028923632E-8</v>
      </c>
      <c r="O1080" s="8">
        <f t="shared" si="777"/>
        <v>1.0788965747736859E-5</v>
      </c>
      <c r="P1080">
        <f t="shared" si="778"/>
        <v>2.5977022557037877E-4</v>
      </c>
      <c r="Q1080">
        <f t="shared" si="794"/>
        <v>0</v>
      </c>
      <c r="R1080" s="89">
        <f t="shared" si="766"/>
        <v>5000</v>
      </c>
      <c r="S1080">
        <f t="shared" si="767"/>
        <v>0.9166666666666714</v>
      </c>
      <c r="U1080">
        <f>O1079*AV1079*'Real assumptions'!$B$33/12+AX1080*'Real assumptions'!$B$34</f>
        <v>3.3987395526904174E-4</v>
      </c>
      <c r="V1080">
        <f>IF(P1080=0,0,IF(E1080&lt;=$C$7,$AN$5*O1079,0))*'Real assumptions'!$D$28</f>
        <v>0</v>
      </c>
      <c r="X1080" s="94">
        <f t="shared" si="779"/>
        <v>0</v>
      </c>
      <c r="Y1080">
        <f t="shared" si="768"/>
        <v>24</v>
      </c>
      <c r="Z1080">
        <f t="shared" si="795"/>
        <v>10</v>
      </c>
      <c r="AA1080">
        <f t="shared" si="769"/>
        <v>9.9166666666666714</v>
      </c>
      <c r="AB1080">
        <f t="shared" si="780"/>
        <v>50.505050505050505</v>
      </c>
      <c r="AC1080">
        <f t="shared" si="807"/>
        <v>500.84175084175109</v>
      </c>
      <c r="AD1080">
        <f t="shared" si="781"/>
        <v>80.505050505050505</v>
      </c>
      <c r="AE1080">
        <f t="shared" si="782"/>
        <v>39.917087542087557</v>
      </c>
      <c r="AF1080" s="94">
        <f t="shared" si="783"/>
        <v>4459.2411616161608</v>
      </c>
      <c r="AG1080">
        <f t="shared" si="796"/>
        <v>1.5515328083108476E-4</v>
      </c>
      <c r="AH1080">
        <f t="shared" si="784"/>
        <v>4.811060015357508E-2</v>
      </c>
      <c r="AI1080">
        <f>HLOOKUP(AW1080,'Real assumptions'!$A$21:$AK$24,2,TRUE)</f>
        <v>0</v>
      </c>
      <c r="AJ1080" s="123">
        <f t="shared" si="808"/>
        <v>0</v>
      </c>
      <c r="AK1080" s="122">
        <f>(1+HLOOKUP(YEAR(A1080),'Real assumptions'!$A$21:$AK$24,2,TRUE)/100)^(1/12)-1</f>
        <v>0</v>
      </c>
      <c r="AL1080">
        <f t="shared" si="797"/>
        <v>3.3987395526904174E-4</v>
      </c>
      <c r="AM1080">
        <f>('Real assumptions'!$B$33/12)*O1079*AV1079</f>
        <v>3.2665279734622103E-4</v>
      </c>
      <c r="AN1080">
        <f t="shared" si="785"/>
        <v>4.8136464464712356E-2</v>
      </c>
      <c r="AO1080">
        <f t="shared" si="809"/>
        <v>0</v>
      </c>
      <c r="AP1080" s="121">
        <f t="shared" si="786"/>
        <v>0</v>
      </c>
      <c r="AQ1080">
        <f t="shared" si="787"/>
        <v>0</v>
      </c>
      <c r="AR1080">
        <v>0</v>
      </c>
      <c r="AS1080">
        <f t="shared" si="770"/>
        <v>0</v>
      </c>
      <c r="AT1080">
        <f t="shared" si="788"/>
        <v>0</v>
      </c>
      <c r="AU1080">
        <f>IFERROR(HLOOKUP(B1080,'Real assumptions'!$B$43:$AL$44,2,TRUE)*($W$3/$U$2),0)</f>
        <v>0</v>
      </c>
      <c r="AV1080">
        <f>AV1079*(1+'Real assumptions'!$B$35)^(1/12)</f>
        <v>3.0210494767330913</v>
      </c>
      <c r="AW1080">
        <f t="shared" si="771"/>
        <v>2107</v>
      </c>
      <c r="AX1080">
        <f t="shared" si="798"/>
        <v>4.8262122737335114E-2</v>
      </c>
      <c r="AY1080">
        <f t="shared" si="799"/>
        <v>4.5554542924098404E-5</v>
      </c>
      <c r="AZ1080">
        <f t="shared" si="772"/>
        <v>2.6385429921932602E-2</v>
      </c>
      <c r="BA1080">
        <f t="shared" si="789"/>
        <v>1.5515328083108476E-4</v>
      </c>
      <c r="BB1080">
        <f t="shared" si="790"/>
        <v>9.9166666666666714</v>
      </c>
      <c r="BC1080">
        <f t="shared" si="773"/>
        <v>5.9500000000000028</v>
      </c>
      <c r="BD1080">
        <f t="shared" si="791"/>
        <v>0</v>
      </c>
      <c r="BE1080">
        <f t="shared" si="774"/>
        <v>24</v>
      </c>
      <c r="BF1080">
        <f t="shared" si="800"/>
        <v>5000</v>
      </c>
      <c r="BU1080"/>
      <c r="DW1080" s="89"/>
      <c r="DX1080" s="89"/>
      <c r="FD1080"/>
      <c r="FE1080"/>
    </row>
    <row r="1081" spans="1:161" x14ac:dyDescent="0.25">
      <c r="A1081" s="7">
        <f t="shared" si="792"/>
        <v>76002</v>
      </c>
      <c r="B1081">
        <f t="shared" si="775"/>
        <v>1070</v>
      </c>
      <c r="C1081">
        <f t="shared" si="801"/>
        <v>89.083333333333329</v>
      </c>
      <c r="D1081">
        <f t="shared" si="802"/>
        <v>0</v>
      </c>
      <c r="E1081">
        <f t="shared" si="776"/>
        <v>141</v>
      </c>
      <c r="F1081">
        <f>IF(C1081&gt;=$T$2,0,VLOOKUP($E1081,EKM_F05!$A$3:$C$128,2,TRUE))</f>
        <v>0</v>
      </c>
      <c r="G1081">
        <f>F1081*'Real assumptions'!$B$3</f>
        <v>0</v>
      </c>
      <c r="H1081">
        <f t="shared" si="803"/>
        <v>0</v>
      </c>
      <c r="I1081">
        <f t="shared" si="804"/>
        <v>0</v>
      </c>
      <c r="J1081">
        <f>IF(B1081&gt;$AJ$2,0,HLOOKUP(C1081,'Real assumptions'!$B$5:$L$8,4,TRUE))</f>
        <v>3.7900000000000003E-2</v>
      </c>
      <c r="K1081">
        <f t="shared" si="765"/>
        <v>1</v>
      </c>
      <c r="L1081">
        <f t="shared" si="793"/>
        <v>8.3333333333333329E-2</v>
      </c>
      <c r="M1081">
        <f t="shared" si="805"/>
        <v>3.2145624959929453E-3</v>
      </c>
      <c r="N1081">
        <f t="shared" si="806"/>
        <v>3.4681804663227389E-8</v>
      </c>
      <c r="O1081" s="8">
        <f t="shared" si="777"/>
        <v>1.0754283943073632E-5</v>
      </c>
      <c r="P1081">
        <f t="shared" si="778"/>
        <v>2.5893517794568462E-4</v>
      </c>
      <c r="Q1081">
        <f t="shared" si="794"/>
        <v>0</v>
      </c>
      <c r="R1081" s="89">
        <f t="shared" si="766"/>
        <v>5000</v>
      </c>
      <c r="S1081">
        <f t="shared" si="767"/>
        <v>0.8333333333333286</v>
      </c>
      <c r="U1081">
        <f>O1080*AV1080*'Real assumptions'!$B$33/12+AX1081*'Real assumptions'!$B$34</f>
        <v>3.3913208167928027E-4</v>
      </c>
      <c r="V1081">
        <f>IF(P1081=0,0,IF(E1081&lt;=$C$7,$AN$5*O1080,0))*'Real assumptions'!$D$28</f>
        <v>0</v>
      </c>
      <c r="X1081" s="94">
        <f t="shared" si="779"/>
        <v>0</v>
      </c>
      <c r="Y1081">
        <f t="shared" si="768"/>
        <v>24</v>
      </c>
      <c r="Z1081">
        <f t="shared" si="795"/>
        <v>9</v>
      </c>
      <c r="AA1081">
        <f t="shared" si="769"/>
        <v>9.8333333333333286</v>
      </c>
      <c r="AB1081">
        <f t="shared" si="780"/>
        <v>50.505050505050505</v>
      </c>
      <c r="AC1081">
        <f t="shared" si="807"/>
        <v>496.63299663299637</v>
      </c>
      <c r="AD1081">
        <f t="shared" si="781"/>
        <v>80.505050505050505</v>
      </c>
      <c r="AE1081">
        <f t="shared" si="782"/>
        <v>39.581649831649813</v>
      </c>
      <c r="AF1081" s="94">
        <f t="shared" si="783"/>
        <v>4463.7853535353534</v>
      </c>
      <c r="AG1081">
        <f t="shared" si="796"/>
        <v>1.5481213168988853E-4</v>
      </c>
      <c r="AH1081">
        <f t="shared" si="784"/>
        <v>4.8004815152852508E-2</v>
      </c>
      <c r="AI1081">
        <f>HLOOKUP(AW1081,'Real assumptions'!$A$21:$AK$24,2,TRUE)</f>
        <v>0</v>
      </c>
      <c r="AJ1081" s="123">
        <f t="shared" si="808"/>
        <v>0</v>
      </c>
      <c r="AK1081" s="122">
        <f>(1+HLOOKUP(YEAR(A1081),'Real assumptions'!$A$21:$AK$24,2,TRUE)/100)^(1/12)-1</f>
        <v>0</v>
      </c>
      <c r="AL1081">
        <f t="shared" si="797"/>
        <v>3.3913208167928027E-4</v>
      </c>
      <c r="AM1081">
        <f>('Real assumptions'!$B$33/12)*O1080*AV1080</f>
        <v>3.2593999326691682E-4</v>
      </c>
      <c r="AN1081">
        <f t="shared" si="785"/>
        <v>4.8030403249841487E-2</v>
      </c>
      <c r="AO1081">
        <f t="shared" si="809"/>
        <v>0</v>
      </c>
      <c r="AP1081" s="121">
        <f t="shared" si="786"/>
        <v>0</v>
      </c>
      <c r="AQ1081">
        <f t="shared" si="787"/>
        <v>0</v>
      </c>
      <c r="AR1081">
        <v>0</v>
      </c>
      <c r="AS1081">
        <f t="shared" si="770"/>
        <v>0</v>
      </c>
      <c r="AT1081">
        <f t="shared" si="788"/>
        <v>0</v>
      </c>
      <c r="AU1081">
        <f>IFERROR(HLOOKUP(B1081,'Real assumptions'!$B$43:$AL$44,2,TRUE)*($W$3/$U$2),0)</f>
        <v>0</v>
      </c>
      <c r="AV1081">
        <f>AV1080*(1+'Real assumptions'!$B$35)^(1/12)</f>
        <v>3.0241785166888242</v>
      </c>
      <c r="AW1081">
        <f t="shared" si="771"/>
        <v>2108</v>
      </c>
      <c r="AX1081">
        <f t="shared" si="798"/>
        <v>4.8156008258573975E-2</v>
      </c>
      <c r="AY1081">
        <f t="shared" si="799"/>
        <v>4.5408104998892505E-5</v>
      </c>
      <c r="AZ1081">
        <f t="shared" si="772"/>
        <v>2.6150420886509117E-2</v>
      </c>
      <c r="BA1081">
        <f t="shared" si="789"/>
        <v>1.5481213168988853E-4</v>
      </c>
      <c r="BB1081">
        <f t="shared" si="790"/>
        <v>9.8333333333333286</v>
      </c>
      <c r="BC1081">
        <f t="shared" si="773"/>
        <v>5.8999999999999968</v>
      </c>
      <c r="BD1081">
        <f t="shared" si="791"/>
        <v>0</v>
      </c>
      <c r="BE1081">
        <f t="shared" si="774"/>
        <v>24</v>
      </c>
      <c r="BF1081">
        <f t="shared" si="800"/>
        <v>5000</v>
      </c>
      <c r="BU1081"/>
      <c r="DW1081" s="89"/>
      <c r="DX1081" s="89"/>
      <c r="FD1081"/>
      <c r="FE1081"/>
    </row>
    <row r="1082" spans="1:161" x14ac:dyDescent="0.25">
      <c r="A1082" s="7">
        <f t="shared" si="792"/>
        <v>76031</v>
      </c>
      <c r="B1082">
        <f t="shared" si="775"/>
        <v>1071</v>
      </c>
      <c r="C1082">
        <f t="shared" si="801"/>
        <v>89.166666666666671</v>
      </c>
      <c r="D1082">
        <f t="shared" si="802"/>
        <v>0</v>
      </c>
      <c r="E1082">
        <f t="shared" si="776"/>
        <v>141</v>
      </c>
      <c r="F1082">
        <f>IF(C1082&gt;=$T$2,0,VLOOKUP($E1082,EKM_F05!$A$3:$C$128,2,TRUE))</f>
        <v>0</v>
      </c>
      <c r="G1082">
        <f>F1082*'Real assumptions'!$B$3</f>
        <v>0</v>
      </c>
      <c r="H1082">
        <f t="shared" si="803"/>
        <v>0</v>
      </c>
      <c r="I1082">
        <f t="shared" si="804"/>
        <v>0</v>
      </c>
      <c r="J1082">
        <f>IF(B1082&gt;$AJ$2,0,HLOOKUP(C1082,'Real assumptions'!$B$5:$L$8,4,TRUE))</f>
        <v>3.7900000000000003E-2</v>
      </c>
      <c r="K1082">
        <f t="shared" si="765"/>
        <v>1</v>
      </c>
      <c r="L1082">
        <f t="shared" si="793"/>
        <v>8.3333333333333329E-2</v>
      </c>
      <c r="M1082">
        <f t="shared" si="805"/>
        <v>3.2145624959929453E-3</v>
      </c>
      <c r="N1082">
        <f t="shared" si="806"/>
        <v>3.4570317834663629E-8</v>
      </c>
      <c r="O1082" s="8">
        <f t="shared" si="777"/>
        <v>1.0719713625238968E-5</v>
      </c>
      <c r="P1082">
        <f t="shared" si="778"/>
        <v>2.581028146337672E-4</v>
      </c>
      <c r="Q1082">
        <f t="shared" si="794"/>
        <v>0</v>
      </c>
      <c r="R1082" s="89">
        <f t="shared" si="766"/>
        <v>5000</v>
      </c>
      <c r="S1082">
        <f t="shared" si="767"/>
        <v>0.75</v>
      </c>
      <c r="U1082">
        <f>O1081*AV1081*'Real assumptions'!$B$33/12+AX1082*'Real assumptions'!$B$34</f>
        <v>3.3839181380389857E-4</v>
      </c>
      <c r="V1082">
        <f>IF(P1082=0,0,IF(E1082&lt;=$C$7,$AN$5*O1081,0))*'Real assumptions'!$D$28</f>
        <v>0</v>
      </c>
      <c r="X1082" s="94">
        <f t="shared" si="779"/>
        <v>0</v>
      </c>
      <c r="Y1082">
        <f t="shared" si="768"/>
        <v>24</v>
      </c>
      <c r="Z1082">
        <f t="shared" si="795"/>
        <v>9</v>
      </c>
      <c r="AA1082">
        <f t="shared" si="769"/>
        <v>9.75</v>
      </c>
      <c r="AB1082">
        <f t="shared" si="780"/>
        <v>50.505050505050505</v>
      </c>
      <c r="AC1082">
        <f t="shared" si="807"/>
        <v>492.42424242424244</v>
      </c>
      <c r="AD1082">
        <f t="shared" si="781"/>
        <v>80.505050505050505</v>
      </c>
      <c r="AE1082">
        <f t="shared" si="782"/>
        <v>39.246212121212118</v>
      </c>
      <c r="AF1082" s="94">
        <f t="shared" si="783"/>
        <v>4468.329545454546</v>
      </c>
      <c r="AG1082">
        <f t="shared" si="796"/>
        <v>1.5447157257638173E-4</v>
      </c>
      <c r="AH1082">
        <f t="shared" si="784"/>
        <v>4.7899213110466944E-2</v>
      </c>
      <c r="AI1082">
        <f>HLOOKUP(AW1082,'Real assumptions'!$A$21:$AK$24,2,TRUE)</f>
        <v>0</v>
      </c>
      <c r="AJ1082" s="123">
        <f t="shared" si="808"/>
        <v>0</v>
      </c>
      <c r="AK1082" s="122">
        <f>(1+HLOOKUP(YEAR(A1082),'Real assumptions'!$A$21:$AK$24,2,TRUE)/100)^(1/12)-1</f>
        <v>0</v>
      </c>
      <c r="AL1082">
        <f t="shared" si="797"/>
        <v>3.3839181380389857E-4</v>
      </c>
      <c r="AM1082">
        <f>('Real assumptions'!$B$33/12)*O1081*AV1081</f>
        <v>3.2522874463014855E-4</v>
      </c>
      <c r="AN1082">
        <f t="shared" si="785"/>
        <v>4.7924526153682374E-2</v>
      </c>
      <c r="AO1082">
        <f t="shared" si="809"/>
        <v>0</v>
      </c>
      <c r="AP1082" s="121">
        <f t="shared" si="786"/>
        <v>0</v>
      </c>
      <c r="AQ1082">
        <f t="shared" si="787"/>
        <v>0</v>
      </c>
      <c r="AR1082">
        <v>0</v>
      </c>
      <c r="AS1082">
        <f t="shared" si="770"/>
        <v>0</v>
      </c>
      <c r="AT1082">
        <f t="shared" si="788"/>
        <v>0</v>
      </c>
      <c r="AU1082">
        <f>IFERROR(HLOOKUP(B1082,'Real assumptions'!$B$43:$AL$44,2,TRUE)*($W$3/$U$2),0)</f>
        <v>0</v>
      </c>
      <c r="AV1082">
        <f>AV1081*(1+'Real assumptions'!$B$35)^(1/12)</f>
        <v>3.0273107975352209</v>
      </c>
      <c r="AW1082">
        <f t="shared" si="771"/>
        <v>2108</v>
      </c>
      <c r="AX1082">
        <f t="shared" si="798"/>
        <v>4.8050077290660055E-2</v>
      </c>
      <c r="AY1082">
        <f t="shared" si="799"/>
        <v>4.5262137807548956E-5</v>
      </c>
      <c r="AZ1082">
        <f t="shared" si="772"/>
        <v>2.5915660314762601E-2</v>
      </c>
      <c r="BA1082">
        <f t="shared" si="789"/>
        <v>1.5447157257638173E-4</v>
      </c>
      <c r="BB1082">
        <f t="shared" si="790"/>
        <v>9.75</v>
      </c>
      <c r="BC1082">
        <f t="shared" si="773"/>
        <v>5.85</v>
      </c>
      <c r="BD1082">
        <f t="shared" si="791"/>
        <v>0</v>
      </c>
      <c r="BE1082">
        <f t="shared" si="774"/>
        <v>24</v>
      </c>
      <c r="BF1082">
        <f t="shared" si="800"/>
        <v>5000</v>
      </c>
      <c r="BU1082"/>
      <c r="DW1082" s="89"/>
      <c r="DX1082" s="89"/>
      <c r="FD1082"/>
      <c r="FE1082"/>
    </row>
    <row r="1083" spans="1:161" x14ac:dyDescent="0.25">
      <c r="A1083" s="7">
        <f t="shared" si="792"/>
        <v>76062</v>
      </c>
      <c r="B1083">
        <f t="shared" si="775"/>
        <v>1072</v>
      </c>
      <c r="C1083">
        <f t="shared" si="801"/>
        <v>89.25</v>
      </c>
      <c r="D1083">
        <f t="shared" si="802"/>
        <v>0</v>
      </c>
      <c r="E1083">
        <f t="shared" si="776"/>
        <v>141</v>
      </c>
      <c r="F1083">
        <f>IF(C1083&gt;=$T$2,0,VLOOKUP($E1083,EKM_F05!$A$3:$C$128,2,TRUE))</f>
        <v>0</v>
      </c>
      <c r="G1083">
        <f>F1083*'Real assumptions'!$B$3</f>
        <v>0</v>
      </c>
      <c r="H1083">
        <f t="shared" si="803"/>
        <v>0</v>
      </c>
      <c r="I1083">
        <f t="shared" si="804"/>
        <v>0</v>
      </c>
      <c r="J1083">
        <f>IF(B1083&gt;$AJ$2,0,HLOOKUP(C1083,'Real assumptions'!$B$5:$L$8,4,TRUE))</f>
        <v>3.7900000000000003E-2</v>
      </c>
      <c r="K1083">
        <f t="shared" si="765"/>
        <v>1</v>
      </c>
      <c r="L1083">
        <f t="shared" si="793"/>
        <v>8.3333333333333329E-2</v>
      </c>
      <c r="M1083">
        <f t="shared" si="805"/>
        <v>3.2145624959929453E-3</v>
      </c>
      <c r="N1083">
        <f t="shared" si="806"/>
        <v>3.4459189387477765E-8</v>
      </c>
      <c r="O1083" s="8">
        <f t="shared" si="777"/>
        <v>1.0685254435851491E-5</v>
      </c>
      <c r="P1083">
        <f t="shared" si="778"/>
        <v>2.5727312700573522E-4</v>
      </c>
      <c r="Q1083">
        <f t="shared" si="794"/>
        <v>0</v>
      </c>
      <c r="R1083" s="89">
        <f t="shared" si="766"/>
        <v>5000</v>
      </c>
      <c r="S1083">
        <f t="shared" si="767"/>
        <v>0.6666666666666714</v>
      </c>
      <c r="U1083">
        <f>O1082*AV1082*'Real assumptions'!$B$33/12+AX1083*'Real assumptions'!$B$34</f>
        <v>3.3765314822587709E-4</v>
      </c>
      <c r="V1083">
        <f>IF(P1083=0,0,IF(E1083&lt;=$C$7,$AN$5*O1082,0))*'Real assumptions'!$D$28</f>
        <v>0</v>
      </c>
      <c r="X1083" s="94">
        <f t="shared" si="779"/>
        <v>0</v>
      </c>
      <c r="Y1083">
        <f t="shared" si="768"/>
        <v>24</v>
      </c>
      <c r="Z1083">
        <f t="shared" si="795"/>
        <v>9</v>
      </c>
      <c r="AA1083">
        <f t="shared" si="769"/>
        <v>9.6666666666666714</v>
      </c>
      <c r="AB1083">
        <f t="shared" si="780"/>
        <v>50.505050505050505</v>
      </c>
      <c r="AC1083">
        <f t="shared" si="807"/>
        <v>488.21548821548845</v>
      </c>
      <c r="AD1083">
        <f t="shared" si="781"/>
        <v>80.505050505050505</v>
      </c>
      <c r="AE1083">
        <f t="shared" si="782"/>
        <v>38.91077441077443</v>
      </c>
      <c r="AF1083" s="94">
        <f t="shared" si="783"/>
        <v>4472.8737373737376</v>
      </c>
      <c r="AG1083">
        <f t="shared" si="796"/>
        <v>1.5413160322243709E-4</v>
      </c>
      <c r="AH1083">
        <f t="shared" si="784"/>
        <v>4.7793793943276368E-2</v>
      </c>
      <c r="AI1083">
        <f>HLOOKUP(AW1083,'Real assumptions'!$A$21:$AK$24,2,TRUE)</f>
        <v>0</v>
      </c>
      <c r="AJ1083" s="123">
        <f t="shared" si="808"/>
        <v>0</v>
      </c>
      <c r="AK1083" s="122">
        <f>(1+HLOOKUP(YEAR(A1083),'Real assumptions'!$A$21:$AK$24,2,TRUE)/100)^(1/12)-1</f>
        <v>0</v>
      </c>
      <c r="AL1083">
        <f t="shared" si="797"/>
        <v>3.3765314822587709E-4</v>
      </c>
      <c r="AM1083">
        <f>('Real assumptions'!$B$33/12)*O1082*AV1082</f>
        <v>3.2451904804171357E-4</v>
      </c>
      <c r="AN1083">
        <f t="shared" si="785"/>
        <v>4.7818833089246802E-2</v>
      </c>
      <c r="AO1083">
        <f t="shared" si="809"/>
        <v>0</v>
      </c>
      <c r="AP1083" s="121">
        <f t="shared" si="786"/>
        <v>0</v>
      </c>
      <c r="AQ1083">
        <f t="shared" si="787"/>
        <v>0</v>
      </c>
      <c r="AR1083">
        <v>0</v>
      </c>
      <c r="AS1083">
        <f t="shared" si="770"/>
        <v>0</v>
      </c>
      <c r="AT1083">
        <f t="shared" si="788"/>
        <v>0</v>
      </c>
      <c r="AU1083">
        <f>IFERROR(HLOOKUP(B1083,'Real assumptions'!$B$43:$AL$44,2,TRUE)*($W$3/$U$2),0)</f>
        <v>0</v>
      </c>
      <c r="AV1083">
        <f>AV1082*(1+'Real assumptions'!$B$35)^(1/12)</f>
        <v>3.0304463226290212</v>
      </c>
      <c r="AW1083">
        <f t="shared" si="771"/>
        <v>2108</v>
      </c>
      <c r="AX1083">
        <f t="shared" si="798"/>
        <v>4.7944329750303806E-2</v>
      </c>
      <c r="AY1083">
        <f t="shared" si="799"/>
        <v>4.5116639836864338E-5</v>
      </c>
      <c r="AZ1083">
        <f t="shared" si="772"/>
        <v>2.5681148690320024E-2</v>
      </c>
      <c r="BA1083">
        <f t="shared" si="789"/>
        <v>1.5413160322243709E-4</v>
      </c>
      <c r="BB1083">
        <f t="shared" si="790"/>
        <v>9.6666666666666714</v>
      </c>
      <c r="BC1083">
        <f t="shared" si="773"/>
        <v>5.8000000000000025</v>
      </c>
      <c r="BD1083">
        <f t="shared" si="791"/>
        <v>0</v>
      </c>
      <c r="BE1083">
        <f t="shared" si="774"/>
        <v>24</v>
      </c>
      <c r="BF1083">
        <f t="shared" si="800"/>
        <v>5000</v>
      </c>
      <c r="BU1083"/>
      <c r="DW1083" s="89"/>
      <c r="DX1083" s="89"/>
      <c r="FD1083"/>
      <c r="FE1083"/>
    </row>
    <row r="1084" spans="1:161" x14ac:dyDescent="0.25">
      <c r="A1084" s="7">
        <f t="shared" si="792"/>
        <v>76092</v>
      </c>
      <c r="B1084">
        <f t="shared" si="775"/>
        <v>1073</v>
      </c>
      <c r="C1084">
        <f t="shared" si="801"/>
        <v>89.333333333333329</v>
      </c>
      <c r="D1084">
        <f t="shared" si="802"/>
        <v>0</v>
      </c>
      <c r="E1084">
        <f t="shared" si="776"/>
        <v>141</v>
      </c>
      <c r="F1084">
        <f>IF(C1084&gt;=$T$2,0,VLOOKUP($E1084,EKM_F05!$A$3:$C$128,2,TRUE))</f>
        <v>0</v>
      </c>
      <c r="G1084">
        <f>F1084*'Real assumptions'!$B$3</f>
        <v>0</v>
      </c>
      <c r="H1084">
        <f t="shared" si="803"/>
        <v>0</v>
      </c>
      <c r="I1084">
        <f t="shared" si="804"/>
        <v>0</v>
      </c>
      <c r="J1084">
        <f>IF(B1084&gt;$AJ$2,0,HLOOKUP(C1084,'Real assumptions'!$B$5:$L$8,4,TRUE))</f>
        <v>3.7900000000000003E-2</v>
      </c>
      <c r="K1084">
        <f t="shared" si="765"/>
        <v>1</v>
      </c>
      <c r="L1084">
        <f t="shared" si="793"/>
        <v>8.3333333333333329E-2</v>
      </c>
      <c r="M1084">
        <f t="shared" si="805"/>
        <v>3.2145624959929453E-3</v>
      </c>
      <c r="N1084">
        <f t="shared" si="806"/>
        <v>3.4348418169630456E-8</v>
      </c>
      <c r="O1084" s="8">
        <f t="shared" si="777"/>
        <v>1.065090601768186E-5</v>
      </c>
      <c r="P1084">
        <f t="shared" si="778"/>
        <v>2.5644610646043575E-4</v>
      </c>
      <c r="Q1084">
        <f t="shared" si="794"/>
        <v>0</v>
      </c>
      <c r="R1084" s="89">
        <f t="shared" si="766"/>
        <v>5000</v>
      </c>
      <c r="S1084">
        <f t="shared" si="767"/>
        <v>0.5833333333333286</v>
      </c>
      <c r="U1084">
        <f>O1083*AV1083*'Real assumptions'!$B$33/12+AX1084*'Real assumptions'!$B$34</f>
        <v>3.3691608153523032E-4</v>
      </c>
      <c r="V1084">
        <f>IF(P1084=0,0,IF(E1084&lt;=$C$7,$AN$5*O1083,0))*'Real assumptions'!$D$28</f>
        <v>0</v>
      </c>
      <c r="X1084" s="94">
        <f t="shared" si="779"/>
        <v>0</v>
      </c>
      <c r="Y1084">
        <f t="shared" si="768"/>
        <v>24</v>
      </c>
      <c r="Z1084">
        <f t="shared" si="795"/>
        <v>9</v>
      </c>
      <c r="AA1084">
        <f t="shared" si="769"/>
        <v>9.5833333333333286</v>
      </c>
      <c r="AB1084">
        <f t="shared" si="780"/>
        <v>50.505050505050505</v>
      </c>
      <c r="AC1084">
        <f t="shared" si="807"/>
        <v>484.00673400673378</v>
      </c>
      <c r="AD1084">
        <f t="shared" si="781"/>
        <v>80.505050505050505</v>
      </c>
      <c r="AE1084">
        <f t="shared" si="782"/>
        <v>38.575336700336678</v>
      </c>
      <c r="AF1084" s="94">
        <f t="shared" si="783"/>
        <v>4477.4179292929302</v>
      </c>
      <c r="AG1084">
        <f t="shared" si="796"/>
        <v>1.5379222335555446E-4</v>
      </c>
      <c r="AH1084">
        <f t="shared" si="784"/>
        <v>4.7688557566782724E-2</v>
      </c>
      <c r="AI1084">
        <f>HLOOKUP(AW1084,'Real assumptions'!$A$21:$AK$24,2,TRUE)</f>
        <v>0</v>
      </c>
      <c r="AJ1084" s="123">
        <f t="shared" si="808"/>
        <v>0</v>
      </c>
      <c r="AK1084" s="122">
        <f>(1+HLOOKUP(YEAR(A1084),'Real assumptions'!$A$21:$AK$24,2,TRUE)/100)^(1/12)-1</f>
        <v>0</v>
      </c>
      <c r="AL1084">
        <f t="shared" si="797"/>
        <v>3.3691608153523032E-4</v>
      </c>
      <c r="AM1084">
        <f>('Real assumptions'!$B$33/12)*O1083*AV1083</f>
        <v>3.2381090011481591E-4</v>
      </c>
      <c r="AN1084">
        <f t="shared" si="785"/>
        <v>4.7713323968201576E-2</v>
      </c>
      <c r="AO1084">
        <f t="shared" si="809"/>
        <v>0</v>
      </c>
      <c r="AP1084" s="121">
        <f t="shared" si="786"/>
        <v>0</v>
      </c>
      <c r="AQ1084">
        <f t="shared" si="787"/>
        <v>0</v>
      </c>
      <c r="AR1084">
        <v>0</v>
      </c>
      <c r="AS1084">
        <f t="shared" si="770"/>
        <v>0</v>
      </c>
      <c r="AT1084">
        <f t="shared" si="788"/>
        <v>0</v>
      </c>
      <c r="AU1084">
        <f>IFERROR(HLOOKUP(B1084,'Real assumptions'!$B$43:$AL$44,2,TRUE)*($W$3/$U$2),0)</f>
        <v>0</v>
      </c>
      <c r="AV1084">
        <f>AV1083*(1+'Real assumptions'!$B$35)^(1/12)</f>
        <v>3.0335850953304417</v>
      </c>
      <c r="AW1084">
        <f t="shared" si="771"/>
        <v>2108</v>
      </c>
      <c r="AX1084">
        <f t="shared" si="798"/>
        <v>4.7838765552854864E-2</v>
      </c>
      <c r="AY1084">
        <f t="shared" si="799"/>
        <v>4.4971609578499535E-5</v>
      </c>
      <c r="AZ1084">
        <f t="shared" si="772"/>
        <v>2.5446886491889673E-2</v>
      </c>
      <c r="BA1084">
        <f t="shared" si="789"/>
        <v>1.5379222335555446E-4</v>
      </c>
      <c r="BB1084">
        <f t="shared" si="790"/>
        <v>9.5833333333333286</v>
      </c>
      <c r="BC1084">
        <f t="shared" si="773"/>
        <v>5.7499999999999964</v>
      </c>
      <c r="BD1084">
        <f t="shared" si="791"/>
        <v>0</v>
      </c>
      <c r="BE1084">
        <f t="shared" si="774"/>
        <v>24</v>
      </c>
      <c r="BF1084">
        <f t="shared" si="800"/>
        <v>5000</v>
      </c>
      <c r="BU1084"/>
      <c r="DW1084" s="89"/>
      <c r="DX1084" s="89"/>
      <c r="FD1084"/>
      <c r="FE1084"/>
    </row>
    <row r="1085" spans="1:161" x14ac:dyDescent="0.25">
      <c r="A1085" s="7">
        <f t="shared" si="792"/>
        <v>76123</v>
      </c>
      <c r="B1085">
        <f t="shared" si="775"/>
        <v>1074</v>
      </c>
      <c r="C1085">
        <f t="shared" si="801"/>
        <v>89.416666666666671</v>
      </c>
      <c r="D1085">
        <f t="shared" si="802"/>
        <v>0</v>
      </c>
      <c r="E1085">
        <f t="shared" si="776"/>
        <v>141</v>
      </c>
      <c r="F1085">
        <f>IF(C1085&gt;=$T$2,0,VLOOKUP($E1085,EKM_F05!$A$3:$C$128,2,TRUE))</f>
        <v>0</v>
      </c>
      <c r="G1085">
        <f>F1085*'Real assumptions'!$B$3</f>
        <v>0</v>
      </c>
      <c r="H1085">
        <f t="shared" si="803"/>
        <v>0</v>
      </c>
      <c r="I1085">
        <f t="shared" si="804"/>
        <v>0</v>
      </c>
      <c r="J1085">
        <f>IF(B1085&gt;$AJ$2,0,HLOOKUP(C1085,'Real assumptions'!$B$5:$L$8,4,TRUE))</f>
        <v>3.7900000000000003E-2</v>
      </c>
      <c r="K1085">
        <f t="shared" si="765"/>
        <v>1</v>
      </c>
      <c r="L1085">
        <f t="shared" si="793"/>
        <v>8.3333333333333329E-2</v>
      </c>
      <c r="M1085">
        <f t="shared" si="805"/>
        <v>3.2145624959929453E-3</v>
      </c>
      <c r="N1085">
        <f t="shared" si="806"/>
        <v>3.4238003032785684E-8</v>
      </c>
      <c r="O1085" s="8">
        <f t="shared" si="777"/>
        <v>1.0616668014649074E-5</v>
      </c>
      <c r="P1085">
        <f t="shared" si="778"/>
        <v>2.5562174442436464E-4</v>
      </c>
      <c r="Q1085">
        <f t="shared" si="794"/>
        <v>0</v>
      </c>
      <c r="R1085" s="89">
        <f t="shared" si="766"/>
        <v>5000</v>
      </c>
      <c r="S1085">
        <f t="shared" si="767"/>
        <v>0.5</v>
      </c>
      <c r="U1085">
        <f>O1084*AV1084*'Real assumptions'!$B$33/12+AX1085*'Real assumptions'!$B$34</f>
        <v>3.3618061032899318E-4</v>
      </c>
      <c r="V1085">
        <f>IF(P1085=0,0,IF(E1085&lt;=$C$7,$AN$5*O1084,0))*'Real assumptions'!$D$28</f>
        <v>0</v>
      </c>
      <c r="X1085" s="94">
        <f t="shared" si="779"/>
        <v>0</v>
      </c>
      <c r="Y1085">
        <f t="shared" si="768"/>
        <v>24</v>
      </c>
      <c r="Z1085">
        <f t="shared" si="795"/>
        <v>9</v>
      </c>
      <c r="AA1085">
        <f t="shared" si="769"/>
        <v>9.5</v>
      </c>
      <c r="AB1085">
        <f t="shared" si="780"/>
        <v>50.505050505050505</v>
      </c>
      <c r="AC1085">
        <f t="shared" si="807"/>
        <v>479.79797979797979</v>
      </c>
      <c r="AD1085">
        <f t="shared" si="781"/>
        <v>80.505050505050505</v>
      </c>
      <c r="AE1085">
        <f t="shared" si="782"/>
        <v>38.23989898989899</v>
      </c>
      <c r="AF1085" s="94">
        <f t="shared" si="783"/>
        <v>4481.962121212121</v>
      </c>
      <c r="AG1085">
        <f t="shared" si="796"/>
        <v>1.5345343269889116E-4</v>
      </c>
      <c r="AH1085">
        <f t="shared" si="784"/>
        <v>4.7583503895141439E-2</v>
      </c>
      <c r="AI1085">
        <f>HLOOKUP(AW1085,'Real assumptions'!$A$21:$AK$24,2,TRUE)</f>
        <v>0</v>
      </c>
      <c r="AJ1085" s="123">
        <f t="shared" si="808"/>
        <v>0</v>
      </c>
      <c r="AK1085" s="122">
        <f>(1+HLOOKUP(YEAR(A1085),'Real assumptions'!$A$21:$AK$24,2,TRUE)/100)^(1/12)-1</f>
        <v>0</v>
      </c>
      <c r="AL1085">
        <f t="shared" si="797"/>
        <v>3.3618061032899318E-4</v>
      </c>
      <c r="AM1085">
        <f>('Real assumptions'!$B$33/12)*O1084*AV1084</f>
        <v>3.2310429747005E-4</v>
      </c>
      <c r="AN1085">
        <f t="shared" si="785"/>
        <v>4.7607998700878097E-2</v>
      </c>
      <c r="AO1085">
        <f t="shared" si="809"/>
        <v>0</v>
      </c>
      <c r="AP1085" s="121">
        <f t="shared" si="786"/>
        <v>0</v>
      </c>
      <c r="AQ1085">
        <f t="shared" si="787"/>
        <v>0</v>
      </c>
      <c r="AR1085">
        <v>0</v>
      </c>
      <c r="AS1085">
        <f t="shared" si="770"/>
        <v>0</v>
      </c>
      <c r="AT1085">
        <f t="shared" si="788"/>
        <v>0</v>
      </c>
      <c r="AU1085">
        <f>IFERROR(HLOOKUP(B1085,'Real assumptions'!$B$43:$AL$44,2,TRUE)*($W$3/$U$2),0)</f>
        <v>0</v>
      </c>
      <c r="AV1085">
        <f>AV1084*(1+'Real assumptions'!$B$35)^(1/12)</f>
        <v>3.0367271190031784</v>
      </c>
      <c r="AW1085">
        <f t="shared" si="771"/>
        <v>2108</v>
      </c>
      <c r="AX1085">
        <f t="shared" si="798"/>
        <v>4.7733384612311691E-2</v>
      </c>
      <c r="AY1085">
        <f t="shared" si="799"/>
        <v>4.4827045528964052E-5</v>
      </c>
      <c r="AZ1085">
        <f t="shared" si="772"/>
        <v>2.5212874193286151E-2</v>
      </c>
      <c r="BA1085">
        <f t="shared" si="789"/>
        <v>1.5345343269889116E-4</v>
      </c>
      <c r="BB1085">
        <f t="shared" si="790"/>
        <v>9.5</v>
      </c>
      <c r="BC1085">
        <f t="shared" si="773"/>
        <v>5.6999999999999993</v>
      </c>
      <c r="BD1085">
        <f t="shared" si="791"/>
        <v>0</v>
      </c>
      <c r="BE1085">
        <f t="shared" si="774"/>
        <v>24</v>
      </c>
      <c r="BF1085">
        <f t="shared" si="800"/>
        <v>5000</v>
      </c>
      <c r="BU1085"/>
      <c r="DW1085" s="89"/>
      <c r="DX1085" s="89"/>
      <c r="FD1085"/>
      <c r="FE1085"/>
    </row>
    <row r="1086" spans="1:161" x14ac:dyDescent="0.25">
      <c r="A1086" s="7">
        <f t="shared" si="792"/>
        <v>76153</v>
      </c>
      <c r="B1086">
        <f t="shared" si="775"/>
        <v>1075</v>
      </c>
      <c r="C1086">
        <f t="shared" si="801"/>
        <v>89.5</v>
      </c>
      <c r="D1086">
        <f t="shared" si="802"/>
        <v>0</v>
      </c>
      <c r="E1086">
        <f t="shared" si="776"/>
        <v>141</v>
      </c>
      <c r="F1086">
        <f>IF(C1086&gt;=$T$2,0,VLOOKUP($E1086,EKM_F05!$A$3:$C$128,2,TRUE))</f>
        <v>0</v>
      </c>
      <c r="G1086">
        <f>F1086*'Real assumptions'!$B$3</f>
        <v>0</v>
      </c>
      <c r="H1086">
        <f t="shared" si="803"/>
        <v>0</v>
      </c>
      <c r="I1086">
        <f t="shared" si="804"/>
        <v>0</v>
      </c>
      <c r="J1086">
        <f>IF(B1086&gt;$AJ$2,0,HLOOKUP(C1086,'Real assumptions'!$B$5:$L$8,4,TRUE))</f>
        <v>3.7900000000000003E-2</v>
      </c>
      <c r="K1086">
        <f t="shared" si="765"/>
        <v>1</v>
      </c>
      <c r="L1086">
        <f t="shared" si="793"/>
        <v>8.3333333333333329E-2</v>
      </c>
      <c r="M1086">
        <f t="shared" si="805"/>
        <v>3.2145624959929453E-3</v>
      </c>
      <c r="N1086">
        <f t="shared" si="806"/>
        <v>3.4127942832298797E-8</v>
      </c>
      <c r="O1086" s="8">
        <f t="shared" si="777"/>
        <v>1.0582540071816776E-5</v>
      </c>
      <c r="P1086">
        <f t="shared" si="778"/>
        <v>2.5480003235157781E-4</v>
      </c>
      <c r="Q1086">
        <f t="shared" si="794"/>
        <v>0</v>
      </c>
      <c r="R1086" s="89">
        <f t="shared" si="766"/>
        <v>5000</v>
      </c>
      <c r="S1086">
        <f t="shared" si="767"/>
        <v>0.4166666666666714</v>
      </c>
      <c r="U1086">
        <f>O1085*AV1085*'Real assumptions'!$B$33/12+AX1086*'Real assumptions'!$B$34</f>
        <v>3.3544673121120718E-4</v>
      </c>
      <c r="V1086">
        <f>IF(P1086=0,0,IF(E1086&lt;=$C$7,$AN$5*O1085,0))*'Real assumptions'!$D$28</f>
        <v>0</v>
      </c>
      <c r="X1086" s="94">
        <f t="shared" si="779"/>
        <v>0</v>
      </c>
      <c r="Y1086">
        <f t="shared" si="768"/>
        <v>24</v>
      </c>
      <c r="Z1086">
        <f t="shared" si="795"/>
        <v>9</v>
      </c>
      <c r="AA1086">
        <f t="shared" si="769"/>
        <v>9.4166666666666714</v>
      </c>
      <c r="AB1086">
        <f t="shared" si="780"/>
        <v>50.505050505050505</v>
      </c>
      <c r="AC1086">
        <f t="shared" si="807"/>
        <v>475.5892255892258</v>
      </c>
      <c r="AD1086">
        <f t="shared" si="781"/>
        <v>80.505050505050505</v>
      </c>
      <c r="AE1086">
        <f t="shared" si="782"/>
        <v>37.904461279461295</v>
      </c>
      <c r="AF1086" s="94">
        <f t="shared" si="783"/>
        <v>4486.5063131313127</v>
      </c>
      <c r="AG1086">
        <f t="shared" si="796"/>
        <v>1.5311523097129309E-4</v>
      </c>
      <c r="AH1086">
        <f t="shared" si="784"/>
        <v>4.7478632841171063E-2</v>
      </c>
      <c r="AI1086">
        <f>HLOOKUP(AW1086,'Real assumptions'!$A$21:$AK$24,2,TRUE)</f>
        <v>0</v>
      </c>
      <c r="AJ1086" s="123">
        <f t="shared" si="808"/>
        <v>0</v>
      </c>
      <c r="AK1086" s="122">
        <f>(1+HLOOKUP(YEAR(A1086),'Real assumptions'!$A$21:$AK$24,2,TRUE)/100)^(1/12)-1</f>
        <v>0</v>
      </c>
      <c r="AL1086">
        <f t="shared" si="797"/>
        <v>3.3544673121120718E-4</v>
      </c>
      <c r="AM1086">
        <f>('Real assumptions'!$B$33/12)*O1085*AV1085</f>
        <v>3.2239923673538473E-4</v>
      </c>
      <c r="AN1086">
        <f t="shared" si="785"/>
        <v>4.7502857196281813E-2</v>
      </c>
      <c r="AO1086">
        <f t="shared" si="809"/>
        <v>0</v>
      </c>
      <c r="AP1086" s="121">
        <f t="shared" si="786"/>
        <v>0</v>
      </c>
      <c r="AQ1086">
        <f t="shared" si="787"/>
        <v>0</v>
      </c>
      <c r="AR1086">
        <v>0</v>
      </c>
      <c r="AS1086">
        <f t="shared" si="770"/>
        <v>0</v>
      </c>
      <c r="AT1086">
        <f t="shared" si="788"/>
        <v>0</v>
      </c>
      <c r="AU1086">
        <f>IFERROR(HLOOKUP(B1086,'Real assumptions'!$B$43:$AL$44,2,TRUE)*($W$3/$U$2),0)</f>
        <v>0</v>
      </c>
      <c r="AV1086">
        <f>AV1085*(1+'Real assumptions'!$B$35)^(1/12)</f>
        <v>3.0398723970144124</v>
      </c>
      <c r="AW1086">
        <f t="shared" si="771"/>
        <v>2108</v>
      </c>
      <c r="AX1086">
        <f t="shared" si="798"/>
        <v>4.7628186841331042E-2</v>
      </c>
      <c r="AY1086">
        <f t="shared" si="799"/>
        <v>4.4682946189600476E-5</v>
      </c>
      <c r="AZ1086">
        <f t="shared" si="772"/>
        <v>2.4979112263455231E-2</v>
      </c>
      <c r="BA1086">
        <f t="shared" si="789"/>
        <v>1.5311523097129309E-4</v>
      </c>
      <c r="BB1086">
        <f t="shared" si="790"/>
        <v>9.4166666666666714</v>
      </c>
      <c r="BC1086">
        <f t="shared" si="773"/>
        <v>5.6500000000000021</v>
      </c>
      <c r="BD1086">
        <f t="shared" si="791"/>
        <v>0</v>
      </c>
      <c r="BE1086">
        <f t="shared" si="774"/>
        <v>24</v>
      </c>
      <c r="BF1086">
        <f t="shared" si="800"/>
        <v>5000</v>
      </c>
      <c r="BU1086"/>
      <c r="DW1086" s="89"/>
      <c r="DX1086" s="89"/>
      <c r="FD1086"/>
      <c r="FE1086"/>
    </row>
    <row r="1087" spans="1:161" x14ac:dyDescent="0.25">
      <c r="A1087" s="7">
        <f t="shared" si="792"/>
        <v>76184</v>
      </c>
      <c r="B1087">
        <f t="shared" si="775"/>
        <v>1076</v>
      </c>
      <c r="C1087">
        <f t="shared" si="801"/>
        <v>89.583333333333329</v>
      </c>
      <c r="D1087">
        <f t="shared" si="802"/>
        <v>0</v>
      </c>
      <c r="E1087">
        <f t="shared" si="776"/>
        <v>141</v>
      </c>
      <c r="F1087">
        <f>IF(C1087&gt;=$T$2,0,VLOOKUP($E1087,EKM_F05!$A$3:$C$128,2,TRUE))</f>
        <v>0</v>
      </c>
      <c r="G1087">
        <f>F1087*'Real assumptions'!$B$3</f>
        <v>0</v>
      </c>
      <c r="H1087">
        <f t="shared" si="803"/>
        <v>0</v>
      </c>
      <c r="I1087">
        <f t="shared" si="804"/>
        <v>0</v>
      </c>
      <c r="J1087">
        <f>IF(B1087&gt;$AJ$2,0,HLOOKUP(C1087,'Real assumptions'!$B$5:$L$8,4,TRUE))</f>
        <v>3.7900000000000003E-2</v>
      </c>
      <c r="K1087">
        <f t="shared" si="765"/>
        <v>1</v>
      </c>
      <c r="L1087">
        <f t="shared" si="793"/>
        <v>8.3333333333333329E-2</v>
      </c>
      <c r="M1087">
        <f t="shared" si="805"/>
        <v>3.2145624959929453E-3</v>
      </c>
      <c r="N1087">
        <f t="shared" si="806"/>
        <v>3.4018236427204696E-8</v>
      </c>
      <c r="O1087" s="8">
        <f t="shared" si="777"/>
        <v>1.0548521835389571E-5</v>
      </c>
      <c r="P1087">
        <f t="shared" si="778"/>
        <v>2.5398096172360261E-4</v>
      </c>
      <c r="Q1087">
        <f t="shared" si="794"/>
        <v>0</v>
      </c>
      <c r="R1087" s="89">
        <f t="shared" si="766"/>
        <v>5000</v>
      </c>
      <c r="S1087">
        <f t="shared" si="767"/>
        <v>0.3333333333333286</v>
      </c>
      <c r="U1087">
        <f>O1086*AV1086*'Real assumptions'!$B$33/12+AX1087*'Real assumptions'!$B$34</f>
        <v>3.3471444079290755E-4</v>
      </c>
      <c r="V1087">
        <f>IF(P1087=0,0,IF(E1087&lt;=$C$7,$AN$5*O1086,0))*'Real assumptions'!$D$28</f>
        <v>0</v>
      </c>
      <c r="X1087" s="94">
        <f t="shared" si="779"/>
        <v>0</v>
      </c>
      <c r="Y1087">
        <f t="shared" si="768"/>
        <v>24</v>
      </c>
      <c r="Z1087">
        <f t="shared" si="795"/>
        <v>9</v>
      </c>
      <c r="AA1087">
        <f t="shared" si="769"/>
        <v>9.3333333333333286</v>
      </c>
      <c r="AB1087">
        <f t="shared" si="780"/>
        <v>50.505050505050505</v>
      </c>
      <c r="AC1087">
        <f t="shared" si="807"/>
        <v>471.38047138047114</v>
      </c>
      <c r="AD1087">
        <f t="shared" si="781"/>
        <v>80.505050505050505</v>
      </c>
      <c r="AE1087">
        <f t="shared" si="782"/>
        <v>37.56902356902355</v>
      </c>
      <c r="AF1087" s="94">
        <f t="shared" si="783"/>
        <v>4491.0505050505053</v>
      </c>
      <c r="AG1087">
        <f t="shared" si="796"/>
        <v>1.5277761788732514E-4</v>
      </c>
      <c r="AH1087">
        <f t="shared" si="784"/>
        <v>4.7373944316362618E-2</v>
      </c>
      <c r="AI1087">
        <f>HLOOKUP(AW1087,'Real assumptions'!$A$21:$AK$24,2,TRUE)</f>
        <v>0</v>
      </c>
      <c r="AJ1087" s="123">
        <f t="shared" si="808"/>
        <v>0</v>
      </c>
      <c r="AK1087" s="122">
        <f>(1+HLOOKUP(YEAR(A1087),'Real assumptions'!$A$21:$AK$24,2,TRUE)/100)^(1/12)-1</f>
        <v>0</v>
      </c>
      <c r="AL1087">
        <f t="shared" si="797"/>
        <v>3.3471444079290755E-4</v>
      </c>
      <c r="AM1087">
        <f>('Real assumptions'!$B$33/12)*O1086*AV1086</f>
        <v>3.2169571454614734E-4</v>
      </c>
      <c r="AN1087">
        <f t="shared" si="785"/>
        <v>4.7397899362101759E-2</v>
      </c>
      <c r="AO1087">
        <f t="shared" si="809"/>
        <v>0</v>
      </c>
      <c r="AP1087" s="121">
        <f t="shared" si="786"/>
        <v>0</v>
      </c>
      <c r="AQ1087">
        <f t="shared" si="787"/>
        <v>0</v>
      </c>
      <c r="AR1087">
        <v>0</v>
      </c>
      <c r="AS1087">
        <f t="shared" si="770"/>
        <v>0</v>
      </c>
      <c r="AT1087">
        <f t="shared" si="788"/>
        <v>0</v>
      </c>
      <c r="AU1087">
        <f>IFERROR(HLOOKUP(B1087,'Real assumptions'!$B$43:$AL$44,2,TRUE)*($W$3/$U$2),0)</f>
        <v>0</v>
      </c>
      <c r="AV1087">
        <f>AV1086*(1+'Real assumptions'!$B$35)^(1/12)</f>
        <v>3.0430209327348114</v>
      </c>
      <c r="AW1087">
        <f t="shared" si="771"/>
        <v>2108</v>
      </c>
      <c r="AX1087">
        <f t="shared" si="798"/>
        <v>4.7523172151237629E-2</v>
      </c>
      <c r="AY1087">
        <f t="shared" si="799"/>
        <v>4.4539310066568919E-5</v>
      </c>
      <c r="AZ1087">
        <f t="shared" si="772"/>
        <v>2.4745601166498599E-2</v>
      </c>
      <c r="BA1087">
        <f t="shared" si="789"/>
        <v>1.5277761788732514E-4</v>
      </c>
      <c r="BB1087">
        <f t="shared" si="790"/>
        <v>9.3333333333333286</v>
      </c>
      <c r="BC1087">
        <f t="shared" si="773"/>
        <v>5.599999999999997</v>
      </c>
      <c r="BD1087">
        <f t="shared" si="791"/>
        <v>0</v>
      </c>
      <c r="BE1087">
        <f t="shared" si="774"/>
        <v>24</v>
      </c>
      <c r="BF1087">
        <f t="shared" si="800"/>
        <v>5000</v>
      </c>
      <c r="BU1087"/>
      <c r="DW1087" s="89"/>
      <c r="DX1087" s="89"/>
      <c r="FD1087"/>
      <c r="FE1087"/>
    </row>
    <row r="1088" spans="1:161" x14ac:dyDescent="0.25">
      <c r="A1088" s="7">
        <f t="shared" si="792"/>
        <v>76215</v>
      </c>
      <c r="B1088">
        <f t="shared" si="775"/>
        <v>1077</v>
      </c>
      <c r="C1088">
        <f t="shared" si="801"/>
        <v>89.666666666666671</v>
      </c>
      <c r="D1088">
        <f t="shared" si="802"/>
        <v>0</v>
      </c>
      <c r="E1088">
        <f t="shared" si="776"/>
        <v>141</v>
      </c>
      <c r="F1088">
        <f>IF(C1088&gt;=$T$2,0,VLOOKUP($E1088,EKM_F05!$A$3:$C$128,2,TRUE))</f>
        <v>0</v>
      </c>
      <c r="G1088">
        <f>F1088*'Real assumptions'!$B$3</f>
        <v>0</v>
      </c>
      <c r="H1088">
        <f t="shared" si="803"/>
        <v>0</v>
      </c>
      <c r="I1088">
        <f t="shared" si="804"/>
        <v>0</v>
      </c>
      <c r="J1088">
        <f>IF(B1088&gt;$AJ$2,0,HLOOKUP(C1088,'Real assumptions'!$B$5:$L$8,4,TRUE))</f>
        <v>3.7900000000000003E-2</v>
      </c>
      <c r="K1088">
        <f t="shared" si="765"/>
        <v>1</v>
      </c>
      <c r="L1088">
        <f t="shared" si="793"/>
        <v>8.3333333333333329E-2</v>
      </c>
      <c r="M1088">
        <f t="shared" si="805"/>
        <v>3.2145624959929453E-3</v>
      </c>
      <c r="N1088">
        <f t="shared" si="806"/>
        <v>3.3908882680205982E-8</v>
      </c>
      <c r="O1088" s="8">
        <f t="shared" si="777"/>
        <v>1.0514612952709366E-5</v>
      </c>
      <c r="P1088">
        <f t="shared" si="778"/>
        <v>2.5316452404934971E-4</v>
      </c>
      <c r="Q1088">
        <f t="shared" si="794"/>
        <v>0</v>
      </c>
      <c r="R1088" s="89">
        <f t="shared" si="766"/>
        <v>5000</v>
      </c>
      <c r="S1088">
        <f t="shared" si="767"/>
        <v>0.25</v>
      </c>
      <c r="U1088">
        <f>O1087*AV1087*'Real assumptions'!$B$33/12+AX1088*'Real assumptions'!$B$34</f>
        <v>3.3398373569210873E-4</v>
      </c>
      <c r="V1088">
        <f>IF(P1088=0,0,IF(E1088&lt;=$C$7,$AN$5*O1087,0))*'Real assumptions'!$D$28</f>
        <v>0</v>
      </c>
      <c r="X1088" s="94">
        <f t="shared" si="779"/>
        <v>0</v>
      </c>
      <c r="Y1088">
        <f t="shared" si="768"/>
        <v>24</v>
      </c>
      <c r="Z1088">
        <f t="shared" si="795"/>
        <v>9</v>
      </c>
      <c r="AA1088">
        <f t="shared" si="769"/>
        <v>9.25</v>
      </c>
      <c r="AB1088">
        <f t="shared" si="780"/>
        <v>50.505050505050505</v>
      </c>
      <c r="AC1088">
        <f t="shared" si="807"/>
        <v>467.17171717171715</v>
      </c>
      <c r="AD1088">
        <f t="shared" si="781"/>
        <v>80.505050505050505</v>
      </c>
      <c r="AE1088">
        <f t="shared" si="782"/>
        <v>37.233585858585855</v>
      </c>
      <c r="AF1088" s="94">
        <f t="shared" si="783"/>
        <v>4495.594696969697</v>
      </c>
      <c r="AG1088">
        <f t="shared" si="796"/>
        <v>1.5244059315730162E-4</v>
      </c>
      <c r="AH1088">
        <f t="shared" si="784"/>
        <v>4.726943823088911E-2</v>
      </c>
      <c r="AI1088">
        <f>HLOOKUP(AW1088,'Real assumptions'!$A$21:$AK$24,2,TRUE)</f>
        <v>0</v>
      </c>
      <c r="AJ1088" s="123">
        <f t="shared" si="808"/>
        <v>0</v>
      </c>
      <c r="AK1088" s="122">
        <f>(1+HLOOKUP(YEAR(A1088),'Real assumptions'!$A$21:$AK$24,2,TRUE)/100)^(1/12)-1</f>
        <v>0</v>
      </c>
      <c r="AL1088">
        <f t="shared" si="797"/>
        <v>3.3398373569210873E-4</v>
      </c>
      <c r="AM1088">
        <f>('Real assumptions'!$B$33/12)*O1087*AV1087</f>
        <v>3.2099372754500698E-4</v>
      </c>
      <c r="AN1088">
        <f t="shared" si="785"/>
        <v>4.7293125104719863E-2</v>
      </c>
      <c r="AO1088">
        <f t="shared" si="809"/>
        <v>0</v>
      </c>
      <c r="AP1088" s="121">
        <f t="shared" si="786"/>
        <v>0</v>
      </c>
      <c r="AQ1088">
        <f t="shared" si="787"/>
        <v>0</v>
      </c>
      <c r="AR1088">
        <v>0</v>
      </c>
      <c r="AS1088">
        <f t="shared" si="770"/>
        <v>0</v>
      </c>
      <c r="AT1088">
        <f t="shared" si="788"/>
        <v>0</v>
      </c>
      <c r="AU1088">
        <f>IFERROR(HLOOKUP(B1088,'Real assumptions'!$B$43:$AL$44,2,TRUE)*($W$3/$U$2),0)</f>
        <v>0</v>
      </c>
      <c r="AV1088">
        <f>AV1087*(1+'Real assumptions'!$B$35)^(1/12)</f>
        <v>3.0461727295385352</v>
      </c>
      <c r="AW1088">
        <f t="shared" si="771"/>
        <v>2108</v>
      </c>
      <c r="AX1088">
        <f t="shared" si="798"/>
        <v>4.7418340452033449E-2</v>
      </c>
      <c r="AY1088">
        <f t="shared" si="799"/>
        <v>4.4396135670831523E-5</v>
      </c>
      <c r="AZ1088">
        <f t="shared" si="772"/>
        <v>2.4512341361698539E-2</v>
      </c>
      <c r="BA1088">
        <f t="shared" si="789"/>
        <v>1.5244059315730162E-4</v>
      </c>
      <c r="BB1088">
        <f t="shared" si="790"/>
        <v>9.25</v>
      </c>
      <c r="BC1088">
        <f t="shared" si="773"/>
        <v>5.55</v>
      </c>
      <c r="BD1088">
        <f t="shared" si="791"/>
        <v>0</v>
      </c>
      <c r="BE1088">
        <f t="shared" si="774"/>
        <v>24</v>
      </c>
      <c r="BF1088">
        <f t="shared" si="800"/>
        <v>5000</v>
      </c>
      <c r="BU1088"/>
      <c r="DW1088" s="89"/>
      <c r="DX1088" s="89"/>
      <c r="FD1088"/>
      <c r="FE1088"/>
    </row>
    <row r="1089" spans="1:161" x14ac:dyDescent="0.25">
      <c r="A1089" s="7">
        <f t="shared" si="792"/>
        <v>76245</v>
      </c>
      <c r="B1089">
        <f t="shared" si="775"/>
        <v>1078</v>
      </c>
      <c r="C1089">
        <f t="shared" si="801"/>
        <v>89.75</v>
      </c>
      <c r="D1089">
        <f t="shared" si="802"/>
        <v>0</v>
      </c>
      <c r="E1089">
        <f t="shared" si="776"/>
        <v>141</v>
      </c>
      <c r="F1089">
        <f>IF(C1089&gt;=$T$2,0,VLOOKUP($E1089,EKM_F05!$A$3:$C$128,2,TRUE))</f>
        <v>0</v>
      </c>
      <c r="G1089">
        <f>F1089*'Real assumptions'!$B$3</f>
        <v>0</v>
      </c>
      <c r="H1089">
        <f t="shared" si="803"/>
        <v>0</v>
      </c>
      <c r="I1089">
        <f t="shared" si="804"/>
        <v>0</v>
      </c>
      <c r="J1089">
        <f>IF(B1089&gt;$AJ$2,0,HLOOKUP(C1089,'Real assumptions'!$B$5:$L$8,4,TRUE))</f>
        <v>3.7900000000000003E-2</v>
      </c>
      <c r="K1089">
        <f t="shared" si="765"/>
        <v>1</v>
      </c>
      <c r="L1089">
        <f t="shared" si="793"/>
        <v>8.3333333333333329E-2</v>
      </c>
      <c r="M1089">
        <f t="shared" si="805"/>
        <v>3.2145624959929453E-3</v>
      </c>
      <c r="N1089">
        <f t="shared" si="806"/>
        <v>3.3799880457661172E-8</v>
      </c>
      <c r="O1089" s="8">
        <f t="shared" si="777"/>
        <v>1.0480813072251706E-5</v>
      </c>
      <c r="P1089">
        <f t="shared" si="778"/>
        <v>2.5235071086502476E-4</v>
      </c>
      <c r="Q1089">
        <f t="shared" si="794"/>
        <v>0</v>
      </c>
      <c r="R1089" s="89">
        <f t="shared" si="766"/>
        <v>5000</v>
      </c>
      <c r="S1089">
        <f t="shared" si="767"/>
        <v>0.1666666666666714</v>
      </c>
      <c r="U1089">
        <f>O1088*AV1088*'Real assumptions'!$B$33/12+AX1089*'Real assumptions'!$B$34</f>
        <v>3.332546125337923E-4</v>
      </c>
      <c r="V1089">
        <f>IF(P1089=0,0,IF(E1089&lt;=$C$7,$AN$5*O1088,0))*'Real assumptions'!$D$28</f>
        <v>0</v>
      </c>
      <c r="X1089" s="94">
        <f t="shared" si="779"/>
        <v>0</v>
      </c>
      <c r="Y1089">
        <f t="shared" si="768"/>
        <v>24</v>
      </c>
      <c r="Z1089">
        <f t="shared" si="795"/>
        <v>9</v>
      </c>
      <c r="AA1089">
        <f t="shared" si="769"/>
        <v>9.1666666666666714</v>
      </c>
      <c r="AB1089">
        <f t="shared" si="780"/>
        <v>50.505050505050505</v>
      </c>
      <c r="AC1089">
        <f t="shared" si="807"/>
        <v>462.96296296296322</v>
      </c>
      <c r="AD1089">
        <f t="shared" si="781"/>
        <v>80.505050505050505</v>
      </c>
      <c r="AE1089">
        <f t="shared" si="782"/>
        <v>36.898148148148167</v>
      </c>
      <c r="AF1089" s="94">
        <f t="shared" si="783"/>
        <v>4500.1388888888887</v>
      </c>
      <c r="AG1089">
        <f t="shared" si="796"/>
        <v>1.5210415648731661E-4</v>
      </c>
      <c r="AH1089">
        <f t="shared" si="784"/>
        <v>4.7165114493614928E-2</v>
      </c>
      <c r="AI1089">
        <f>HLOOKUP(AW1089,'Real assumptions'!$A$21:$AK$24,2,TRUE)</f>
        <v>0</v>
      </c>
      <c r="AJ1089" s="123">
        <f t="shared" si="808"/>
        <v>0</v>
      </c>
      <c r="AK1089" s="122">
        <f>(1+HLOOKUP(YEAR(A1089),'Real assumptions'!$A$21:$AK$24,2,TRUE)/100)^(1/12)-1</f>
        <v>0</v>
      </c>
      <c r="AL1089">
        <f t="shared" si="797"/>
        <v>3.332546125337923E-4</v>
      </c>
      <c r="AM1089">
        <f>('Real assumptions'!$B$33/12)*O1088*AV1088</f>
        <v>3.202932723819593E-4</v>
      </c>
      <c r="AN1089">
        <f t="shared" si="785"/>
        <v>4.7188534329220343E-2</v>
      </c>
      <c r="AO1089">
        <f t="shared" si="809"/>
        <v>0</v>
      </c>
      <c r="AP1089" s="121">
        <f t="shared" si="786"/>
        <v>0</v>
      </c>
      <c r="AQ1089">
        <f t="shared" si="787"/>
        <v>0</v>
      </c>
      <c r="AR1089">
        <v>0</v>
      </c>
      <c r="AS1089">
        <f t="shared" si="770"/>
        <v>0</v>
      </c>
      <c r="AT1089">
        <f t="shared" si="788"/>
        <v>0</v>
      </c>
      <c r="AU1089">
        <f>IFERROR(HLOOKUP(B1089,'Real assumptions'!$B$43:$AL$44,2,TRUE)*($W$3/$U$2),0)</f>
        <v>0</v>
      </c>
      <c r="AV1089">
        <f>AV1088*(1+'Real assumptions'!$B$35)^(1/12)</f>
        <v>3.0493277908032375</v>
      </c>
      <c r="AW1089">
        <f t="shared" si="771"/>
        <v>2108</v>
      </c>
      <c r="AX1089">
        <f t="shared" si="798"/>
        <v>4.7313691652407244E-2</v>
      </c>
      <c r="AY1089">
        <f t="shared" si="799"/>
        <v>4.4253421518137057E-5</v>
      </c>
      <c r="AZ1089">
        <f t="shared" si="772"/>
        <v>2.4279333303542455E-2</v>
      </c>
      <c r="BA1089">
        <f t="shared" si="789"/>
        <v>1.5210415648731661E-4</v>
      </c>
      <c r="BB1089">
        <f t="shared" si="790"/>
        <v>9.1666666666666714</v>
      </c>
      <c r="BC1089">
        <f t="shared" si="773"/>
        <v>5.5000000000000027</v>
      </c>
      <c r="BD1089">
        <f t="shared" si="791"/>
        <v>0</v>
      </c>
      <c r="BE1089">
        <f t="shared" si="774"/>
        <v>24</v>
      </c>
      <c r="BF1089">
        <f t="shared" si="800"/>
        <v>5000</v>
      </c>
      <c r="BU1089"/>
      <c r="DW1089" s="89"/>
      <c r="DX1089" s="89"/>
      <c r="FD1089"/>
      <c r="FE1089"/>
    </row>
    <row r="1090" spans="1:161" x14ac:dyDescent="0.25">
      <c r="A1090" s="7">
        <f t="shared" si="792"/>
        <v>76276</v>
      </c>
      <c r="B1090">
        <f t="shared" si="775"/>
        <v>1079</v>
      </c>
      <c r="C1090">
        <f t="shared" si="801"/>
        <v>89.833333333333329</v>
      </c>
      <c r="D1090">
        <f t="shared" si="802"/>
        <v>0</v>
      </c>
      <c r="E1090">
        <f t="shared" si="776"/>
        <v>141</v>
      </c>
      <c r="F1090">
        <f>IF(C1090&gt;=$T$2,0,VLOOKUP($E1090,EKM_F05!$A$3:$C$128,2,TRUE))</f>
        <v>0</v>
      </c>
      <c r="G1090">
        <f>F1090*'Real assumptions'!$B$3</f>
        <v>0</v>
      </c>
      <c r="H1090">
        <f t="shared" si="803"/>
        <v>0</v>
      </c>
      <c r="I1090">
        <f t="shared" si="804"/>
        <v>0</v>
      </c>
      <c r="J1090">
        <f>IF(B1090&gt;$AJ$2,0,HLOOKUP(C1090,'Real assumptions'!$B$5:$L$8,4,TRUE))</f>
        <v>3.7900000000000003E-2</v>
      </c>
      <c r="K1090">
        <f t="shared" si="765"/>
        <v>1</v>
      </c>
      <c r="L1090">
        <f t="shared" si="793"/>
        <v>8.3333333333333329E-2</v>
      </c>
      <c r="M1090">
        <f t="shared" si="805"/>
        <v>3.2145624959929453E-3</v>
      </c>
      <c r="N1090">
        <f t="shared" si="806"/>
        <v>3.3691228629572935E-8</v>
      </c>
      <c r="O1090" s="8">
        <f t="shared" si="777"/>
        <v>1.0447121843622133E-5</v>
      </c>
      <c r="P1090">
        <f t="shared" si="778"/>
        <v>2.5153951373404094E-4</v>
      </c>
      <c r="Q1090">
        <f t="shared" si="794"/>
        <v>0</v>
      </c>
      <c r="R1090" s="89">
        <f t="shared" si="766"/>
        <v>5000</v>
      </c>
      <c r="S1090">
        <f t="shared" si="767"/>
        <v>8.3333333333328596E-2</v>
      </c>
      <c r="U1090">
        <f>O1089*AV1089*'Real assumptions'!$B$33/12+AX1090*'Real assumptions'!$B$34</f>
        <v>3.3252706794989245E-4</v>
      </c>
      <c r="V1090">
        <f>IF(P1090=0,0,IF(E1090&lt;=$C$7,$AN$5*O1089,0))*'Real assumptions'!$D$28</f>
        <v>0</v>
      </c>
      <c r="X1090" s="94">
        <f t="shared" si="779"/>
        <v>0</v>
      </c>
      <c r="Y1090">
        <f t="shared" si="768"/>
        <v>24</v>
      </c>
      <c r="Z1090">
        <f t="shared" si="795"/>
        <v>9</v>
      </c>
      <c r="AA1090">
        <f t="shared" si="769"/>
        <v>9.0833333333333286</v>
      </c>
      <c r="AB1090">
        <f t="shared" si="780"/>
        <v>50.505050505050505</v>
      </c>
      <c r="AC1090">
        <f t="shared" si="807"/>
        <v>458.75420875420849</v>
      </c>
      <c r="AD1090">
        <f t="shared" si="781"/>
        <v>80.505050505050505</v>
      </c>
      <c r="AE1090">
        <f t="shared" si="782"/>
        <v>36.562710437710415</v>
      </c>
      <c r="AF1090" s="94">
        <f t="shared" si="783"/>
        <v>4504.6830808080804</v>
      </c>
      <c r="AG1090">
        <f t="shared" si="796"/>
        <v>1.51768307579274E-4</v>
      </c>
      <c r="AH1090">
        <f t="shared" si="784"/>
        <v>4.7060973012105142E-2</v>
      </c>
      <c r="AI1090">
        <f>HLOOKUP(AW1090,'Real assumptions'!$A$21:$AK$24,2,TRUE)</f>
        <v>0</v>
      </c>
      <c r="AJ1090" s="123">
        <f t="shared" si="808"/>
        <v>0</v>
      </c>
      <c r="AK1090" s="122">
        <f>(1+HLOOKUP(YEAR(A1090),'Real assumptions'!$A$21:$AK$24,2,TRUE)/100)^(1/12)-1</f>
        <v>0</v>
      </c>
      <c r="AL1090">
        <f t="shared" si="797"/>
        <v>3.3252706794989245E-4</v>
      </c>
      <c r="AM1090">
        <f>('Real assumptions'!$B$33/12)*O1089*AV1089</f>
        <v>3.1959434571430986E-4</v>
      </c>
      <c r="AN1090">
        <f t="shared" si="785"/>
        <v>4.7084126939399076E-2</v>
      </c>
      <c r="AO1090">
        <f t="shared" si="809"/>
        <v>0</v>
      </c>
      <c r="AP1090" s="121">
        <f t="shared" si="786"/>
        <v>0</v>
      </c>
      <c r="AQ1090">
        <f t="shared" si="787"/>
        <v>0</v>
      </c>
      <c r="AR1090">
        <v>0</v>
      </c>
      <c r="AS1090">
        <f t="shared" si="770"/>
        <v>0</v>
      </c>
      <c r="AT1090">
        <f t="shared" si="788"/>
        <v>0</v>
      </c>
      <c r="AU1090">
        <f>IFERROR(HLOOKUP(B1090,'Real assumptions'!$B$43:$AL$44,2,TRUE)*($W$3/$U$2),0)</f>
        <v>0</v>
      </c>
      <c r="AV1090">
        <f>AV1089*(1+'Real assumptions'!$B$35)^(1/12)</f>
        <v>3.0524861199100708</v>
      </c>
      <c r="AW1090">
        <f t="shared" si="771"/>
        <v>2108</v>
      </c>
      <c r="AX1090">
        <f t="shared" si="798"/>
        <v>4.7209225659743934E-2</v>
      </c>
      <c r="AY1090">
        <f t="shared" si="799"/>
        <v>4.4111166129005495E-5</v>
      </c>
      <c r="AZ1090">
        <f t="shared" si="772"/>
        <v>2.4046577441747329E-2</v>
      </c>
      <c r="BA1090">
        <f t="shared" si="789"/>
        <v>1.51768307579274E-4</v>
      </c>
      <c r="BB1090">
        <f t="shared" si="790"/>
        <v>9.0833333333333286</v>
      </c>
      <c r="BC1090">
        <f t="shared" si="773"/>
        <v>5.4499999999999975</v>
      </c>
      <c r="BD1090">
        <f t="shared" si="791"/>
        <v>0</v>
      </c>
      <c r="BE1090">
        <f t="shared" si="774"/>
        <v>24</v>
      </c>
      <c r="BF1090">
        <f t="shared" si="800"/>
        <v>5000</v>
      </c>
      <c r="BU1090"/>
      <c r="DW1090" s="89"/>
      <c r="DX1090" s="89"/>
      <c r="FD1090"/>
      <c r="FE1090"/>
    </row>
    <row r="1091" spans="1:161" x14ac:dyDescent="0.25">
      <c r="A1091" s="7">
        <f t="shared" si="792"/>
        <v>76306</v>
      </c>
      <c r="B1091">
        <f t="shared" si="775"/>
        <v>1080</v>
      </c>
      <c r="C1091">
        <f t="shared" si="801"/>
        <v>89.916666666666671</v>
      </c>
      <c r="D1091">
        <f t="shared" si="802"/>
        <v>0</v>
      </c>
      <c r="E1091">
        <f t="shared" si="776"/>
        <v>141</v>
      </c>
      <c r="F1091">
        <f>IF(C1091&gt;=$T$2,0,VLOOKUP($E1091,EKM_F05!$A$3:$C$128,2,TRUE))</f>
        <v>0</v>
      </c>
      <c r="G1091">
        <f>F1091*'Real assumptions'!$B$3</f>
        <v>0</v>
      </c>
      <c r="H1091">
        <f t="shared" si="803"/>
        <v>0</v>
      </c>
      <c r="I1091">
        <f t="shared" si="804"/>
        <v>0</v>
      </c>
      <c r="J1091">
        <f>IF(B1091&gt;$AJ$2,0,HLOOKUP(C1091,'Real assumptions'!$B$5:$L$8,4,TRUE))</f>
        <v>3.7900000000000003E-2</v>
      </c>
      <c r="K1091">
        <f t="shared" si="765"/>
        <v>1</v>
      </c>
      <c r="L1091">
        <f t="shared" si="793"/>
        <v>8.3333333333333329E-2</v>
      </c>
      <c r="M1091">
        <f t="shared" si="805"/>
        <v>3.2145624959929453E-3</v>
      </c>
      <c r="N1091">
        <f t="shared" si="806"/>
        <v>3.3582926069576385E-8</v>
      </c>
      <c r="O1091" s="8">
        <f t="shared" si="777"/>
        <v>1.0413538917552557E-5</v>
      </c>
      <c r="P1091">
        <f t="shared" si="778"/>
        <v>2.5073092424693117E-4</v>
      </c>
      <c r="Q1091">
        <f t="shared" si="794"/>
        <v>0</v>
      </c>
      <c r="R1091" s="89">
        <f t="shared" si="766"/>
        <v>5000</v>
      </c>
      <c r="S1091">
        <f t="shared" si="767"/>
        <v>1</v>
      </c>
      <c r="U1091">
        <f>O1090*AV1090*'Real assumptions'!$B$33/12+AX1091*'Real assumptions'!$B$34</f>
        <v>3.3180109857928309E-4</v>
      </c>
      <c r="V1091">
        <f>IF(P1091=0,0,IF(E1091&lt;=$C$7,$AN$5*O1090,0))*'Real assumptions'!$D$28</f>
        <v>0</v>
      </c>
      <c r="X1091" s="94">
        <f t="shared" si="779"/>
        <v>0</v>
      </c>
      <c r="Y1091">
        <f t="shared" si="768"/>
        <v>24</v>
      </c>
      <c r="Z1091">
        <f t="shared" si="795"/>
        <v>9</v>
      </c>
      <c r="AA1091">
        <f t="shared" si="769"/>
        <v>9</v>
      </c>
      <c r="AB1091">
        <f t="shared" si="780"/>
        <v>50.505050505050505</v>
      </c>
      <c r="AC1091">
        <f t="shared" si="807"/>
        <v>454.54545454545456</v>
      </c>
      <c r="AD1091">
        <f t="shared" si="781"/>
        <v>80.505050505050505</v>
      </c>
      <c r="AE1091">
        <f t="shared" si="782"/>
        <v>36.227272727272727</v>
      </c>
      <c r="AF1091" s="94">
        <f t="shared" si="783"/>
        <v>4509.2272727272721</v>
      </c>
      <c r="AG1091">
        <f t="shared" si="796"/>
        <v>1.5143304613091753E-4</v>
      </c>
      <c r="AH1091">
        <f t="shared" si="784"/>
        <v>4.6957013692634823E-2</v>
      </c>
      <c r="AI1091">
        <f>HLOOKUP(AW1091,'Real assumptions'!$A$21:$AK$24,2,TRUE)</f>
        <v>0</v>
      </c>
      <c r="AJ1091" s="123">
        <f t="shared" si="808"/>
        <v>0</v>
      </c>
      <c r="AK1091" s="122">
        <f>(1+HLOOKUP(YEAR(A1091),'Real assumptions'!$A$21:$AK$24,2,TRUE)/100)^(1/12)-1</f>
        <v>0</v>
      </c>
      <c r="AL1091">
        <f t="shared" si="797"/>
        <v>3.3180109857928309E-4</v>
      </c>
      <c r="AM1091">
        <f>('Real assumptions'!$B$33/12)*O1090*AV1090</f>
        <v>3.1889694420665871E-4</v>
      </c>
      <c r="AN1091">
        <f t="shared" si="785"/>
        <v>4.6979902837772793E-2</v>
      </c>
      <c r="AO1091">
        <f t="shared" si="809"/>
        <v>0</v>
      </c>
      <c r="AP1091" s="121">
        <f t="shared" si="786"/>
        <v>0</v>
      </c>
      <c r="AQ1091">
        <f t="shared" si="787"/>
        <v>0</v>
      </c>
      <c r="AR1091">
        <v>0</v>
      </c>
      <c r="AS1091">
        <f t="shared" si="770"/>
        <v>0</v>
      </c>
      <c r="AT1091">
        <f t="shared" si="788"/>
        <v>0</v>
      </c>
      <c r="AU1091">
        <f>IFERROR(HLOOKUP(B1091,'Real assumptions'!$B$43:$AL$44,2,TRUE)*($W$3/$U$2),0)</f>
        <v>0</v>
      </c>
      <c r="AV1091">
        <f>AV1090*(1+'Real assumptions'!$B$35)^(1/12)</f>
        <v>3.0556477202436896</v>
      </c>
      <c r="AW1091">
        <f t="shared" si="771"/>
        <v>2108</v>
      </c>
      <c r="AX1091">
        <f t="shared" si="798"/>
        <v>4.7104942380133852E-2</v>
      </c>
      <c r="AY1091">
        <f t="shared" si="799"/>
        <v>4.3969368028712681E-5</v>
      </c>
      <c r="AZ1091">
        <f t="shared" si="772"/>
        <v>2.3814074221284058E-2</v>
      </c>
      <c r="BA1091">
        <f t="shared" si="789"/>
        <v>1.5143304613091753E-4</v>
      </c>
      <c r="BB1091">
        <f t="shared" si="790"/>
        <v>9</v>
      </c>
      <c r="BC1091">
        <f t="shared" si="773"/>
        <v>5.4</v>
      </c>
      <c r="BD1091">
        <f t="shared" si="791"/>
        <v>0</v>
      </c>
      <c r="BE1091">
        <f t="shared" si="774"/>
        <v>24</v>
      </c>
      <c r="BF1091">
        <f t="shared" si="800"/>
        <v>5000</v>
      </c>
      <c r="BU1091"/>
      <c r="DW1091" s="89"/>
      <c r="DX1091" s="89"/>
      <c r="FD1091"/>
      <c r="FE1091"/>
    </row>
    <row r="1092" spans="1:161" x14ac:dyDescent="0.25">
      <c r="A1092" s="7">
        <f t="shared" si="792"/>
        <v>76337</v>
      </c>
      <c r="B1092">
        <f t="shared" si="775"/>
        <v>1081</v>
      </c>
      <c r="C1092">
        <f t="shared" si="801"/>
        <v>90</v>
      </c>
      <c r="D1092">
        <f t="shared" si="802"/>
        <v>1</v>
      </c>
      <c r="E1092">
        <f t="shared" si="776"/>
        <v>142</v>
      </c>
      <c r="F1092">
        <f>IF(C1092&gt;=$T$2,0,VLOOKUP($E1092,EKM_F05!$A$3:$C$128,2,TRUE))</f>
        <v>0</v>
      </c>
      <c r="G1092">
        <f>F1092*'Real assumptions'!$B$3</f>
        <v>0</v>
      </c>
      <c r="H1092">
        <f t="shared" si="803"/>
        <v>0</v>
      </c>
      <c r="I1092">
        <f t="shared" si="804"/>
        <v>0</v>
      </c>
      <c r="J1092">
        <f>IF(B1092&gt;$AJ$2,0,HLOOKUP(C1092,'Real assumptions'!$B$5:$L$8,4,TRUE))</f>
        <v>3.7900000000000003E-2</v>
      </c>
      <c r="K1092">
        <f t="shared" si="765"/>
        <v>1</v>
      </c>
      <c r="L1092">
        <f t="shared" si="793"/>
        <v>8.3333333333333329E-2</v>
      </c>
      <c r="M1092">
        <f t="shared" si="805"/>
        <v>3.2145624959929453E-3</v>
      </c>
      <c r="N1092">
        <f t="shared" si="806"/>
        <v>3.3474971654927418E-8</v>
      </c>
      <c r="O1092" s="8">
        <f t="shared" si="777"/>
        <v>1.038006394589763E-5</v>
      </c>
      <c r="P1092">
        <f t="shared" si="778"/>
        <v>2.4992493402126138E-4</v>
      </c>
      <c r="Q1092">
        <f t="shared" si="794"/>
        <v>0</v>
      </c>
      <c r="R1092" s="89">
        <f t="shared" si="766"/>
        <v>5000</v>
      </c>
      <c r="S1092">
        <f t="shared" si="767"/>
        <v>0.9166666666666714</v>
      </c>
      <c r="U1092">
        <f>O1091*AV1091*'Real assumptions'!$B$33/12+AX1092*'Real assumptions'!$B$34</f>
        <v>3.310767010677642E-4</v>
      </c>
      <c r="V1092">
        <f>IF(P1092=0,0,IF(E1092&lt;=$C$7,$AN$5*O1091,0))*'Real assumptions'!$D$28</f>
        <v>0</v>
      </c>
      <c r="X1092" s="94">
        <f t="shared" si="779"/>
        <v>0</v>
      </c>
      <c r="Y1092">
        <f t="shared" si="768"/>
        <v>24</v>
      </c>
      <c r="Z1092">
        <f t="shared" si="795"/>
        <v>9</v>
      </c>
      <c r="AA1092">
        <f t="shared" si="769"/>
        <v>8.9166666666666714</v>
      </c>
      <c r="AB1092">
        <f t="shared" si="780"/>
        <v>50.505050505050505</v>
      </c>
      <c r="AC1092">
        <f t="shared" si="807"/>
        <v>450.33670033670057</v>
      </c>
      <c r="AD1092">
        <f t="shared" si="781"/>
        <v>80.505050505050505</v>
      </c>
      <c r="AE1092">
        <f t="shared" si="782"/>
        <v>35.891835016835032</v>
      </c>
      <c r="AF1092" s="94">
        <f t="shared" si="783"/>
        <v>4513.7714646464647</v>
      </c>
      <c r="AG1092">
        <f t="shared" si="796"/>
        <v>1.5109837183586061E-4</v>
      </c>
      <c r="AH1092">
        <f t="shared" si="784"/>
        <v>4.6853236440198308E-2</v>
      </c>
      <c r="AI1092">
        <f>HLOOKUP(AW1092,'Real assumptions'!$A$21:$AK$24,2,TRUE)</f>
        <v>0</v>
      </c>
      <c r="AJ1092" s="123">
        <f t="shared" si="808"/>
        <v>0</v>
      </c>
      <c r="AK1092" s="122">
        <f>(1+HLOOKUP(YEAR(A1092),'Real assumptions'!$A$21:$AK$24,2,TRUE)/100)^(1/12)-1</f>
        <v>0</v>
      </c>
      <c r="AL1092">
        <f t="shared" si="797"/>
        <v>3.310767010677642E-4</v>
      </c>
      <c r="AM1092">
        <f>('Real assumptions'!$B$33/12)*O1091*AV1091</f>
        <v>3.1820106453088411E-4</v>
      </c>
      <c r="AN1092">
        <f t="shared" si="785"/>
        <v>4.6875861925588319E-2</v>
      </c>
      <c r="AO1092">
        <f t="shared" si="809"/>
        <v>0</v>
      </c>
      <c r="AP1092" s="121">
        <f t="shared" si="786"/>
        <v>0</v>
      </c>
      <c r="AQ1092">
        <f t="shared" si="787"/>
        <v>0</v>
      </c>
      <c r="AR1092">
        <v>0</v>
      </c>
      <c r="AS1092">
        <f t="shared" si="770"/>
        <v>0</v>
      </c>
      <c r="AT1092">
        <f t="shared" si="788"/>
        <v>0</v>
      </c>
      <c r="AU1092">
        <f>IFERROR(HLOOKUP(B1092,'Real assumptions'!$B$43:$AL$44,2,TRUE)*($W$3/$U$2),0)</f>
        <v>0</v>
      </c>
      <c r="AV1092">
        <f>AV1091*(1+'Real assumptions'!$B$35)^(1/12)</f>
        <v>3.0588125951922542</v>
      </c>
      <c r="AW1092">
        <f t="shared" si="771"/>
        <v>2108</v>
      </c>
      <c r="AX1092">
        <f t="shared" si="798"/>
        <v>4.7000841718382098E-2</v>
      </c>
      <c r="AY1092">
        <f t="shared" si="799"/>
        <v>4.3828025747275068E-5</v>
      </c>
      <c r="AZ1092">
        <f t="shared" si="772"/>
        <v>2.3581824082401698E-2</v>
      </c>
      <c r="BA1092">
        <f t="shared" si="789"/>
        <v>1.5109837183586061E-4</v>
      </c>
      <c r="BB1092">
        <f t="shared" si="790"/>
        <v>8.9166666666666714</v>
      </c>
      <c r="BC1092">
        <f t="shared" si="773"/>
        <v>5.3500000000000032</v>
      </c>
      <c r="BD1092">
        <f t="shared" si="791"/>
        <v>0</v>
      </c>
      <c r="BE1092">
        <f t="shared" si="774"/>
        <v>24</v>
      </c>
      <c r="BF1092">
        <f t="shared" si="800"/>
        <v>5000</v>
      </c>
      <c r="BU1092"/>
      <c r="DW1092" s="89"/>
      <c r="DX1092" s="89"/>
      <c r="FD1092"/>
      <c r="FE1092"/>
    </row>
    <row r="1093" spans="1:161" x14ac:dyDescent="0.25">
      <c r="A1093" s="7">
        <f t="shared" si="792"/>
        <v>76368</v>
      </c>
      <c r="B1093">
        <f t="shared" si="775"/>
        <v>1082</v>
      </c>
      <c r="C1093">
        <f t="shared" si="801"/>
        <v>90.083333333333329</v>
      </c>
      <c r="D1093">
        <f t="shared" si="802"/>
        <v>0</v>
      </c>
      <c r="E1093">
        <f t="shared" si="776"/>
        <v>142</v>
      </c>
      <c r="F1093">
        <f>IF(C1093&gt;=$T$2,0,VLOOKUP($E1093,EKM_F05!$A$3:$C$128,2,TRUE))</f>
        <v>0</v>
      </c>
      <c r="G1093">
        <f>F1093*'Real assumptions'!$B$3</f>
        <v>0</v>
      </c>
      <c r="H1093">
        <f t="shared" si="803"/>
        <v>0</v>
      </c>
      <c r="I1093">
        <f t="shared" si="804"/>
        <v>0</v>
      </c>
      <c r="J1093">
        <f>IF(B1093&gt;$AJ$2,0,HLOOKUP(C1093,'Real assumptions'!$B$5:$L$8,4,TRUE))</f>
        <v>3.7900000000000003E-2</v>
      </c>
      <c r="K1093">
        <f t="shared" si="765"/>
        <v>1</v>
      </c>
      <c r="L1093">
        <f t="shared" si="793"/>
        <v>8.3333333333333329E-2</v>
      </c>
      <c r="M1093">
        <f t="shared" si="805"/>
        <v>3.2145624959929453E-3</v>
      </c>
      <c r="N1093">
        <f t="shared" si="806"/>
        <v>3.3367364266491065E-8</v>
      </c>
      <c r="O1093" s="8">
        <f t="shared" si="777"/>
        <v>1.0346696581631139E-5</v>
      </c>
      <c r="P1093">
        <f t="shared" si="778"/>
        <v>2.4912153470154312E-4</v>
      </c>
      <c r="Q1093">
        <f t="shared" si="794"/>
        <v>0</v>
      </c>
      <c r="R1093" s="89">
        <f t="shared" si="766"/>
        <v>5000</v>
      </c>
      <c r="S1093">
        <f t="shared" si="767"/>
        <v>0.8333333333333286</v>
      </c>
      <c r="U1093">
        <f>O1092*AV1092*'Real assumptions'!$B$33/12+AX1093*'Real assumptions'!$B$34</f>
        <v>3.3035387206804909E-4</v>
      </c>
      <c r="V1093">
        <f>IF(P1093=0,0,IF(E1093&lt;=$C$7,$AN$5*O1092,0))*'Real assumptions'!$D$28</f>
        <v>0</v>
      </c>
      <c r="X1093" s="94">
        <f t="shared" si="779"/>
        <v>0</v>
      </c>
      <c r="Y1093">
        <f t="shared" si="768"/>
        <v>24</v>
      </c>
      <c r="Z1093">
        <f t="shared" si="795"/>
        <v>8</v>
      </c>
      <c r="AA1093">
        <f t="shared" si="769"/>
        <v>8.8333333333333286</v>
      </c>
      <c r="AB1093">
        <f t="shared" si="780"/>
        <v>50.505050505050505</v>
      </c>
      <c r="AC1093">
        <f t="shared" si="807"/>
        <v>446.1279461279459</v>
      </c>
      <c r="AD1093">
        <f t="shared" si="781"/>
        <v>80.505050505050505</v>
      </c>
      <c r="AE1093">
        <f t="shared" si="782"/>
        <v>35.556397306397287</v>
      </c>
      <c r="AF1093" s="94">
        <f t="shared" si="783"/>
        <v>4518.3156565656573</v>
      </c>
      <c r="AG1093">
        <f t="shared" si="796"/>
        <v>1.5076428438361603E-4</v>
      </c>
      <c r="AH1093">
        <f t="shared" si="784"/>
        <v>4.6749641158518346E-2</v>
      </c>
      <c r="AI1093">
        <f>HLOOKUP(AW1093,'Real assumptions'!$A$21:$AK$24,2,TRUE)</f>
        <v>0</v>
      </c>
      <c r="AJ1093" s="123">
        <f t="shared" si="808"/>
        <v>0</v>
      </c>
      <c r="AK1093" s="122">
        <f>(1+HLOOKUP(YEAR(A1093),'Real assumptions'!$A$21:$AK$24,2,TRUE)/100)^(1/12)-1</f>
        <v>0</v>
      </c>
      <c r="AL1093">
        <f t="shared" si="797"/>
        <v>3.3035387206804909E-4</v>
      </c>
      <c r="AM1093">
        <f>('Real assumptions'!$B$33/12)*O1092*AV1092</f>
        <v>3.175067033661268E-4</v>
      </c>
      <c r="AN1093">
        <f t="shared" si="785"/>
        <v>4.6772004102831805E-2</v>
      </c>
      <c r="AO1093">
        <f t="shared" si="809"/>
        <v>0</v>
      </c>
      <c r="AP1093" s="121">
        <f t="shared" si="786"/>
        <v>0</v>
      </c>
      <c r="AQ1093">
        <f t="shared" si="787"/>
        <v>0</v>
      </c>
      <c r="AR1093">
        <v>0</v>
      </c>
      <c r="AS1093">
        <f t="shared" si="770"/>
        <v>0</v>
      </c>
      <c r="AT1093">
        <f t="shared" si="788"/>
        <v>0</v>
      </c>
      <c r="AU1093">
        <f>IFERROR(HLOOKUP(B1093,'Real assumptions'!$B$43:$AL$44,2,TRUE)*($W$3/$U$2),0)</f>
        <v>0</v>
      </c>
      <c r="AV1093">
        <f>AV1092*(1+'Real assumptions'!$B$35)^(1/12)</f>
        <v>3.0619807481474339</v>
      </c>
      <c r="AW1093">
        <f t="shared" si="771"/>
        <v>2109</v>
      </c>
      <c r="AX1093">
        <f t="shared" si="798"/>
        <v>4.6896923578017745E-2</v>
      </c>
      <c r="AY1093">
        <f t="shared" si="799"/>
        <v>4.3687137819434464E-5</v>
      </c>
      <c r="AZ1093">
        <f t="shared" si="772"/>
        <v>2.3349827460651576E-2</v>
      </c>
      <c r="BA1093">
        <f t="shared" si="789"/>
        <v>1.5076428438361603E-4</v>
      </c>
      <c r="BB1093">
        <f t="shared" si="790"/>
        <v>8.8333333333333286</v>
      </c>
      <c r="BC1093">
        <f t="shared" si="773"/>
        <v>5.2999999999999972</v>
      </c>
      <c r="BD1093">
        <f t="shared" si="791"/>
        <v>0</v>
      </c>
      <c r="BE1093">
        <f t="shared" si="774"/>
        <v>24</v>
      </c>
      <c r="BF1093">
        <f t="shared" si="800"/>
        <v>5000</v>
      </c>
      <c r="BU1093"/>
      <c r="DW1093" s="89"/>
      <c r="DX1093" s="89"/>
      <c r="FD1093"/>
      <c r="FE1093"/>
    </row>
    <row r="1094" spans="1:161" x14ac:dyDescent="0.25">
      <c r="A1094" s="7">
        <f t="shared" si="792"/>
        <v>76396</v>
      </c>
      <c r="B1094">
        <f t="shared" si="775"/>
        <v>1083</v>
      </c>
      <c r="C1094">
        <f t="shared" si="801"/>
        <v>90.166666666666671</v>
      </c>
      <c r="D1094">
        <f t="shared" si="802"/>
        <v>0</v>
      </c>
      <c r="E1094">
        <f t="shared" si="776"/>
        <v>142</v>
      </c>
      <c r="F1094">
        <f>IF(C1094&gt;=$T$2,0,VLOOKUP($E1094,EKM_F05!$A$3:$C$128,2,TRUE))</f>
        <v>0</v>
      </c>
      <c r="G1094">
        <f>F1094*'Real assumptions'!$B$3</f>
        <v>0</v>
      </c>
      <c r="H1094">
        <f t="shared" si="803"/>
        <v>0</v>
      </c>
      <c r="I1094">
        <f t="shared" si="804"/>
        <v>0</v>
      </c>
      <c r="J1094">
        <f>IF(B1094&gt;$AJ$2,0,HLOOKUP(C1094,'Real assumptions'!$B$5:$L$8,4,TRUE))</f>
        <v>3.7900000000000003E-2</v>
      </c>
      <c r="K1094">
        <f t="shared" si="765"/>
        <v>1</v>
      </c>
      <c r="L1094">
        <f t="shared" si="793"/>
        <v>8.3333333333333329E-2</v>
      </c>
      <c r="M1094">
        <f t="shared" si="805"/>
        <v>3.2145624959929453E-3</v>
      </c>
      <c r="N1094">
        <f t="shared" si="806"/>
        <v>3.326010278872987E-8</v>
      </c>
      <c r="O1094" s="8">
        <f t="shared" si="777"/>
        <v>1.031343647884241E-5</v>
      </c>
      <c r="P1094">
        <f t="shared" si="778"/>
        <v>2.4832071795914733E-4</v>
      </c>
      <c r="Q1094">
        <f t="shared" si="794"/>
        <v>0</v>
      </c>
      <c r="R1094" s="89">
        <f t="shared" si="766"/>
        <v>5000</v>
      </c>
      <c r="S1094">
        <f t="shared" si="767"/>
        <v>0.75</v>
      </c>
      <c r="U1094">
        <f>O1093*AV1093*'Real assumptions'!$B$33/12+AX1094*'Real assumptions'!$B$34</f>
        <v>3.2963260823975013E-4</v>
      </c>
      <c r="V1094">
        <f>IF(P1094=0,0,IF(E1094&lt;=$C$7,$AN$5*O1093,0))*'Real assumptions'!$D$28</f>
        <v>0</v>
      </c>
      <c r="X1094" s="94">
        <f t="shared" si="779"/>
        <v>0</v>
      </c>
      <c r="Y1094">
        <f t="shared" si="768"/>
        <v>24</v>
      </c>
      <c r="Z1094">
        <f t="shared" si="795"/>
        <v>8</v>
      </c>
      <c r="AA1094">
        <f t="shared" si="769"/>
        <v>8.75</v>
      </c>
      <c r="AB1094">
        <f t="shared" si="780"/>
        <v>50.505050505050505</v>
      </c>
      <c r="AC1094">
        <f t="shared" si="807"/>
        <v>441.91919191919192</v>
      </c>
      <c r="AD1094">
        <f t="shared" si="781"/>
        <v>80.505050505050505</v>
      </c>
      <c r="AE1094">
        <f t="shared" si="782"/>
        <v>35.220959595959592</v>
      </c>
      <c r="AF1094" s="94">
        <f t="shared" si="783"/>
        <v>4522.859848484849</v>
      </c>
      <c r="AG1094">
        <f t="shared" si="796"/>
        <v>1.5043078345962528E-4</v>
      </c>
      <c r="AH1094">
        <f t="shared" si="784"/>
        <v>4.6646227750055294E-2</v>
      </c>
      <c r="AI1094">
        <f>HLOOKUP(AW1094,'Real assumptions'!$A$21:$AK$24,2,TRUE)</f>
        <v>0</v>
      </c>
      <c r="AJ1094" s="123">
        <f t="shared" si="808"/>
        <v>0</v>
      </c>
      <c r="AK1094" s="122">
        <f>(1+HLOOKUP(YEAR(A1094),'Real assumptions'!$A$21:$AK$24,2,TRUE)/100)^(1/12)-1</f>
        <v>0</v>
      </c>
      <c r="AL1094">
        <f t="shared" si="797"/>
        <v>3.2963260823975013E-4</v>
      </c>
      <c r="AM1094">
        <f>('Real assumptions'!$B$33/12)*O1093*AV1093</f>
        <v>3.1681385739877415E-4</v>
      </c>
      <c r="AN1094">
        <f t="shared" si="785"/>
        <v>4.6668329268237739E-2</v>
      </c>
      <c r="AO1094">
        <f t="shared" si="809"/>
        <v>0</v>
      </c>
      <c r="AP1094" s="121">
        <f t="shared" si="786"/>
        <v>0</v>
      </c>
      <c r="AQ1094">
        <f t="shared" si="787"/>
        <v>0</v>
      </c>
      <c r="AR1094">
        <v>0</v>
      </c>
      <c r="AS1094">
        <f t="shared" si="770"/>
        <v>0</v>
      </c>
      <c r="AT1094">
        <f t="shared" si="788"/>
        <v>0</v>
      </c>
      <c r="AU1094">
        <f>IFERROR(HLOOKUP(B1094,'Real assumptions'!$B$43:$AL$44,2,TRUE)*($W$3/$U$2),0)</f>
        <v>0</v>
      </c>
      <c r="AV1094">
        <f>AV1093*(1+'Real assumptions'!$B$35)^(1/12)</f>
        <v>3.0651521825044106</v>
      </c>
      <c r="AW1094">
        <f t="shared" si="771"/>
        <v>2109</v>
      </c>
      <c r="AX1094">
        <f t="shared" si="798"/>
        <v>4.6793187861302987E-2</v>
      </c>
      <c r="AY1094">
        <f t="shared" si="799"/>
        <v>4.3546702784642838E-5</v>
      </c>
      <c r="AZ1094">
        <f t="shared" si="772"/>
        <v>2.3118084786911349E-2</v>
      </c>
      <c r="BA1094">
        <f t="shared" si="789"/>
        <v>1.5043078345962528E-4</v>
      </c>
      <c r="BB1094">
        <f t="shared" si="790"/>
        <v>8.75</v>
      </c>
      <c r="BC1094">
        <f t="shared" si="773"/>
        <v>5.25</v>
      </c>
      <c r="BD1094">
        <f t="shared" si="791"/>
        <v>0</v>
      </c>
      <c r="BE1094">
        <f t="shared" si="774"/>
        <v>24</v>
      </c>
      <c r="BF1094">
        <f t="shared" si="800"/>
        <v>5000</v>
      </c>
      <c r="BU1094"/>
      <c r="DW1094" s="89"/>
      <c r="DX1094" s="89"/>
      <c r="FD1094"/>
      <c r="FE1094"/>
    </row>
    <row r="1095" spans="1:161" x14ac:dyDescent="0.25">
      <c r="A1095" s="7">
        <f t="shared" si="792"/>
        <v>76427</v>
      </c>
      <c r="B1095">
        <f t="shared" si="775"/>
        <v>1084</v>
      </c>
      <c r="C1095">
        <f t="shared" si="801"/>
        <v>90.25</v>
      </c>
      <c r="D1095">
        <f t="shared" si="802"/>
        <v>0</v>
      </c>
      <c r="E1095">
        <f t="shared" si="776"/>
        <v>142</v>
      </c>
      <c r="F1095">
        <f>IF(C1095&gt;=$T$2,0,VLOOKUP($E1095,EKM_F05!$A$3:$C$128,2,TRUE))</f>
        <v>0</v>
      </c>
      <c r="G1095">
        <f>F1095*'Real assumptions'!$B$3</f>
        <v>0</v>
      </c>
      <c r="H1095">
        <f t="shared" si="803"/>
        <v>0</v>
      </c>
      <c r="I1095">
        <f t="shared" si="804"/>
        <v>0</v>
      </c>
      <c r="J1095">
        <f>IF(B1095&gt;$AJ$2,0,HLOOKUP(C1095,'Real assumptions'!$B$5:$L$8,4,TRUE))</f>
        <v>3.7900000000000003E-2</v>
      </c>
      <c r="K1095">
        <f t="shared" si="765"/>
        <v>1</v>
      </c>
      <c r="L1095">
        <f t="shared" si="793"/>
        <v>8.3333333333333329E-2</v>
      </c>
      <c r="M1095">
        <f t="shared" si="805"/>
        <v>3.2145624959929453E-3</v>
      </c>
      <c r="N1095">
        <f t="shared" si="806"/>
        <v>3.3153186109692347E-8</v>
      </c>
      <c r="O1095" s="8">
        <f t="shared" si="777"/>
        <v>1.0280283292732717E-5</v>
      </c>
      <c r="P1095">
        <f t="shared" si="778"/>
        <v>2.4752247549221783E-4</v>
      </c>
      <c r="Q1095">
        <f t="shared" si="794"/>
        <v>0</v>
      </c>
      <c r="R1095" s="89">
        <f t="shared" si="766"/>
        <v>5000</v>
      </c>
      <c r="S1095">
        <f t="shared" si="767"/>
        <v>0.6666666666666714</v>
      </c>
      <c r="U1095">
        <f>O1094*AV1094*'Real assumptions'!$B$33/12+AX1095*'Real assumptions'!$B$34</f>
        <v>3.2891290624936608E-4</v>
      </c>
      <c r="V1095">
        <f>IF(P1095=0,0,IF(E1095&lt;=$C$7,$AN$5*O1094,0))*'Real assumptions'!$D$28</f>
        <v>0</v>
      </c>
      <c r="X1095" s="94">
        <f t="shared" si="779"/>
        <v>0</v>
      </c>
      <c r="Y1095">
        <f t="shared" si="768"/>
        <v>24</v>
      </c>
      <c r="Z1095">
        <f t="shared" si="795"/>
        <v>8</v>
      </c>
      <c r="AA1095">
        <f t="shared" si="769"/>
        <v>8.6666666666666714</v>
      </c>
      <c r="AB1095">
        <f t="shared" si="780"/>
        <v>50.505050505050505</v>
      </c>
      <c r="AC1095">
        <f t="shared" si="807"/>
        <v>437.71043771043793</v>
      </c>
      <c r="AD1095">
        <f t="shared" si="781"/>
        <v>80.505050505050505</v>
      </c>
      <c r="AE1095">
        <f t="shared" si="782"/>
        <v>34.885521885521904</v>
      </c>
      <c r="AF1095" s="94">
        <f t="shared" si="783"/>
        <v>4527.4040404040406</v>
      </c>
      <c r="AG1095">
        <f t="shared" si="796"/>
        <v>1.5009786874528824E-4</v>
      </c>
      <c r="AH1095">
        <f t="shared" si="784"/>
        <v>4.6542996116016255E-2</v>
      </c>
      <c r="AI1095">
        <f>HLOOKUP(AW1095,'Real assumptions'!$A$21:$AK$24,2,TRUE)</f>
        <v>0</v>
      </c>
      <c r="AJ1095" s="123">
        <f t="shared" si="808"/>
        <v>0</v>
      </c>
      <c r="AK1095" s="122">
        <f>(1+HLOOKUP(YEAR(A1095),'Real assumptions'!$A$21:$AK$24,2,TRUE)/100)^(1/12)-1</f>
        <v>0</v>
      </c>
      <c r="AL1095">
        <f t="shared" si="797"/>
        <v>3.2891290624936608E-4</v>
      </c>
      <c r="AM1095">
        <f>('Real assumptions'!$B$33/12)*O1094*AV1094</f>
        <v>3.1612252332244414E-4</v>
      </c>
      <c r="AN1095">
        <f t="shared" si="785"/>
        <v>4.6564837319298141E-2</v>
      </c>
      <c r="AO1095">
        <f t="shared" si="809"/>
        <v>0</v>
      </c>
      <c r="AP1095" s="121">
        <f t="shared" si="786"/>
        <v>0</v>
      </c>
      <c r="AQ1095">
        <f t="shared" si="787"/>
        <v>0</v>
      </c>
      <c r="AR1095">
        <v>0</v>
      </c>
      <c r="AS1095">
        <f t="shared" si="770"/>
        <v>0</v>
      </c>
      <c r="AT1095">
        <f t="shared" si="788"/>
        <v>0</v>
      </c>
      <c r="AU1095">
        <f>IFERROR(HLOOKUP(B1095,'Real assumptions'!$B$43:$AL$44,2,TRUE)*($W$3/$U$2),0)</f>
        <v>0</v>
      </c>
      <c r="AV1095">
        <f>AV1094*(1+'Real assumptions'!$B$35)^(1/12)</f>
        <v>3.0683269016618837</v>
      </c>
      <c r="AW1095">
        <f t="shared" si="771"/>
        <v>2109</v>
      </c>
      <c r="AX1095">
        <f t="shared" si="798"/>
        <v>4.668963446924234E-2</v>
      </c>
      <c r="AY1095">
        <f t="shared" si="799"/>
        <v>4.3406719187047173E-5</v>
      </c>
      <c r="AZ1095">
        <f t="shared" si="772"/>
        <v>2.2886596487408914E-2</v>
      </c>
      <c r="BA1095">
        <f t="shared" si="789"/>
        <v>1.5009786874528824E-4</v>
      </c>
      <c r="BB1095">
        <f t="shared" si="790"/>
        <v>8.6666666666666714</v>
      </c>
      <c r="BC1095">
        <f t="shared" si="773"/>
        <v>5.2000000000000028</v>
      </c>
      <c r="BD1095">
        <f t="shared" si="791"/>
        <v>0</v>
      </c>
      <c r="BE1095">
        <f t="shared" si="774"/>
        <v>24</v>
      </c>
      <c r="BF1095">
        <f t="shared" si="800"/>
        <v>5000</v>
      </c>
      <c r="BU1095"/>
      <c r="DW1095" s="89"/>
      <c r="DX1095" s="89"/>
      <c r="FD1095"/>
      <c r="FE1095"/>
    </row>
    <row r="1096" spans="1:161" x14ac:dyDescent="0.25">
      <c r="A1096" s="7">
        <f t="shared" si="792"/>
        <v>76457</v>
      </c>
      <c r="B1096">
        <f t="shared" si="775"/>
        <v>1085</v>
      </c>
      <c r="C1096">
        <f t="shared" si="801"/>
        <v>90.333333333333329</v>
      </c>
      <c r="D1096">
        <f t="shared" si="802"/>
        <v>0</v>
      </c>
      <c r="E1096">
        <f t="shared" si="776"/>
        <v>142</v>
      </c>
      <c r="F1096">
        <f>IF(C1096&gt;=$T$2,0,VLOOKUP($E1096,EKM_F05!$A$3:$C$128,2,TRUE))</f>
        <v>0</v>
      </c>
      <c r="G1096">
        <f>F1096*'Real assumptions'!$B$3</f>
        <v>0</v>
      </c>
      <c r="H1096">
        <f t="shared" si="803"/>
        <v>0</v>
      </c>
      <c r="I1096">
        <f t="shared" si="804"/>
        <v>0</v>
      </c>
      <c r="J1096">
        <f>IF(B1096&gt;$AJ$2,0,HLOOKUP(C1096,'Real assumptions'!$B$5:$L$8,4,TRUE))</f>
        <v>3.7900000000000003E-2</v>
      </c>
      <c r="K1096">
        <f t="shared" si="765"/>
        <v>1</v>
      </c>
      <c r="L1096">
        <f t="shared" si="793"/>
        <v>8.3333333333333329E-2</v>
      </c>
      <c r="M1096">
        <f t="shared" si="805"/>
        <v>3.2145624959929453E-3</v>
      </c>
      <c r="N1096">
        <f t="shared" si="806"/>
        <v>3.3046613121001459E-8</v>
      </c>
      <c r="O1096" s="8">
        <f t="shared" si="777"/>
        <v>1.0247236679611716E-5</v>
      </c>
      <c r="P1096">
        <f t="shared" si="778"/>
        <v>2.4672679902558523E-4</v>
      </c>
      <c r="Q1096">
        <f t="shared" si="794"/>
        <v>0</v>
      </c>
      <c r="R1096" s="89">
        <f t="shared" si="766"/>
        <v>5000</v>
      </c>
      <c r="S1096">
        <f t="shared" si="767"/>
        <v>0.5833333333333286</v>
      </c>
      <c r="U1096">
        <f>O1095*AV1095*'Real assumptions'!$B$33/12+AX1096*'Real assumptions'!$B$34</f>
        <v>3.281947627702689E-4</v>
      </c>
      <c r="V1096">
        <f>IF(P1096=0,0,IF(E1096&lt;=$C$7,$AN$5*O1095,0))*'Real assumptions'!$D$28</f>
        <v>0</v>
      </c>
      <c r="X1096" s="94">
        <f t="shared" si="779"/>
        <v>0</v>
      </c>
      <c r="Y1096">
        <f t="shared" si="768"/>
        <v>24</v>
      </c>
      <c r="Z1096">
        <f t="shared" si="795"/>
        <v>8</v>
      </c>
      <c r="AA1096">
        <f t="shared" si="769"/>
        <v>8.5833333333333286</v>
      </c>
      <c r="AB1096">
        <f t="shared" si="780"/>
        <v>50.505050505050505</v>
      </c>
      <c r="AC1096">
        <f t="shared" si="807"/>
        <v>433.50168350168326</v>
      </c>
      <c r="AD1096">
        <f t="shared" si="781"/>
        <v>80.505050505050505</v>
      </c>
      <c r="AE1096">
        <f t="shared" si="782"/>
        <v>34.550084175084152</v>
      </c>
      <c r="AF1096" s="94">
        <f t="shared" si="783"/>
        <v>4531.9482323232323</v>
      </c>
      <c r="AG1096">
        <f t="shared" si="796"/>
        <v>1.4976553991799229E-4</v>
      </c>
      <c r="AH1096">
        <f t="shared" si="784"/>
        <v>4.6439946156364105E-2</v>
      </c>
      <c r="AI1096">
        <f>HLOOKUP(AW1096,'Real assumptions'!$A$21:$AK$24,2,TRUE)</f>
        <v>0</v>
      </c>
      <c r="AJ1096" s="123">
        <f t="shared" si="808"/>
        <v>0</v>
      </c>
      <c r="AK1096" s="122">
        <f>(1+HLOOKUP(YEAR(A1096),'Real assumptions'!$A$21:$AK$24,2,TRUE)/100)^(1/12)-1</f>
        <v>0</v>
      </c>
      <c r="AL1096">
        <f t="shared" si="797"/>
        <v>3.281947627702689E-4</v>
      </c>
      <c r="AM1096">
        <f>('Real assumptions'!$B$33/12)*O1095*AV1095</f>
        <v>3.1543269783797001E-4</v>
      </c>
      <c r="AN1096">
        <f t="shared" si="785"/>
        <v>4.6461528152271572E-2</v>
      </c>
      <c r="AO1096">
        <f t="shared" si="809"/>
        <v>0</v>
      </c>
      <c r="AP1096" s="121">
        <f t="shared" si="786"/>
        <v>0</v>
      </c>
      <c r="AQ1096">
        <f t="shared" si="787"/>
        <v>0</v>
      </c>
      <c r="AR1096">
        <v>0</v>
      </c>
      <c r="AS1096">
        <f t="shared" si="770"/>
        <v>0</v>
      </c>
      <c r="AT1096">
        <f t="shared" si="788"/>
        <v>0</v>
      </c>
      <c r="AU1096">
        <f>IFERROR(HLOOKUP(B1096,'Real assumptions'!$B$43:$AL$44,2,TRUE)*($W$3/$U$2),0)</f>
        <v>0</v>
      </c>
      <c r="AV1096">
        <f>AV1095*(1+'Real assumptions'!$B$35)^(1/12)</f>
        <v>3.0715049090220718</v>
      </c>
      <c r="AW1096">
        <f t="shared" si="771"/>
        <v>2109</v>
      </c>
      <c r="AX1096">
        <f t="shared" si="798"/>
        <v>4.6586263301591727E-2</v>
      </c>
      <c r="AY1096">
        <f t="shared" si="799"/>
        <v>4.3267185575474398E-5</v>
      </c>
      <c r="AZ1096">
        <f t="shared" si="772"/>
        <v>2.2655362983746239E-2</v>
      </c>
      <c r="BA1096">
        <f t="shared" si="789"/>
        <v>1.4976553991799229E-4</v>
      </c>
      <c r="BB1096">
        <f t="shared" si="790"/>
        <v>8.5833333333333286</v>
      </c>
      <c r="BC1096">
        <f t="shared" si="773"/>
        <v>5.1499999999999968</v>
      </c>
      <c r="BD1096">
        <f t="shared" si="791"/>
        <v>0</v>
      </c>
      <c r="BE1096">
        <f t="shared" si="774"/>
        <v>24</v>
      </c>
      <c r="BF1096">
        <f t="shared" si="800"/>
        <v>5000</v>
      </c>
      <c r="BU1096"/>
      <c r="DW1096" s="89"/>
      <c r="DX1096" s="89"/>
      <c r="FD1096"/>
      <c r="FE1096"/>
    </row>
    <row r="1097" spans="1:161" x14ac:dyDescent="0.25">
      <c r="A1097" s="7">
        <f t="shared" si="792"/>
        <v>76488</v>
      </c>
      <c r="B1097">
        <f t="shared" si="775"/>
        <v>1086</v>
      </c>
      <c r="C1097">
        <f t="shared" si="801"/>
        <v>90.416666666666671</v>
      </c>
      <c r="D1097">
        <f t="shared" si="802"/>
        <v>0</v>
      </c>
      <c r="E1097">
        <f t="shared" si="776"/>
        <v>142</v>
      </c>
      <c r="F1097">
        <f>IF(C1097&gt;=$T$2,0,VLOOKUP($E1097,EKM_F05!$A$3:$C$128,2,TRUE))</f>
        <v>0</v>
      </c>
      <c r="G1097">
        <f>F1097*'Real assumptions'!$B$3</f>
        <v>0</v>
      </c>
      <c r="H1097">
        <f t="shared" si="803"/>
        <v>0</v>
      </c>
      <c r="I1097">
        <f t="shared" si="804"/>
        <v>0</v>
      </c>
      <c r="J1097">
        <f>IF(B1097&gt;$AJ$2,0,HLOOKUP(C1097,'Real assumptions'!$B$5:$L$8,4,TRUE))</f>
        <v>3.7900000000000003E-2</v>
      </c>
      <c r="K1097">
        <f t="shared" si="765"/>
        <v>1</v>
      </c>
      <c r="L1097">
        <f t="shared" si="793"/>
        <v>8.3333333333333329E-2</v>
      </c>
      <c r="M1097">
        <f t="shared" si="805"/>
        <v>3.2145624959929453E-3</v>
      </c>
      <c r="N1097">
        <f t="shared" si="806"/>
        <v>3.2940382717843097E-8</v>
      </c>
      <c r="O1097" s="8">
        <f t="shared" si="777"/>
        <v>1.0214296296893873E-5</v>
      </c>
      <c r="P1097">
        <f t="shared" si="778"/>
        <v>2.4593368031068121E-4</v>
      </c>
      <c r="Q1097">
        <f t="shared" si="794"/>
        <v>0</v>
      </c>
      <c r="R1097" s="89">
        <f t="shared" si="766"/>
        <v>5000</v>
      </c>
      <c r="S1097">
        <f t="shared" si="767"/>
        <v>0.5</v>
      </c>
      <c r="U1097">
        <f>O1096*AV1096*'Real assumptions'!$B$33/12+AX1097*'Real assumptions'!$B$34</f>
        <v>3.2747817448268999E-4</v>
      </c>
      <c r="V1097">
        <f>IF(P1097=0,0,IF(E1097&lt;=$C$7,$AN$5*O1096,0))*'Real assumptions'!$D$28</f>
        <v>0</v>
      </c>
      <c r="X1097" s="94">
        <f t="shared" si="779"/>
        <v>0</v>
      </c>
      <c r="Y1097">
        <f t="shared" si="768"/>
        <v>24</v>
      </c>
      <c r="Z1097">
        <f t="shared" si="795"/>
        <v>8</v>
      </c>
      <c r="AA1097">
        <f t="shared" si="769"/>
        <v>8.5</v>
      </c>
      <c r="AB1097">
        <f t="shared" si="780"/>
        <v>50.505050505050505</v>
      </c>
      <c r="AC1097">
        <f t="shared" si="807"/>
        <v>429.29292929292927</v>
      </c>
      <c r="AD1097">
        <f t="shared" si="781"/>
        <v>80.505050505050505</v>
      </c>
      <c r="AE1097">
        <f t="shared" si="782"/>
        <v>34.214646464646464</v>
      </c>
      <c r="AF1097" s="94">
        <f t="shared" si="783"/>
        <v>4536.492424242424</v>
      </c>
      <c r="AG1097">
        <f t="shared" si="796"/>
        <v>1.4943379665114127E-4</v>
      </c>
      <c r="AH1097">
        <f t="shared" si="784"/>
        <v>4.6337077769826499E-2</v>
      </c>
      <c r="AI1097">
        <f>HLOOKUP(AW1097,'Real assumptions'!$A$21:$AK$24,2,TRUE)</f>
        <v>0</v>
      </c>
      <c r="AJ1097" s="123">
        <f t="shared" si="808"/>
        <v>0</v>
      </c>
      <c r="AK1097" s="122">
        <f>(1+HLOOKUP(YEAR(A1097),'Real assumptions'!$A$21:$AK$24,2,TRUE)/100)^(1/12)-1</f>
        <v>0</v>
      </c>
      <c r="AL1097">
        <f t="shared" si="797"/>
        <v>3.2747817448268999E-4</v>
      </c>
      <c r="AM1097">
        <f>('Real assumptions'!$B$33/12)*O1096*AV1096</f>
        <v>3.147443776533842E-4</v>
      </c>
      <c r="AN1097">
        <f t="shared" si="785"/>
        <v>4.6358401662192093E-2</v>
      </c>
      <c r="AO1097">
        <f t="shared" si="809"/>
        <v>0</v>
      </c>
      <c r="AP1097" s="121">
        <f t="shared" si="786"/>
        <v>0</v>
      </c>
      <c r="AQ1097">
        <f t="shared" si="787"/>
        <v>0</v>
      </c>
      <c r="AR1097">
        <v>0</v>
      </c>
      <c r="AS1097">
        <f t="shared" si="770"/>
        <v>0</v>
      </c>
      <c r="AT1097">
        <f t="shared" si="788"/>
        <v>0</v>
      </c>
      <c r="AU1097">
        <f>IFERROR(HLOOKUP(B1097,'Real assumptions'!$B$43:$AL$44,2,TRUE)*($W$3/$U$2),0)</f>
        <v>0</v>
      </c>
      <c r="AV1097">
        <f>AV1096*(1+'Real assumptions'!$B$35)^(1/12)</f>
        <v>3.0746862079907178</v>
      </c>
      <c r="AW1097">
        <f t="shared" si="771"/>
        <v>2109</v>
      </c>
      <c r="AX1097">
        <f t="shared" si="798"/>
        <v>4.648307425686752E-2</v>
      </c>
      <c r="AY1097">
        <f t="shared" si="799"/>
        <v>4.312810050341631E-5</v>
      </c>
      <c r="AZ1097">
        <f t="shared" si="772"/>
        <v>2.2424384692923086E-2</v>
      </c>
      <c r="BA1097">
        <f t="shared" si="789"/>
        <v>1.4943379665114127E-4</v>
      </c>
      <c r="BB1097">
        <f t="shared" si="790"/>
        <v>8.5</v>
      </c>
      <c r="BC1097">
        <f t="shared" si="773"/>
        <v>5.0999999999999996</v>
      </c>
      <c r="BD1097">
        <f t="shared" si="791"/>
        <v>0</v>
      </c>
      <c r="BE1097">
        <f t="shared" si="774"/>
        <v>24</v>
      </c>
      <c r="BF1097">
        <f t="shared" si="800"/>
        <v>5000</v>
      </c>
      <c r="BU1097"/>
      <c r="DW1097" s="89"/>
      <c r="DX1097" s="89"/>
      <c r="FD1097"/>
      <c r="FE1097"/>
    </row>
    <row r="1098" spans="1:161" x14ac:dyDescent="0.25">
      <c r="A1098" s="7">
        <f t="shared" si="792"/>
        <v>76518</v>
      </c>
      <c r="B1098">
        <f t="shared" si="775"/>
        <v>1087</v>
      </c>
      <c r="C1098">
        <f t="shared" si="801"/>
        <v>90.5</v>
      </c>
      <c r="D1098">
        <f t="shared" si="802"/>
        <v>0</v>
      </c>
      <c r="E1098">
        <f t="shared" si="776"/>
        <v>142</v>
      </c>
      <c r="F1098">
        <f>IF(C1098&gt;=$T$2,0,VLOOKUP($E1098,EKM_F05!$A$3:$C$128,2,TRUE))</f>
        <v>0</v>
      </c>
      <c r="G1098">
        <f>F1098*'Real assumptions'!$B$3</f>
        <v>0</v>
      </c>
      <c r="H1098">
        <f t="shared" si="803"/>
        <v>0</v>
      </c>
      <c r="I1098">
        <f t="shared" si="804"/>
        <v>0</v>
      </c>
      <c r="J1098">
        <f>IF(B1098&gt;$AJ$2,0,HLOOKUP(C1098,'Real assumptions'!$B$5:$L$8,4,TRUE))</f>
        <v>3.7900000000000003E-2</v>
      </c>
      <c r="K1098">
        <f t="shared" si="765"/>
        <v>1</v>
      </c>
      <c r="L1098">
        <f t="shared" si="793"/>
        <v>8.3333333333333329E-2</v>
      </c>
      <c r="M1098">
        <f t="shared" si="805"/>
        <v>3.2145624959929453E-3</v>
      </c>
      <c r="N1098">
        <f t="shared" si="806"/>
        <v>3.2834493798954665E-8</v>
      </c>
      <c r="O1098" s="8">
        <f t="shared" si="777"/>
        <v>1.0181461803094918E-5</v>
      </c>
      <c r="P1098">
        <f t="shared" si="778"/>
        <v>2.4514311112545294E-4</v>
      </c>
      <c r="Q1098">
        <f t="shared" si="794"/>
        <v>0</v>
      </c>
      <c r="R1098" s="89">
        <f t="shared" si="766"/>
        <v>5000</v>
      </c>
      <c r="S1098">
        <f t="shared" si="767"/>
        <v>0.4166666666666714</v>
      </c>
      <c r="U1098">
        <f>O1097*AV1097*'Real assumptions'!$B$33/12+AX1098*'Real assumptions'!$B$34</f>
        <v>3.2676313807370724E-4</v>
      </c>
      <c r="V1098">
        <f>IF(P1098=0,0,IF(E1098&lt;=$C$7,$AN$5*O1097,0))*'Real assumptions'!$D$28</f>
        <v>0</v>
      </c>
      <c r="X1098" s="94">
        <f t="shared" si="779"/>
        <v>0</v>
      </c>
      <c r="Y1098">
        <f t="shared" si="768"/>
        <v>24</v>
      </c>
      <c r="Z1098">
        <f t="shared" si="795"/>
        <v>8</v>
      </c>
      <c r="AA1098">
        <f t="shared" si="769"/>
        <v>8.4166666666666714</v>
      </c>
      <c r="AB1098">
        <f t="shared" si="780"/>
        <v>50.505050505050505</v>
      </c>
      <c r="AC1098">
        <f t="shared" si="807"/>
        <v>425.08417508417534</v>
      </c>
      <c r="AD1098">
        <f t="shared" si="781"/>
        <v>80.505050505050505</v>
      </c>
      <c r="AE1098">
        <f t="shared" si="782"/>
        <v>33.879208754208769</v>
      </c>
      <c r="AF1098" s="94">
        <f t="shared" si="783"/>
        <v>4541.0366161616157</v>
      </c>
      <c r="AG1098">
        <f t="shared" si="796"/>
        <v>1.4910263861418464E-4</v>
      </c>
      <c r="AH1098">
        <f t="shared" si="784"/>
        <v>4.6234390853904891E-2</v>
      </c>
      <c r="AI1098">
        <f>HLOOKUP(AW1098,'Real assumptions'!$A$21:$AK$24,2,TRUE)</f>
        <v>0</v>
      </c>
      <c r="AJ1098" s="123">
        <f t="shared" si="808"/>
        <v>0</v>
      </c>
      <c r="AK1098" s="122">
        <f>(1+HLOOKUP(YEAR(A1098),'Real assumptions'!$A$21:$AK$24,2,TRUE)/100)^(1/12)-1</f>
        <v>0</v>
      </c>
      <c r="AL1098">
        <f t="shared" si="797"/>
        <v>3.2676313807370724E-4</v>
      </c>
      <c r="AM1098">
        <f>('Real assumptions'!$B$33/12)*O1097*AV1097</f>
        <v>3.1405755948390253E-4</v>
      </c>
      <c r="AN1098">
        <f t="shared" si="785"/>
        <v>4.6255457742878245E-2</v>
      </c>
      <c r="AO1098">
        <f t="shared" si="809"/>
        <v>0</v>
      </c>
      <c r="AP1098" s="121">
        <f t="shared" si="786"/>
        <v>0</v>
      </c>
      <c r="AQ1098">
        <f t="shared" si="787"/>
        <v>0</v>
      </c>
      <c r="AR1098">
        <v>0</v>
      </c>
      <c r="AS1098">
        <f t="shared" si="770"/>
        <v>0</v>
      </c>
      <c r="AT1098">
        <f t="shared" si="788"/>
        <v>0</v>
      </c>
      <c r="AU1098">
        <f>IFERROR(HLOOKUP(B1098,'Real assumptions'!$B$43:$AL$44,2,TRUE)*($W$3/$U$2),0)</f>
        <v>0</v>
      </c>
      <c r="AV1098">
        <f>AV1097*(1+'Real assumptions'!$B$35)^(1/12)</f>
        <v>3.0778708019770922</v>
      </c>
      <c r="AW1098">
        <f t="shared" si="771"/>
        <v>2109</v>
      </c>
      <c r="AX1098">
        <f t="shared" si="798"/>
        <v>4.6380067232355514E-2</v>
      </c>
      <c r="AY1098">
        <f t="shared" si="799"/>
        <v>4.2989462529014612E-5</v>
      </c>
      <c r="AZ1098">
        <f t="shared" si="772"/>
        <v>2.2193662027360648E-2</v>
      </c>
      <c r="BA1098">
        <f t="shared" si="789"/>
        <v>1.4910263861418464E-4</v>
      </c>
      <c r="BB1098">
        <f t="shared" si="790"/>
        <v>8.4166666666666714</v>
      </c>
      <c r="BC1098">
        <f t="shared" si="773"/>
        <v>5.0500000000000025</v>
      </c>
      <c r="BD1098">
        <f t="shared" si="791"/>
        <v>0</v>
      </c>
      <c r="BE1098">
        <f t="shared" si="774"/>
        <v>24</v>
      </c>
      <c r="BF1098">
        <f t="shared" si="800"/>
        <v>5000</v>
      </c>
      <c r="BU1098"/>
      <c r="DW1098" s="89"/>
      <c r="DX1098" s="89"/>
      <c r="FD1098"/>
      <c r="FE1098"/>
    </row>
    <row r="1099" spans="1:161" x14ac:dyDescent="0.25">
      <c r="A1099" s="7">
        <f t="shared" si="792"/>
        <v>76549</v>
      </c>
      <c r="B1099">
        <f t="shared" si="775"/>
        <v>1088</v>
      </c>
      <c r="C1099">
        <f t="shared" si="801"/>
        <v>90.583333333333329</v>
      </c>
      <c r="D1099">
        <f t="shared" si="802"/>
        <v>0</v>
      </c>
      <c r="E1099">
        <f t="shared" si="776"/>
        <v>142</v>
      </c>
      <c r="F1099">
        <f>IF(C1099&gt;=$T$2,0,VLOOKUP($E1099,EKM_F05!$A$3:$C$128,2,TRUE))</f>
        <v>0</v>
      </c>
      <c r="G1099">
        <f>F1099*'Real assumptions'!$B$3</f>
        <v>0</v>
      </c>
      <c r="H1099">
        <f t="shared" si="803"/>
        <v>0</v>
      </c>
      <c r="I1099">
        <f t="shared" si="804"/>
        <v>0</v>
      </c>
      <c r="J1099">
        <f>IF(B1099&gt;$AJ$2,0,HLOOKUP(C1099,'Real assumptions'!$B$5:$L$8,4,TRUE))</f>
        <v>3.7900000000000003E-2</v>
      </c>
      <c r="K1099">
        <f t="shared" si="765"/>
        <v>1</v>
      </c>
      <c r="L1099">
        <f t="shared" si="793"/>
        <v>8.3333333333333329E-2</v>
      </c>
      <c r="M1099">
        <f t="shared" si="805"/>
        <v>3.2145624959929453E-3</v>
      </c>
      <c r="N1099">
        <f t="shared" si="806"/>
        <v>3.2728945266613633E-8</v>
      </c>
      <c r="O1099" s="8">
        <f t="shared" si="777"/>
        <v>1.0148732857828305E-5</v>
      </c>
      <c r="P1099">
        <f t="shared" si="778"/>
        <v>2.4435508327427802E-4</v>
      </c>
      <c r="Q1099">
        <f t="shared" si="794"/>
        <v>0</v>
      </c>
      <c r="R1099" s="89">
        <f t="shared" si="766"/>
        <v>5000</v>
      </c>
      <c r="S1099">
        <f t="shared" si="767"/>
        <v>0.3333333333333286</v>
      </c>
      <c r="U1099">
        <f>O1098*AV1098*'Real assumptions'!$B$33/12+AX1099*'Real assumptions'!$B$34</f>
        <v>3.2604965023723176E-4</v>
      </c>
      <c r="V1099">
        <f>IF(P1099=0,0,IF(E1099&lt;=$C$7,$AN$5*O1098,0))*'Real assumptions'!$D$28</f>
        <v>0</v>
      </c>
      <c r="X1099" s="94">
        <f t="shared" si="779"/>
        <v>0</v>
      </c>
      <c r="Y1099">
        <f t="shared" si="768"/>
        <v>24</v>
      </c>
      <c r="Z1099">
        <f t="shared" si="795"/>
        <v>8</v>
      </c>
      <c r="AA1099">
        <f t="shared" si="769"/>
        <v>8.3333333333333286</v>
      </c>
      <c r="AB1099">
        <f t="shared" si="780"/>
        <v>50.505050505050505</v>
      </c>
      <c r="AC1099">
        <f t="shared" si="807"/>
        <v>420.87542087542062</v>
      </c>
      <c r="AD1099">
        <f t="shared" si="781"/>
        <v>80.505050505050505</v>
      </c>
      <c r="AE1099">
        <f t="shared" si="782"/>
        <v>33.543771043771024</v>
      </c>
      <c r="AF1099" s="94">
        <f t="shared" si="783"/>
        <v>4545.5808080808083</v>
      </c>
      <c r="AG1099">
        <f t="shared" si="796"/>
        <v>1.4877206547264614E-4</v>
      </c>
      <c r="AH1099">
        <f t="shared" si="784"/>
        <v>4.6131885304883435E-2</v>
      </c>
      <c r="AI1099">
        <f>HLOOKUP(AW1099,'Real assumptions'!$A$21:$AK$24,2,TRUE)</f>
        <v>0</v>
      </c>
      <c r="AJ1099" s="123">
        <f t="shared" si="808"/>
        <v>0</v>
      </c>
      <c r="AK1099" s="122">
        <f>(1+HLOOKUP(YEAR(A1099),'Real assumptions'!$A$21:$AK$24,2,TRUE)/100)^(1/12)-1</f>
        <v>0</v>
      </c>
      <c r="AL1099">
        <f t="shared" si="797"/>
        <v>3.2604965023723176E-4</v>
      </c>
      <c r="AM1099">
        <f>('Real assumptions'!$B$33/12)*O1098*AV1098</f>
        <v>3.1337224005190887E-4</v>
      </c>
      <c r="AN1099">
        <f t="shared" si="785"/>
        <v>4.6152696286941935E-2</v>
      </c>
      <c r="AO1099">
        <f t="shared" si="809"/>
        <v>0</v>
      </c>
      <c r="AP1099" s="121">
        <f t="shared" si="786"/>
        <v>0</v>
      </c>
      <c r="AQ1099">
        <f t="shared" si="787"/>
        <v>0</v>
      </c>
      <c r="AR1099">
        <v>0</v>
      </c>
      <c r="AS1099">
        <f t="shared" si="770"/>
        <v>0</v>
      </c>
      <c r="AT1099">
        <f t="shared" si="788"/>
        <v>0</v>
      </c>
      <c r="AU1099">
        <f>IFERROR(HLOOKUP(B1099,'Real assumptions'!$B$43:$AL$44,2,TRUE)*($W$3/$U$2),0)</f>
        <v>0</v>
      </c>
      <c r="AV1099">
        <f>AV1098*(1+'Real assumptions'!$B$35)^(1/12)</f>
        <v>3.0810586943939966</v>
      </c>
      <c r="AW1099">
        <f t="shared" si="771"/>
        <v>2109</v>
      </c>
      <c r="AX1099">
        <f t="shared" si="798"/>
        <v>4.627724212411994E-2</v>
      </c>
      <c r="AY1099">
        <f t="shared" si="799"/>
        <v>4.285127021504595E-5</v>
      </c>
      <c r="AZ1099">
        <f t="shared" si="772"/>
        <v>2.1963195394925049E-2</v>
      </c>
      <c r="BA1099">
        <f t="shared" si="789"/>
        <v>1.4877206547264614E-4</v>
      </c>
      <c r="BB1099">
        <f t="shared" si="790"/>
        <v>8.3333333333333286</v>
      </c>
      <c r="BC1099">
        <f t="shared" si="773"/>
        <v>4.9999999999999964</v>
      </c>
      <c r="BD1099">
        <f t="shared" si="791"/>
        <v>0</v>
      </c>
      <c r="BE1099">
        <f t="shared" si="774"/>
        <v>24</v>
      </c>
      <c r="BF1099">
        <f t="shared" si="800"/>
        <v>5000</v>
      </c>
      <c r="BU1099"/>
      <c r="DW1099" s="89"/>
      <c r="DX1099" s="89"/>
      <c r="FD1099"/>
      <c r="FE1099"/>
    </row>
    <row r="1100" spans="1:161" x14ac:dyDescent="0.25">
      <c r="A1100" s="7">
        <f t="shared" si="792"/>
        <v>76580</v>
      </c>
      <c r="B1100">
        <f t="shared" si="775"/>
        <v>1089</v>
      </c>
      <c r="C1100">
        <f t="shared" si="801"/>
        <v>90.666666666666671</v>
      </c>
      <c r="D1100">
        <f t="shared" si="802"/>
        <v>0</v>
      </c>
      <c r="E1100">
        <f t="shared" si="776"/>
        <v>142</v>
      </c>
      <c r="F1100">
        <f>IF(C1100&gt;=$T$2,0,VLOOKUP($E1100,EKM_F05!$A$3:$C$128,2,TRUE))</f>
        <v>0</v>
      </c>
      <c r="G1100">
        <f>F1100*'Real assumptions'!$B$3</f>
        <v>0</v>
      </c>
      <c r="H1100">
        <f t="shared" si="803"/>
        <v>0</v>
      </c>
      <c r="I1100">
        <f t="shared" si="804"/>
        <v>0</v>
      </c>
      <c r="J1100">
        <f>IF(B1100&gt;$AJ$2,0,HLOOKUP(C1100,'Real assumptions'!$B$5:$L$8,4,TRUE))</f>
        <v>3.7900000000000003E-2</v>
      </c>
      <c r="K1100">
        <f t="shared" ref="K1100:K1163" si="810">IF(B1100&gt;$AJ$2,0,IF(($U$2*(B1100+11))/12-INT(($U$2*(B1100+11))/12)=0,1,0))</f>
        <v>1</v>
      </c>
      <c r="L1100">
        <f t="shared" si="793"/>
        <v>8.3333333333333329E-2</v>
      </c>
      <c r="M1100">
        <f t="shared" si="805"/>
        <v>3.2145624959929453E-3</v>
      </c>
      <c r="N1100">
        <f t="shared" si="806"/>
        <v>3.2623736026626173E-8</v>
      </c>
      <c r="O1100" s="8">
        <f t="shared" si="777"/>
        <v>1.0116109121801679E-5</v>
      </c>
      <c r="P1100">
        <f t="shared" si="778"/>
        <v>2.4356958858787932E-4</v>
      </c>
      <c r="Q1100">
        <f t="shared" si="794"/>
        <v>0</v>
      </c>
      <c r="R1100" s="89">
        <f t="shared" ref="R1100:R1163" si="811">$AI$2</f>
        <v>5000</v>
      </c>
      <c r="S1100">
        <f t="shared" ref="S1100:S1163" si="812">INT(B1100/12)+1-B1100/12</f>
        <v>0.25</v>
      </c>
      <c r="U1100">
        <f>O1099*AV1099*'Real assumptions'!$B$33/12+AX1100*'Real assumptions'!$B$34</f>
        <v>3.253377076739949E-4</v>
      </c>
      <c r="V1100">
        <f>IF(P1100=0,0,IF(E1100&lt;=$C$7,$AN$5*O1099,0))*'Real assumptions'!$D$28</f>
        <v>0</v>
      </c>
      <c r="X1100" s="94">
        <f t="shared" si="779"/>
        <v>0</v>
      </c>
      <c r="Y1100">
        <f t="shared" ref="Y1100:Y1163" si="813">IF(P1100=0,0,$AN$5)</f>
        <v>24</v>
      </c>
      <c r="Z1100">
        <f t="shared" si="795"/>
        <v>8</v>
      </c>
      <c r="AA1100">
        <f t="shared" ref="AA1100:AA1163" si="814">99-(B1100/12)</f>
        <v>8.25</v>
      </c>
      <c r="AB1100">
        <f t="shared" si="780"/>
        <v>50.505050505050505</v>
      </c>
      <c r="AC1100">
        <f t="shared" si="807"/>
        <v>416.66666666666669</v>
      </c>
      <c r="AD1100">
        <f t="shared" si="781"/>
        <v>80.505050505050505</v>
      </c>
      <c r="AE1100">
        <f t="shared" si="782"/>
        <v>33.208333333333329</v>
      </c>
      <c r="AF1100" s="94">
        <f t="shared" si="783"/>
        <v>4550.125</v>
      </c>
      <c r="AG1100">
        <f t="shared" si="796"/>
        <v>1.4844207688815241E-4</v>
      </c>
      <c r="AH1100">
        <f t="shared" si="784"/>
        <v>4.602956101783786E-2</v>
      </c>
      <c r="AI1100">
        <f>HLOOKUP(AW1100,'Real assumptions'!$A$21:$AK$24,2,TRUE)</f>
        <v>0</v>
      </c>
      <c r="AJ1100" s="123">
        <f t="shared" si="808"/>
        <v>0</v>
      </c>
      <c r="AK1100" s="122">
        <f>(1+HLOOKUP(YEAR(A1100),'Real assumptions'!$A$21:$AK$24,2,TRUE)/100)^(1/12)-1</f>
        <v>0</v>
      </c>
      <c r="AL1100">
        <f t="shared" si="797"/>
        <v>3.253377076739949E-4</v>
      </c>
      <c r="AM1100">
        <f>('Real assumptions'!$B$33/12)*O1099*AV1099</f>
        <v>3.1268841608693936E-4</v>
      </c>
      <c r="AN1100">
        <f t="shared" si="785"/>
        <v>4.6050117185797317E-2</v>
      </c>
      <c r="AO1100">
        <f t="shared" si="809"/>
        <v>0</v>
      </c>
      <c r="AP1100" s="121">
        <f t="shared" si="786"/>
        <v>0</v>
      </c>
      <c r="AQ1100">
        <f t="shared" si="787"/>
        <v>0</v>
      </c>
      <c r="AR1100">
        <v>0</v>
      </c>
      <c r="AS1100">
        <f t="shared" ref="AS1100:AS1163" si="815">IF(B1100&gt;$B$12,IF(B1100&lt;=$AJ$2,AT1100,0),0)</f>
        <v>0</v>
      </c>
      <c r="AT1100">
        <f t="shared" si="788"/>
        <v>0</v>
      </c>
      <c r="AU1100">
        <f>IFERROR(HLOOKUP(B1100,'Real assumptions'!$B$43:$AL$44,2,TRUE)*($W$3/$U$2),0)</f>
        <v>0</v>
      </c>
      <c r="AV1100">
        <f>AV1099*(1+'Real assumptions'!$B$35)^(1/12)</f>
        <v>3.0842498886577667</v>
      </c>
      <c r="AW1100">
        <f t="shared" ref="AW1100:AW1163" si="816">YEAR(A1100)</f>
        <v>2109</v>
      </c>
      <c r="AX1100">
        <f t="shared" si="798"/>
        <v>4.6174598827012345E-2</v>
      </c>
      <c r="AY1100">
        <f t="shared" si="799"/>
        <v>4.2713522128907007E-5</v>
      </c>
      <c r="AZ1100">
        <f t="shared" ref="AZ1100:AZ1163" si="817">(AZ1101+BA1101-P1101+U1101+AQ1101)/((1+AJ1101))</f>
        <v>2.1732985198950783E-2</v>
      </c>
      <c r="BA1100">
        <f t="shared" si="789"/>
        <v>1.4844207688815241E-4</v>
      </c>
      <c r="BB1100">
        <f t="shared" si="790"/>
        <v>8.25</v>
      </c>
      <c r="BC1100">
        <f t="shared" ref="BC1100:BC1163" si="818">$AQ$5*BB1100+IF($W$3=0,0,$AP$5*AA1100)</f>
        <v>4.9499999999999993</v>
      </c>
      <c r="BD1100">
        <f t="shared" si="791"/>
        <v>0</v>
      </c>
      <c r="BE1100">
        <f t="shared" ref="BE1100:BE1163" si="819">IF(B1100=1,$AR$5,IF(P1100=0,0,$W$3/$U$2))</f>
        <v>24</v>
      </c>
      <c r="BF1100">
        <f t="shared" si="800"/>
        <v>5000</v>
      </c>
      <c r="BU1100"/>
      <c r="DW1100" s="89"/>
      <c r="DX1100" s="89"/>
      <c r="FD1100"/>
      <c r="FE1100"/>
    </row>
    <row r="1101" spans="1:161" x14ac:dyDescent="0.25">
      <c r="A1101" s="7">
        <f t="shared" si="792"/>
        <v>76610</v>
      </c>
      <c r="B1101">
        <f t="shared" ref="B1101:B1164" si="820">B1100+1</f>
        <v>1090</v>
      </c>
      <c r="C1101">
        <f t="shared" si="801"/>
        <v>90.75</v>
      </c>
      <c r="D1101">
        <f t="shared" si="802"/>
        <v>0</v>
      </c>
      <c r="E1101">
        <f t="shared" ref="E1101:E1164" si="821">$C$2+INT($C1101)</f>
        <v>142</v>
      </c>
      <c r="F1101">
        <f>IF(C1101&gt;=$T$2,0,VLOOKUP($E1101,EKM_F05!$A$3:$C$128,2,TRUE))</f>
        <v>0</v>
      </c>
      <c r="G1101">
        <f>F1101*'Real assumptions'!$B$3</f>
        <v>0</v>
      </c>
      <c r="H1101">
        <f t="shared" si="803"/>
        <v>0</v>
      </c>
      <c r="I1101">
        <f t="shared" si="804"/>
        <v>0</v>
      </c>
      <c r="J1101">
        <f>IF(B1101&gt;$AJ$2,0,HLOOKUP(C1101,'Real assumptions'!$B$5:$L$8,4,TRUE))</f>
        <v>3.7900000000000003E-2</v>
      </c>
      <c r="K1101">
        <f t="shared" si="810"/>
        <v>1</v>
      </c>
      <c r="L1101">
        <f t="shared" si="793"/>
        <v>8.3333333333333329E-2</v>
      </c>
      <c r="M1101">
        <f t="shared" si="805"/>
        <v>3.2145624959929453E-3</v>
      </c>
      <c r="N1101">
        <f t="shared" si="806"/>
        <v>3.2518864988315804E-8</v>
      </c>
      <c r="O1101" s="8">
        <f t="shared" ref="O1101:O1164" si="822">IF(E1102&gt;$C$5,0,IF(B1101&gt;$AJ$2,0,O1100-I1101-N1101))</f>
        <v>1.0083590256813363E-5</v>
      </c>
      <c r="P1101">
        <f t="shared" ref="P1101:P1164" si="823">IF($U$2=0,0,$W$3/$U$2*K1101*O1100)</f>
        <v>2.4278661892324028E-4</v>
      </c>
      <c r="Q1101">
        <f t="shared" si="794"/>
        <v>0</v>
      </c>
      <c r="R1101" s="89">
        <f t="shared" si="811"/>
        <v>5000</v>
      </c>
      <c r="S1101">
        <f t="shared" si="812"/>
        <v>0.1666666666666714</v>
      </c>
      <c r="U1101">
        <f>O1100*AV1100*'Real assumptions'!$B$33/12+AX1101*'Real assumptions'!$B$34</f>
        <v>3.2462730709153457E-4</v>
      </c>
      <c r="V1101">
        <f>IF(P1101=0,0,IF(E1101&lt;=$C$7,$AN$5*O1100,0))*'Real assumptions'!$D$28</f>
        <v>0</v>
      </c>
      <c r="X1101" s="94">
        <f t="shared" ref="X1101:X1164" si="824">IF($U$2=12,0,IF($AM$2&lt;&gt;0,0,X1100+Y1101-($AN$5*($U$2/12))))</f>
        <v>0</v>
      </c>
      <c r="Y1101">
        <f t="shared" si="813"/>
        <v>24</v>
      </c>
      <c r="Z1101">
        <f t="shared" si="795"/>
        <v>8</v>
      </c>
      <c r="AA1101">
        <f t="shared" si="814"/>
        <v>8.1666666666666714</v>
      </c>
      <c r="AB1101">
        <f t="shared" ref="AB1101:AB1164" si="825">IF($AM$2&lt;&gt;0,0,R1101/99)</f>
        <v>50.505050505050505</v>
      </c>
      <c r="AC1101">
        <f t="shared" si="807"/>
        <v>412.4579124579127</v>
      </c>
      <c r="AD1101">
        <f t="shared" ref="AD1101:AD1164" si="826">IF($AM$2&lt;&gt;0,0,AB1101+$Q$4*$AI$2+$Q$5*$AI$2)</f>
        <v>80.505050505050505</v>
      </c>
      <c r="AE1101">
        <f t="shared" ref="AE1101:AE1164" si="827">MIN($C$6*AD1101*AA1101,$AI$2-AC1101+BD1101)</f>
        <v>32.872895622895641</v>
      </c>
      <c r="AF1101" s="94">
        <f t="shared" ref="AF1101:AF1164" si="828">MAX(($AI$2+$Y$2-AC1101-AE1101+X1101+BD1101),0)</f>
        <v>4554.6691919191917</v>
      </c>
      <c r="AG1101">
        <f t="shared" si="796"/>
        <v>1.4811267251846165E-4</v>
      </c>
      <c r="AH1101">
        <f t="shared" ref="AH1101:AH1164" si="829">AF1101*O1101</f>
        <v>4.5927417886644353E-2</v>
      </c>
      <c r="AI1101">
        <f>HLOOKUP(AW1101,'Real assumptions'!$A$21:$AK$24,2,TRUE)</f>
        <v>0</v>
      </c>
      <c r="AJ1101" s="123">
        <f t="shared" si="808"/>
        <v>0</v>
      </c>
      <c r="AK1101" s="122">
        <f>(1+HLOOKUP(YEAR(A1101),'Real assumptions'!$A$21:$AK$24,2,TRUE)/100)^(1/12)-1</f>
        <v>0</v>
      </c>
      <c r="AL1101">
        <f t="shared" si="797"/>
        <v>3.2462730709153457E-4</v>
      </c>
      <c r="AM1101">
        <f>('Real assumptions'!$B$33/12)*O1100*AV1100</f>
        <v>3.1200608432566644E-4</v>
      </c>
      <c r="AN1101">
        <f t="shared" ref="AN1101:AN1164" si="830">AP1100+P1101+AH1100-V1101-AL1101</f>
        <v>4.5947720329669567E-2</v>
      </c>
      <c r="AO1101">
        <f t="shared" si="809"/>
        <v>0</v>
      </c>
      <c r="AP1101" s="121">
        <f t="shared" ref="AP1101:AP1164" si="831">IF(MONTH(A1101)=12,0,AP1100+AO1101)</f>
        <v>0</v>
      </c>
      <c r="AQ1101">
        <f t="shared" ref="AQ1101:AQ1164" si="832">IF(P1101=0,0,AR1101+AS1101)</f>
        <v>0</v>
      </c>
      <c r="AR1101">
        <v>0</v>
      </c>
      <c r="AS1101">
        <f t="shared" si="815"/>
        <v>0</v>
      </c>
      <c r="AT1101">
        <f t="shared" ref="AT1101:AT1164" si="833">IF(OR(B1101&lt;=$B$12,B1101&gt;$AJ$2),0,AU1101*O1100)</f>
        <v>0</v>
      </c>
      <c r="AU1101">
        <f>IFERROR(HLOOKUP(B1101,'Real assumptions'!$B$43:$AL$44,2,TRUE)*($W$3/$U$2),0)</f>
        <v>0</v>
      </c>
      <c r="AV1101">
        <f>AV1100*(1+'Real assumptions'!$B$35)^(1/12)</f>
        <v>3.087444388188278</v>
      </c>
      <c r="AW1101">
        <f t="shared" si="816"/>
        <v>2109</v>
      </c>
      <c r="AX1101">
        <f t="shared" si="798"/>
        <v>4.6072137234680462E-2</v>
      </c>
      <c r="AY1101">
        <f t="shared" si="799"/>
        <v>4.2576216842599656E-5</v>
      </c>
      <c r="AZ1101">
        <f t="shared" si="817"/>
        <v>2.150303183826403E-2</v>
      </c>
      <c r="BA1101">
        <f t="shared" ref="BA1101:BA1164" si="834">AG1101+V1101+Q1101</f>
        <v>1.4811267251846165E-4</v>
      </c>
      <c r="BB1101">
        <f t="shared" ref="BB1101:BB1164" si="835">Z1102+IF(S1101=1,0,S1101)</f>
        <v>8.1666666666666714</v>
      </c>
      <c r="BC1101">
        <f t="shared" si="818"/>
        <v>4.9000000000000021</v>
      </c>
      <c r="BD1101">
        <f t="shared" ref="BD1101:BD1164" si="836">(BC1101/100)*($AI$2+$Y$2)-AA1101*(AD1101-AB1101)</f>
        <v>0</v>
      </c>
      <c r="BE1101">
        <f t="shared" si="819"/>
        <v>24</v>
      </c>
      <c r="BF1101">
        <f t="shared" si="800"/>
        <v>5000</v>
      </c>
      <c r="BU1101"/>
      <c r="DW1101" s="89"/>
      <c r="DX1101" s="89"/>
      <c r="FD1101"/>
      <c r="FE1101"/>
    </row>
    <row r="1102" spans="1:161" x14ac:dyDescent="0.25">
      <c r="A1102" s="7">
        <f t="shared" ref="A1102:A1165" si="837">DATE(YEAR(A1101),MONTH(A1101)+2,1)-1</f>
        <v>76641</v>
      </c>
      <c r="B1102">
        <f t="shared" si="820"/>
        <v>1091</v>
      </c>
      <c r="C1102">
        <f t="shared" si="801"/>
        <v>90.833333333333329</v>
      </c>
      <c r="D1102">
        <f t="shared" si="802"/>
        <v>0</v>
      </c>
      <c r="E1102">
        <f t="shared" si="821"/>
        <v>142</v>
      </c>
      <c r="F1102">
        <f>IF(C1102&gt;=$T$2,0,VLOOKUP($E1102,EKM_F05!$A$3:$C$128,2,TRUE))</f>
        <v>0</v>
      </c>
      <c r="G1102">
        <f>F1102*'Real assumptions'!$B$3</f>
        <v>0</v>
      </c>
      <c r="H1102">
        <f t="shared" si="803"/>
        <v>0</v>
      </c>
      <c r="I1102">
        <f t="shared" si="804"/>
        <v>0</v>
      </c>
      <c r="J1102">
        <f>IF(B1102&gt;$AJ$2,0,HLOOKUP(C1102,'Real assumptions'!$B$5:$L$8,4,TRUE))</f>
        <v>3.7900000000000003E-2</v>
      </c>
      <c r="K1102">
        <f t="shared" si="810"/>
        <v>1</v>
      </c>
      <c r="L1102">
        <f t="shared" ref="L1102:L1165" si="838">IF(B1102&gt;$AJ$2,0,1/12)</f>
        <v>8.3333333333333329E-2</v>
      </c>
      <c r="M1102">
        <f t="shared" si="805"/>
        <v>3.2145624959929453E-3</v>
      </c>
      <c r="N1102">
        <f t="shared" si="806"/>
        <v>3.2414331064512112E-8</v>
      </c>
      <c r="O1102" s="8">
        <f t="shared" si="822"/>
        <v>1.005117592574885E-5</v>
      </c>
      <c r="P1102">
        <f t="shared" si="823"/>
        <v>2.4200616616352073E-4</v>
      </c>
      <c r="Q1102">
        <f t="shared" ref="Q1102:Q1165" si="839">BF1102*I1102</f>
        <v>0</v>
      </c>
      <c r="R1102" s="89">
        <f t="shared" si="811"/>
        <v>5000</v>
      </c>
      <c r="S1102">
        <f t="shared" si="812"/>
        <v>8.3333333333328596E-2</v>
      </c>
      <c r="U1102">
        <f>O1101*AV1101*'Real assumptions'!$B$33/12+AX1102*'Real assumptions'!$B$34</f>
        <v>3.2391844520418257E-4</v>
      </c>
      <c r="V1102">
        <f>IF(P1102=0,0,IF(E1102&lt;=$C$7,$AN$5*O1101,0))*'Real assumptions'!$D$28</f>
        <v>0</v>
      </c>
      <c r="X1102" s="94">
        <f t="shared" si="824"/>
        <v>0</v>
      </c>
      <c r="Y1102">
        <f t="shared" si="813"/>
        <v>24</v>
      </c>
      <c r="Z1102">
        <f t="shared" ref="Z1102:Z1165" si="840">IF(S1100=1,Z1101-1,Z1101)</f>
        <v>8</v>
      </c>
      <c r="AA1102">
        <f t="shared" si="814"/>
        <v>8.0833333333333286</v>
      </c>
      <c r="AB1102">
        <f t="shared" si="825"/>
        <v>50.505050505050505</v>
      </c>
      <c r="AC1102">
        <f t="shared" si="807"/>
        <v>408.24915824915803</v>
      </c>
      <c r="AD1102">
        <f t="shared" si="826"/>
        <v>80.505050505050505</v>
      </c>
      <c r="AE1102">
        <f t="shared" si="827"/>
        <v>32.537457912457889</v>
      </c>
      <c r="AF1102" s="94">
        <f t="shared" si="828"/>
        <v>4559.2133838383834</v>
      </c>
      <c r="AG1102">
        <f t="shared" ref="AG1102:AG1165" si="841">IF(B1102&lt;=$C$8,0,AF1102*N1102)</f>
        <v>1.477838520174919E-4</v>
      </c>
      <c r="AH1102">
        <f t="shared" si="829"/>
        <v>4.5825455803988308E-2</v>
      </c>
      <c r="AI1102">
        <f>HLOOKUP(AW1102,'Real assumptions'!$A$21:$AK$24,2,TRUE)</f>
        <v>0</v>
      </c>
      <c r="AJ1102" s="123">
        <f t="shared" si="808"/>
        <v>0</v>
      </c>
      <c r="AK1102" s="122">
        <f>(1+HLOOKUP(YEAR(A1102),'Real assumptions'!$A$21:$AK$24,2,TRUE)/100)^(1/12)-1</f>
        <v>0</v>
      </c>
      <c r="AL1102">
        <f t="shared" ref="AL1102:AL1165" si="842">AQ1102+U1102</f>
        <v>3.2391844520418257E-4</v>
      </c>
      <c r="AM1102">
        <f>('Real assumptions'!$B$33/12)*O1101*AV1101</f>
        <v>3.1132524151188416E-4</v>
      </c>
      <c r="AN1102">
        <f t="shared" si="830"/>
        <v>4.5845505607603691E-2</v>
      </c>
      <c r="AO1102">
        <f t="shared" si="809"/>
        <v>0</v>
      </c>
      <c r="AP1102" s="121">
        <f t="shared" si="831"/>
        <v>0</v>
      </c>
      <c r="AQ1102">
        <f t="shared" si="832"/>
        <v>0</v>
      </c>
      <c r="AR1102">
        <v>0</v>
      </c>
      <c r="AS1102">
        <f t="shared" si="815"/>
        <v>0</v>
      </c>
      <c r="AT1102">
        <f t="shared" si="833"/>
        <v>0</v>
      </c>
      <c r="AU1102">
        <f>IFERROR(HLOOKUP(B1102,'Real assumptions'!$B$43:$AL$44,2,TRUE)*($W$3/$U$2),0)</f>
        <v>0</v>
      </c>
      <c r="AV1102">
        <f>AV1101*(1+'Real assumptions'!$B$35)^(1/12)</f>
        <v>3.0906421964089468</v>
      </c>
      <c r="AW1102">
        <f t="shared" si="816"/>
        <v>2109</v>
      </c>
      <c r="AX1102">
        <f t="shared" ref="AX1102:AX1165" si="843">MAX(0,AH1101+AP1101-V1102+AY1102)</f>
        <v>4.5969857239577069E-2</v>
      </c>
      <c r="AY1102">
        <f t="shared" ref="AY1102:AY1165" si="844">IF(P1102=0,0,(AB1102/$U$2)*O1101)</f>
        <v>4.2439352932716172E-5</v>
      </c>
      <c r="AZ1102">
        <f t="shared" si="817"/>
        <v>2.1273335707205875E-2</v>
      </c>
      <c r="BA1102">
        <f t="shared" si="834"/>
        <v>1.477838520174919E-4</v>
      </c>
      <c r="BB1102">
        <f t="shared" si="835"/>
        <v>8.0833333333333286</v>
      </c>
      <c r="BC1102">
        <f t="shared" si="818"/>
        <v>4.849999999999997</v>
      </c>
      <c r="BD1102">
        <f t="shared" si="836"/>
        <v>0</v>
      </c>
      <c r="BE1102">
        <f t="shared" si="819"/>
        <v>24</v>
      </c>
      <c r="BF1102">
        <f t="shared" ref="BF1102:BF1165" si="845">((IF(B1102&lt;13,BF1101+BE1102,$AI$2+$Y$2)))</f>
        <v>5000</v>
      </c>
      <c r="BU1102"/>
      <c r="DW1102" s="89"/>
      <c r="DX1102" s="89"/>
      <c r="FD1102"/>
      <c r="FE1102"/>
    </row>
    <row r="1103" spans="1:161" x14ac:dyDescent="0.25">
      <c r="A1103" s="7">
        <f t="shared" si="837"/>
        <v>76671</v>
      </c>
      <c r="B1103">
        <f t="shared" si="820"/>
        <v>1092</v>
      </c>
      <c r="C1103">
        <f t="shared" si="801"/>
        <v>90.916666666666671</v>
      </c>
      <c r="D1103">
        <f t="shared" si="802"/>
        <v>0</v>
      </c>
      <c r="E1103">
        <f t="shared" si="821"/>
        <v>142</v>
      </c>
      <c r="F1103">
        <f>IF(C1103&gt;=$T$2,0,VLOOKUP($E1103,EKM_F05!$A$3:$C$128,2,TRUE))</f>
        <v>0</v>
      </c>
      <c r="G1103">
        <f>F1103*'Real assumptions'!$B$3</f>
        <v>0</v>
      </c>
      <c r="H1103">
        <f t="shared" si="803"/>
        <v>0</v>
      </c>
      <c r="I1103">
        <f t="shared" si="804"/>
        <v>0</v>
      </c>
      <c r="J1103">
        <f>IF(B1103&gt;$AJ$2,0,HLOOKUP(C1103,'Real assumptions'!$B$5:$L$8,4,TRUE))</f>
        <v>3.7900000000000003E-2</v>
      </c>
      <c r="K1103">
        <f t="shared" si="810"/>
        <v>1</v>
      </c>
      <c r="L1103">
        <f t="shared" si="838"/>
        <v>8.3333333333333329E-2</v>
      </c>
      <c r="M1103">
        <f t="shared" si="805"/>
        <v>3.2145624959929453E-3</v>
      </c>
      <c r="N1103">
        <f t="shared" si="806"/>
        <v>3.2310133171539427E-8</v>
      </c>
      <c r="O1103" s="8">
        <f t="shared" si="822"/>
        <v>1.001886579257731E-5</v>
      </c>
      <c r="P1103">
        <f t="shared" si="823"/>
        <v>2.4122822221797239E-4</v>
      </c>
      <c r="Q1103">
        <f t="shared" si="839"/>
        <v>0</v>
      </c>
      <c r="R1103" s="89">
        <f t="shared" si="811"/>
        <v>5000</v>
      </c>
      <c r="S1103">
        <f t="shared" si="812"/>
        <v>1</v>
      </c>
      <c r="U1103">
        <f>O1102*AV1102*'Real assumptions'!$B$33/12+AX1103*'Real assumptions'!$B$34</f>
        <v>3.2321111873305112E-4</v>
      </c>
      <c r="V1103">
        <f>IF(P1103=0,0,IF(E1103&lt;=$C$7,$AN$5*O1102,0))*'Real assumptions'!$D$28</f>
        <v>0</v>
      </c>
      <c r="X1103" s="94">
        <f t="shared" si="824"/>
        <v>0</v>
      </c>
      <c r="Y1103">
        <f t="shared" si="813"/>
        <v>24</v>
      </c>
      <c r="Z1103">
        <f t="shared" si="840"/>
        <v>8</v>
      </c>
      <c r="AA1103">
        <f t="shared" si="814"/>
        <v>8</v>
      </c>
      <c r="AB1103">
        <f t="shared" si="825"/>
        <v>50.505050505050505</v>
      </c>
      <c r="AC1103">
        <f t="shared" si="807"/>
        <v>404.04040404040404</v>
      </c>
      <c r="AD1103">
        <f t="shared" si="826"/>
        <v>80.505050505050505</v>
      </c>
      <c r="AE1103">
        <f t="shared" si="827"/>
        <v>32.202020202020201</v>
      </c>
      <c r="AF1103" s="94">
        <f t="shared" si="828"/>
        <v>4563.757575757576</v>
      </c>
      <c r="AG1103">
        <f t="shared" si="841"/>
        <v>1.474556150353492E-4</v>
      </c>
      <c r="AH1103">
        <f t="shared" si="829"/>
        <v>4.5723674661373129E-2</v>
      </c>
      <c r="AI1103">
        <f>HLOOKUP(AW1103,'Real assumptions'!$A$21:$AK$24,2,TRUE)</f>
        <v>0</v>
      </c>
      <c r="AJ1103" s="123">
        <f t="shared" si="808"/>
        <v>0</v>
      </c>
      <c r="AK1103" s="122">
        <f>(1+HLOOKUP(YEAR(A1103),'Real assumptions'!$A$21:$AK$24,2,TRUE)/100)^(1/12)-1</f>
        <v>0</v>
      </c>
      <c r="AL1103">
        <f t="shared" si="842"/>
        <v>3.2321111873305112E-4</v>
      </c>
      <c r="AM1103">
        <f>('Real assumptions'!$B$33/12)*O1102*AV1102</f>
        <v>3.1064588439649155E-4</v>
      </c>
      <c r="AN1103">
        <f t="shared" si="830"/>
        <v>4.5743472907473229E-2</v>
      </c>
      <c r="AO1103">
        <f t="shared" si="809"/>
        <v>0</v>
      </c>
      <c r="AP1103" s="121">
        <f t="shared" si="831"/>
        <v>0</v>
      </c>
      <c r="AQ1103">
        <f t="shared" si="832"/>
        <v>0</v>
      </c>
      <c r="AR1103">
        <v>0</v>
      </c>
      <c r="AS1103">
        <f t="shared" si="815"/>
        <v>0</v>
      </c>
      <c r="AT1103">
        <f t="shared" si="833"/>
        <v>0</v>
      </c>
      <c r="AU1103">
        <f>IFERROR(HLOOKUP(B1103,'Real assumptions'!$B$43:$AL$44,2,TRUE)*($W$3/$U$2),0)</f>
        <v>0</v>
      </c>
      <c r="AV1103">
        <f>AV1102*(1+'Real assumptions'!$B$35)^(1/12)</f>
        <v>3.0938433167467361</v>
      </c>
      <c r="AW1103">
        <f t="shared" si="816"/>
        <v>2109</v>
      </c>
      <c r="AX1103">
        <f t="shared" si="843"/>
        <v>4.5867758732968729E-2</v>
      </c>
      <c r="AY1103">
        <f t="shared" si="844"/>
        <v>4.2302928980424449E-5</v>
      </c>
      <c r="AZ1103">
        <f t="shared" si="817"/>
        <v>2.1043897195655446E-2</v>
      </c>
      <c r="BA1103">
        <f t="shared" si="834"/>
        <v>1.474556150353492E-4</v>
      </c>
      <c r="BB1103">
        <f t="shared" si="835"/>
        <v>8</v>
      </c>
      <c r="BC1103">
        <f t="shared" si="818"/>
        <v>4.8</v>
      </c>
      <c r="BD1103">
        <f t="shared" si="836"/>
        <v>0</v>
      </c>
      <c r="BE1103">
        <f t="shared" si="819"/>
        <v>24</v>
      </c>
      <c r="BF1103">
        <f t="shared" si="845"/>
        <v>5000</v>
      </c>
      <c r="BU1103"/>
      <c r="DW1103" s="89"/>
      <c r="DX1103" s="89"/>
      <c r="FD1103"/>
      <c r="FE1103"/>
    </row>
    <row r="1104" spans="1:161" x14ac:dyDescent="0.25">
      <c r="A1104" s="7">
        <f t="shared" si="837"/>
        <v>76702</v>
      </c>
      <c r="B1104">
        <f t="shared" si="820"/>
        <v>1093</v>
      </c>
      <c r="C1104">
        <f t="shared" si="801"/>
        <v>91</v>
      </c>
      <c r="D1104">
        <f t="shared" si="802"/>
        <v>1</v>
      </c>
      <c r="E1104">
        <f t="shared" si="821"/>
        <v>143</v>
      </c>
      <c r="F1104">
        <f>IF(C1104&gt;=$T$2,0,VLOOKUP($E1104,EKM_F05!$A$3:$C$128,2,TRUE))</f>
        <v>0</v>
      </c>
      <c r="G1104">
        <f>F1104*'Real assumptions'!$B$3</f>
        <v>0</v>
      </c>
      <c r="H1104">
        <f t="shared" si="803"/>
        <v>0</v>
      </c>
      <c r="I1104">
        <f t="shared" si="804"/>
        <v>0</v>
      </c>
      <c r="J1104">
        <f>IF(B1104&gt;$AJ$2,0,HLOOKUP(C1104,'Real assumptions'!$B$5:$L$8,4,TRUE))</f>
        <v>3.7900000000000003E-2</v>
      </c>
      <c r="K1104">
        <f t="shared" si="810"/>
        <v>1</v>
      </c>
      <c r="L1104">
        <f t="shared" si="838"/>
        <v>8.3333333333333329E-2</v>
      </c>
      <c r="M1104">
        <f t="shared" si="805"/>
        <v>3.2145624959929453E-3</v>
      </c>
      <c r="N1104">
        <f t="shared" si="806"/>
        <v>3.2206270229205657E-8</v>
      </c>
      <c r="O1104" s="8">
        <f t="shared" si="822"/>
        <v>9.9866595223481051E-6</v>
      </c>
      <c r="P1104">
        <f t="shared" si="823"/>
        <v>2.4045277902185543E-4</v>
      </c>
      <c r="Q1104">
        <f t="shared" si="839"/>
        <v>0</v>
      </c>
      <c r="R1104" s="89">
        <f t="shared" si="811"/>
        <v>5000</v>
      </c>
      <c r="S1104">
        <f t="shared" si="812"/>
        <v>0.9166666666666714</v>
      </c>
      <c r="U1104">
        <f>O1103*AV1103*'Real assumptions'!$B$33/12+AX1104*'Real assumptions'!$B$34</f>
        <v>3.2250532440602006E-4</v>
      </c>
      <c r="V1104">
        <f>IF(P1104=0,0,IF(E1104&lt;=$C$7,$AN$5*O1103,0))*'Real assumptions'!$D$28</f>
        <v>0</v>
      </c>
      <c r="X1104" s="94">
        <f t="shared" si="824"/>
        <v>0</v>
      </c>
      <c r="Y1104">
        <f t="shared" si="813"/>
        <v>24</v>
      </c>
      <c r="Z1104">
        <f t="shared" si="840"/>
        <v>8</v>
      </c>
      <c r="AA1104">
        <f t="shared" si="814"/>
        <v>7.9166666666666714</v>
      </c>
      <c r="AB1104">
        <f t="shared" si="825"/>
        <v>50.505050505050505</v>
      </c>
      <c r="AC1104">
        <f t="shared" si="807"/>
        <v>399.83164983165005</v>
      </c>
      <c r="AD1104">
        <f t="shared" si="826"/>
        <v>80.505050505050505</v>
      </c>
      <c r="AE1104">
        <f t="shared" si="827"/>
        <v>31.866582491582509</v>
      </c>
      <c r="AF1104" s="94">
        <f t="shared" si="828"/>
        <v>4568.3017676767677</v>
      </c>
      <c r="AG1104">
        <f t="shared" si="841"/>
        <v>1.4712796121835585E-4</v>
      </c>
      <c r="AH1104">
        <f t="shared" si="829"/>
        <v>4.562207434912887E-2</v>
      </c>
      <c r="AI1104">
        <f>HLOOKUP(AW1104,'Real assumptions'!$A$21:$AK$24,2,TRUE)</f>
        <v>0</v>
      </c>
      <c r="AJ1104" s="123">
        <f t="shared" si="808"/>
        <v>0</v>
      </c>
      <c r="AK1104" s="122">
        <f>(1+HLOOKUP(YEAR(A1104),'Real assumptions'!$A$21:$AK$24,2,TRUE)/100)^(1/12)-1</f>
        <v>0</v>
      </c>
      <c r="AL1104">
        <f t="shared" si="842"/>
        <v>3.2250532440602006E-4</v>
      </c>
      <c r="AM1104">
        <f>('Real assumptions'!$B$33/12)*O1103*AV1103</f>
        <v>3.0996800973747801E-4</v>
      </c>
      <c r="AN1104">
        <f t="shared" si="830"/>
        <v>4.5641622115988968E-2</v>
      </c>
      <c r="AO1104">
        <f t="shared" si="809"/>
        <v>0</v>
      </c>
      <c r="AP1104" s="121">
        <f t="shared" si="831"/>
        <v>0</v>
      </c>
      <c r="AQ1104">
        <f t="shared" si="832"/>
        <v>0</v>
      </c>
      <c r="AR1104">
        <v>0</v>
      </c>
      <c r="AS1104">
        <f t="shared" si="815"/>
        <v>0</v>
      </c>
      <c r="AT1104">
        <f t="shared" si="833"/>
        <v>0</v>
      </c>
      <c r="AU1104">
        <f>IFERROR(HLOOKUP(B1104,'Real assumptions'!$B$43:$AL$44,2,TRUE)*($W$3/$U$2),0)</f>
        <v>0</v>
      </c>
      <c r="AV1104">
        <f>AV1103*(1+'Real assumptions'!$B$35)^(1/12)</f>
        <v>3.0970477526321578</v>
      </c>
      <c r="AW1104">
        <f t="shared" si="816"/>
        <v>2109</v>
      </c>
      <c r="AX1104">
        <f t="shared" si="843"/>
        <v>4.5765841604944582E-2</v>
      </c>
      <c r="AY1104">
        <f t="shared" si="844"/>
        <v>4.2166943571453321E-5</v>
      </c>
      <c r="AZ1104">
        <f t="shared" si="817"/>
        <v>2.0814716689052926E-2</v>
      </c>
      <c r="BA1104">
        <f t="shared" si="834"/>
        <v>1.4712796121835585E-4</v>
      </c>
      <c r="BB1104">
        <f t="shared" si="835"/>
        <v>7.9166666666666714</v>
      </c>
      <c r="BC1104">
        <f t="shared" si="818"/>
        <v>4.7500000000000027</v>
      </c>
      <c r="BD1104">
        <f t="shared" si="836"/>
        <v>0</v>
      </c>
      <c r="BE1104">
        <f t="shared" si="819"/>
        <v>24</v>
      </c>
      <c r="BF1104">
        <f t="shared" si="845"/>
        <v>5000</v>
      </c>
      <c r="BU1104"/>
      <c r="DW1104" s="89"/>
      <c r="DX1104" s="89"/>
      <c r="FD1104"/>
      <c r="FE1104"/>
    </row>
    <row r="1105" spans="1:161" x14ac:dyDescent="0.25">
      <c r="A1105" s="7">
        <f t="shared" si="837"/>
        <v>76733</v>
      </c>
      <c r="B1105">
        <f t="shared" si="820"/>
        <v>1094</v>
      </c>
      <c r="C1105">
        <f t="shared" si="801"/>
        <v>91.083333333333329</v>
      </c>
      <c r="D1105">
        <f t="shared" si="802"/>
        <v>0</v>
      </c>
      <c r="E1105">
        <f t="shared" si="821"/>
        <v>143</v>
      </c>
      <c r="F1105">
        <f>IF(C1105&gt;=$T$2,0,VLOOKUP($E1105,EKM_F05!$A$3:$C$128,2,TRUE))</f>
        <v>0</v>
      </c>
      <c r="G1105">
        <f>F1105*'Real assumptions'!$B$3</f>
        <v>0</v>
      </c>
      <c r="H1105">
        <f t="shared" si="803"/>
        <v>0</v>
      </c>
      <c r="I1105">
        <f t="shared" si="804"/>
        <v>0</v>
      </c>
      <c r="J1105">
        <f>IF(B1105&gt;$AJ$2,0,HLOOKUP(C1105,'Real assumptions'!$B$5:$L$8,4,TRUE))</f>
        <v>3.7900000000000003E-2</v>
      </c>
      <c r="K1105">
        <f t="shared" si="810"/>
        <v>1</v>
      </c>
      <c r="L1105">
        <f t="shared" si="838"/>
        <v>8.3333333333333329E-2</v>
      </c>
      <c r="M1105">
        <f t="shared" si="805"/>
        <v>3.2145624959929453E-3</v>
      </c>
      <c r="N1105">
        <f t="shared" si="806"/>
        <v>3.210274116079104E-8</v>
      </c>
      <c r="O1105" s="8">
        <f t="shared" si="822"/>
        <v>9.9545567811873139E-6</v>
      </c>
      <c r="P1105">
        <f t="shared" si="823"/>
        <v>2.3967982853635451E-4</v>
      </c>
      <c r="Q1105">
        <f t="shared" si="839"/>
        <v>0</v>
      </c>
      <c r="R1105" s="89">
        <f t="shared" si="811"/>
        <v>5000</v>
      </c>
      <c r="S1105">
        <f t="shared" si="812"/>
        <v>0.8333333333333286</v>
      </c>
      <c r="U1105">
        <f>O1104*AV1104*'Real assumptions'!$B$33/12+AX1105*'Real assumptions'!$B$34</f>
        <v>3.2180105895772345E-4</v>
      </c>
      <c r="V1105">
        <f>IF(P1105=0,0,IF(E1105&lt;=$C$7,$AN$5*O1104,0))*'Real assumptions'!$D$28</f>
        <v>0</v>
      </c>
      <c r="X1105" s="94">
        <f t="shared" si="824"/>
        <v>0</v>
      </c>
      <c r="Y1105">
        <f t="shared" si="813"/>
        <v>24</v>
      </c>
      <c r="Z1105">
        <f t="shared" si="840"/>
        <v>7</v>
      </c>
      <c r="AA1105">
        <f t="shared" si="814"/>
        <v>7.8333333333333286</v>
      </c>
      <c r="AB1105">
        <f t="shared" si="825"/>
        <v>50.505050505050505</v>
      </c>
      <c r="AC1105">
        <f t="shared" si="807"/>
        <v>395.62289562289538</v>
      </c>
      <c r="AD1105">
        <f t="shared" si="826"/>
        <v>80.505050505050505</v>
      </c>
      <c r="AE1105">
        <f t="shared" si="827"/>
        <v>31.531144781144761</v>
      </c>
      <c r="AF1105" s="94">
        <f t="shared" si="828"/>
        <v>4572.8459595959603</v>
      </c>
      <c r="AG1105">
        <f t="shared" si="841"/>
        <v>1.4680089020907824E-4</v>
      </c>
      <c r="AH1105">
        <f t="shared" si="829"/>
        <v>4.5520654756420975E-2</v>
      </c>
      <c r="AI1105">
        <f>HLOOKUP(AW1105,'Real assumptions'!$A$21:$AK$24,2,TRUE)</f>
        <v>0</v>
      </c>
      <c r="AJ1105" s="123">
        <f t="shared" si="808"/>
        <v>0</v>
      </c>
      <c r="AK1105" s="122">
        <f>(1+HLOOKUP(YEAR(A1105),'Real assumptions'!$A$21:$AK$24,2,TRUE)/100)^(1/12)-1</f>
        <v>0</v>
      </c>
      <c r="AL1105">
        <f t="shared" si="842"/>
        <v>3.2180105895772345E-4</v>
      </c>
      <c r="AM1105">
        <f>('Real assumptions'!$B$33/12)*O1104*AV1104</f>
        <v>3.0929161429990739E-4</v>
      </c>
      <c r="AN1105">
        <f t="shared" si="830"/>
        <v>4.5539953118707503E-2</v>
      </c>
      <c r="AO1105">
        <f t="shared" si="809"/>
        <v>0</v>
      </c>
      <c r="AP1105" s="121">
        <f t="shared" si="831"/>
        <v>0</v>
      </c>
      <c r="AQ1105">
        <f t="shared" si="832"/>
        <v>0</v>
      </c>
      <c r="AR1105">
        <v>0</v>
      </c>
      <c r="AS1105">
        <f t="shared" si="815"/>
        <v>0</v>
      </c>
      <c r="AT1105">
        <f t="shared" si="833"/>
        <v>0</v>
      </c>
      <c r="AU1105">
        <f>IFERROR(HLOOKUP(B1105,'Real assumptions'!$B$43:$AL$44,2,TRUE)*($W$3/$U$2),0)</f>
        <v>0</v>
      </c>
      <c r="AV1105">
        <f>AV1104*(1+'Real assumptions'!$B$35)^(1/12)</f>
        <v>3.100255507499277</v>
      </c>
      <c r="AW1105">
        <f t="shared" si="816"/>
        <v>2110</v>
      </c>
      <c r="AX1105">
        <f t="shared" si="843"/>
        <v>4.5664105744424949E-2</v>
      </c>
      <c r="AY1105">
        <f t="shared" si="844"/>
        <v>4.2031395296077878E-5</v>
      </c>
      <c r="AZ1105">
        <f t="shared" si="817"/>
        <v>2.0585794568422477E-2</v>
      </c>
      <c r="BA1105">
        <f t="shared" si="834"/>
        <v>1.4680089020907824E-4</v>
      </c>
      <c r="BB1105">
        <f t="shared" si="835"/>
        <v>7.8333333333333286</v>
      </c>
      <c r="BC1105">
        <f t="shared" si="818"/>
        <v>4.6999999999999975</v>
      </c>
      <c r="BD1105">
        <f t="shared" si="836"/>
        <v>0</v>
      </c>
      <c r="BE1105">
        <f t="shared" si="819"/>
        <v>24</v>
      </c>
      <c r="BF1105">
        <f t="shared" si="845"/>
        <v>5000</v>
      </c>
      <c r="BU1105"/>
      <c r="DW1105" s="89"/>
      <c r="DX1105" s="89"/>
      <c r="FD1105"/>
      <c r="FE1105"/>
    </row>
    <row r="1106" spans="1:161" x14ac:dyDescent="0.25">
      <c r="A1106" s="7">
        <f t="shared" si="837"/>
        <v>76761</v>
      </c>
      <c r="B1106">
        <f t="shared" si="820"/>
        <v>1095</v>
      </c>
      <c r="C1106">
        <f t="shared" si="801"/>
        <v>91.166666666666671</v>
      </c>
      <c r="D1106">
        <f t="shared" si="802"/>
        <v>0</v>
      </c>
      <c r="E1106">
        <f t="shared" si="821"/>
        <v>143</v>
      </c>
      <c r="F1106">
        <f>IF(C1106&gt;=$T$2,0,VLOOKUP($E1106,EKM_F05!$A$3:$C$128,2,TRUE))</f>
        <v>0</v>
      </c>
      <c r="G1106">
        <f>F1106*'Real assumptions'!$B$3</f>
        <v>0</v>
      </c>
      <c r="H1106">
        <f t="shared" si="803"/>
        <v>0</v>
      </c>
      <c r="I1106">
        <f t="shared" si="804"/>
        <v>0</v>
      </c>
      <c r="J1106">
        <f>IF(B1106&gt;$AJ$2,0,HLOOKUP(C1106,'Real assumptions'!$B$5:$L$8,4,TRUE))</f>
        <v>3.7900000000000003E-2</v>
      </c>
      <c r="K1106">
        <f t="shared" si="810"/>
        <v>1</v>
      </c>
      <c r="L1106">
        <f t="shared" si="838"/>
        <v>8.3333333333333329E-2</v>
      </c>
      <c r="M1106">
        <f t="shared" si="805"/>
        <v>3.2145624959929453E-3</v>
      </c>
      <c r="N1106">
        <f t="shared" si="806"/>
        <v>3.199954489303699E-8</v>
      </c>
      <c r="O1106" s="8">
        <f t="shared" si="822"/>
        <v>9.922557236294277E-6</v>
      </c>
      <c r="P1106">
        <f t="shared" si="823"/>
        <v>2.3890936274849553E-4</v>
      </c>
      <c r="Q1106">
        <f t="shared" si="839"/>
        <v>0</v>
      </c>
      <c r="R1106" s="89">
        <f t="shared" si="811"/>
        <v>5000</v>
      </c>
      <c r="S1106">
        <f t="shared" si="812"/>
        <v>0.75</v>
      </c>
      <c r="U1106">
        <f>O1105*AV1105*'Real assumptions'!$B$33/12+AX1106*'Real assumptions'!$B$34</f>
        <v>3.2109831912953678E-4</v>
      </c>
      <c r="V1106">
        <f>IF(P1106=0,0,IF(E1106&lt;=$C$7,$AN$5*O1105,0))*'Real assumptions'!$D$28</f>
        <v>0</v>
      </c>
      <c r="X1106" s="94">
        <f t="shared" si="824"/>
        <v>0</v>
      </c>
      <c r="Y1106">
        <f t="shared" si="813"/>
        <v>24</v>
      </c>
      <c r="Z1106">
        <f t="shared" si="840"/>
        <v>7</v>
      </c>
      <c r="AA1106">
        <f t="shared" si="814"/>
        <v>7.75</v>
      </c>
      <c r="AB1106">
        <f t="shared" si="825"/>
        <v>50.505050505050505</v>
      </c>
      <c r="AC1106">
        <f t="shared" si="807"/>
        <v>391.4141414141414</v>
      </c>
      <c r="AD1106">
        <f t="shared" si="826"/>
        <v>80.505050505050505</v>
      </c>
      <c r="AE1106">
        <f t="shared" si="827"/>
        <v>31.195707070707069</v>
      </c>
      <c r="AF1106" s="94">
        <f t="shared" si="828"/>
        <v>4577.390151515152</v>
      </c>
      <c r="AG1106">
        <f t="shared" si="841"/>
        <v>1.464744016463545E-4</v>
      </c>
      <c r="AH1106">
        <f t="shared" si="829"/>
        <v>4.5419415771258825E-2</v>
      </c>
      <c r="AI1106">
        <f>HLOOKUP(AW1106,'Real assumptions'!$A$21:$AK$24,2,TRUE)</f>
        <v>0</v>
      </c>
      <c r="AJ1106" s="123">
        <f t="shared" si="808"/>
        <v>0</v>
      </c>
      <c r="AK1106" s="122">
        <f>(1+HLOOKUP(YEAR(A1106),'Real assumptions'!$A$21:$AK$24,2,TRUE)/100)^(1/12)-1</f>
        <v>0</v>
      </c>
      <c r="AL1106">
        <f t="shared" si="842"/>
        <v>3.2109831912953678E-4</v>
      </c>
      <c r="AM1106">
        <f>('Real assumptions'!$B$33/12)*O1105*AV1105</f>
        <v>3.0861669485590242E-4</v>
      </c>
      <c r="AN1106">
        <f t="shared" si="830"/>
        <v>4.5438465800039934E-2</v>
      </c>
      <c r="AO1106">
        <f t="shared" si="809"/>
        <v>0</v>
      </c>
      <c r="AP1106" s="121">
        <f t="shared" si="831"/>
        <v>0</v>
      </c>
      <c r="AQ1106">
        <f t="shared" si="832"/>
        <v>0</v>
      </c>
      <c r="AR1106">
        <v>0</v>
      </c>
      <c r="AS1106">
        <f t="shared" si="815"/>
        <v>0</v>
      </c>
      <c r="AT1106">
        <f t="shared" si="833"/>
        <v>0</v>
      </c>
      <c r="AU1106">
        <f>IFERROR(HLOOKUP(B1106,'Real assumptions'!$B$43:$AL$44,2,TRUE)*($W$3/$U$2),0)</f>
        <v>0</v>
      </c>
      <c r="AV1106">
        <f>AV1105*(1+'Real assumptions'!$B$35)^(1/12)</f>
        <v>3.1034665847857159</v>
      </c>
      <c r="AW1106">
        <f t="shared" si="816"/>
        <v>2110</v>
      </c>
      <c r="AX1106">
        <f t="shared" si="843"/>
        <v>4.5562551039170077E-2</v>
      </c>
      <c r="AY1106">
        <f t="shared" si="844"/>
        <v>4.1896282749104851E-5</v>
      </c>
      <c r="AZ1106">
        <f t="shared" si="817"/>
        <v>2.035713121039508E-2</v>
      </c>
      <c r="BA1106">
        <f t="shared" si="834"/>
        <v>1.464744016463545E-4</v>
      </c>
      <c r="BB1106">
        <f t="shared" si="835"/>
        <v>7.75</v>
      </c>
      <c r="BC1106">
        <f t="shared" si="818"/>
        <v>4.6500000000000004</v>
      </c>
      <c r="BD1106">
        <f t="shared" si="836"/>
        <v>0</v>
      </c>
      <c r="BE1106">
        <f t="shared" si="819"/>
        <v>24</v>
      </c>
      <c r="BF1106">
        <f t="shared" si="845"/>
        <v>5000</v>
      </c>
      <c r="BU1106"/>
      <c r="DW1106" s="89"/>
      <c r="DX1106" s="89"/>
      <c r="FD1106"/>
      <c r="FE1106"/>
    </row>
    <row r="1107" spans="1:161" x14ac:dyDescent="0.25">
      <c r="A1107" s="7">
        <f t="shared" si="837"/>
        <v>76792</v>
      </c>
      <c r="B1107">
        <f t="shared" si="820"/>
        <v>1096</v>
      </c>
      <c r="C1107">
        <f t="shared" si="801"/>
        <v>91.25</v>
      </c>
      <c r="D1107">
        <f t="shared" si="802"/>
        <v>0</v>
      </c>
      <c r="E1107">
        <f t="shared" si="821"/>
        <v>143</v>
      </c>
      <c r="F1107">
        <f>IF(C1107&gt;=$T$2,0,VLOOKUP($E1107,EKM_F05!$A$3:$C$128,2,TRUE))</f>
        <v>0</v>
      </c>
      <c r="G1107">
        <f>F1107*'Real assumptions'!$B$3</f>
        <v>0</v>
      </c>
      <c r="H1107">
        <f t="shared" si="803"/>
        <v>0</v>
      </c>
      <c r="I1107">
        <f t="shared" si="804"/>
        <v>0</v>
      </c>
      <c r="J1107">
        <f>IF(B1107&gt;$AJ$2,0,HLOOKUP(C1107,'Real assumptions'!$B$5:$L$8,4,TRUE))</f>
        <v>3.7900000000000003E-2</v>
      </c>
      <c r="K1107">
        <f t="shared" si="810"/>
        <v>1</v>
      </c>
      <c r="L1107">
        <f t="shared" si="838"/>
        <v>8.3333333333333329E-2</v>
      </c>
      <c r="M1107">
        <f t="shared" si="805"/>
        <v>3.2145624959929453E-3</v>
      </c>
      <c r="N1107">
        <f t="shared" si="806"/>
        <v>3.1896680356134991E-8</v>
      </c>
      <c r="O1107" s="8">
        <f t="shared" si="822"/>
        <v>9.8906605559381425E-6</v>
      </c>
      <c r="P1107">
        <f t="shared" si="823"/>
        <v>2.3814137367106266E-4</v>
      </c>
      <c r="Q1107">
        <f t="shared" si="839"/>
        <v>0</v>
      </c>
      <c r="R1107" s="89">
        <f t="shared" si="811"/>
        <v>5000</v>
      </c>
      <c r="S1107">
        <f t="shared" si="812"/>
        <v>0.6666666666666714</v>
      </c>
      <c r="U1107">
        <f>O1106*AV1106*'Real assumptions'!$B$33/12+AX1107*'Real assumptions'!$B$34</f>
        <v>3.2039710166956365E-4</v>
      </c>
      <c r="V1107">
        <f>IF(P1107=0,0,IF(E1107&lt;=$C$7,$AN$5*O1106,0))*'Real assumptions'!$D$28</f>
        <v>0</v>
      </c>
      <c r="X1107" s="94">
        <f t="shared" si="824"/>
        <v>0</v>
      </c>
      <c r="Y1107">
        <f t="shared" si="813"/>
        <v>24</v>
      </c>
      <c r="Z1107">
        <f t="shared" si="840"/>
        <v>7</v>
      </c>
      <c r="AA1107">
        <f t="shared" si="814"/>
        <v>7.6666666666666714</v>
      </c>
      <c r="AB1107">
        <f t="shared" si="825"/>
        <v>50.505050505050505</v>
      </c>
      <c r="AC1107">
        <f t="shared" si="807"/>
        <v>387.20538720538747</v>
      </c>
      <c r="AD1107">
        <f t="shared" si="826"/>
        <v>80.505050505050505</v>
      </c>
      <c r="AE1107">
        <f t="shared" si="827"/>
        <v>30.860269360269378</v>
      </c>
      <c r="AF1107" s="94">
        <f t="shared" si="828"/>
        <v>4581.9343434343427</v>
      </c>
      <c r="AG1107">
        <f t="shared" si="841"/>
        <v>1.4614849516532248E-4</v>
      </c>
      <c r="AH1107">
        <f t="shared" si="829"/>
        <v>4.5318357280504387E-2</v>
      </c>
      <c r="AI1107">
        <f>HLOOKUP(AW1107,'Real assumptions'!$A$21:$AK$24,2,TRUE)</f>
        <v>0</v>
      </c>
      <c r="AJ1107" s="123">
        <f t="shared" si="808"/>
        <v>0</v>
      </c>
      <c r="AK1107" s="122">
        <f>(1+HLOOKUP(YEAR(A1107),'Real assumptions'!$A$21:$AK$24,2,TRUE)/100)^(1/12)-1</f>
        <v>0</v>
      </c>
      <c r="AL1107">
        <f t="shared" si="842"/>
        <v>3.2039710166956365E-4</v>
      </c>
      <c r="AM1107">
        <f>('Real assumptions'!$B$33/12)*O1106*AV1106</f>
        <v>3.0794324818462989E-4</v>
      </c>
      <c r="AN1107">
        <f t="shared" si="830"/>
        <v>4.5337160043260327E-2</v>
      </c>
      <c r="AO1107">
        <f t="shared" si="809"/>
        <v>0</v>
      </c>
      <c r="AP1107" s="121">
        <f t="shared" si="831"/>
        <v>0</v>
      </c>
      <c r="AQ1107">
        <f t="shared" si="832"/>
        <v>0</v>
      </c>
      <c r="AR1107">
        <v>0</v>
      </c>
      <c r="AS1107">
        <f t="shared" si="815"/>
        <v>0</v>
      </c>
      <c r="AT1107">
        <f t="shared" si="833"/>
        <v>0</v>
      </c>
      <c r="AU1107">
        <f>IFERROR(HLOOKUP(B1107,'Real assumptions'!$B$43:$AL$44,2,TRUE)*($W$3/$U$2),0)</f>
        <v>0</v>
      </c>
      <c r="AV1107">
        <f>AV1106*(1+'Real assumptions'!$B$35)^(1/12)</f>
        <v>3.1066809879326573</v>
      </c>
      <c r="AW1107">
        <f t="shared" si="816"/>
        <v>2110</v>
      </c>
      <c r="AX1107">
        <f t="shared" si="843"/>
        <v>4.5461177375788683E-2</v>
      </c>
      <c r="AY1107">
        <f t="shared" si="844"/>
        <v>4.1761604529858066E-5</v>
      </c>
      <c r="AZ1107">
        <f t="shared" si="817"/>
        <v>2.0128726987231255E-2</v>
      </c>
      <c r="BA1107">
        <f t="shared" si="834"/>
        <v>1.4614849516532248E-4</v>
      </c>
      <c r="BB1107">
        <f t="shared" si="835"/>
        <v>7.6666666666666714</v>
      </c>
      <c r="BC1107">
        <f t="shared" si="818"/>
        <v>4.6000000000000032</v>
      </c>
      <c r="BD1107">
        <f t="shared" si="836"/>
        <v>0</v>
      </c>
      <c r="BE1107">
        <f t="shared" si="819"/>
        <v>24</v>
      </c>
      <c r="BF1107">
        <f t="shared" si="845"/>
        <v>5000</v>
      </c>
      <c r="BU1107"/>
      <c r="DW1107" s="89"/>
      <c r="DX1107" s="89"/>
      <c r="FD1107"/>
      <c r="FE1107"/>
    </row>
    <row r="1108" spans="1:161" x14ac:dyDescent="0.25">
      <c r="A1108" s="7">
        <f t="shared" si="837"/>
        <v>76822</v>
      </c>
      <c r="B1108">
        <f t="shared" si="820"/>
        <v>1097</v>
      </c>
      <c r="C1108">
        <f t="shared" si="801"/>
        <v>91.333333333333329</v>
      </c>
      <c r="D1108">
        <f t="shared" si="802"/>
        <v>0</v>
      </c>
      <c r="E1108">
        <f t="shared" si="821"/>
        <v>143</v>
      </c>
      <c r="F1108">
        <f>IF(C1108&gt;=$T$2,0,VLOOKUP($E1108,EKM_F05!$A$3:$C$128,2,TRUE))</f>
        <v>0</v>
      </c>
      <c r="G1108">
        <f>F1108*'Real assumptions'!$B$3</f>
        <v>0</v>
      </c>
      <c r="H1108">
        <f t="shared" si="803"/>
        <v>0</v>
      </c>
      <c r="I1108">
        <f t="shared" si="804"/>
        <v>0</v>
      </c>
      <c r="J1108">
        <f>IF(B1108&gt;$AJ$2,0,HLOOKUP(C1108,'Real assumptions'!$B$5:$L$8,4,TRUE))</f>
        <v>3.7900000000000003E-2</v>
      </c>
      <c r="K1108">
        <f t="shared" si="810"/>
        <v>1</v>
      </c>
      <c r="L1108">
        <f t="shared" si="838"/>
        <v>8.3333333333333329E-2</v>
      </c>
      <c r="M1108">
        <f t="shared" si="805"/>
        <v>3.2145624959929453E-3</v>
      </c>
      <c r="N1108">
        <f t="shared" si="806"/>
        <v>3.1794146483715489E-8</v>
      </c>
      <c r="O1108" s="8">
        <f t="shared" si="822"/>
        <v>9.8588664094544274E-6</v>
      </c>
      <c r="P1108">
        <f t="shared" si="823"/>
        <v>2.3737585334251542E-4</v>
      </c>
      <c r="Q1108">
        <f t="shared" si="839"/>
        <v>0</v>
      </c>
      <c r="R1108" s="89">
        <f t="shared" si="811"/>
        <v>5000</v>
      </c>
      <c r="S1108">
        <f t="shared" si="812"/>
        <v>0.5833333333333286</v>
      </c>
      <c r="U1108">
        <f>O1107*AV1107*'Real assumptions'!$B$33/12+AX1108*'Real assumptions'!$B$34</f>
        <v>3.1969740333262308E-4</v>
      </c>
      <c r="V1108">
        <f>IF(P1108=0,0,IF(E1108&lt;=$C$7,$AN$5*O1107,0))*'Real assumptions'!$D$28</f>
        <v>0</v>
      </c>
      <c r="X1108" s="94">
        <f t="shared" si="824"/>
        <v>0</v>
      </c>
      <c r="Y1108">
        <f t="shared" si="813"/>
        <v>24</v>
      </c>
      <c r="Z1108">
        <f t="shared" si="840"/>
        <v>7</v>
      </c>
      <c r="AA1108">
        <f t="shared" si="814"/>
        <v>7.5833333333333286</v>
      </c>
      <c r="AB1108">
        <f t="shared" si="825"/>
        <v>50.505050505050505</v>
      </c>
      <c r="AC1108">
        <f t="shared" si="807"/>
        <v>382.99663299663274</v>
      </c>
      <c r="AD1108">
        <f t="shared" si="826"/>
        <v>80.505050505050505</v>
      </c>
      <c r="AE1108">
        <f t="shared" si="827"/>
        <v>30.524831649831629</v>
      </c>
      <c r="AF1108" s="94">
        <f t="shared" si="828"/>
        <v>4586.4785353535353</v>
      </c>
      <c r="AG1108">
        <f t="shared" si="841"/>
        <v>1.4582317039744719E-4</v>
      </c>
      <c r="AH1108">
        <f t="shared" si="829"/>
        <v>4.5217479169880712E-2</v>
      </c>
      <c r="AI1108">
        <f>HLOOKUP(AW1108,'Real assumptions'!$A$21:$AK$24,2,TRUE)</f>
        <v>0</v>
      </c>
      <c r="AJ1108" s="123">
        <f t="shared" si="808"/>
        <v>0</v>
      </c>
      <c r="AK1108" s="122">
        <f>(1+HLOOKUP(YEAR(A1108),'Real assumptions'!$A$21:$AK$24,2,TRUE)/100)^(1/12)-1</f>
        <v>0</v>
      </c>
      <c r="AL1108">
        <f t="shared" si="842"/>
        <v>3.1969740333262308E-4</v>
      </c>
      <c r="AM1108">
        <f>('Real assumptions'!$B$33/12)*O1107*AV1107</f>
        <v>3.0727127107228476E-4</v>
      </c>
      <c r="AN1108">
        <f t="shared" si="830"/>
        <v>4.5236035730514275E-2</v>
      </c>
      <c r="AO1108">
        <f t="shared" si="809"/>
        <v>0</v>
      </c>
      <c r="AP1108" s="121">
        <f t="shared" si="831"/>
        <v>0</v>
      </c>
      <c r="AQ1108">
        <f t="shared" si="832"/>
        <v>0</v>
      </c>
      <c r="AR1108">
        <v>0</v>
      </c>
      <c r="AS1108">
        <f t="shared" si="815"/>
        <v>0</v>
      </c>
      <c r="AT1108">
        <f t="shared" si="833"/>
        <v>0</v>
      </c>
      <c r="AU1108">
        <f>IFERROR(HLOOKUP(B1108,'Real assumptions'!$B$43:$AL$44,2,TRUE)*($W$3/$U$2),0)</f>
        <v>0</v>
      </c>
      <c r="AV1108">
        <f>AV1107*(1+'Real assumptions'!$B$35)^(1/12)</f>
        <v>3.1098987203848476</v>
      </c>
      <c r="AW1108">
        <f t="shared" si="816"/>
        <v>2110</v>
      </c>
      <c r="AX1108">
        <f t="shared" si="843"/>
        <v>4.5359984639746553E-2</v>
      </c>
      <c r="AY1108">
        <f t="shared" si="844"/>
        <v>4.1627359242163896E-5</v>
      </c>
      <c r="AZ1108">
        <f t="shared" si="817"/>
        <v>1.9900582266843703E-2</v>
      </c>
      <c r="BA1108">
        <f t="shared" si="834"/>
        <v>1.4582317039744719E-4</v>
      </c>
      <c r="BB1108">
        <f t="shared" si="835"/>
        <v>7.5833333333333286</v>
      </c>
      <c r="BC1108">
        <f t="shared" si="818"/>
        <v>4.5499999999999972</v>
      </c>
      <c r="BD1108">
        <f t="shared" si="836"/>
        <v>0</v>
      </c>
      <c r="BE1108">
        <f t="shared" si="819"/>
        <v>24</v>
      </c>
      <c r="BF1108">
        <f t="shared" si="845"/>
        <v>5000</v>
      </c>
      <c r="BU1108"/>
      <c r="DW1108" s="89"/>
      <c r="DX1108" s="89"/>
      <c r="FD1108"/>
      <c r="FE1108"/>
    </row>
    <row r="1109" spans="1:161" x14ac:dyDescent="0.25">
      <c r="A1109" s="7">
        <f t="shared" si="837"/>
        <v>76853</v>
      </c>
      <c r="B1109">
        <f t="shared" si="820"/>
        <v>1098</v>
      </c>
      <c r="C1109">
        <f t="shared" si="801"/>
        <v>91.416666666666671</v>
      </c>
      <c r="D1109">
        <f t="shared" si="802"/>
        <v>0</v>
      </c>
      <c r="E1109">
        <f t="shared" si="821"/>
        <v>143</v>
      </c>
      <c r="F1109">
        <f>IF(C1109&gt;=$T$2,0,VLOOKUP($E1109,EKM_F05!$A$3:$C$128,2,TRUE))</f>
        <v>0</v>
      </c>
      <c r="G1109">
        <f>F1109*'Real assumptions'!$B$3</f>
        <v>0</v>
      </c>
      <c r="H1109">
        <f t="shared" si="803"/>
        <v>0</v>
      </c>
      <c r="I1109">
        <f t="shared" si="804"/>
        <v>0</v>
      </c>
      <c r="J1109">
        <f>IF(B1109&gt;$AJ$2,0,HLOOKUP(C1109,'Real assumptions'!$B$5:$L$8,4,TRUE))</f>
        <v>3.7900000000000003E-2</v>
      </c>
      <c r="K1109">
        <f t="shared" si="810"/>
        <v>1</v>
      </c>
      <c r="L1109">
        <f t="shared" si="838"/>
        <v>8.3333333333333329E-2</v>
      </c>
      <c r="M1109">
        <f t="shared" si="805"/>
        <v>3.2145624959929453E-3</v>
      </c>
      <c r="N1109">
        <f t="shared" si="806"/>
        <v>3.1691942212836832E-8</v>
      </c>
      <c r="O1109" s="8">
        <f t="shared" si="822"/>
        <v>9.8271744672415902E-6</v>
      </c>
      <c r="P1109">
        <f t="shared" si="823"/>
        <v>2.3661279382690626E-4</v>
      </c>
      <c r="Q1109">
        <f t="shared" si="839"/>
        <v>0</v>
      </c>
      <c r="R1109" s="89">
        <f t="shared" si="811"/>
        <v>5000</v>
      </c>
      <c r="S1109">
        <f t="shared" si="812"/>
        <v>0.5</v>
      </c>
      <c r="U1109">
        <f>O1108*AV1108*'Real assumptions'!$B$33/12+AX1109*'Real assumptions'!$B$34</f>
        <v>3.1899922088023602E-4</v>
      </c>
      <c r="V1109">
        <f>IF(P1109=0,0,IF(E1109&lt;=$C$7,$AN$5*O1108,0))*'Real assumptions'!$D$28</f>
        <v>0</v>
      </c>
      <c r="X1109" s="94">
        <f t="shared" si="824"/>
        <v>0</v>
      </c>
      <c r="Y1109">
        <f t="shared" si="813"/>
        <v>24</v>
      </c>
      <c r="Z1109">
        <f t="shared" si="840"/>
        <v>7</v>
      </c>
      <c r="AA1109">
        <f t="shared" si="814"/>
        <v>7.5</v>
      </c>
      <c r="AB1109">
        <f t="shared" si="825"/>
        <v>50.505050505050505</v>
      </c>
      <c r="AC1109">
        <f t="shared" si="807"/>
        <v>378.78787878787881</v>
      </c>
      <c r="AD1109">
        <f t="shared" si="826"/>
        <v>80.505050505050505</v>
      </c>
      <c r="AE1109">
        <f t="shared" si="827"/>
        <v>30.189393939393938</v>
      </c>
      <c r="AF1109" s="94">
        <f t="shared" si="828"/>
        <v>4591.022727272727</v>
      </c>
      <c r="AG1109">
        <f t="shared" si="841"/>
        <v>1.4549842697054782E-4</v>
      </c>
      <c r="AH1109">
        <f t="shared" si="829"/>
        <v>4.5116781323980393E-2</v>
      </c>
      <c r="AI1109">
        <f>HLOOKUP(AW1109,'Real assumptions'!$A$21:$AK$24,2,TRUE)</f>
        <v>0</v>
      </c>
      <c r="AJ1109" s="123">
        <f t="shared" si="808"/>
        <v>0</v>
      </c>
      <c r="AK1109" s="122">
        <f>(1+HLOOKUP(YEAR(A1109),'Real assumptions'!$A$21:$AK$24,2,TRUE)/100)^(1/12)-1</f>
        <v>0</v>
      </c>
      <c r="AL1109">
        <f t="shared" si="842"/>
        <v>3.1899922088023602E-4</v>
      </c>
      <c r="AM1109">
        <f>('Real assumptions'!$B$33/12)*O1108*AV1108</f>
        <v>3.0660076031207483E-4</v>
      </c>
      <c r="AN1109">
        <f t="shared" si="830"/>
        <v>4.5135092742827378E-2</v>
      </c>
      <c r="AO1109">
        <f t="shared" si="809"/>
        <v>0</v>
      </c>
      <c r="AP1109" s="121">
        <f t="shared" si="831"/>
        <v>0</v>
      </c>
      <c r="AQ1109">
        <f t="shared" si="832"/>
        <v>0</v>
      </c>
      <c r="AR1109">
        <v>0</v>
      </c>
      <c r="AS1109">
        <f t="shared" si="815"/>
        <v>0</v>
      </c>
      <c r="AT1109">
        <f t="shared" si="833"/>
        <v>0</v>
      </c>
      <c r="AU1109">
        <f>IFERROR(HLOOKUP(B1109,'Real assumptions'!$B$43:$AL$44,2,TRUE)*($W$3/$U$2),0)</f>
        <v>0</v>
      </c>
      <c r="AV1109">
        <f>AV1108*(1+'Real assumptions'!$B$35)^(1/12)</f>
        <v>3.1131197855906017</v>
      </c>
      <c r="AW1109">
        <f t="shared" si="816"/>
        <v>2110</v>
      </c>
      <c r="AX1109">
        <f t="shared" si="843"/>
        <v>4.5258972715375045E-2</v>
      </c>
      <c r="AY1109">
        <f t="shared" si="844"/>
        <v>4.1493545494336812E-5</v>
      </c>
      <c r="AZ1109">
        <f t="shared" si="817"/>
        <v>1.967269741281983E-2</v>
      </c>
      <c r="BA1109">
        <f t="shared" si="834"/>
        <v>1.4549842697054782E-4</v>
      </c>
      <c r="BB1109">
        <f t="shared" si="835"/>
        <v>7.5</v>
      </c>
      <c r="BC1109">
        <f t="shared" si="818"/>
        <v>4.5</v>
      </c>
      <c r="BD1109">
        <f t="shared" si="836"/>
        <v>0</v>
      </c>
      <c r="BE1109">
        <f t="shared" si="819"/>
        <v>24</v>
      </c>
      <c r="BF1109">
        <f t="shared" si="845"/>
        <v>5000</v>
      </c>
      <c r="BU1109"/>
      <c r="DW1109" s="89"/>
      <c r="DX1109" s="89"/>
      <c r="FD1109"/>
      <c r="FE1109"/>
    </row>
    <row r="1110" spans="1:161" x14ac:dyDescent="0.25">
      <c r="A1110" s="7">
        <f t="shared" si="837"/>
        <v>76883</v>
      </c>
      <c r="B1110">
        <f t="shared" si="820"/>
        <v>1099</v>
      </c>
      <c r="C1110">
        <f t="shared" si="801"/>
        <v>91.5</v>
      </c>
      <c r="D1110">
        <f t="shared" si="802"/>
        <v>0</v>
      </c>
      <c r="E1110">
        <f t="shared" si="821"/>
        <v>143</v>
      </c>
      <c r="F1110">
        <f>IF(C1110&gt;=$T$2,0,VLOOKUP($E1110,EKM_F05!$A$3:$C$128,2,TRUE))</f>
        <v>0</v>
      </c>
      <c r="G1110">
        <f>F1110*'Real assumptions'!$B$3</f>
        <v>0</v>
      </c>
      <c r="H1110">
        <f t="shared" si="803"/>
        <v>0</v>
      </c>
      <c r="I1110">
        <f t="shared" si="804"/>
        <v>0</v>
      </c>
      <c r="J1110">
        <f>IF(B1110&gt;$AJ$2,0,HLOOKUP(C1110,'Real assumptions'!$B$5:$L$8,4,TRUE))</f>
        <v>3.7900000000000003E-2</v>
      </c>
      <c r="K1110">
        <f t="shared" si="810"/>
        <v>1</v>
      </c>
      <c r="L1110">
        <f t="shared" si="838"/>
        <v>8.3333333333333329E-2</v>
      </c>
      <c r="M1110">
        <f t="shared" si="805"/>
        <v>3.2145624959929453E-3</v>
      </c>
      <c r="N1110">
        <f t="shared" si="806"/>
        <v>3.1590066483974266E-8</v>
      </c>
      <c r="O1110" s="8">
        <f t="shared" si="822"/>
        <v>9.7955844007576159E-6</v>
      </c>
      <c r="P1110">
        <f t="shared" si="823"/>
        <v>2.3585218721379817E-4</v>
      </c>
      <c r="Q1110">
        <f t="shared" si="839"/>
        <v>0</v>
      </c>
      <c r="R1110" s="89">
        <f t="shared" si="811"/>
        <v>5000</v>
      </c>
      <c r="S1110">
        <f t="shared" si="812"/>
        <v>0.4166666666666714</v>
      </c>
      <c r="U1110">
        <f>O1109*AV1109*'Real assumptions'!$B$33/12+AX1110*'Real assumptions'!$B$34</f>
        <v>3.1830255108061275E-4</v>
      </c>
      <c r="V1110">
        <f>IF(P1110=0,0,IF(E1110&lt;=$C$7,$AN$5*O1109,0))*'Real assumptions'!$D$28</f>
        <v>0</v>
      </c>
      <c r="X1110" s="94">
        <f t="shared" si="824"/>
        <v>0</v>
      </c>
      <c r="Y1110">
        <f t="shared" si="813"/>
        <v>24</v>
      </c>
      <c r="Z1110">
        <f t="shared" si="840"/>
        <v>7</v>
      </c>
      <c r="AA1110">
        <f t="shared" si="814"/>
        <v>7.4166666666666714</v>
      </c>
      <c r="AB1110">
        <f t="shared" si="825"/>
        <v>50.505050505050505</v>
      </c>
      <c r="AC1110">
        <f t="shared" si="807"/>
        <v>374.57912457912482</v>
      </c>
      <c r="AD1110">
        <f t="shared" si="826"/>
        <v>80.505050505050505</v>
      </c>
      <c r="AE1110">
        <f t="shared" si="827"/>
        <v>29.853956228956246</v>
      </c>
      <c r="AF1110" s="94">
        <f t="shared" si="828"/>
        <v>4595.5669191919187</v>
      </c>
      <c r="AG1110">
        <f t="shared" si="841"/>
        <v>1.4517426450882552E-4</v>
      </c>
      <c r="AH1110">
        <f t="shared" si="829"/>
        <v>4.5016263626274096E-2</v>
      </c>
      <c r="AI1110">
        <f>HLOOKUP(AW1110,'Real assumptions'!$A$21:$AK$24,2,TRUE)</f>
        <v>0</v>
      </c>
      <c r="AJ1110" s="123">
        <f t="shared" si="808"/>
        <v>0</v>
      </c>
      <c r="AK1110" s="122">
        <f>(1+HLOOKUP(YEAR(A1110),'Real assumptions'!$A$21:$AK$24,2,TRUE)/100)^(1/12)-1</f>
        <v>0</v>
      </c>
      <c r="AL1110">
        <f t="shared" si="842"/>
        <v>3.1830255108061275E-4</v>
      </c>
      <c r="AM1110">
        <f>('Real assumptions'!$B$33/12)*O1109*AV1109</f>
        <v>3.0593171270420572E-4</v>
      </c>
      <c r="AN1110">
        <f t="shared" si="830"/>
        <v>4.5034330960113576E-2</v>
      </c>
      <c r="AO1110">
        <f t="shared" si="809"/>
        <v>0</v>
      </c>
      <c r="AP1110" s="121">
        <f t="shared" si="831"/>
        <v>0</v>
      </c>
      <c r="AQ1110">
        <f t="shared" si="832"/>
        <v>0</v>
      </c>
      <c r="AR1110">
        <v>0</v>
      </c>
      <c r="AS1110">
        <f t="shared" si="815"/>
        <v>0</v>
      </c>
      <c r="AT1110">
        <f t="shared" si="833"/>
        <v>0</v>
      </c>
      <c r="AU1110">
        <f>IFERROR(HLOOKUP(B1110,'Real assumptions'!$B$43:$AL$44,2,TRUE)*($W$3/$U$2),0)</f>
        <v>0</v>
      </c>
      <c r="AV1110">
        <f>AV1109*(1+'Real assumptions'!$B$35)^(1/12)</f>
        <v>3.1163441870018058</v>
      </c>
      <c r="AW1110">
        <f t="shared" si="816"/>
        <v>2110</v>
      </c>
      <c r="AX1110">
        <f t="shared" si="843"/>
        <v>4.5158141485879558E-2</v>
      </c>
      <c r="AY1110">
        <f t="shared" si="844"/>
        <v>4.1360161899164943E-5</v>
      </c>
      <c r="AZ1110">
        <f t="shared" si="817"/>
        <v>1.9445072784444191E-2</v>
      </c>
      <c r="BA1110">
        <f t="shared" si="834"/>
        <v>1.4517426450882552E-4</v>
      </c>
      <c r="BB1110">
        <f t="shared" si="835"/>
        <v>7.4166666666666714</v>
      </c>
      <c r="BC1110">
        <f t="shared" si="818"/>
        <v>4.4500000000000028</v>
      </c>
      <c r="BD1110">
        <f t="shared" si="836"/>
        <v>0</v>
      </c>
      <c r="BE1110">
        <f t="shared" si="819"/>
        <v>24</v>
      </c>
      <c r="BF1110">
        <f t="shared" si="845"/>
        <v>5000</v>
      </c>
      <c r="BU1110"/>
      <c r="DW1110" s="89"/>
      <c r="DX1110" s="89"/>
      <c r="FD1110"/>
      <c r="FE1110"/>
    </row>
    <row r="1111" spans="1:161" x14ac:dyDescent="0.25">
      <c r="A1111" s="7">
        <f t="shared" si="837"/>
        <v>76914</v>
      </c>
      <c r="B1111">
        <f t="shared" si="820"/>
        <v>1100</v>
      </c>
      <c r="C1111">
        <f t="shared" si="801"/>
        <v>91.583333333333329</v>
      </c>
      <c r="D1111">
        <f t="shared" si="802"/>
        <v>0</v>
      </c>
      <c r="E1111">
        <f t="shared" si="821"/>
        <v>143</v>
      </c>
      <c r="F1111">
        <f>IF(C1111&gt;=$T$2,0,VLOOKUP($E1111,EKM_F05!$A$3:$C$128,2,TRUE))</f>
        <v>0</v>
      </c>
      <c r="G1111">
        <f>F1111*'Real assumptions'!$B$3</f>
        <v>0</v>
      </c>
      <c r="H1111">
        <f t="shared" si="803"/>
        <v>0</v>
      </c>
      <c r="I1111">
        <f t="shared" si="804"/>
        <v>0</v>
      </c>
      <c r="J1111">
        <f>IF(B1111&gt;$AJ$2,0,HLOOKUP(C1111,'Real assumptions'!$B$5:$L$8,4,TRUE))</f>
        <v>3.7900000000000003E-2</v>
      </c>
      <c r="K1111">
        <f t="shared" si="810"/>
        <v>1</v>
      </c>
      <c r="L1111">
        <f t="shared" si="838"/>
        <v>8.3333333333333329E-2</v>
      </c>
      <c r="M1111">
        <f t="shared" si="805"/>
        <v>3.2145624959929453E-3</v>
      </c>
      <c r="N1111">
        <f t="shared" si="806"/>
        <v>3.1488518241008961E-8</v>
      </c>
      <c r="O1111" s="8">
        <f t="shared" si="822"/>
        <v>9.7640958825166074E-6</v>
      </c>
      <c r="P1111">
        <f t="shared" si="823"/>
        <v>2.350940256181828E-4</v>
      </c>
      <c r="Q1111">
        <f t="shared" si="839"/>
        <v>0</v>
      </c>
      <c r="R1111" s="89">
        <f t="shared" si="811"/>
        <v>5000</v>
      </c>
      <c r="S1111">
        <f t="shared" si="812"/>
        <v>0.3333333333333286</v>
      </c>
      <c r="U1111">
        <f>O1110*AV1110*'Real assumptions'!$B$33/12+AX1111*'Real assumptions'!$B$34</f>
        <v>3.1760739070864016E-4</v>
      </c>
      <c r="V1111">
        <f>IF(P1111=0,0,IF(E1111&lt;=$C$7,$AN$5*O1110,0))*'Real assumptions'!$D$28</f>
        <v>0</v>
      </c>
      <c r="X1111" s="94">
        <f t="shared" si="824"/>
        <v>0</v>
      </c>
      <c r="Y1111">
        <f t="shared" si="813"/>
        <v>24</v>
      </c>
      <c r="Z1111">
        <f t="shared" si="840"/>
        <v>7</v>
      </c>
      <c r="AA1111">
        <f t="shared" si="814"/>
        <v>7.3333333333333286</v>
      </c>
      <c r="AB1111">
        <f t="shared" si="825"/>
        <v>50.505050505050505</v>
      </c>
      <c r="AC1111">
        <f t="shared" si="807"/>
        <v>370.37037037037015</v>
      </c>
      <c r="AD1111">
        <f t="shared" si="826"/>
        <v>80.505050505050505</v>
      </c>
      <c r="AE1111">
        <f t="shared" si="827"/>
        <v>29.518518518518498</v>
      </c>
      <c r="AF1111" s="94">
        <f t="shared" si="828"/>
        <v>4600.1111111111113</v>
      </c>
      <c r="AG1111">
        <f t="shared" si="841"/>
        <v>1.4485068263289023E-4</v>
      </c>
      <c r="AH1111">
        <f t="shared" si="829"/>
        <v>4.4915925959118898E-2</v>
      </c>
      <c r="AI1111">
        <f>HLOOKUP(AW1111,'Real assumptions'!$A$21:$AK$24,2,TRUE)</f>
        <v>0</v>
      </c>
      <c r="AJ1111" s="123">
        <f t="shared" si="808"/>
        <v>0</v>
      </c>
      <c r="AK1111" s="122">
        <f>(1+HLOOKUP(YEAR(A1111),'Real assumptions'!$A$21:$AK$24,2,TRUE)/100)^(1/12)-1</f>
        <v>0</v>
      </c>
      <c r="AL1111">
        <f t="shared" si="842"/>
        <v>3.1760739070864016E-4</v>
      </c>
      <c r="AM1111">
        <f>('Real assumptions'!$B$33/12)*O1110*AV1110</f>
        <v>3.0526412505586564E-4</v>
      </c>
      <c r="AN1111">
        <f t="shared" si="830"/>
        <v>4.4933750261183632E-2</v>
      </c>
      <c r="AO1111">
        <f t="shared" si="809"/>
        <v>0</v>
      </c>
      <c r="AP1111" s="121">
        <f t="shared" si="831"/>
        <v>0</v>
      </c>
      <c r="AQ1111">
        <f t="shared" si="832"/>
        <v>0</v>
      </c>
      <c r="AR1111">
        <v>0</v>
      </c>
      <c r="AS1111">
        <f t="shared" si="815"/>
        <v>0</v>
      </c>
      <c r="AT1111">
        <f t="shared" si="833"/>
        <v>0</v>
      </c>
      <c r="AU1111">
        <f>IFERROR(HLOOKUP(B1111,'Real assumptions'!$B$43:$AL$44,2,TRUE)*($W$3/$U$2),0)</f>
        <v>0</v>
      </c>
      <c r="AV1111">
        <f>AV1110*(1+'Real assumptions'!$B$35)^(1/12)</f>
        <v>3.1195719280739214</v>
      </c>
      <c r="AW1111">
        <f t="shared" si="816"/>
        <v>2110</v>
      </c>
      <c r="AX1111">
        <f t="shared" si="843"/>
        <v>4.5057490833347993E-2</v>
      </c>
      <c r="AY1111">
        <f t="shared" si="844"/>
        <v>4.1227207073895686E-5</v>
      </c>
      <c r="AZ1111">
        <f t="shared" si="817"/>
        <v>1.9217708736720844E-2</v>
      </c>
      <c r="BA1111">
        <f t="shared" si="834"/>
        <v>1.4485068263289023E-4</v>
      </c>
      <c r="BB1111">
        <f t="shared" si="835"/>
        <v>7.3333333333333286</v>
      </c>
      <c r="BC1111">
        <f t="shared" si="818"/>
        <v>4.3999999999999968</v>
      </c>
      <c r="BD1111">
        <f t="shared" si="836"/>
        <v>0</v>
      </c>
      <c r="BE1111">
        <f t="shared" si="819"/>
        <v>24</v>
      </c>
      <c r="BF1111">
        <f t="shared" si="845"/>
        <v>5000</v>
      </c>
      <c r="BU1111"/>
      <c r="DW1111" s="89"/>
      <c r="DX1111" s="89"/>
      <c r="FD1111"/>
      <c r="FE1111"/>
    </row>
    <row r="1112" spans="1:161" x14ac:dyDescent="0.25">
      <c r="A1112" s="7">
        <f t="shared" si="837"/>
        <v>76945</v>
      </c>
      <c r="B1112">
        <f t="shared" si="820"/>
        <v>1101</v>
      </c>
      <c r="C1112">
        <f t="shared" si="801"/>
        <v>91.666666666666671</v>
      </c>
      <c r="D1112">
        <f t="shared" si="802"/>
        <v>0</v>
      </c>
      <c r="E1112">
        <f t="shared" si="821"/>
        <v>143</v>
      </c>
      <c r="F1112">
        <f>IF(C1112&gt;=$T$2,0,VLOOKUP($E1112,EKM_F05!$A$3:$C$128,2,TRUE))</f>
        <v>0</v>
      </c>
      <c r="G1112">
        <f>F1112*'Real assumptions'!$B$3</f>
        <v>0</v>
      </c>
      <c r="H1112">
        <f t="shared" si="803"/>
        <v>0</v>
      </c>
      <c r="I1112">
        <f t="shared" si="804"/>
        <v>0</v>
      </c>
      <c r="J1112">
        <f>IF(B1112&gt;$AJ$2,0,HLOOKUP(C1112,'Real assumptions'!$B$5:$L$8,4,TRUE))</f>
        <v>3.7900000000000003E-2</v>
      </c>
      <c r="K1112">
        <f t="shared" si="810"/>
        <v>1</v>
      </c>
      <c r="L1112">
        <f t="shared" si="838"/>
        <v>8.3333333333333329E-2</v>
      </c>
      <c r="M1112">
        <f t="shared" si="805"/>
        <v>3.2145624959929453E-3</v>
      </c>
      <c r="N1112">
        <f t="shared" si="806"/>
        <v>3.1387296431217026E-8</v>
      </c>
      <c r="O1112" s="8">
        <f t="shared" si="822"/>
        <v>9.7327085860853907E-6</v>
      </c>
      <c r="P1112">
        <f t="shared" si="823"/>
        <v>2.3433830118039858E-4</v>
      </c>
      <c r="Q1112">
        <f t="shared" si="839"/>
        <v>0</v>
      </c>
      <c r="R1112" s="89">
        <f t="shared" si="811"/>
        <v>5000</v>
      </c>
      <c r="S1112">
        <f t="shared" si="812"/>
        <v>0.25</v>
      </c>
      <c r="U1112">
        <f>O1111*AV1111*'Real assumptions'!$B$33/12+AX1112*'Real assumptions'!$B$34</f>
        <v>3.1691373654586807E-4</v>
      </c>
      <c r="V1112">
        <f>IF(P1112=0,0,IF(E1112&lt;=$C$7,$AN$5*O1111,0))*'Real assumptions'!$D$28</f>
        <v>0</v>
      </c>
      <c r="X1112" s="94">
        <f t="shared" si="824"/>
        <v>0</v>
      </c>
      <c r="Y1112">
        <f t="shared" si="813"/>
        <v>24</v>
      </c>
      <c r="Z1112">
        <f t="shared" si="840"/>
        <v>7</v>
      </c>
      <c r="AA1112">
        <f t="shared" si="814"/>
        <v>7.25</v>
      </c>
      <c r="AB1112">
        <f t="shared" si="825"/>
        <v>50.505050505050505</v>
      </c>
      <c r="AC1112">
        <f t="shared" si="807"/>
        <v>366.16161616161617</v>
      </c>
      <c r="AD1112">
        <f t="shared" si="826"/>
        <v>80.505050505050505</v>
      </c>
      <c r="AE1112">
        <f t="shared" si="827"/>
        <v>29.183080808080806</v>
      </c>
      <c r="AF1112" s="94">
        <f t="shared" si="828"/>
        <v>4604.655303030303</v>
      </c>
      <c r="AG1112">
        <f t="shared" si="841"/>
        <v>1.4452768095978759E-4</v>
      </c>
      <c r="AH1112">
        <f t="shared" si="829"/>
        <v>4.4815768203766655E-2</v>
      </c>
      <c r="AI1112">
        <f>HLOOKUP(AW1112,'Real assumptions'!$A$21:$AK$24,2,TRUE)</f>
        <v>0</v>
      </c>
      <c r="AJ1112" s="123">
        <f t="shared" si="808"/>
        <v>0</v>
      </c>
      <c r="AK1112" s="122">
        <f>(1+HLOOKUP(YEAR(A1112),'Real assumptions'!$A$21:$AK$24,2,TRUE)/100)^(1/12)-1</f>
        <v>0</v>
      </c>
      <c r="AL1112">
        <f t="shared" si="842"/>
        <v>3.1691373654586807E-4</v>
      </c>
      <c r="AM1112">
        <f>('Real assumptions'!$B$33/12)*O1111*AV1111</f>
        <v>3.0459799418120967E-4</v>
      </c>
      <c r="AN1112">
        <f t="shared" si="830"/>
        <v>4.483335052375343E-2</v>
      </c>
      <c r="AO1112">
        <f t="shared" si="809"/>
        <v>0</v>
      </c>
      <c r="AP1112" s="121">
        <f t="shared" si="831"/>
        <v>0</v>
      </c>
      <c r="AQ1112">
        <f t="shared" si="832"/>
        <v>0</v>
      </c>
      <c r="AR1112">
        <v>0</v>
      </c>
      <c r="AS1112">
        <f t="shared" si="815"/>
        <v>0</v>
      </c>
      <c r="AT1112">
        <f t="shared" si="833"/>
        <v>0</v>
      </c>
      <c r="AU1112">
        <f>IFERROR(HLOOKUP(B1112,'Real assumptions'!$B$43:$AL$44,2,TRUE)*($W$3/$U$2),0)</f>
        <v>0</v>
      </c>
      <c r="AV1112">
        <f>AV1111*(1+'Real assumptions'!$B$35)^(1/12)</f>
        <v>3.1228030122659889</v>
      </c>
      <c r="AW1112">
        <f t="shared" si="816"/>
        <v>2110</v>
      </c>
      <c r="AX1112">
        <f t="shared" si="843"/>
        <v>4.4957020638759122E-2</v>
      </c>
      <c r="AY1112">
        <f t="shared" si="844"/>
        <v>4.1094679640221411E-5</v>
      </c>
      <c r="AZ1112">
        <f t="shared" si="817"/>
        <v>1.8990605620395586E-2</v>
      </c>
      <c r="BA1112">
        <f t="shared" si="834"/>
        <v>1.4452768095978759E-4</v>
      </c>
      <c r="BB1112">
        <f t="shared" si="835"/>
        <v>7.25</v>
      </c>
      <c r="BC1112">
        <f t="shared" si="818"/>
        <v>4.3499999999999996</v>
      </c>
      <c r="BD1112">
        <f t="shared" si="836"/>
        <v>0</v>
      </c>
      <c r="BE1112">
        <f t="shared" si="819"/>
        <v>24</v>
      </c>
      <c r="BF1112">
        <f t="shared" si="845"/>
        <v>5000</v>
      </c>
      <c r="BU1112"/>
      <c r="DW1112" s="89"/>
      <c r="DX1112" s="89"/>
      <c r="FD1112"/>
      <c r="FE1112"/>
    </row>
    <row r="1113" spans="1:161" x14ac:dyDescent="0.25">
      <c r="A1113" s="7">
        <f t="shared" si="837"/>
        <v>76975</v>
      </c>
      <c r="B1113">
        <f t="shared" si="820"/>
        <v>1102</v>
      </c>
      <c r="C1113">
        <f t="shared" si="801"/>
        <v>91.75</v>
      </c>
      <c r="D1113">
        <f t="shared" si="802"/>
        <v>0</v>
      </c>
      <c r="E1113">
        <f t="shared" si="821"/>
        <v>143</v>
      </c>
      <c r="F1113">
        <f>IF(C1113&gt;=$T$2,0,VLOOKUP($E1113,EKM_F05!$A$3:$C$128,2,TRUE))</f>
        <v>0</v>
      </c>
      <c r="G1113">
        <f>F1113*'Real assumptions'!$B$3</f>
        <v>0</v>
      </c>
      <c r="H1113">
        <f t="shared" si="803"/>
        <v>0</v>
      </c>
      <c r="I1113">
        <f t="shared" si="804"/>
        <v>0</v>
      </c>
      <c r="J1113">
        <f>IF(B1113&gt;$AJ$2,0,HLOOKUP(C1113,'Real assumptions'!$B$5:$L$8,4,TRUE))</f>
        <v>3.7900000000000003E-2</v>
      </c>
      <c r="K1113">
        <f t="shared" si="810"/>
        <v>1</v>
      </c>
      <c r="L1113">
        <f t="shared" si="838"/>
        <v>8.3333333333333329E-2</v>
      </c>
      <c r="M1113">
        <f t="shared" si="805"/>
        <v>3.2145624959929453E-3</v>
      </c>
      <c r="N1113">
        <f t="shared" si="806"/>
        <v>3.128640000525862E-8</v>
      </c>
      <c r="O1113" s="8">
        <f t="shared" si="822"/>
        <v>9.7014221860801316E-6</v>
      </c>
      <c r="P1113">
        <f t="shared" si="823"/>
        <v>2.3358500606604938E-4</v>
      </c>
      <c r="Q1113">
        <f t="shared" si="839"/>
        <v>0</v>
      </c>
      <c r="R1113" s="89">
        <f t="shared" si="811"/>
        <v>5000</v>
      </c>
      <c r="S1113">
        <f t="shared" si="812"/>
        <v>0.1666666666666714</v>
      </c>
      <c r="U1113">
        <f>O1112*AV1112*'Real assumptions'!$B$33/12+AX1113*'Real assumptions'!$B$34</f>
        <v>3.1622158538049694E-4</v>
      </c>
      <c r="V1113">
        <f>IF(P1113=0,0,IF(E1113&lt;=$C$7,$AN$5*O1112,0))*'Real assumptions'!$D$28</f>
        <v>0</v>
      </c>
      <c r="X1113" s="94">
        <f t="shared" si="824"/>
        <v>0</v>
      </c>
      <c r="Y1113">
        <f t="shared" si="813"/>
        <v>24</v>
      </c>
      <c r="Z1113">
        <f t="shared" si="840"/>
        <v>7</v>
      </c>
      <c r="AA1113">
        <f t="shared" si="814"/>
        <v>7.1666666666666714</v>
      </c>
      <c r="AB1113">
        <f t="shared" si="825"/>
        <v>50.505050505050505</v>
      </c>
      <c r="AC1113">
        <f t="shared" si="807"/>
        <v>361.95286195286218</v>
      </c>
      <c r="AD1113">
        <f t="shared" si="826"/>
        <v>80.505050505050505</v>
      </c>
      <c r="AE1113">
        <f t="shared" si="827"/>
        <v>28.847643097643115</v>
      </c>
      <c r="AF1113" s="94">
        <f t="shared" si="828"/>
        <v>4609.1994949494947</v>
      </c>
      <c r="AG1113">
        <f t="shared" si="841"/>
        <v>1.4420525910302591E-4</v>
      </c>
      <c r="AH1113">
        <f t="shared" si="829"/>
        <v>4.4715790240372366E-2</v>
      </c>
      <c r="AI1113">
        <f>HLOOKUP(AW1113,'Real assumptions'!$A$21:$AK$24,2,TRUE)</f>
        <v>0</v>
      </c>
      <c r="AJ1113" s="123">
        <f t="shared" si="808"/>
        <v>0</v>
      </c>
      <c r="AK1113" s="122">
        <f>(1+HLOOKUP(YEAR(A1113),'Real assumptions'!$A$21:$AK$24,2,TRUE)/100)^(1/12)-1</f>
        <v>0</v>
      </c>
      <c r="AL1113">
        <f t="shared" si="842"/>
        <v>3.1622158538049694E-4</v>
      </c>
      <c r="AM1113">
        <f>('Real assumptions'!$B$33/12)*O1112*AV1112</f>
        <v>3.0393331690134511E-4</v>
      </c>
      <c r="AN1113">
        <f t="shared" si="830"/>
        <v>4.4733131624452208E-2</v>
      </c>
      <c r="AO1113">
        <f t="shared" si="809"/>
        <v>0</v>
      </c>
      <c r="AP1113" s="121">
        <f t="shared" si="831"/>
        <v>0</v>
      </c>
      <c r="AQ1113">
        <f t="shared" si="832"/>
        <v>0</v>
      </c>
      <c r="AR1113">
        <v>0</v>
      </c>
      <c r="AS1113">
        <f t="shared" si="815"/>
        <v>0</v>
      </c>
      <c r="AT1113">
        <f t="shared" si="833"/>
        <v>0</v>
      </c>
      <c r="AU1113">
        <f>IFERROR(HLOOKUP(B1113,'Real assumptions'!$B$43:$AL$44,2,TRUE)*($W$3/$U$2),0)</f>
        <v>0</v>
      </c>
      <c r="AV1113">
        <f>AV1112*(1+'Real assumptions'!$B$35)^(1/12)</f>
        <v>3.1260374430406315</v>
      </c>
      <c r="AW1113">
        <f t="shared" si="816"/>
        <v>2110</v>
      </c>
      <c r="AX1113">
        <f t="shared" si="843"/>
        <v>4.4856730781990921E-2</v>
      </c>
      <c r="AY1113">
        <f t="shared" si="844"/>
        <v>4.0962578224265112E-5</v>
      </c>
      <c r="AZ1113">
        <f t="shared" si="817"/>
        <v>1.8763763781978113E-2</v>
      </c>
      <c r="BA1113">
        <f t="shared" si="834"/>
        <v>1.4420525910302591E-4</v>
      </c>
      <c r="BB1113">
        <f t="shared" si="835"/>
        <v>7.1666666666666714</v>
      </c>
      <c r="BC1113">
        <f t="shared" si="818"/>
        <v>4.3000000000000025</v>
      </c>
      <c r="BD1113">
        <f t="shared" si="836"/>
        <v>0</v>
      </c>
      <c r="BE1113">
        <f t="shared" si="819"/>
        <v>24</v>
      </c>
      <c r="BF1113">
        <f t="shared" si="845"/>
        <v>5000</v>
      </c>
      <c r="BU1113"/>
      <c r="DW1113" s="89"/>
      <c r="DX1113" s="89"/>
      <c r="FD1113"/>
      <c r="FE1113"/>
    </row>
    <row r="1114" spans="1:161" x14ac:dyDescent="0.25">
      <c r="A1114" s="7">
        <f t="shared" si="837"/>
        <v>77006</v>
      </c>
      <c r="B1114">
        <f t="shared" si="820"/>
        <v>1103</v>
      </c>
      <c r="C1114">
        <f t="shared" si="801"/>
        <v>91.833333333333329</v>
      </c>
      <c r="D1114">
        <f t="shared" si="802"/>
        <v>0</v>
      </c>
      <c r="E1114">
        <f t="shared" si="821"/>
        <v>143</v>
      </c>
      <c r="F1114">
        <f>IF(C1114&gt;=$T$2,0,VLOOKUP($E1114,EKM_F05!$A$3:$C$128,2,TRUE))</f>
        <v>0</v>
      </c>
      <c r="G1114">
        <f>F1114*'Real assumptions'!$B$3</f>
        <v>0</v>
      </c>
      <c r="H1114">
        <f t="shared" si="803"/>
        <v>0</v>
      </c>
      <c r="I1114">
        <f t="shared" si="804"/>
        <v>0</v>
      </c>
      <c r="J1114">
        <f>IF(B1114&gt;$AJ$2,0,HLOOKUP(C1114,'Real assumptions'!$B$5:$L$8,4,TRUE))</f>
        <v>3.7900000000000003E-2</v>
      </c>
      <c r="K1114">
        <f t="shared" si="810"/>
        <v>1</v>
      </c>
      <c r="L1114">
        <f t="shared" si="838"/>
        <v>8.3333333333333329E-2</v>
      </c>
      <c r="M1114">
        <f t="shared" si="805"/>
        <v>3.2145624959929453E-3</v>
      </c>
      <c r="N1114">
        <f t="shared" si="806"/>
        <v>3.1185827917167083E-8</v>
      </c>
      <c r="O1114" s="8">
        <f t="shared" si="822"/>
        <v>9.670236358162965E-6</v>
      </c>
      <c r="P1114">
        <f t="shared" si="823"/>
        <v>2.3283413246592317E-4</v>
      </c>
      <c r="Q1114">
        <f t="shared" si="839"/>
        <v>0</v>
      </c>
      <c r="R1114" s="89">
        <f t="shared" si="811"/>
        <v>5000</v>
      </c>
      <c r="S1114">
        <f t="shared" si="812"/>
        <v>8.3333333333328596E-2</v>
      </c>
      <c r="U1114">
        <f>O1113*AV1113*'Real assumptions'!$B$33/12+AX1114*'Real assumptions'!$B$34</f>
        <v>3.1553093400736462E-4</v>
      </c>
      <c r="V1114">
        <f>IF(P1114=0,0,IF(E1114&lt;=$C$7,$AN$5*O1113,0))*'Real assumptions'!$D$28</f>
        <v>0</v>
      </c>
      <c r="X1114" s="94">
        <f t="shared" si="824"/>
        <v>0</v>
      </c>
      <c r="Y1114">
        <f t="shared" si="813"/>
        <v>24</v>
      </c>
      <c r="Z1114">
        <f t="shared" si="840"/>
        <v>7</v>
      </c>
      <c r="AA1114">
        <f t="shared" si="814"/>
        <v>7.0833333333333286</v>
      </c>
      <c r="AB1114">
        <f t="shared" si="825"/>
        <v>50.505050505050505</v>
      </c>
      <c r="AC1114">
        <f t="shared" si="807"/>
        <v>357.74410774410751</v>
      </c>
      <c r="AD1114">
        <f t="shared" si="826"/>
        <v>80.505050505050505</v>
      </c>
      <c r="AE1114">
        <f t="shared" si="827"/>
        <v>28.512205387205366</v>
      </c>
      <c r="AF1114" s="94">
        <f t="shared" si="828"/>
        <v>4613.7436868686873</v>
      </c>
      <c r="AG1114">
        <f t="shared" si="841"/>
        <v>1.4388341667260289E-4</v>
      </c>
      <c r="AH1114">
        <f t="shared" si="829"/>
        <v>4.4615991948002427E-2</v>
      </c>
      <c r="AI1114">
        <f>HLOOKUP(AW1114,'Real assumptions'!$A$21:$AK$24,2,TRUE)</f>
        <v>0</v>
      </c>
      <c r="AJ1114" s="123">
        <f t="shared" si="808"/>
        <v>0</v>
      </c>
      <c r="AK1114" s="122">
        <f>(1+HLOOKUP(YEAR(A1114),'Real assumptions'!$A$21:$AK$24,2,TRUE)/100)^(1/12)-1</f>
        <v>0</v>
      </c>
      <c r="AL1114">
        <f t="shared" si="842"/>
        <v>3.1553093400736462E-4</v>
      </c>
      <c r="AM1114">
        <f>('Real assumptions'!$B$33/12)*O1113*AV1113</f>
        <v>3.0327009004431588E-4</v>
      </c>
      <c r="AN1114">
        <f t="shared" si="830"/>
        <v>4.4633093438830922E-2</v>
      </c>
      <c r="AO1114">
        <f t="shared" si="809"/>
        <v>0</v>
      </c>
      <c r="AP1114" s="121">
        <f t="shared" si="831"/>
        <v>0</v>
      </c>
      <c r="AQ1114">
        <f t="shared" si="832"/>
        <v>0</v>
      </c>
      <c r="AR1114">
        <v>0</v>
      </c>
      <c r="AS1114">
        <f t="shared" si="815"/>
        <v>0</v>
      </c>
      <c r="AT1114">
        <f t="shared" si="833"/>
        <v>0</v>
      </c>
      <c r="AU1114">
        <f>IFERROR(HLOOKUP(B1114,'Real assumptions'!$B$43:$AL$44,2,TRUE)*($W$3/$U$2),0)</f>
        <v>0</v>
      </c>
      <c r="AV1114">
        <f>AV1113*(1+'Real assumptions'!$B$35)^(1/12)</f>
        <v>3.1292752238640587</v>
      </c>
      <c r="AW1114">
        <f t="shared" si="816"/>
        <v>2110</v>
      </c>
      <c r="AX1114">
        <f t="shared" si="843"/>
        <v>4.4756621141828934E-2</v>
      </c>
      <c r="AY1114">
        <f t="shared" si="844"/>
        <v>4.0830901456566207E-5</v>
      </c>
      <c r="AZ1114">
        <f t="shared" si="817"/>
        <v>1.8537183563764069E-2</v>
      </c>
      <c r="BA1114">
        <f t="shared" si="834"/>
        <v>1.4388341667260289E-4</v>
      </c>
      <c r="BB1114">
        <f t="shared" si="835"/>
        <v>7.0833333333333286</v>
      </c>
      <c r="BC1114">
        <f t="shared" si="818"/>
        <v>4.2499999999999964</v>
      </c>
      <c r="BD1114">
        <f t="shared" si="836"/>
        <v>0</v>
      </c>
      <c r="BE1114">
        <f t="shared" si="819"/>
        <v>24</v>
      </c>
      <c r="BF1114">
        <f t="shared" si="845"/>
        <v>5000</v>
      </c>
      <c r="BU1114"/>
      <c r="DW1114" s="89"/>
      <c r="DX1114" s="89"/>
      <c r="FD1114"/>
      <c r="FE1114"/>
    </row>
    <row r="1115" spans="1:161" x14ac:dyDescent="0.25">
      <c r="A1115" s="7">
        <f t="shared" si="837"/>
        <v>77036</v>
      </c>
      <c r="B1115">
        <f t="shared" si="820"/>
        <v>1104</v>
      </c>
      <c r="C1115">
        <f t="shared" si="801"/>
        <v>91.916666666666671</v>
      </c>
      <c r="D1115">
        <f t="shared" si="802"/>
        <v>0</v>
      </c>
      <c r="E1115">
        <f t="shared" si="821"/>
        <v>143</v>
      </c>
      <c r="F1115">
        <f>IF(C1115&gt;=$T$2,0,VLOOKUP($E1115,EKM_F05!$A$3:$C$128,2,TRUE))</f>
        <v>0</v>
      </c>
      <c r="G1115">
        <f>F1115*'Real assumptions'!$B$3</f>
        <v>0</v>
      </c>
      <c r="H1115">
        <f t="shared" si="803"/>
        <v>0</v>
      </c>
      <c r="I1115">
        <f t="shared" si="804"/>
        <v>0</v>
      </c>
      <c r="J1115">
        <f>IF(B1115&gt;$AJ$2,0,HLOOKUP(C1115,'Real assumptions'!$B$5:$L$8,4,TRUE))</f>
        <v>3.7900000000000003E-2</v>
      </c>
      <c r="K1115">
        <f t="shared" si="810"/>
        <v>1</v>
      </c>
      <c r="L1115">
        <f t="shared" si="838"/>
        <v>8.3333333333333329E-2</v>
      </c>
      <c r="M1115">
        <f t="shared" si="805"/>
        <v>3.2145624959929453E-3</v>
      </c>
      <c r="N1115">
        <f t="shared" si="806"/>
        <v>3.108557912433807E-8</v>
      </c>
      <c r="O1115" s="8">
        <f t="shared" si="822"/>
        <v>9.6391507790386266E-6</v>
      </c>
      <c r="P1115">
        <f t="shared" si="823"/>
        <v>2.3208567259591116E-4</v>
      </c>
      <c r="Q1115">
        <f t="shared" si="839"/>
        <v>0</v>
      </c>
      <c r="R1115" s="89">
        <f t="shared" si="811"/>
        <v>5000</v>
      </c>
      <c r="S1115">
        <f t="shared" si="812"/>
        <v>1</v>
      </c>
      <c r="U1115">
        <f>O1114*AV1114*'Real assumptions'!$B$33/12+AX1115*'Real assumptions'!$B$34</f>
        <v>3.1484177922793381E-4</v>
      </c>
      <c r="V1115">
        <f>IF(P1115=0,0,IF(E1115&lt;=$C$7,$AN$5*O1114,0))*'Real assumptions'!$D$28</f>
        <v>0</v>
      </c>
      <c r="X1115" s="94">
        <f t="shared" si="824"/>
        <v>0</v>
      </c>
      <c r="Y1115">
        <f t="shared" si="813"/>
        <v>24</v>
      </c>
      <c r="Z1115">
        <f t="shared" si="840"/>
        <v>7</v>
      </c>
      <c r="AA1115">
        <f t="shared" si="814"/>
        <v>7</v>
      </c>
      <c r="AB1115">
        <f t="shared" si="825"/>
        <v>50.505050505050505</v>
      </c>
      <c r="AC1115">
        <f t="shared" si="807"/>
        <v>353.53535353535352</v>
      </c>
      <c r="AD1115">
        <f t="shared" si="826"/>
        <v>80.505050505050505</v>
      </c>
      <c r="AE1115">
        <f t="shared" si="827"/>
        <v>28.176767676767675</v>
      </c>
      <c r="AF1115" s="94">
        <f t="shared" si="828"/>
        <v>4618.287878787879</v>
      </c>
      <c r="AG1115">
        <f t="shared" si="841"/>
        <v>1.4356215327503204E-4</v>
      </c>
      <c r="AH1115">
        <f t="shared" si="829"/>
        <v>4.4516373204642828E-2</v>
      </c>
      <c r="AI1115">
        <f>HLOOKUP(AW1115,'Real assumptions'!$A$21:$AK$24,2,TRUE)</f>
        <v>0</v>
      </c>
      <c r="AJ1115" s="123">
        <f t="shared" si="808"/>
        <v>0</v>
      </c>
      <c r="AK1115" s="122">
        <f>(1+HLOOKUP(YEAR(A1115),'Real assumptions'!$A$21:$AK$24,2,TRUE)/100)^(1/12)-1</f>
        <v>0</v>
      </c>
      <c r="AL1115">
        <f t="shared" si="842"/>
        <v>3.1484177922793381E-4</v>
      </c>
      <c r="AM1115">
        <f>('Real assumptions'!$B$33/12)*O1114*AV1114</f>
        <v>3.0260831044508771E-4</v>
      </c>
      <c r="AN1115">
        <f t="shared" si="830"/>
        <v>4.4533235841370401E-2</v>
      </c>
      <c r="AO1115">
        <f t="shared" si="809"/>
        <v>0</v>
      </c>
      <c r="AP1115" s="121">
        <f t="shared" si="831"/>
        <v>0</v>
      </c>
      <c r="AQ1115">
        <f t="shared" si="832"/>
        <v>0</v>
      </c>
      <c r="AR1115">
        <v>0</v>
      </c>
      <c r="AS1115">
        <f t="shared" si="815"/>
        <v>0</v>
      </c>
      <c r="AT1115">
        <f t="shared" si="833"/>
        <v>0</v>
      </c>
      <c r="AU1115">
        <f>IFERROR(HLOOKUP(B1115,'Real assumptions'!$B$43:$AL$44,2,TRUE)*($W$3/$U$2),0)</f>
        <v>0</v>
      </c>
      <c r="AV1115">
        <f>AV1114*(1+'Real assumptions'!$B$35)^(1/12)</f>
        <v>3.13251635820607</v>
      </c>
      <c r="AW1115">
        <f t="shared" si="816"/>
        <v>2110</v>
      </c>
      <c r="AX1115">
        <f t="shared" si="843"/>
        <v>4.465669159597449E-2</v>
      </c>
      <c r="AY1115">
        <f t="shared" si="844"/>
        <v>4.0699647972066348E-5</v>
      </c>
      <c r="AZ1115">
        <f t="shared" si="817"/>
        <v>1.8310865303857012E-2</v>
      </c>
      <c r="BA1115">
        <f t="shared" si="834"/>
        <v>1.4356215327503204E-4</v>
      </c>
      <c r="BB1115">
        <f t="shared" si="835"/>
        <v>7</v>
      </c>
      <c r="BC1115">
        <f t="shared" si="818"/>
        <v>4.1999999999999993</v>
      </c>
      <c r="BD1115">
        <f t="shared" si="836"/>
        <v>0</v>
      </c>
      <c r="BE1115">
        <f t="shared" si="819"/>
        <v>24</v>
      </c>
      <c r="BF1115">
        <f t="shared" si="845"/>
        <v>5000</v>
      </c>
      <c r="BU1115"/>
      <c r="DW1115" s="89"/>
      <c r="DX1115" s="89"/>
      <c r="FD1115"/>
      <c r="FE1115"/>
    </row>
    <row r="1116" spans="1:161" x14ac:dyDescent="0.25">
      <c r="A1116" s="7">
        <f t="shared" si="837"/>
        <v>77067</v>
      </c>
      <c r="B1116">
        <f t="shared" si="820"/>
        <v>1105</v>
      </c>
      <c r="C1116">
        <f t="shared" si="801"/>
        <v>92</v>
      </c>
      <c r="D1116">
        <f t="shared" si="802"/>
        <v>1</v>
      </c>
      <c r="E1116">
        <f t="shared" si="821"/>
        <v>144</v>
      </c>
      <c r="F1116">
        <f>IF(C1116&gt;=$T$2,0,VLOOKUP($E1116,EKM_F05!$A$3:$C$128,2,TRUE))</f>
        <v>0</v>
      </c>
      <c r="G1116">
        <f>F1116*'Real assumptions'!$B$3</f>
        <v>0</v>
      </c>
      <c r="H1116">
        <f t="shared" si="803"/>
        <v>0</v>
      </c>
      <c r="I1116">
        <f t="shared" si="804"/>
        <v>0</v>
      </c>
      <c r="J1116">
        <f>IF(B1116&gt;$AJ$2,0,HLOOKUP(C1116,'Real assumptions'!$B$5:$L$8,4,TRUE))</f>
        <v>3.7900000000000003E-2</v>
      </c>
      <c r="K1116">
        <f t="shared" si="810"/>
        <v>1</v>
      </c>
      <c r="L1116">
        <f t="shared" si="838"/>
        <v>8.3333333333333329E-2</v>
      </c>
      <c r="M1116">
        <f t="shared" si="805"/>
        <v>3.2145624959929453E-3</v>
      </c>
      <c r="N1116">
        <f t="shared" si="806"/>
        <v>3.0985652587518753E-8</v>
      </c>
      <c r="O1116" s="8">
        <f t="shared" si="822"/>
        <v>9.6081651264511074E-6</v>
      </c>
      <c r="P1116">
        <f t="shared" si="823"/>
        <v>2.3133961869692703E-4</v>
      </c>
      <c r="Q1116">
        <f t="shared" si="839"/>
        <v>0</v>
      </c>
      <c r="R1116" s="89">
        <f t="shared" si="811"/>
        <v>5000</v>
      </c>
      <c r="S1116">
        <f t="shared" si="812"/>
        <v>0.9166666666666714</v>
      </c>
      <c r="U1116">
        <f>O1115*AV1115*'Real assumptions'!$B$33/12+AX1116*'Real assumptions'!$B$34</f>
        <v>3.1415411785027877E-4</v>
      </c>
      <c r="V1116">
        <f>IF(P1116=0,0,IF(E1116&lt;=$C$7,$AN$5*O1115,0))*'Real assumptions'!$D$28</f>
        <v>0</v>
      </c>
      <c r="X1116" s="94">
        <f t="shared" si="824"/>
        <v>0</v>
      </c>
      <c r="Y1116">
        <f t="shared" si="813"/>
        <v>24</v>
      </c>
      <c r="Z1116">
        <f t="shared" si="840"/>
        <v>7</v>
      </c>
      <c r="AA1116">
        <f t="shared" si="814"/>
        <v>6.9166666666666714</v>
      </c>
      <c r="AB1116">
        <f t="shared" si="825"/>
        <v>50.505050505050505</v>
      </c>
      <c r="AC1116">
        <f t="shared" si="807"/>
        <v>349.32659932659959</v>
      </c>
      <c r="AD1116">
        <f t="shared" si="826"/>
        <v>80.505050505050505</v>
      </c>
      <c r="AE1116">
        <f t="shared" si="827"/>
        <v>27.841329966329983</v>
      </c>
      <c r="AF1116" s="94">
        <f t="shared" si="828"/>
        <v>4622.8320707070707</v>
      </c>
      <c r="AG1116">
        <f t="shared" si="841"/>
        <v>1.4324146851336922E-4</v>
      </c>
      <c r="AH1116">
        <f t="shared" si="829"/>
        <v>4.4416933887207438E-2</v>
      </c>
      <c r="AI1116">
        <f>HLOOKUP(AW1116,'Real assumptions'!$A$21:$AK$24,2,TRUE)</f>
        <v>0</v>
      </c>
      <c r="AJ1116" s="123">
        <f t="shared" si="808"/>
        <v>0</v>
      </c>
      <c r="AK1116" s="122">
        <f>(1+HLOOKUP(YEAR(A1116),'Real assumptions'!$A$21:$AK$24,2,TRUE)/100)^(1/12)-1</f>
        <v>0</v>
      </c>
      <c r="AL1116">
        <f t="shared" si="842"/>
        <v>3.1415411785027877E-4</v>
      </c>
      <c r="AM1116">
        <f>('Real assumptions'!$B$33/12)*O1115*AV1115</f>
        <v>3.0194797494553284E-4</v>
      </c>
      <c r="AN1116">
        <f t="shared" si="830"/>
        <v>4.443355870548947E-2</v>
      </c>
      <c r="AO1116">
        <f t="shared" si="809"/>
        <v>0</v>
      </c>
      <c r="AP1116" s="121">
        <f t="shared" si="831"/>
        <v>0</v>
      </c>
      <c r="AQ1116">
        <f t="shared" si="832"/>
        <v>0</v>
      </c>
      <c r="AR1116">
        <v>0</v>
      </c>
      <c r="AS1116">
        <f t="shared" si="815"/>
        <v>0</v>
      </c>
      <c r="AT1116">
        <f t="shared" si="833"/>
        <v>0</v>
      </c>
      <c r="AU1116">
        <f>IFERROR(HLOOKUP(B1116,'Real assumptions'!$B$43:$AL$44,2,TRUE)*($W$3/$U$2),0)</f>
        <v>0</v>
      </c>
      <c r="AV1116">
        <f>AV1115*(1+'Real assumptions'!$B$35)^(1/12)</f>
        <v>3.1357608495400595</v>
      </c>
      <c r="AW1116">
        <f t="shared" si="816"/>
        <v>2110</v>
      </c>
      <c r="AX1116">
        <f t="shared" si="843"/>
        <v>4.4556942021052925E-2</v>
      </c>
      <c r="AY1116">
        <f t="shared" si="844"/>
        <v>4.0568816410095231E-5</v>
      </c>
      <c r="AZ1116">
        <f t="shared" si="817"/>
        <v>1.8084809336190291E-2</v>
      </c>
      <c r="BA1116">
        <f t="shared" si="834"/>
        <v>1.4324146851336922E-4</v>
      </c>
      <c r="BB1116">
        <f t="shared" si="835"/>
        <v>6.9166666666666714</v>
      </c>
      <c r="BC1116">
        <f t="shared" si="818"/>
        <v>4.1500000000000021</v>
      </c>
      <c r="BD1116">
        <f t="shared" si="836"/>
        <v>0</v>
      </c>
      <c r="BE1116">
        <f t="shared" si="819"/>
        <v>24</v>
      </c>
      <c r="BF1116">
        <f t="shared" si="845"/>
        <v>5000</v>
      </c>
      <c r="BU1116"/>
      <c r="DW1116" s="89"/>
      <c r="DX1116" s="89"/>
      <c r="FD1116"/>
      <c r="FE1116"/>
    </row>
    <row r="1117" spans="1:161" x14ac:dyDescent="0.25">
      <c r="A1117" s="7">
        <f t="shared" si="837"/>
        <v>77098</v>
      </c>
      <c r="B1117">
        <f t="shared" si="820"/>
        <v>1106</v>
      </c>
      <c r="C1117">
        <f t="shared" si="801"/>
        <v>92.083333333333329</v>
      </c>
      <c r="D1117">
        <f t="shared" si="802"/>
        <v>0</v>
      </c>
      <c r="E1117">
        <f t="shared" si="821"/>
        <v>144</v>
      </c>
      <c r="F1117">
        <f>IF(C1117&gt;=$T$2,0,VLOOKUP($E1117,EKM_F05!$A$3:$C$128,2,TRUE))</f>
        <v>0</v>
      </c>
      <c r="G1117">
        <f>F1117*'Real assumptions'!$B$3</f>
        <v>0</v>
      </c>
      <c r="H1117">
        <f t="shared" si="803"/>
        <v>0</v>
      </c>
      <c r="I1117">
        <f t="shared" si="804"/>
        <v>0</v>
      </c>
      <c r="J1117">
        <f>IF(B1117&gt;$AJ$2,0,HLOOKUP(C1117,'Real assumptions'!$B$5:$L$8,4,TRUE))</f>
        <v>3.7900000000000003E-2</v>
      </c>
      <c r="K1117">
        <f t="shared" si="810"/>
        <v>1</v>
      </c>
      <c r="L1117">
        <f t="shared" si="838"/>
        <v>8.3333333333333329E-2</v>
      </c>
      <c r="M1117">
        <f t="shared" si="805"/>
        <v>3.2145624959929453E-3</v>
      </c>
      <c r="N1117">
        <f t="shared" si="806"/>
        <v>3.0886047270797043E-8</v>
      </c>
      <c r="O1117" s="8">
        <f t="shared" si="822"/>
        <v>9.5772790791803111E-6</v>
      </c>
      <c r="P1117">
        <f t="shared" si="823"/>
        <v>2.3059596303482658E-4</v>
      </c>
      <c r="Q1117">
        <f t="shared" si="839"/>
        <v>0</v>
      </c>
      <c r="R1117" s="89">
        <f t="shared" si="811"/>
        <v>5000</v>
      </c>
      <c r="S1117">
        <f t="shared" si="812"/>
        <v>0.8333333333333286</v>
      </c>
      <c r="U1117">
        <f>O1116*AV1116*'Real assumptions'!$B$33/12+AX1117*'Real assumptions'!$B$34</f>
        <v>3.1346794668907311E-4</v>
      </c>
      <c r="V1117">
        <f>IF(P1117=0,0,IF(E1117&lt;=$C$7,$AN$5*O1116,0))*'Real assumptions'!$D$28</f>
        <v>0</v>
      </c>
      <c r="X1117" s="94">
        <f t="shared" si="824"/>
        <v>0</v>
      </c>
      <c r="Y1117">
        <f t="shared" si="813"/>
        <v>24</v>
      </c>
      <c r="Z1117">
        <f t="shared" si="840"/>
        <v>6</v>
      </c>
      <c r="AA1117">
        <f t="shared" si="814"/>
        <v>6.8333333333333286</v>
      </c>
      <c r="AB1117">
        <f t="shared" si="825"/>
        <v>50.505050505050505</v>
      </c>
      <c r="AC1117">
        <f t="shared" si="807"/>
        <v>345.11784511784487</v>
      </c>
      <c r="AD1117">
        <f t="shared" si="826"/>
        <v>80.505050505050505</v>
      </c>
      <c r="AE1117">
        <f t="shared" si="827"/>
        <v>27.505892255892235</v>
      </c>
      <c r="AF1117" s="94">
        <f t="shared" si="828"/>
        <v>4627.3762626262633</v>
      </c>
      <c r="AG1117">
        <f t="shared" si="841"/>
        <v>1.4292136198723891E-4</v>
      </c>
      <c r="AH1117">
        <f t="shared" si="829"/>
        <v>4.4317673871546087E-2</v>
      </c>
      <c r="AI1117">
        <f>HLOOKUP(AW1117,'Real assumptions'!$A$21:$AK$24,2,TRUE)</f>
        <v>0</v>
      </c>
      <c r="AJ1117" s="123">
        <f t="shared" si="808"/>
        <v>0</v>
      </c>
      <c r="AK1117" s="122">
        <f>(1+HLOOKUP(YEAR(A1117),'Real assumptions'!$A$21:$AK$24,2,TRUE)/100)^(1/12)-1</f>
        <v>0</v>
      </c>
      <c r="AL1117">
        <f t="shared" si="842"/>
        <v>3.1346794668907311E-4</v>
      </c>
      <c r="AM1117">
        <f>('Real assumptions'!$B$33/12)*O1116*AV1116</f>
        <v>3.0128908039441497E-4</v>
      </c>
      <c r="AN1117">
        <f t="shared" si="830"/>
        <v>4.4334061903553192E-2</v>
      </c>
      <c r="AO1117">
        <f t="shared" si="809"/>
        <v>0</v>
      </c>
      <c r="AP1117" s="121">
        <f t="shared" si="831"/>
        <v>0</v>
      </c>
      <c r="AQ1117">
        <f t="shared" si="832"/>
        <v>0</v>
      </c>
      <c r="AR1117">
        <v>0</v>
      </c>
      <c r="AS1117">
        <f t="shared" si="815"/>
        <v>0</v>
      </c>
      <c r="AT1117">
        <f t="shared" si="833"/>
        <v>0</v>
      </c>
      <c r="AU1117">
        <f>IFERROR(HLOOKUP(B1117,'Real assumptions'!$B$43:$AL$44,2,TRUE)*($W$3/$U$2),0)</f>
        <v>0</v>
      </c>
      <c r="AV1117">
        <f>AV1116*(1+'Real assumptions'!$B$35)^(1/12)</f>
        <v>3.1390087013430179</v>
      </c>
      <c r="AW1117">
        <f t="shared" si="816"/>
        <v>2111</v>
      </c>
      <c r="AX1117">
        <f t="shared" si="843"/>
        <v>4.4457372292621797E-2</v>
      </c>
      <c r="AY1117">
        <f t="shared" si="844"/>
        <v>4.0438405414356513E-5</v>
      </c>
      <c r="AZ1117">
        <f t="shared" si="817"/>
        <v>1.7859015990548805E-2</v>
      </c>
      <c r="BA1117">
        <f t="shared" si="834"/>
        <v>1.4292136198723891E-4</v>
      </c>
      <c r="BB1117">
        <f t="shared" si="835"/>
        <v>6.8333333333333286</v>
      </c>
      <c r="BC1117">
        <f t="shared" si="818"/>
        <v>4.099999999999997</v>
      </c>
      <c r="BD1117">
        <f t="shared" si="836"/>
        <v>0</v>
      </c>
      <c r="BE1117">
        <f t="shared" si="819"/>
        <v>24</v>
      </c>
      <c r="BF1117">
        <f t="shared" si="845"/>
        <v>5000</v>
      </c>
      <c r="BU1117"/>
      <c r="DW1117" s="89"/>
      <c r="DX1117" s="89"/>
      <c r="FD1117"/>
      <c r="FE1117"/>
    </row>
    <row r="1118" spans="1:161" x14ac:dyDescent="0.25">
      <c r="A1118" s="7">
        <f t="shared" si="837"/>
        <v>77126</v>
      </c>
      <c r="B1118">
        <f t="shared" si="820"/>
        <v>1107</v>
      </c>
      <c r="C1118">
        <f t="shared" si="801"/>
        <v>92.166666666666671</v>
      </c>
      <c r="D1118">
        <f t="shared" si="802"/>
        <v>0</v>
      </c>
      <c r="E1118">
        <f t="shared" si="821"/>
        <v>144</v>
      </c>
      <c r="F1118">
        <f>IF(C1118&gt;=$T$2,0,VLOOKUP($E1118,EKM_F05!$A$3:$C$128,2,TRUE))</f>
        <v>0</v>
      </c>
      <c r="G1118">
        <f>F1118*'Real assumptions'!$B$3</f>
        <v>0</v>
      </c>
      <c r="H1118">
        <f t="shared" si="803"/>
        <v>0</v>
      </c>
      <c r="I1118">
        <f t="shared" si="804"/>
        <v>0</v>
      </c>
      <c r="J1118">
        <f>IF(B1118&gt;$AJ$2,0,HLOOKUP(C1118,'Real assumptions'!$B$5:$L$8,4,TRUE))</f>
        <v>3.7900000000000003E-2</v>
      </c>
      <c r="K1118">
        <f t="shared" si="810"/>
        <v>1</v>
      </c>
      <c r="L1118">
        <f t="shared" si="838"/>
        <v>8.3333333333333329E-2</v>
      </c>
      <c r="M1118">
        <f t="shared" si="805"/>
        <v>3.2145624959929453E-3</v>
      </c>
      <c r="N1118">
        <f t="shared" si="806"/>
        <v>3.0786762141590874E-8</v>
      </c>
      <c r="O1118" s="8">
        <f t="shared" si="822"/>
        <v>9.5464923170387204E-6</v>
      </c>
      <c r="P1118">
        <f t="shared" si="823"/>
        <v>2.2985469790032747E-4</v>
      </c>
      <c r="Q1118">
        <f t="shared" si="839"/>
        <v>0</v>
      </c>
      <c r="R1118" s="89">
        <f t="shared" si="811"/>
        <v>5000</v>
      </c>
      <c r="S1118">
        <f t="shared" si="812"/>
        <v>0.75</v>
      </c>
      <c r="U1118">
        <f>O1117*AV1117*'Real assumptions'!$B$33/12+AX1118*'Real assumptions'!$B$34</f>
        <v>3.1278326256557623E-4</v>
      </c>
      <c r="V1118">
        <f>IF(P1118=0,0,IF(E1118&lt;=$C$7,$AN$5*O1117,0))*'Real assumptions'!$D$28</f>
        <v>0</v>
      </c>
      <c r="X1118" s="94">
        <f t="shared" si="824"/>
        <v>0</v>
      </c>
      <c r="Y1118">
        <f t="shared" si="813"/>
        <v>24</v>
      </c>
      <c r="Z1118">
        <f t="shared" si="840"/>
        <v>6</v>
      </c>
      <c r="AA1118">
        <f t="shared" si="814"/>
        <v>6.75</v>
      </c>
      <c r="AB1118">
        <f t="shared" si="825"/>
        <v>50.505050505050505</v>
      </c>
      <c r="AC1118">
        <f t="shared" si="807"/>
        <v>340.90909090909093</v>
      </c>
      <c r="AD1118">
        <f t="shared" si="826"/>
        <v>80.505050505050505</v>
      </c>
      <c r="AE1118">
        <f t="shared" si="827"/>
        <v>27.170454545454543</v>
      </c>
      <c r="AF1118" s="94">
        <f t="shared" si="828"/>
        <v>4631.920454545454</v>
      </c>
      <c r="AG1118">
        <f t="shared" si="841"/>
        <v>1.4260183329286037E-4</v>
      </c>
      <c r="AH1118">
        <f t="shared" si="829"/>
        <v>4.4218593032452673E-2</v>
      </c>
      <c r="AI1118">
        <f>HLOOKUP(AW1118,'Real assumptions'!$A$21:$AK$24,2,TRUE)</f>
        <v>0</v>
      </c>
      <c r="AJ1118" s="123">
        <f t="shared" si="808"/>
        <v>0</v>
      </c>
      <c r="AK1118" s="122">
        <f>(1+HLOOKUP(YEAR(A1118),'Real assumptions'!$A$21:$AK$24,2,TRUE)/100)^(1/12)-1</f>
        <v>0</v>
      </c>
      <c r="AL1118">
        <f t="shared" si="842"/>
        <v>3.1278326256557623E-4</v>
      </c>
      <c r="AM1118">
        <f>('Real assumptions'!$B$33/12)*O1117*AV1117</f>
        <v>3.006316236473744E-4</v>
      </c>
      <c r="AN1118">
        <f t="shared" si="830"/>
        <v>4.4234745306880839E-2</v>
      </c>
      <c r="AO1118">
        <f t="shared" si="809"/>
        <v>0</v>
      </c>
      <c r="AP1118" s="121">
        <f t="shared" si="831"/>
        <v>0</v>
      </c>
      <c r="AQ1118">
        <f t="shared" si="832"/>
        <v>0</v>
      </c>
      <c r="AR1118">
        <v>0</v>
      </c>
      <c r="AS1118">
        <f t="shared" si="815"/>
        <v>0</v>
      </c>
      <c r="AT1118">
        <f t="shared" si="833"/>
        <v>0</v>
      </c>
      <c r="AU1118">
        <f>IFERROR(HLOOKUP(B1118,'Real assumptions'!$B$43:$AL$44,2,TRUE)*($W$3/$U$2),0)</f>
        <v>0</v>
      </c>
      <c r="AV1118">
        <f>AV1117*(1+'Real assumptions'!$B$35)^(1/12)</f>
        <v>3.1422599170955374</v>
      </c>
      <c r="AW1118">
        <f t="shared" si="816"/>
        <v>2111</v>
      </c>
      <c r="AX1118">
        <f t="shared" si="843"/>
        <v>4.4357982285179003E-2</v>
      </c>
      <c r="AY1118">
        <f t="shared" si="844"/>
        <v>4.0308413632913763E-5</v>
      </c>
      <c r="AZ1118">
        <f t="shared" si="817"/>
        <v>1.7633485592590693E-2</v>
      </c>
      <c r="BA1118">
        <f t="shared" si="834"/>
        <v>1.4260183329286037E-4</v>
      </c>
      <c r="BB1118">
        <f t="shared" si="835"/>
        <v>6.75</v>
      </c>
      <c r="BC1118">
        <f t="shared" si="818"/>
        <v>4.05</v>
      </c>
      <c r="BD1118">
        <f t="shared" si="836"/>
        <v>0</v>
      </c>
      <c r="BE1118">
        <f t="shared" si="819"/>
        <v>24</v>
      </c>
      <c r="BF1118">
        <f t="shared" si="845"/>
        <v>5000</v>
      </c>
      <c r="BU1118"/>
      <c r="DW1118" s="89"/>
      <c r="DX1118" s="89"/>
      <c r="FD1118"/>
      <c r="FE1118"/>
    </row>
    <row r="1119" spans="1:161" x14ac:dyDescent="0.25">
      <c r="A1119" s="7">
        <f t="shared" si="837"/>
        <v>77157</v>
      </c>
      <c r="B1119">
        <f t="shared" si="820"/>
        <v>1108</v>
      </c>
      <c r="C1119">
        <f t="shared" si="801"/>
        <v>92.25</v>
      </c>
      <c r="D1119">
        <f t="shared" si="802"/>
        <v>0</v>
      </c>
      <c r="E1119">
        <f t="shared" si="821"/>
        <v>144</v>
      </c>
      <c r="F1119">
        <f>IF(C1119&gt;=$T$2,0,VLOOKUP($E1119,EKM_F05!$A$3:$C$128,2,TRUE))</f>
        <v>0</v>
      </c>
      <c r="G1119">
        <f>F1119*'Real assumptions'!$B$3</f>
        <v>0</v>
      </c>
      <c r="H1119">
        <f t="shared" si="803"/>
        <v>0</v>
      </c>
      <c r="I1119">
        <f t="shared" si="804"/>
        <v>0</v>
      </c>
      <c r="J1119">
        <f>IF(B1119&gt;$AJ$2,0,HLOOKUP(C1119,'Real assumptions'!$B$5:$L$8,4,TRUE))</f>
        <v>3.7900000000000003E-2</v>
      </c>
      <c r="K1119">
        <f t="shared" si="810"/>
        <v>1</v>
      </c>
      <c r="L1119">
        <f t="shared" si="838"/>
        <v>8.3333333333333329E-2</v>
      </c>
      <c r="M1119">
        <f t="shared" si="805"/>
        <v>3.2145624959929453E-3</v>
      </c>
      <c r="N1119">
        <f t="shared" si="806"/>
        <v>3.0687796170637465E-8</v>
      </c>
      <c r="O1119" s="8">
        <f t="shared" si="822"/>
        <v>9.5158045208680833E-6</v>
      </c>
      <c r="P1119">
        <f t="shared" si="823"/>
        <v>2.291158156089293E-4</v>
      </c>
      <c r="Q1119">
        <f t="shared" si="839"/>
        <v>0</v>
      </c>
      <c r="R1119" s="89">
        <f t="shared" si="811"/>
        <v>5000</v>
      </c>
      <c r="S1119">
        <f t="shared" si="812"/>
        <v>0.6666666666666714</v>
      </c>
      <c r="U1119">
        <f>O1118*AV1118*'Real assumptions'!$B$33/12+AX1119*'Real assumptions'!$B$34</f>
        <v>3.1210006230762097E-4</v>
      </c>
      <c r="V1119">
        <f>IF(P1119=0,0,IF(E1119&lt;=$C$7,$AN$5*O1118,0))*'Real assumptions'!$D$28</f>
        <v>0</v>
      </c>
      <c r="X1119" s="94">
        <f t="shared" si="824"/>
        <v>0</v>
      </c>
      <c r="Y1119">
        <f t="shared" si="813"/>
        <v>24</v>
      </c>
      <c r="Z1119">
        <f t="shared" si="840"/>
        <v>6</v>
      </c>
      <c r="AA1119">
        <f t="shared" si="814"/>
        <v>6.6666666666666714</v>
      </c>
      <c r="AB1119">
        <f t="shared" si="825"/>
        <v>50.505050505050505</v>
      </c>
      <c r="AC1119">
        <f t="shared" si="807"/>
        <v>336.70033670033695</v>
      </c>
      <c r="AD1119">
        <f t="shared" si="826"/>
        <v>80.505050505050505</v>
      </c>
      <c r="AE1119">
        <f t="shared" si="827"/>
        <v>26.835016835016852</v>
      </c>
      <c r="AF1119" s="94">
        <f t="shared" si="828"/>
        <v>4636.4646464646457</v>
      </c>
      <c r="AG1119">
        <f t="shared" si="841"/>
        <v>1.4228288202307375E-4</v>
      </c>
      <c r="AH1119">
        <f t="shared" si="829"/>
        <v>4.4119691243673313E-2</v>
      </c>
      <c r="AI1119">
        <f>HLOOKUP(AW1119,'Real assumptions'!$A$21:$AK$24,2,TRUE)</f>
        <v>0</v>
      </c>
      <c r="AJ1119" s="123">
        <f t="shared" si="808"/>
        <v>0</v>
      </c>
      <c r="AK1119" s="122">
        <f>(1+HLOOKUP(YEAR(A1119),'Real assumptions'!$A$21:$AK$24,2,TRUE)/100)^(1/12)-1</f>
        <v>0</v>
      </c>
      <c r="AL1119">
        <f t="shared" si="842"/>
        <v>3.1210006230762097E-4</v>
      </c>
      <c r="AM1119">
        <f>('Real assumptions'!$B$33/12)*O1118*AV1118</f>
        <v>2.9997560156691273E-4</v>
      </c>
      <c r="AN1119">
        <f t="shared" si="830"/>
        <v>4.4135608785753982E-2</v>
      </c>
      <c r="AO1119">
        <f t="shared" si="809"/>
        <v>0</v>
      </c>
      <c r="AP1119" s="121">
        <f t="shared" si="831"/>
        <v>0</v>
      </c>
      <c r="AQ1119">
        <f t="shared" si="832"/>
        <v>0</v>
      </c>
      <c r="AR1119">
        <v>0</v>
      </c>
      <c r="AS1119">
        <f t="shared" si="815"/>
        <v>0</v>
      </c>
      <c r="AT1119">
        <f t="shared" si="833"/>
        <v>0</v>
      </c>
      <c r="AU1119">
        <f>IFERROR(HLOOKUP(B1119,'Real assumptions'!$B$43:$AL$44,2,TRUE)*($W$3/$U$2),0)</f>
        <v>0</v>
      </c>
      <c r="AV1119">
        <f>AV1118*(1+'Real assumptions'!$B$35)^(1/12)</f>
        <v>3.1455145002818155</v>
      </c>
      <c r="AW1119">
        <f t="shared" si="816"/>
        <v>2111</v>
      </c>
      <c r="AX1119">
        <f t="shared" si="843"/>
        <v>4.4258771872170852E-2</v>
      </c>
      <c r="AY1119">
        <f t="shared" si="844"/>
        <v>4.0178839718176429E-5</v>
      </c>
      <c r="AZ1119">
        <f t="shared" si="817"/>
        <v>1.7408218463868929E-2</v>
      </c>
      <c r="BA1119">
        <f t="shared" si="834"/>
        <v>1.4228288202307375E-4</v>
      </c>
      <c r="BB1119">
        <f t="shared" si="835"/>
        <v>6.6666666666666714</v>
      </c>
      <c r="BC1119">
        <f t="shared" si="818"/>
        <v>4.0000000000000027</v>
      </c>
      <c r="BD1119">
        <f t="shared" si="836"/>
        <v>0</v>
      </c>
      <c r="BE1119">
        <f t="shared" si="819"/>
        <v>24</v>
      </c>
      <c r="BF1119">
        <f t="shared" si="845"/>
        <v>5000</v>
      </c>
      <c r="BU1119"/>
      <c r="DW1119" s="89"/>
      <c r="DX1119" s="89"/>
      <c r="FD1119"/>
      <c r="FE1119"/>
    </row>
    <row r="1120" spans="1:161" x14ac:dyDescent="0.25">
      <c r="A1120" s="7">
        <f t="shared" si="837"/>
        <v>77187</v>
      </c>
      <c r="B1120">
        <f t="shared" si="820"/>
        <v>1109</v>
      </c>
      <c r="C1120">
        <f t="shared" si="801"/>
        <v>92.333333333333329</v>
      </c>
      <c r="D1120">
        <f t="shared" si="802"/>
        <v>0</v>
      </c>
      <c r="E1120">
        <f t="shared" si="821"/>
        <v>144</v>
      </c>
      <c r="F1120">
        <f>IF(C1120&gt;=$T$2,0,VLOOKUP($E1120,EKM_F05!$A$3:$C$128,2,TRUE))</f>
        <v>0</v>
      </c>
      <c r="G1120">
        <f>F1120*'Real assumptions'!$B$3</f>
        <v>0</v>
      </c>
      <c r="H1120">
        <f t="shared" si="803"/>
        <v>0</v>
      </c>
      <c r="I1120">
        <f t="shared" si="804"/>
        <v>0</v>
      </c>
      <c r="J1120">
        <f>IF(B1120&gt;$AJ$2,0,HLOOKUP(C1120,'Real assumptions'!$B$5:$L$8,4,TRUE))</f>
        <v>3.7900000000000003E-2</v>
      </c>
      <c r="K1120">
        <f t="shared" si="810"/>
        <v>1</v>
      </c>
      <c r="L1120">
        <f t="shared" si="838"/>
        <v>8.3333333333333329E-2</v>
      </c>
      <c r="M1120">
        <f t="shared" si="805"/>
        <v>3.2145624959929453E-3</v>
      </c>
      <c r="N1120">
        <f t="shared" si="806"/>
        <v>3.0589148331982657E-8</v>
      </c>
      <c r="O1120" s="8">
        <f t="shared" si="822"/>
        <v>9.4852153725361012E-6</v>
      </c>
      <c r="P1120">
        <f t="shared" si="823"/>
        <v>2.28379308500834E-4</v>
      </c>
      <c r="Q1120">
        <f t="shared" si="839"/>
        <v>0</v>
      </c>
      <c r="R1120" s="89">
        <f t="shared" si="811"/>
        <v>5000</v>
      </c>
      <c r="S1120">
        <f t="shared" si="812"/>
        <v>0.5833333333333286</v>
      </c>
      <c r="U1120">
        <f>O1119*AV1119*'Real assumptions'!$B$33/12+AX1120*'Real assumptions'!$B$34</f>
        <v>3.114183427496011E-4</v>
      </c>
      <c r="V1120">
        <f>IF(P1120=0,0,IF(E1120&lt;=$C$7,$AN$5*O1119,0))*'Real assumptions'!$D$28</f>
        <v>0</v>
      </c>
      <c r="X1120" s="94">
        <f t="shared" si="824"/>
        <v>0</v>
      </c>
      <c r="Y1120">
        <f t="shared" si="813"/>
        <v>24</v>
      </c>
      <c r="Z1120">
        <f t="shared" si="840"/>
        <v>6</v>
      </c>
      <c r="AA1120">
        <f t="shared" si="814"/>
        <v>6.5833333333333286</v>
      </c>
      <c r="AB1120">
        <f t="shared" si="825"/>
        <v>50.505050505050505</v>
      </c>
      <c r="AC1120">
        <f t="shared" si="807"/>
        <v>332.49158249158228</v>
      </c>
      <c r="AD1120">
        <f t="shared" si="826"/>
        <v>80.505050505050505</v>
      </c>
      <c r="AE1120">
        <f t="shared" si="827"/>
        <v>26.499579124579103</v>
      </c>
      <c r="AF1120" s="94">
        <f t="shared" si="828"/>
        <v>4641.0088383838383</v>
      </c>
      <c r="AG1120">
        <f t="shared" si="841"/>
        <v>1.4196450776736576E-4</v>
      </c>
      <c r="AH1120">
        <f t="shared" si="829"/>
        <v>4.4020968377914298E-2</v>
      </c>
      <c r="AI1120">
        <f>HLOOKUP(AW1120,'Real assumptions'!$A$21:$AK$24,2,TRUE)</f>
        <v>0</v>
      </c>
      <c r="AJ1120" s="123">
        <f t="shared" si="808"/>
        <v>0</v>
      </c>
      <c r="AK1120" s="122">
        <f>(1+HLOOKUP(YEAR(A1120),'Real assumptions'!$A$21:$AK$24,2,TRUE)/100)^(1/12)-1</f>
        <v>0</v>
      </c>
      <c r="AL1120">
        <f t="shared" si="842"/>
        <v>3.114183427496011E-4</v>
      </c>
      <c r="AM1120">
        <f>('Real assumptions'!$B$33/12)*O1119*AV1119</f>
        <v>2.9932101102237807E-4</v>
      </c>
      <c r="AN1120">
        <f t="shared" si="830"/>
        <v>4.403665220942455E-2</v>
      </c>
      <c r="AO1120">
        <f t="shared" si="809"/>
        <v>0</v>
      </c>
      <c r="AP1120" s="121">
        <f t="shared" si="831"/>
        <v>0</v>
      </c>
      <c r="AQ1120">
        <f t="shared" si="832"/>
        <v>0</v>
      </c>
      <c r="AR1120">
        <v>0</v>
      </c>
      <c r="AS1120">
        <f t="shared" si="815"/>
        <v>0</v>
      </c>
      <c r="AT1120">
        <f t="shared" si="833"/>
        <v>0</v>
      </c>
      <c r="AU1120">
        <f>IFERROR(HLOOKUP(B1120,'Real assumptions'!$B$43:$AL$44,2,TRUE)*($W$3/$U$2),0)</f>
        <v>0</v>
      </c>
      <c r="AV1120">
        <f>AV1119*(1+'Real assumptions'!$B$35)^(1/12)</f>
        <v>3.148772454389658</v>
      </c>
      <c r="AW1120">
        <f t="shared" si="816"/>
        <v>2111</v>
      </c>
      <c r="AX1120">
        <f t="shared" si="843"/>
        <v>4.4159740926000196E-2</v>
      </c>
      <c r="AY1120">
        <f t="shared" si="844"/>
        <v>4.0049682326885872E-5</v>
      </c>
      <c r="AZ1120">
        <f t="shared" si="817"/>
        <v>1.7183214921852798E-2</v>
      </c>
      <c r="BA1120">
        <f t="shared" si="834"/>
        <v>1.4196450776736576E-4</v>
      </c>
      <c r="BB1120">
        <f t="shared" si="835"/>
        <v>6.5833333333333286</v>
      </c>
      <c r="BC1120">
        <f t="shared" si="818"/>
        <v>3.9499999999999971</v>
      </c>
      <c r="BD1120">
        <f t="shared" si="836"/>
        <v>0</v>
      </c>
      <c r="BE1120">
        <f t="shared" si="819"/>
        <v>24</v>
      </c>
      <c r="BF1120">
        <f t="shared" si="845"/>
        <v>5000</v>
      </c>
      <c r="BU1120"/>
      <c r="DW1120" s="89"/>
      <c r="DX1120" s="89"/>
      <c r="FD1120"/>
      <c r="FE1120"/>
    </row>
    <row r="1121" spans="1:161" x14ac:dyDescent="0.25">
      <c r="A1121" s="7">
        <f t="shared" si="837"/>
        <v>77218</v>
      </c>
      <c r="B1121">
        <f t="shared" si="820"/>
        <v>1110</v>
      </c>
      <c r="C1121">
        <f t="shared" si="801"/>
        <v>92.416666666666671</v>
      </c>
      <c r="D1121">
        <f t="shared" si="802"/>
        <v>0</v>
      </c>
      <c r="E1121">
        <f t="shared" si="821"/>
        <v>144</v>
      </c>
      <c r="F1121">
        <f>IF(C1121&gt;=$T$2,0,VLOOKUP($E1121,EKM_F05!$A$3:$C$128,2,TRUE))</f>
        <v>0</v>
      </c>
      <c r="G1121">
        <f>F1121*'Real assumptions'!$B$3</f>
        <v>0</v>
      </c>
      <c r="H1121">
        <f t="shared" si="803"/>
        <v>0</v>
      </c>
      <c r="I1121">
        <f t="shared" si="804"/>
        <v>0</v>
      </c>
      <c r="J1121">
        <f>IF(B1121&gt;$AJ$2,0,HLOOKUP(C1121,'Real assumptions'!$B$5:$L$8,4,TRUE))</f>
        <v>3.7900000000000003E-2</v>
      </c>
      <c r="K1121">
        <f t="shared" si="810"/>
        <v>1</v>
      </c>
      <c r="L1121">
        <f t="shared" si="838"/>
        <v>8.3333333333333329E-2</v>
      </c>
      <c r="M1121">
        <f t="shared" si="805"/>
        <v>3.2145624959929453E-3</v>
      </c>
      <c r="N1121">
        <f t="shared" si="806"/>
        <v>3.0490817602970306E-8</v>
      </c>
      <c r="O1121" s="8">
        <f t="shared" si="822"/>
        <v>9.4547245549331307E-6</v>
      </c>
      <c r="P1121">
        <f t="shared" si="823"/>
        <v>2.2764516894086643E-4</v>
      </c>
      <c r="Q1121">
        <f t="shared" si="839"/>
        <v>0</v>
      </c>
      <c r="R1121" s="89">
        <f t="shared" si="811"/>
        <v>5000</v>
      </c>
      <c r="S1121">
        <f t="shared" si="812"/>
        <v>0.5</v>
      </c>
      <c r="U1121">
        <f>O1120*AV1120*'Real assumptions'!$B$33/12+AX1121*'Real assumptions'!$B$34</f>
        <v>3.1073810073245782E-4</v>
      </c>
      <c r="V1121">
        <f>IF(P1121=0,0,IF(E1121&lt;=$C$7,$AN$5*O1120,0))*'Real assumptions'!$D$28</f>
        <v>0</v>
      </c>
      <c r="X1121" s="94">
        <f t="shared" si="824"/>
        <v>0</v>
      </c>
      <c r="Y1121">
        <f t="shared" si="813"/>
        <v>24</v>
      </c>
      <c r="Z1121">
        <f t="shared" si="840"/>
        <v>6</v>
      </c>
      <c r="AA1121">
        <f t="shared" si="814"/>
        <v>6.5</v>
      </c>
      <c r="AB1121">
        <f t="shared" si="825"/>
        <v>50.505050505050505</v>
      </c>
      <c r="AC1121">
        <f t="shared" si="807"/>
        <v>328.28282828282829</v>
      </c>
      <c r="AD1121">
        <f t="shared" si="826"/>
        <v>80.505050505050505</v>
      </c>
      <c r="AE1121">
        <f t="shared" si="827"/>
        <v>26.164141414141412</v>
      </c>
      <c r="AF1121" s="94">
        <f t="shared" si="828"/>
        <v>4645.55303030303</v>
      </c>
      <c r="AG1121">
        <f t="shared" si="841"/>
        <v>1.4164671011189568E-4</v>
      </c>
      <c r="AH1121">
        <f t="shared" si="829"/>
        <v>4.3922424306850075E-2</v>
      </c>
      <c r="AI1121">
        <f>HLOOKUP(AW1121,'Real assumptions'!$A$21:$AK$24,2,TRUE)</f>
        <v>0</v>
      </c>
      <c r="AJ1121" s="123">
        <f t="shared" si="808"/>
        <v>0</v>
      </c>
      <c r="AK1121" s="122">
        <f>(1+HLOOKUP(YEAR(A1121),'Real assumptions'!$A$21:$AK$24,2,TRUE)/100)^(1/12)-1</f>
        <v>0</v>
      </c>
      <c r="AL1121">
        <f t="shared" si="842"/>
        <v>3.1073810073245782E-4</v>
      </c>
      <c r="AM1121">
        <f>('Real assumptions'!$B$33/12)*O1120*AV1120</f>
        <v>2.9866784888995011E-4</v>
      </c>
      <c r="AN1121">
        <f t="shared" si="830"/>
        <v>4.3937875446122709E-2</v>
      </c>
      <c r="AO1121">
        <f t="shared" si="809"/>
        <v>0</v>
      </c>
      <c r="AP1121" s="121">
        <f t="shared" si="831"/>
        <v>0</v>
      </c>
      <c r="AQ1121">
        <f t="shared" si="832"/>
        <v>0</v>
      </c>
      <c r="AR1121">
        <v>0</v>
      </c>
      <c r="AS1121">
        <f t="shared" si="815"/>
        <v>0</v>
      </c>
      <c r="AT1121">
        <f t="shared" si="833"/>
        <v>0</v>
      </c>
      <c r="AU1121">
        <f>IFERROR(HLOOKUP(B1121,'Real assumptions'!$B$43:$AL$44,2,TRUE)*($W$3/$U$2),0)</f>
        <v>0</v>
      </c>
      <c r="AV1121">
        <f>AV1120*(1+'Real assumptions'!$B$35)^(1/12)</f>
        <v>3.1520337829104839</v>
      </c>
      <c r="AW1121">
        <f t="shared" si="816"/>
        <v>2111</v>
      </c>
      <c r="AX1121">
        <f t="shared" si="843"/>
        <v>4.4060889318034396E-2</v>
      </c>
      <c r="AY1121">
        <f t="shared" si="844"/>
        <v>3.9920940120101434E-5</v>
      </c>
      <c r="AZ1121">
        <f t="shared" si="817"/>
        <v>1.6958475279949311E-2</v>
      </c>
      <c r="BA1121">
        <f t="shared" si="834"/>
        <v>1.4164671011189568E-4</v>
      </c>
      <c r="BB1121">
        <f t="shared" si="835"/>
        <v>6.5</v>
      </c>
      <c r="BC1121">
        <f t="shared" si="818"/>
        <v>3.9</v>
      </c>
      <c r="BD1121">
        <f t="shared" si="836"/>
        <v>0</v>
      </c>
      <c r="BE1121">
        <f t="shared" si="819"/>
        <v>24</v>
      </c>
      <c r="BF1121">
        <f t="shared" si="845"/>
        <v>5000</v>
      </c>
      <c r="BU1121"/>
      <c r="DW1121" s="89"/>
      <c r="DX1121" s="89"/>
      <c r="FD1121"/>
      <c r="FE1121"/>
    </row>
    <row r="1122" spans="1:161" x14ac:dyDescent="0.25">
      <c r="A1122" s="7">
        <f t="shared" si="837"/>
        <v>77248</v>
      </c>
      <c r="B1122">
        <f t="shared" si="820"/>
        <v>1111</v>
      </c>
      <c r="C1122">
        <f t="shared" si="801"/>
        <v>92.5</v>
      </c>
      <c r="D1122">
        <f t="shared" si="802"/>
        <v>0</v>
      </c>
      <c r="E1122">
        <f t="shared" si="821"/>
        <v>144</v>
      </c>
      <c r="F1122">
        <f>IF(C1122&gt;=$T$2,0,VLOOKUP($E1122,EKM_F05!$A$3:$C$128,2,TRUE))</f>
        <v>0</v>
      </c>
      <c r="G1122">
        <f>F1122*'Real assumptions'!$B$3</f>
        <v>0</v>
      </c>
      <c r="H1122">
        <f t="shared" si="803"/>
        <v>0</v>
      </c>
      <c r="I1122">
        <f t="shared" si="804"/>
        <v>0</v>
      </c>
      <c r="J1122">
        <f>IF(B1122&gt;$AJ$2,0,HLOOKUP(C1122,'Real assumptions'!$B$5:$L$8,4,TRUE))</f>
        <v>3.7900000000000003E-2</v>
      </c>
      <c r="K1122">
        <f t="shared" si="810"/>
        <v>1</v>
      </c>
      <c r="L1122">
        <f t="shared" si="838"/>
        <v>8.3333333333333329E-2</v>
      </c>
      <c r="M1122">
        <f t="shared" si="805"/>
        <v>3.2145624959929453E-3</v>
      </c>
      <c r="N1122">
        <f t="shared" si="806"/>
        <v>3.0392802964231631E-8</v>
      </c>
      <c r="O1122" s="8">
        <f t="shared" si="822"/>
        <v>9.4243317519688983E-6</v>
      </c>
      <c r="P1122">
        <f t="shared" si="823"/>
        <v>2.2691338931839515E-4</v>
      </c>
      <c r="Q1122">
        <f t="shared" si="839"/>
        <v>0</v>
      </c>
      <c r="R1122" s="89">
        <f t="shared" si="811"/>
        <v>5000</v>
      </c>
      <c r="S1122">
        <f t="shared" si="812"/>
        <v>0.4166666666666714</v>
      </c>
      <c r="U1122">
        <f>O1121*AV1121*'Real assumptions'!$B$33/12+AX1122*'Real assumptions'!$B$34</f>
        <v>3.1005933310366792E-4</v>
      </c>
      <c r="V1122">
        <f>IF(P1122=0,0,IF(E1122&lt;=$C$7,$AN$5*O1121,0))*'Real assumptions'!$D$28</f>
        <v>0</v>
      </c>
      <c r="X1122" s="94">
        <f t="shared" si="824"/>
        <v>0</v>
      </c>
      <c r="Y1122">
        <f t="shared" si="813"/>
        <v>24</v>
      </c>
      <c r="Z1122">
        <f t="shared" si="840"/>
        <v>6</v>
      </c>
      <c r="AA1122">
        <f t="shared" si="814"/>
        <v>6.4166666666666714</v>
      </c>
      <c r="AB1122">
        <f t="shared" si="825"/>
        <v>50.505050505050505</v>
      </c>
      <c r="AC1122">
        <f t="shared" si="807"/>
        <v>324.0740740740743</v>
      </c>
      <c r="AD1122">
        <f t="shared" si="826"/>
        <v>80.505050505050505</v>
      </c>
      <c r="AE1122">
        <f t="shared" si="827"/>
        <v>25.82870370370372</v>
      </c>
      <c r="AF1122" s="94">
        <f t="shared" si="828"/>
        <v>4650.0972222222226</v>
      </c>
      <c r="AG1122">
        <f t="shared" si="841"/>
        <v>1.4132948863952084E-4</v>
      </c>
      <c r="AH1122">
        <f t="shared" si="829"/>
        <v>4.3824058901131266E-2</v>
      </c>
      <c r="AI1122">
        <f>HLOOKUP(AW1122,'Real assumptions'!$A$21:$AK$24,2,TRUE)</f>
        <v>0</v>
      </c>
      <c r="AJ1122" s="123">
        <f t="shared" si="808"/>
        <v>0</v>
      </c>
      <c r="AK1122" s="122">
        <f>(1+HLOOKUP(YEAR(A1122),'Real assumptions'!$A$21:$AK$24,2,TRUE)/100)^(1/12)-1</f>
        <v>0</v>
      </c>
      <c r="AL1122">
        <f t="shared" si="842"/>
        <v>3.1005933310366792E-4</v>
      </c>
      <c r="AM1122">
        <f>('Real assumptions'!$B$33/12)*O1121*AV1121</f>
        <v>2.9801611205262517E-4</v>
      </c>
      <c r="AN1122">
        <f t="shared" si="830"/>
        <v>4.3839278363064796E-2</v>
      </c>
      <c r="AO1122">
        <f t="shared" si="809"/>
        <v>0</v>
      </c>
      <c r="AP1122" s="121">
        <f t="shared" si="831"/>
        <v>0</v>
      </c>
      <c r="AQ1122">
        <f t="shared" si="832"/>
        <v>0</v>
      </c>
      <c r="AR1122">
        <v>0</v>
      </c>
      <c r="AS1122">
        <f t="shared" si="815"/>
        <v>0</v>
      </c>
      <c r="AT1122">
        <f t="shared" si="833"/>
        <v>0</v>
      </c>
      <c r="AU1122">
        <f>IFERROR(HLOOKUP(B1122,'Real assumptions'!$B$43:$AL$44,2,TRUE)*($W$3/$U$2),0)</f>
        <v>0</v>
      </c>
      <c r="AV1122">
        <f>AV1121*(1+'Real assumptions'!$B$35)^(1/12)</f>
        <v>3.1552984893393279</v>
      </c>
      <c r="AW1122">
        <f t="shared" si="816"/>
        <v>2111</v>
      </c>
      <c r="AX1122">
        <f t="shared" si="843"/>
        <v>4.396221691861326E-2</v>
      </c>
      <c r="AY1122">
        <f t="shared" si="844"/>
        <v>3.9792611763186571E-5</v>
      </c>
      <c r="AZ1122">
        <f t="shared" si="817"/>
        <v>1.6733999847524519E-2</v>
      </c>
      <c r="BA1122">
        <f t="shared" si="834"/>
        <v>1.4132948863952084E-4</v>
      </c>
      <c r="BB1122">
        <f t="shared" si="835"/>
        <v>6.4166666666666714</v>
      </c>
      <c r="BC1122">
        <f t="shared" si="818"/>
        <v>3.8500000000000028</v>
      </c>
      <c r="BD1122">
        <f t="shared" si="836"/>
        <v>0</v>
      </c>
      <c r="BE1122">
        <f t="shared" si="819"/>
        <v>24</v>
      </c>
      <c r="BF1122">
        <f t="shared" si="845"/>
        <v>5000</v>
      </c>
      <c r="BU1122"/>
      <c r="DW1122" s="89"/>
      <c r="DX1122" s="89"/>
      <c r="FD1122"/>
      <c r="FE1122"/>
    </row>
    <row r="1123" spans="1:161" x14ac:dyDescent="0.25">
      <c r="A1123" s="7">
        <f t="shared" si="837"/>
        <v>77279</v>
      </c>
      <c r="B1123">
        <f t="shared" si="820"/>
        <v>1112</v>
      </c>
      <c r="C1123">
        <f t="shared" si="801"/>
        <v>92.583333333333329</v>
      </c>
      <c r="D1123">
        <f t="shared" si="802"/>
        <v>0</v>
      </c>
      <c r="E1123">
        <f t="shared" si="821"/>
        <v>144</v>
      </c>
      <c r="F1123">
        <f>IF(C1123&gt;=$T$2,0,VLOOKUP($E1123,EKM_F05!$A$3:$C$128,2,TRUE))</f>
        <v>0</v>
      </c>
      <c r="G1123">
        <f>F1123*'Real assumptions'!$B$3</f>
        <v>0</v>
      </c>
      <c r="H1123">
        <f t="shared" si="803"/>
        <v>0</v>
      </c>
      <c r="I1123">
        <f t="shared" si="804"/>
        <v>0</v>
      </c>
      <c r="J1123">
        <f>IF(B1123&gt;$AJ$2,0,HLOOKUP(C1123,'Real assumptions'!$B$5:$L$8,4,TRUE))</f>
        <v>3.7900000000000003E-2</v>
      </c>
      <c r="K1123">
        <f t="shared" si="810"/>
        <v>1</v>
      </c>
      <c r="L1123">
        <f t="shared" si="838"/>
        <v>8.3333333333333329E-2</v>
      </c>
      <c r="M1123">
        <f t="shared" si="805"/>
        <v>3.2145624959929453E-3</v>
      </c>
      <c r="N1123">
        <f t="shared" si="806"/>
        <v>3.029510339967471E-8</v>
      </c>
      <c r="O1123" s="8">
        <f t="shared" si="822"/>
        <v>9.3940366485692232E-6</v>
      </c>
      <c r="P1123">
        <f t="shared" si="823"/>
        <v>2.2618396204725357E-4</v>
      </c>
      <c r="Q1123">
        <f t="shared" si="839"/>
        <v>0</v>
      </c>
      <c r="R1123" s="89">
        <f t="shared" si="811"/>
        <v>5000</v>
      </c>
      <c r="S1123">
        <f t="shared" si="812"/>
        <v>0.3333333333333286</v>
      </c>
      <c r="U1123">
        <f>O1122*AV1122*'Real assumptions'!$B$33/12+AX1123*'Real assumptions'!$B$34</f>
        <v>3.0938203671723025E-4</v>
      </c>
      <c r="V1123">
        <f>IF(P1123=0,0,IF(E1123&lt;=$C$7,$AN$5*O1122,0))*'Real assumptions'!$D$28</f>
        <v>0</v>
      </c>
      <c r="X1123" s="94">
        <f t="shared" si="824"/>
        <v>0</v>
      </c>
      <c r="Y1123">
        <f t="shared" si="813"/>
        <v>24</v>
      </c>
      <c r="Z1123">
        <f t="shared" si="840"/>
        <v>6</v>
      </c>
      <c r="AA1123">
        <f t="shared" si="814"/>
        <v>6.3333333333333286</v>
      </c>
      <c r="AB1123">
        <f t="shared" si="825"/>
        <v>50.505050505050505</v>
      </c>
      <c r="AC1123">
        <f t="shared" si="807"/>
        <v>319.86531986531963</v>
      </c>
      <c r="AD1123">
        <f t="shared" si="826"/>
        <v>80.505050505050505</v>
      </c>
      <c r="AE1123">
        <f t="shared" si="827"/>
        <v>25.493265993265972</v>
      </c>
      <c r="AF1123" s="94">
        <f t="shared" si="828"/>
        <v>4654.6414141414152</v>
      </c>
      <c r="AG1123">
        <f t="shared" si="841"/>
        <v>1.4101284292982228E-4</v>
      </c>
      <c r="AH1123">
        <f t="shared" si="829"/>
        <v>4.3725872030392528E-2</v>
      </c>
      <c r="AI1123">
        <f>HLOOKUP(AW1123,'Real assumptions'!$A$21:$AK$24,2,TRUE)</f>
        <v>0</v>
      </c>
      <c r="AJ1123" s="123">
        <f t="shared" si="808"/>
        <v>0</v>
      </c>
      <c r="AK1123" s="122">
        <f>(1+HLOOKUP(YEAR(A1123),'Real assumptions'!$A$21:$AK$24,2,TRUE)/100)^(1/12)-1</f>
        <v>0</v>
      </c>
      <c r="AL1123">
        <f t="shared" si="842"/>
        <v>3.0938203671723025E-4</v>
      </c>
      <c r="AM1123">
        <f>('Real assumptions'!$B$33/12)*O1122*AV1122</f>
        <v>2.9736579740020127E-4</v>
      </c>
      <c r="AN1123">
        <f t="shared" si="830"/>
        <v>4.3740860826461288E-2</v>
      </c>
      <c r="AO1123">
        <f t="shared" si="809"/>
        <v>0</v>
      </c>
      <c r="AP1123" s="121">
        <f t="shared" si="831"/>
        <v>0</v>
      </c>
      <c r="AQ1123">
        <f t="shared" si="832"/>
        <v>0</v>
      </c>
      <c r="AR1123">
        <v>0</v>
      </c>
      <c r="AS1123">
        <f t="shared" si="815"/>
        <v>0</v>
      </c>
      <c r="AT1123">
        <f t="shared" si="833"/>
        <v>0</v>
      </c>
      <c r="AU1123">
        <f>IFERROR(HLOOKUP(B1123,'Real assumptions'!$B$43:$AL$44,2,TRUE)*($W$3/$U$2),0)</f>
        <v>0</v>
      </c>
      <c r="AV1123">
        <f>AV1122*(1+'Real assumptions'!$B$35)^(1/12)</f>
        <v>3.1585665771748448</v>
      </c>
      <c r="AW1123">
        <f t="shared" si="816"/>
        <v>2111</v>
      </c>
      <c r="AX1123">
        <f t="shared" si="843"/>
        <v>4.3863723597057064E-2</v>
      </c>
      <c r="AY1123">
        <f t="shared" si="844"/>
        <v>3.9664695925795024E-5</v>
      </c>
      <c r="AZ1123">
        <f t="shared" si="817"/>
        <v>1.6509788929924718E-2</v>
      </c>
      <c r="BA1123">
        <f t="shared" si="834"/>
        <v>1.4101284292982228E-4</v>
      </c>
      <c r="BB1123">
        <f t="shared" si="835"/>
        <v>6.3333333333333286</v>
      </c>
      <c r="BC1123">
        <f t="shared" si="818"/>
        <v>3.7999999999999972</v>
      </c>
      <c r="BD1123">
        <f t="shared" si="836"/>
        <v>0</v>
      </c>
      <c r="BE1123">
        <f t="shared" si="819"/>
        <v>24</v>
      </c>
      <c r="BF1123">
        <f t="shared" si="845"/>
        <v>5000</v>
      </c>
      <c r="BU1123"/>
      <c r="DW1123" s="89"/>
      <c r="DX1123" s="89"/>
      <c r="FD1123"/>
      <c r="FE1123"/>
    </row>
    <row r="1124" spans="1:161" x14ac:dyDescent="0.25">
      <c r="A1124" s="7">
        <f t="shared" si="837"/>
        <v>77310</v>
      </c>
      <c r="B1124">
        <f t="shared" si="820"/>
        <v>1113</v>
      </c>
      <c r="C1124">
        <f t="shared" si="801"/>
        <v>92.666666666666671</v>
      </c>
      <c r="D1124">
        <f t="shared" si="802"/>
        <v>0</v>
      </c>
      <c r="E1124">
        <f t="shared" si="821"/>
        <v>144</v>
      </c>
      <c r="F1124">
        <f>IF(C1124&gt;=$T$2,0,VLOOKUP($E1124,EKM_F05!$A$3:$C$128,2,TRUE))</f>
        <v>0</v>
      </c>
      <c r="G1124">
        <f>F1124*'Real assumptions'!$B$3</f>
        <v>0</v>
      </c>
      <c r="H1124">
        <f t="shared" si="803"/>
        <v>0</v>
      </c>
      <c r="I1124">
        <f t="shared" si="804"/>
        <v>0</v>
      </c>
      <c r="J1124">
        <f>IF(B1124&gt;$AJ$2,0,HLOOKUP(C1124,'Real assumptions'!$B$5:$L$8,4,TRUE))</f>
        <v>3.7900000000000003E-2</v>
      </c>
      <c r="K1124">
        <f t="shared" si="810"/>
        <v>1</v>
      </c>
      <c r="L1124">
        <f t="shared" si="838"/>
        <v>8.3333333333333329E-2</v>
      </c>
      <c r="M1124">
        <f t="shared" si="805"/>
        <v>3.2145624959929453E-3</v>
      </c>
      <c r="N1124">
        <f t="shared" si="806"/>
        <v>3.0197717896473886E-8</v>
      </c>
      <c r="O1124" s="8">
        <f t="shared" si="822"/>
        <v>9.3638389306727487E-6</v>
      </c>
      <c r="P1124">
        <f t="shared" si="823"/>
        <v>2.2545687956566137E-4</v>
      </c>
      <c r="Q1124">
        <f t="shared" si="839"/>
        <v>0</v>
      </c>
      <c r="R1124" s="89">
        <f t="shared" si="811"/>
        <v>5000</v>
      </c>
      <c r="S1124">
        <f t="shared" si="812"/>
        <v>0.25</v>
      </c>
      <c r="U1124">
        <f>O1123*AV1123*'Real assumptions'!$B$33/12+AX1124*'Real assumptions'!$B$34</f>
        <v>3.0870620843365375E-4</v>
      </c>
      <c r="V1124">
        <f>IF(P1124=0,0,IF(E1124&lt;=$C$7,$AN$5*O1123,0))*'Real assumptions'!$D$28</f>
        <v>0</v>
      </c>
      <c r="X1124" s="94">
        <f t="shared" si="824"/>
        <v>0</v>
      </c>
      <c r="Y1124">
        <f t="shared" si="813"/>
        <v>24</v>
      </c>
      <c r="Z1124">
        <f t="shared" si="840"/>
        <v>6</v>
      </c>
      <c r="AA1124">
        <f t="shared" si="814"/>
        <v>6.25</v>
      </c>
      <c r="AB1124">
        <f t="shared" si="825"/>
        <v>50.505050505050505</v>
      </c>
      <c r="AC1124">
        <f t="shared" si="807"/>
        <v>315.65656565656565</v>
      </c>
      <c r="AD1124">
        <f t="shared" si="826"/>
        <v>80.505050505050505</v>
      </c>
      <c r="AE1124">
        <f t="shared" si="827"/>
        <v>25.15782828282828</v>
      </c>
      <c r="AF1124" s="94">
        <f t="shared" si="828"/>
        <v>4659.185606060606</v>
      </c>
      <c r="AG1124">
        <f t="shared" si="841"/>
        <v>1.4069677255912989E-4</v>
      </c>
      <c r="AH1124">
        <f t="shared" si="829"/>
        <v>4.3627863563260406E-2</v>
      </c>
      <c r="AI1124">
        <f>HLOOKUP(AW1124,'Real assumptions'!$A$21:$AK$24,2,TRUE)</f>
        <v>0</v>
      </c>
      <c r="AJ1124" s="123">
        <f t="shared" si="808"/>
        <v>0</v>
      </c>
      <c r="AK1124" s="122">
        <f>(1+HLOOKUP(YEAR(A1124),'Real assumptions'!$A$21:$AK$24,2,TRUE)/100)^(1/12)-1</f>
        <v>0</v>
      </c>
      <c r="AL1124">
        <f t="shared" si="842"/>
        <v>3.0870620843365375E-4</v>
      </c>
      <c r="AM1124">
        <f>('Real assumptions'!$B$33/12)*O1123*AV1123</f>
        <v>2.9671690182926343E-4</v>
      </c>
      <c r="AN1124">
        <f t="shared" si="830"/>
        <v>4.3642622701524539E-2</v>
      </c>
      <c r="AO1124">
        <f t="shared" si="809"/>
        <v>0</v>
      </c>
      <c r="AP1124" s="121">
        <f t="shared" si="831"/>
        <v>0</v>
      </c>
      <c r="AQ1124">
        <f t="shared" si="832"/>
        <v>0</v>
      </c>
      <c r="AR1124">
        <v>0</v>
      </c>
      <c r="AS1124">
        <f t="shared" si="815"/>
        <v>0</v>
      </c>
      <c r="AT1124">
        <f t="shared" si="833"/>
        <v>0</v>
      </c>
      <c r="AU1124">
        <f>IFERROR(HLOOKUP(B1124,'Real assumptions'!$B$43:$AL$44,2,TRUE)*($W$3/$U$2),0)</f>
        <v>0</v>
      </c>
      <c r="AV1124">
        <f>AV1123*(1+'Real assumptions'!$B$35)^(1/12)</f>
        <v>3.1618380499193131</v>
      </c>
      <c r="AW1124">
        <f t="shared" si="816"/>
        <v>2111</v>
      </c>
      <c r="AX1124">
        <f t="shared" si="843"/>
        <v>4.3765409221674385E-2</v>
      </c>
      <c r="AY1124">
        <f t="shared" si="844"/>
        <v>3.9537191281856996E-5</v>
      </c>
      <c r="AZ1124">
        <f t="shared" si="817"/>
        <v>1.6285842828497595E-2</v>
      </c>
      <c r="BA1124">
        <f t="shared" si="834"/>
        <v>1.4069677255912989E-4</v>
      </c>
      <c r="BB1124">
        <f t="shared" si="835"/>
        <v>6.25</v>
      </c>
      <c r="BC1124">
        <f t="shared" si="818"/>
        <v>3.75</v>
      </c>
      <c r="BD1124">
        <f t="shared" si="836"/>
        <v>0</v>
      </c>
      <c r="BE1124">
        <f t="shared" si="819"/>
        <v>24</v>
      </c>
      <c r="BF1124">
        <f t="shared" si="845"/>
        <v>5000</v>
      </c>
      <c r="BU1124"/>
      <c r="DW1124" s="89"/>
      <c r="DX1124" s="89"/>
      <c r="FD1124"/>
      <c r="FE1124"/>
    </row>
    <row r="1125" spans="1:161" x14ac:dyDescent="0.25">
      <c r="A1125" s="7">
        <f t="shared" si="837"/>
        <v>77340</v>
      </c>
      <c r="B1125">
        <f t="shared" si="820"/>
        <v>1114</v>
      </c>
      <c r="C1125">
        <f t="shared" si="801"/>
        <v>92.75</v>
      </c>
      <c r="D1125">
        <f t="shared" si="802"/>
        <v>0</v>
      </c>
      <c r="E1125">
        <f t="shared" si="821"/>
        <v>144</v>
      </c>
      <c r="F1125">
        <f>IF(C1125&gt;=$T$2,0,VLOOKUP($E1125,EKM_F05!$A$3:$C$128,2,TRUE))</f>
        <v>0</v>
      </c>
      <c r="G1125">
        <f>F1125*'Real assumptions'!$B$3</f>
        <v>0</v>
      </c>
      <c r="H1125">
        <f t="shared" si="803"/>
        <v>0</v>
      </c>
      <c r="I1125">
        <f t="shared" si="804"/>
        <v>0</v>
      </c>
      <c r="J1125">
        <f>IF(B1125&gt;$AJ$2,0,HLOOKUP(C1125,'Real assumptions'!$B$5:$L$8,4,TRUE))</f>
        <v>3.7900000000000003E-2</v>
      </c>
      <c r="K1125">
        <f t="shared" si="810"/>
        <v>1</v>
      </c>
      <c r="L1125">
        <f t="shared" si="838"/>
        <v>8.3333333333333329E-2</v>
      </c>
      <c r="M1125">
        <f t="shared" si="805"/>
        <v>3.2145624959929453E-3</v>
      </c>
      <c r="N1125">
        <f t="shared" si="806"/>
        <v>3.0100645445059303E-8</v>
      </c>
      <c r="O1125" s="8">
        <f t="shared" si="822"/>
        <v>9.33373828522769E-6</v>
      </c>
      <c r="P1125">
        <f t="shared" si="823"/>
        <v>2.2473213433614597E-4</v>
      </c>
      <c r="Q1125">
        <f t="shared" si="839"/>
        <v>0</v>
      </c>
      <c r="R1125" s="89">
        <f t="shared" si="811"/>
        <v>5000</v>
      </c>
      <c r="S1125">
        <f t="shared" si="812"/>
        <v>0.1666666666666714</v>
      </c>
      <c r="U1125">
        <f>O1124*AV1124*'Real assumptions'!$B$33/12+AX1125*'Real assumptions'!$B$34</f>
        <v>3.0803184511994419E-4</v>
      </c>
      <c r="V1125">
        <f>IF(P1125=0,0,IF(E1125&lt;=$C$7,$AN$5*O1124,0))*'Real assumptions'!$D$28</f>
        <v>0</v>
      </c>
      <c r="X1125" s="94">
        <f t="shared" si="824"/>
        <v>0</v>
      </c>
      <c r="Y1125">
        <f t="shared" si="813"/>
        <v>24</v>
      </c>
      <c r="Z1125">
        <f t="shared" si="840"/>
        <v>6</v>
      </c>
      <c r="AA1125">
        <f t="shared" si="814"/>
        <v>6.1666666666666714</v>
      </c>
      <c r="AB1125">
        <f t="shared" si="825"/>
        <v>50.505050505050505</v>
      </c>
      <c r="AC1125">
        <f t="shared" si="807"/>
        <v>311.44781144781172</v>
      </c>
      <c r="AD1125">
        <f t="shared" si="826"/>
        <v>80.505050505050505</v>
      </c>
      <c r="AE1125">
        <f t="shared" si="827"/>
        <v>24.822390572390589</v>
      </c>
      <c r="AF1125" s="94">
        <f t="shared" si="828"/>
        <v>4663.7297979797977</v>
      </c>
      <c r="AG1125">
        <f t="shared" si="841"/>
        <v>1.4038127710054793E-4</v>
      </c>
      <c r="AH1125">
        <f t="shared" si="829"/>
        <v>4.3530033367361241E-2</v>
      </c>
      <c r="AI1125">
        <f>HLOOKUP(AW1125,'Real assumptions'!$A$21:$AK$24,2,TRUE)</f>
        <v>0</v>
      </c>
      <c r="AJ1125" s="123">
        <f t="shared" si="808"/>
        <v>0</v>
      </c>
      <c r="AK1125" s="122">
        <f>(1+HLOOKUP(YEAR(A1125),'Real assumptions'!$A$21:$AK$24,2,TRUE)/100)^(1/12)-1</f>
        <v>0</v>
      </c>
      <c r="AL1125">
        <f t="shared" si="842"/>
        <v>3.0803184511994419E-4</v>
      </c>
      <c r="AM1125">
        <f>('Real assumptions'!$B$33/12)*O1124*AV1124</f>
        <v>2.9606942224316869E-4</v>
      </c>
      <c r="AN1125">
        <f t="shared" si="830"/>
        <v>4.3544563852476605E-2</v>
      </c>
      <c r="AO1125">
        <f t="shared" si="809"/>
        <v>0</v>
      </c>
      <c r="AP1125" s="121">
        <f t="shared" si="831"/>
        <v>0</v>
      </c>
      <c r="AQ1125">
        <f t="shared" si="832"/>
        <v>0</v>
      </c>
      <c r="AR1125">
        <v>0</v>
      </c>
      <c r="AS1125">
        <f t="shared" si="815"/>
        <v>0</v>
      </c>
      <c r="AT1125">
        <f t="shared" si="833"/>
        <v>0</v>
      </c>
      <c r="AU1125">
        <f>IFERROR(HLOOKUP(B1125,'Real assumptions'!$B$43:$AL$44,2,TRUE)*($W$3/$U$2),0)</f>
        <v>0</v>
      </c>
      <c r="AV1125">
        <f>AV1124*(1+'Real assumptions'!$B$35)^(1/12)</f>
        <v>3.1651129110786385</v>
      </c>
      <c r="AW1125">
        <f t="shared" si="816"/>
        <v>2111</v>
      </c>
      <c r="AX1125">
        <f t="shared" si="843"/>
        <v>4.3667273659769974E-2</v>
      </c>
      <c r="AY1125">
        <f t="shared" si="844"/>
        <v>3.9410096509565439E-5</v>
      </c>
      <c r="AZ1125">
        <f t="shared" si="817"/>
        <v>1.6062161840613248E-2</v>
      </c>
      <c r="BA1125">
        <f t="shared" si="834"/>
        <v>1.4038127710054793E-4</v>
      </c>
      <c r="BB1125">
        <f t="shared" si="835"/>
        <v>6.1666666666666714</v>
      </c>
      <c r="BC1125">
        <f t="shared" si="818"/>
        <v>3.7000000000000028</v>
      </c>
      <c r="BD1125">
        <f t="shared" si="836"/>
        <v>0</v>
      </c>
      <c r="BE1125">
        <f t="shared" si="819"/>
        <v>24</v>
      </c>
      <c r="BF1125">
        <f t="shared" si="845"/>
        <v>5000</v>
      </c>
      <c r="BU1125"/>
      <c r="DW1125" s="89"/>
      <c r="DX1125" s="89"/>
      <c r="FD1125"/>
      <c r="FE1125"/>
    </row>
    <row r="1126" spans="1:161" x14ac:dyDescent="0.25">
      <c r="A1126" s="7">
        <f t="shared" si="837"/>
        <v>77371</v>
      </c>
      <c r="B1126">
        <f t="shared" si="820"/>
        <v>1115</v>
      </c>
      <c r="C1126">
        <f t="shared" si="801"/>
        <v>92.833333333333329</v>
      </c>
      <c r="D1126">
        <f t="shared" si="802"/>
        <v>0</v>
      </c>
      <c r="E1126">
        <f t="shared" si="821"/>
        <v>144</v>
      </c>
      <c r="F1126">
        <f>IF(C1126&gt;=$T$2,0,VLOOKUP($E1126,EKM_F05!$A$3:$C$128,2,TRUE))</f>
        <v>0</v>
      </c>
      <c r="G1126">
        <f>F1126*'Real assumptions'!$B$3</f>
        <v>0</v>
      </c>
      <c r="H1126">
        <f t="shared" si="803"/>
        <v>0</v>
      </c>
      <c r="I1126">
        <f t="shared" si="804"/>
        <v>0</v>
      </c>
      <c r="J1126">
        <f>IF(B1126&gt;$AJ$2,0,HLOOKUP(C1126,'Real assumptions'!$B$5:$L$8,4,TRUE))</f>
        <v>3.7900000000000003E-2</v>
      </c>
      <c r="K1126">
        <f t="shared" si="810"/>
        <v>1</v>
      </c>
      <c r="L1126">
        <f t="shared" si="838"/>
        <v>8.3333333333333329E-2</v>
      </c>
      <c r="M1126">
        <f t="shared" si="805"/>
        <v>3.2145624959929453E-3</v>
      </c>
      <c r="N1126">
        <f t="shared" si="806"/>
        <v>3.0003885039106434E-8</v>
      </c>
      <c r="O1126" s="8">
        <f t="shared" si="822"/>
        <v>9.3037344001885832E-6</v>
      </c>
      <c r="P1126">
        <f t="shared" si="823"/>
        <v>2.2400971884546455E-4</v>
      </c>
      <c r="Q1126">
        <f t="shared" si="839"/>
        <v>0</v>
      </c>
      <c r="R1126" s="89">
        <f t="shared" si="811"/>
        <v>5000</v>
      </c>
      <c r="S1126">
        <f t="shared" si="812"/>
        <v>8.3333333333328596E-2</v>
      </c>
      <c r="U1126">
        <f>O1125*AV1125*'Real assumptions'!$B$33/12+AX1126*'Real assumptions'!$B$34</f>
        <v>3.0735894364959209E-4</v>
      </c>
      <c r="V1126">
        <f>IF(P1126=0,0,IF(E1126&lt;=$C$7,$AN$5*O1125,0))*'Real assumptions'!$D$28</f>
        <v>0</v>
      </c>
      <c r="X1126" s="94">
        <f t="shared" si="824"/>
        <v>0</v>
      </c>
      <c r="Y1126">
        <f t="shared" si="813"/>
        <v>24</v>
      </c>
      <c r="Z1126">
        <f t="shared" si="840"/>
        <v>6</v>
      </c>
      <c r="AA1126">
        <f t="shared" si="814"/>
        <v>6.0833333333333286</v>
      </c>
      <c r="AB1126">
        <f t="shared" si="825"/>
        <v>50.505050505050505</v>
      </c>
      <c r="AC1126">
        <f t="shared" si="807"/>
        <v>307.23905723905699</v>
      </c>
      <c r="AD1126">
        <f t="shared" si="826"/>
        <v>80.505050505050505</v>
      </c>
      <c r="AE1126">
        <f t="shared" si="827"/>
        <v>24.48695286195284</v>
      </c>
      <c r="AF1126" s="94">
        <f t="shared" si="828"/>
        <v>4668.2739898989903</v>
      </c>
      <c r="AG1126">
        <f t="shared" si="841"/>
        <v>1.4006635612398002E-4</v>
      </c>
      <c r="AH1126">
        <f t="shared" si="829"/>
        <v>4.3432381309328846E-2</v>
      </c>
      <c r="AI1126">
        <f>HLOOKUP(AW1126,'Real assumptions'!$A$21:$AK$24,2,TRUE)</f>
        <v>0</v>
      </c>
      <c r="AJ1126" s="123">
        <f t="shared" si="808"/>
        <v>0</v>
      </c>
      <c r="AK1126" s="122">
        <f>(1+HLOOKUP(YEAR(A1126),'Real assumptions'!$A$21:$AK$24,2,TRUE)/100)^(1/12)-1</f>
        <v>0</v>
      </c>
      <c r="AL1126">
        <f t="shared" si="842"/>
        <v>3.0735894364959209E-4</v>
      </c>
      <c r="AM1126">
        <f>('Real assumptions'!$B$33/12)*O1125*AV1125</f>
        <v>2.9542335555203156E-4</v>
      </c>
      <c r="AN1126">
        <f t="shared" si="830"/>
        <v>4.3446684142557118E-2</v>
      </c>
      <c r="AO1126">
        <f t="shared" si="809"/>
        <v>0</v>
      </c>
      <c r="AP1126" s="121">
        <f t="shared" si="831"/>
        <v>0</v>
      </c>
      <c r="AQ1126">
        <f t="shared" si="832"/>
        <v>0</v>
      </c>
      <c r="AR1126">
        <v>0</v>
      </c>
      <c r="AS1126">
        <f t="shared" si="815"/>
        <v>0</v>
      </c>
      <c r="AT1126">
        <f t="shared" si="833"/>
        <v>0</v>
      </c>
      <c r="AU1126">
        <f>IFERROR(HLOOKUP(B1126,'Real assumptions'!$B$43:$AL$44,2,TRUE)*($W$3/$U$2),0)</f>
        <v>0</v>
      </c>
      <c r="AV1126">
        <f>AV1125*(1+'Real assumptions'!$B$35)^(1/12)</f>
        <v>3.1683911641623586</v>
      </c>
      <c r="AW1126">
        <f t="shared" si="816"/>
        <v>2111</v>
      </c>
      <c r="AX1126">
        <f t="shared" si="843"/>
        <v>4.3569316777652606E-2</v>
      </c>
      <c r="AY1126">
        <f t="shared" si="844"/>
        <v>3.928341029136233E-5</v>
      </c>
      <c r="AZ1126">
        <f t="shared" si="817"/>
        <v>1.5838746259685139E-2</v>
      </c>
      <c r="BA1126">
        <f t="shared" si="834"/>
        <v>1.4006635612398002E-4</v>
      </c>
      <c r="BB1126">
        <f t="shared" si="835"/>
        <v>6.0833333333333286</v>
      </c>
      <c r="BC1126">
        <f t="shared" si="818"/>
        <v>3.6499999999999968</v>
      </c>
      <c r="BD1126">
        <f t="shared" si="836"/>
        <v>0</v>
      </c>
      <c r="BE1126">
        <f t="shared" si="819"/>
        <v>24</v>
      </c>
      <c r="BF1126">
        <f t="shared" si="845"/>
        <v>5000</v>
      </c>
      <c r="BU1126"/>
      <c r="DW1126" s="89"/>
      <c r="DX1126" s="89"/>
      <c r="FD1126"/>
      <c r="FE1126"/>
    </row>
    <row r="1127" spans="1:161" x14ac:dyDescent="0.25">
      <c r="A1127" s="7">
        <f t="shared" si="837"/>
        <v>77401</v>
      </c>
      <c r="B1127">
        <f t="shared" si="820"/>
        <v>1116</v>
      </c>
      <c r="C1127">
        <f t="shared" si="801"/>
        <v>92.916666666666671</v>
      </c>
      <c r="D1127">
        <f t="shared" si="802"/>
        <v>0</v>
      </c>
      <c r="E1127">
        <f t="shared" si="821"/>
        <v>144</v>
      </c>
      <c r="F1127">
        <f>IF(C1127&gt;=$T$2,0,VLOOKUP($E1127,EKM_F05!$A$3:$C$128,2,TRUE))</f>
        <v>0</v>
      </c>
      <c r="G1127">
        <f>F1127*'Real assumptions'!$B$3</f>
        <v>0</v>
      </c>
      <c r="H1127">
        <f t="shared" si="803"/>
        <v>0</v>
      </c>
      <c r="I1127">
        <f t="shared" si="804"/>
        <v>0</v>
      </c>
      <c r="J1127">
        <f>IF(B1127&gt;$AJ$2,0,HLOOKUP(C1127,'Real assumptions'!$B$5:$L$8,4,TRUE))</f>
        <v>3.7900000000000003E-2</v>
      </c>
      <c r="K1127">
        <f t="shared" si="810"/>
        <v>1</v>
      </c>
      <c r="L1127">
        <f t="shared" si="838"/>
        <v>8.3333333333333329E-2</v>
      </c>
      <c r="M1127">
        <f t="shared" si="805"/>
        <v>3.2145624959929453E-3</v>
      </c>
      <c r="N1127">
        <f t="shared" si="806"/>
        <v>2.9907435675525637E-8</v>
      </c>
      <c r="O1127" s="8">
        <f t="shared" si="822"/>
        <v>9.273826964513058E-6</v>
      </c>
      <c r="P1127">
        <f t="shared" si="823"/>
        <v>2.23289625604526E-4</v>
      </c>
      <c r="Q1127">
        <f t="shared" si="839"/>
        <v>0</v>
      </c>
      <c r="R1127" s="89">
        <f t="shared" si="811"/>
        <v>5000</v>
      </c>
      <c r="S1127">
        <f t="shared" si="812"/>
        <v>1</v>
      </c>
      <c r="U1127">
        <f>O1126*AV1126*'Real assumptions'!$B$33/12+AX1127*'Real assumptions'!$B$34</f>
        <v>3.066875009025596E-4</v>
      </c>
      <c r="V1127">
        <f>IF(P1127=0,0,IF(E1127&lt;=$C$7,$AN$5*O1126,0))*'Real assumptions'!$D$28</f>
        <v>0</v>
      </c>
      <c r="X1127" s="94">
        <f t="shared" si="824"/>
        <v>0</v>
      </c>
      <c r="Y1127">
        <f t="shared" si="813"/>
        <v>24</v>
      </c>
      <c r="Z1127">
        <f t="shared" si="840"/>
        <v>6</v>
      </c>
      <c r="AA1127">
        <f t="shared" si="814"/>
        <v>6</v>
      </c>
      <c r="AB1127">
        <f t="shared" si="825"/>
        <v>50.505050505050505</v>
      </c>
      <c r="AC1127">
        <f t="shared" si="807"/>
        <v>303.030303030303</v>
      </c>
      <c r="AD1127">
        <f t="shared" si="826"/>
        <v>80.505050505050505</v>
      </c>
      <c r="AE1127">
        <f t="shared" si="827"/>
        <v>24.151515151515149</v>
      </c>
      <c r="AF1127" s="94">
        <f t="shared" si="828"/>
        <v>4672.818181818182</v>
      </c>
      <c r="AG1127">
        <f t="shared" si="841"/>
        <v>1.3975200919615394E-4</v>
      </c>
      <c r="AH1127">
        <f t="shared" si="829"/>
        <v>4.3334907254812337E-2</v>
      </c>
      <c r="AI1127">
        <f>HLOOKUP(AW1127,'Real assumptions'!$A$21:$AK$24,2,TRUE)</f>
        <v>0</v>
      </c>
      <c r="AJ1127" s="123">
        <f t="shared" si="808"/>
        <v>0</v>
      </c>
      <c r="AK1127" s="122">
        <f>(1+HLOOKUP(YEAR(A1127),'Real assumptions'!$A$21:$AK$24,2,TRUE)/100)^(1/12)-1</f>
        <v>0</v>
      </c>
      <c r="AL1127">
        <f t="shared" si="842"/>
        <v>3.066875009025596E-4</v>
      </c>
      <c r="AM1127">
        <f>('Real assumptions'!$B$33/12)*O1126*AV1126</f>
        <v>2.9477869867270892E-4</v>
      </c>
      <c r="AN1127">
        <f t="shared" si="830"/>
        <v>4.3348983434030812E-2</v>
      </c>
      <c r="AO1127">
        <f t="shared" si="809"/>
        <v>0</v>
      </c>
      <c r="AP1127" s="121">
        <f t="shared" si="831"/>
        <v>0</v>
      </c>
      <c r="AQ1127">
        <f t="shared" si="832"/>
        <v>0</v>
      </c>
      <c r="AR1127">
        <v>0</v>
      </c>
      <c r="AS1127">
        <f t="shared" si="815"/>
        <v>0</v>
      </c>
      <c r="AT1127">
        <f t="shared" si="833"/>
        <v>0</v>
      </c>
      <c r="AU1127">
        <f>IFERROR(HLOOKUP(B1127,'Real assumptions'!$B$43:$AL$44,2,TRUE)*($W$3/$U$2),0)</f>
        <v>0</v>
      </c>
      <c r="AV1127">
        <f>AV1126*(1+'Real assumptions'!$B$35)^(1/12)</f>
        <v>3.1716728126836453</v>
      </c>
      <c r="AW1127">
        <f t="shared" si="816"/>
        <v>2111</v>
      </c>
      <c r="AX1127">
        <f t="shared" si="843"/>
        <v>4.3471538440642769E-2</v>
      </c>
      <c r="AY1127">
        <f t="shared" si="844"/>
        <v>3.9157131313925009E-5</v>
      </c>
      <c r="AZ1127">
        <f t="shared" si="817"/>
        <v>1.561559637519095E-2</v>
      </c>
      <c r="BA1127">
        <f t="shared" si="834"/>
        <v>1.3975200919615394E-4</v>
      </c>
      <c r="BB1127">
        <f t="shared" si="835"/>
        <v>6</v>
      </c>
      <c r="BC1127">
        <f t="shared" si="818"/>
        <v>3.5999999999999996</v>
      </c>
      <c r="BD1127">
        <f t="shared" si="836"/>
        <v>0</v>
      </c>
      <c r="BE1127">
        <f t="shared" si="819"/>
        <v>24</v>
      </c>
      <c r="BF1127">
        <f t="shared" si="845"/>
        <v>5000</v>
      </c>
      <c r="BU1127"/>
      <c r="DW1127" s="89"/>
      <c r="DX1127" s="89"/>
      <c r="FD1127"/>
      <c r="FE1127"/>
    </row>
    <row r="1128" spans="1:161" x14ac:dyDescent="0.25">
      <c r="A1128" s="7">
        <f t="shared" si="837"/>
        <v>77432</v>
      </c>
      <c r="B1128">
        <f t="shared" si="820"/>
        <v>1117</v>
      </c>
      <c r="C1128">
        <f t="shared" si="801"/>
        <v>93</v>
      </c>
      <c r="D1128">
        <f t="shared" si="802"/>
        <v>1</v>
      </c>
      <c r="E1128">
        <f t="shared" si="821"/>
        <v>145</v>
      </c>
      <c r="F1128">
        <f>IF(C1128&gt;=$T$2,0,VLOOKUP($E1128,EKM_F05!$A$3:$C$128,2,TRUE))</f>
        <v>0</v>
      </c>
      <c r="G1128">
        <f>F1128*'Real assumptions'!$B$3</f>
        <v>0</v>
      </c>
      <c r="H1128">
        <f t="shared" si="803"/>
        <v>0</v>
      </c>
      <c r="I1128">
        <f t="shared" si="804"/>
        <v>0</v>
      </c>
      <c r="J1128">
        <f>IF(B1128&gt;$AJ$2,0,HLOOKUP(C1128,'Real assumptions'!$B$5:$L$8,4,TRUE))</f>
        <v>3.7900000000000003E-2</v>
      </c>
      <c r="K1128">
        <f t="shared" si="810"/>
        <v>1</v>
      </c>
      <c r="L1128">
        <f t="shared" si="838"/>
        <v>8.3333333333333329E-2</v>
      </c>
      <c r="M1128">
        <f t="shared" si="805"/>
        <v>3.2145624959929453E-3</v>
      </c>
      <c r="N1128">
        <f t="shared" si="806"/>
        <v>2.9811296354451773E-8</v>
      </c>
      <c r="O1128" s="8">
        <f t="shared" si="822"/>
        <v>9.2440156681586057E-6</v>
      </c>
      <c r="P1128">
        <f t="shared" si="823"/>
        <v>2.2257184714831338E-4</v>
      </c>
      <c r="Q1128">
        <f t="shared" si="839"/>
        <v>0</v>
      </c>
      <c r="R1128" s="89">
        <f t="shared" si="811"/>
        <v>5000</v>
      </c>
      <c r="S1128">
        <f t="shared" si="812"/>
        <v>0.9166666666666714</v>
      </c>
      <c r="U1128">
        <f>O1127*AV1127*'Real assumptions'!$B$33/12+AX1128*'Real assumptions'!$B$34</f>
        <v>3.0601751376526829E-4</v>
      </c>
      <c r="V1128">
        <f>IF(P1128=0,0,IF(E1128&lt;=$C$7,$AN$5*O1127,0))*'Real assumptions'!$D$28</f>
        <v>0</v>
      </c>
      <c r="X1128" s="94">
        <f t="shared" si="824"/>
        <v>0</v>
      </c>
      <c r="Y1128">
        <f t="shared" si="813"/>
        <v>24</v>
      </c>
      <c r="Z1128">
        <f t="shared" si="840"/>
        <v>6</v>
      </c>
      <c r="AA1128">
        <f t="shared" si="814"/>
        <v>5.9166666666666714</v>
      </c>
      <c r="AB1128">
        <f t="shared" si="825"/>
        <v>50.505050505050505</v>
      </c>
      <c r="AC1128">
        <f t="shared" si="807"/>
        <v>298.82154882154907</v>
      </c>
      <c r="AD1128">
        <f t="shared" si="826"/>
        <v>80.505050505050505</v>
      </c>
      <c r="AE1128">
        <f t="shared" si="827"/>
        <v>23.816077441077461</v>
      </c>
      <c r="AF1128" s="94">
        <f t="shared" si="828"/>
        <v>4677.3623737373737</v>
      </c>
      <c r="AG1128">
        <f t="shared" si="841"/>
        <v>1.3943823588064686E-4</v>
      </c>
      <c r="AH1128">
        <f t="shared" si="829"/>
        <v>4.3237611068483811E-2</v>
      </c>
      <c r="AI1128">
        <f>HLOOKUP(AW1128,'Real assumptions'!$A$21:$AK$24,2,TRUE)</f>
        <v>0</v>
      </c>
      <c r="AJ1128" s="123">
        <f t="shared" si="808"/>
        <v>0</v>
      </c>
      <c r="AK1128" s="122">
        <f>(1+HLOOKUP(YEAR(A1128),'Real assumptions'!$A$21:$AK$24,2,TRUE)/100)^(1/12)-1</f>
        <v>0</v>
      </c>
      <c r="AL1128">
        <f t="shared" si="842"/>
        <v>3.0601751376526829E-4</v>
      </c>
      <c r="AM1128">
        <f>('Real assumptions'!$B$33/12)*O1127*AV1127</f>
        <v>2.9413544852878562E-4</v>
      </c>
      <c r="AN1128">
        <f t="shared" si="830"/>
        <v>4.3251461588195386E-2</v>
      </c>
      <c r="AO1128">
        <f t="shared" si="809"/>
        <v>0</v>
      </c>
      <c r="AP1128" s="121">
        <f t="shared" si="831"/>
        <v>0</v>
      </c>
      <c r="AQ1128">
        <f t="shared" si="832"/>
        <v>0</v>
      </c>
      <c r="AR1128">
        <v>0</v>
      </c>
      <c r="AS1128">
        <f t="shared" si="815"/>
        <v>0</v>
      </c>
      <c r="AT1128">
        <f t="shared" si="833"/>
        <v>0</v>
      </c>
      <c r="AU1128">
        <f>IFERROR(HLOOKUP(B1128,'Real assumptions'!$B$43:$AL$44,2,TRUE)*($W$3/$U$2),0)</f>
        <v>0</v>
      </c>
      <c r="AV1128">
        <f>AV1127*(1+'Real assumptions'!$B$35)^(1/12)</f>
        <v>3.1749578601593096</v>
      </c>
      <c r="AW1128">
        <f t="shared" si="816"/>
        <v>2111</v>
      </c>
      <c r="AX1128">
        <f t="shared" si="843"/>
        <v>4.3373938513080489E-2</v>
      </c>
      <c r="AY1128">
        <f t="shared" si="844"/>
        <v>3.9031258268152598E-5</v>
      </c>
      <c r="AZ1128">
        <f t="shared" si="817"/>
        <v>1.5392712472693347E-2</v>
      </c>
      <c r="BA1128">
        <f t="shared" si="834"/>
        <v>1.3943823588064686E-4</v>
      </c>
      <c r="BB1128">
        <f t="shared" si="835"/>
        <v>5.9166666666666714</v>
      </c>
      <c r="BC1128">
        <f t="shared" si="818"/>
        <v>3.5500000000000029</v>
      </c>
      <c r="BD1128">
        <f t="shared" si="836"/>
        <v>0</v>
      </c>
      <c r="BE1128">
        <f t="shared" si="819"/>
        <v>24</v>
      </c>
      <c r="BF1128">
        <f t="shared" si="845"/>
        <v>5000</v>
      </c>
      <c r="BU1128"/>
      <c r="DW1128" s="89"/>
      <c r="DX1128" s="89"/>
      <c r="FD1128"/>
      <c r="FE1128"/>
    </row>
    <row r="1129" spans="1:161" x14ac:dyDescent="0.25">
      <c r="A1129" s="7">
        <f t="shared" si="837"/>
        <v>77463</v>
      </c>
      <c r="B1129">
        <f t="shared" si="820"/>
        <v>1118</v>
      </c>
      <c r="C1129">
        <f t="shared" si="801"/>
        <v>93.083333333333329</v>
      </c>
      <c r="D1129">
        <f t="shared" si="802"/>
        <v>0</v>
      </c>
      <c r="E1129">
        <f t="shared" si="821"/>
        <v>145</v>
      </c>
      <c r="F1129">
        <f>IF(C1129&gt;=$T$2,0,VLOOKUP($E1129,EKM_F05!$A$3:$C$128,2,TRUE))</f>
        <v>0</v>
      </c>
      <c r="G1129">
        <f>F1129*'Real assumptions'!$B$3</f>
        <v>0</v>
      </c>
      <c r="H1129">
        <f t="shared" si="803"/>
        <v>0</v>
      </c>
      <c r="I1129">
        <f t="shared" si="804"/>
        <v>0</v>
      </c>
      <c r="J1129">
        <f>IF(B1129&gt;$AJ$2,0,HLOOKUP(C1129,'Real assumptions'!$B$5:$L$8,4,TRUE))</f>
        <v>3.7900000000000003E-2</v>
      </c>
      <c r="K1129">
        <f t="shared" si="810"/>
        <v>1</v>
      </c>
      <c r="L1129">
        <f t="shared" si="838"/>
        <v>8.3333333333333329E-2</v>
      </c>
      <c r="M1129">
        <f t="shared" si="805"/>
        <v>3.2145624959929453E-3</v>
      </c>
      <c r="N1129">
        <f t="shared" si="806"/>
        <v>2.9715466079233822E-8</v>
      </c>
      <c r="O1129" s="8">
        <f t="shared" si="822"/>
        <v>9.2143002020793718E-6</v>
      </c>
      <c r="P1129">
        <f t="shared" si="823"/>
        <v>2.2185637603580654E-4</v>
      </c>
      <c r="Q1129">
        <f t="shared" si="839"/>
        <v>0</v>
      </c>
      <c r="R1129" s="89">
        <f t="shared" si="811"/>
        <v>5000</v>
      </c>
      <c r="S1129">
        <f t="shared" si="812"/>
        <v>0.8333333333333286</v>
      </c>
      <c r="U1129">
        <f>O1128*AV1128*'Real assumptions'!$B$33/12+AX1129*'Real assumptions'!$B$34</f>
        <v>3.0534897913058628E-4</v>
      </c>
      <c r="V1129">
        <f>IF(P1129=0,0,IF(E1129&lt;=$C$7,$AN$5*O1128,0))*'Real assumptions'!$D$28</f>
        <v>0</v>
      </c>
      <c r="X1129" s="94">
        <f t="shared" si="824"/>
        <v>0</v>
      </c>
      <c r="Y1129">
        <f t="shared" si="813"/>
        <v>24</v>
      </c>
      <c r="Z1129">
        <f t="shared" si="840"/>
        <v>5</v>
      </c>
      <c r="AA1129">
        <f t="shared" si="814"/>
        <v>5.8333333333333286</v>
      </c>
      <c r="AB1129">
        <f t="shared" si="825"/>
        <v>50.505050505050505</v>
      </c>
      <c r="AC1129">
        <f t="shared" si="807"/>
        <v>294.61279461279435</v>
      </c>
      <c r="AD1129">
        <f t="shared" si="826"/>
        <v>80.505050505050505</v>
      </c>
      <c r="AE1129">
        <f t="shared" si="827"/>
        <v>23.480639730639712</v>
      </c>
      <c r="AF1129" s="94">
        <f t="shared" si="828"/>
        <v>4681.9065656565663</v>
      </c>
      <c r="AG1129">
        <f t="shared" si="841"/>
        <v>1.3912503573790982E-4</v>
      </c>
      <c r="AH1129">
        <f t="shared" si="829"/>
        <v>4.3140492614046039E-2</v>
      </c>
      <c r="AI1129">
        <f>HLOOKUP(AW1129,'Real assumptions'!$A$21:$AK$24,2,TRUE)</f>
        <v>0</v>
      </c>
      <c r="AJ1129" s="123">
        <f t="shared" si="808"/>
        <v>0</v>
      </c>
      <c r="AK1129" s="122">
        <f>(1+HLOOKUP(YEAR(A1129),'Real assumptions'!$A$21:$AK$24,2,TRUE)/100)^(1/12)-1</f>
        <v>0</v>
      </c>
      <c r="AL1129">
        <f t="shared" si="842"/>
        <v>3.0534897913058628E-4</v>
      </c>
      <c r="AM1129">
        <f>('Real assumptions'!$B$33/12)*O1128*AV1128</f>
        <v>2.9349360205055977E-4</v>
      </c>
      <c r="AN1129">
        <f t="shared" si="830"/>
        <v>4.3154118465389031E-2</v>
      </c>
      <c r="AO1129">
        <f t="shared" si="809"/>
        <v>0</v>
      </c>
      <c r="AP1129" s="121">
        <f t="shared" si="831"/>
        <v>0</v>
      </c>
      <c r="AQ1129">
        <f t="shared" si="832"/>
        <v>0</v>
      </c>
      <c r="AR1129">
        <v>0</v>
      </c>
      <c r="AS1129">
        <f t="shared" si="815"/>
        <v>0</v>
      </c>
      <c r="AT1129">
        <f t="shared" si="833"/>
        <v>0</v>
      </c>
      <c r="AU1129">
        <f>IFERROR(HLOOKUP(B1129,'Real assumptions'!$B$43:$AL$44,2,TRUE)*($W$3/$U$2),0)</f>
        <v>0</v>
      </c>
      <c r="AV1129">
        <f>AV1128*(1+'Real assumptions'!$B$35)^(1/12)</f>
        <v>3.1782463101098046</v>
      </c>
      <c r="AW1129">
        <f t="shared" si="816"/>
        <v>2112</v>
      </c>
      <c r="AX1129">
        <f t="shared" si="843"/>
        <v>4.3276516858332961E-2</v>
      </c>
      <c r="AY1129">
        <f t="shared" si="844"/>
        <v>3.8905789849152379E-5</v>
      </c>
      <c r="AZ1129">
        <f t="shared" si="817"/>
        <v>1.5170094833860658E-2</v>
      </c>
      <c r="BA1129">
        <f t="shared" si="834"/>
        <v>1.3912503573790982E-4</v>
      </c>
      <c r="BB1129">
        <f t="shared" si="835"/>
        <v>5.8333333333333286</v>
      </c>
      <c r="BC1129">
        <f t="shared" si="818"/>
        <v>3.4999999999999969</v>
      </c>
      <c r="BD1129">
        <f t="shared" si="836"/>
        <v>0</v>
      </c>
      <c r="BE1129">
        <f t="shared" si="819"/>
        <v>24</v>
      </c>
      <c r="BF1129">
        <f t="shared" si="845"/>
        <v>5000</v>
      </c>
      <c r="BU1129"/>
      <c r="DW1129" s="89"/>
      <c r="DX1129" s="89"/>
      <c r="FD1129"/>
      <c r="FE1129"/>
    </row>
    <row r="1130" spans="1:161" x14ac:dyDescent="0.25">
      <c r="A1130" s="7">
        <f t="shared" si="837"/>
        <v>77492</v>
      </c>
      <c r="B1130">
        <f t="shared" si="820"/>
        <v>1119</v>
      </c>
      <c r="C1130">
        <f t="shared" si="801"/>
        <v>93.166666666666671</v>
      </c>
      <c r="D1130">
        <f t="shared" si="802"/>
        <v>0</v>
      </c>
      <c r="E1130">
        <f t="shared" si="821"/>
        <v>145</v>
      </c>
      <c r="F1130">
        <f>IF(C1130&gt;=$T$2,0,VLOOKUP($E1130,EKM_F05!$A$3:$C$128,2,TRUE))</f>
        <v>0</v>
      </c>
      <c r="G1130">
        <f>F1130*'Real assumptions'!$B$3</f>
        <v>0</v>
      </c>
      <c r="H1130">
        <f t="shared" si="803"/>
        <v>0</v>
      </c>
      <c r="I1130">
        <f t="shared" si="804"/>
        <v>0</v>
      </c>
      <c r="J1130">
        <f>IF(B1130&gt;$AJ$2,0,HLOOKUP(C1130,'Real assumptions'!$B$5:$L$8,4,TRUE))</f>
        <v>3.7900000000000003E-2</v>
      </c>
      <c r="K1130">
        <f t="shared" si="810"/>
        <v>1</v>
      </c>
      <c r="L1130">
        <f t="shared" si="838"/>
        <v>8.3333333333333329E-2</v>
      </c>
      <c r="M1130">
        <f t="shared" si="805"/>
        <v>3.2145624959929453E-3</v>
      </c>
      <c r="N1130">
        <f t="shared" si="806"/>
        <v>2.9619943856424566E-8</v>
      </c>
      <c r="O1130" s="8">
        <f t="shared" si="822"/>
        <v>9.1846802582229464E-6</v>
      </c>
      <c r="P1130">
        <f t="shared" si="823"/>
        <v>2.2114320484990492E-4</v>
      </c>
      <c r="Q1130">
        <f t="shared" si="839"/>
        <v>0</v>
      </c>
      <c r="R1130" s="89">
        <f t="shared" si="811"/>
        <v>5000</v>
      </c>
      <c r="S1130">
        <f t="shared" si="812"/>
        <v>0.75</v>
      </c>
      <c r="U1130">
        <f>O1129*AV1129*'Real assumptions'!$B$33/12+AX1130*'Real assumptions'!$B$34</f>
        <v>3.0468189389781596E-4</v>
      </c>
      <c r="V1130">
        <f>IF(P1130=0,0,IF(E1130&lt;=$C$7,$AN$5*O1129,0))*'Real assumptions'!$D$28</f>
        <v>0</v>
      </c>
      <c r="X1130" s="94">
        <f t="shared" si="824"/>
        <v>0</v>
      </c>
      <c r="Y1130">
        <f t="shared" si="813"/>
        <v>24</v>
      </c>
      <c r="Z1130">
        <f t="shared" si="840"/>
        <v>5</v>
      </c>
      <c r="AA1130">
        <f t="shared" si="814"/>
        <v>5.75</v>
      </c>
      <c r="AB1130">
        <f t="shared" si="825"/>
        <v>50.505050505050505</v>
      </c>
      <c r="AC1130">
        <f t="shared" si="807"/>
        <v>290.40404040404042</v>
      </c>
      <c r="AD1130">
        <f t="shared" si="826"/>
        <v>80.505050505050505</v>
      </c>
      <c r="AE1130">
        <f t="shared" si="827"/>
        <v>23.145202020202021</v>
      </c>
      <c r="AF1130" s="94">
        <f t="shared" si="828"/>
        <v>4686.4507575757571</v>
      </c>
      <c r="AG1130">
        <f t="shared" si="841"/>
        <v>1.3881240832529229E-4</v>
      </c>
      <c r="AH1130">
        <f t="shared" si="829"/>
        <v>4.3043551754240024E-2</v>
      </c>
      <c r="AI1130">
        <f>HLOOKUP(AW1130,'Real assumptions'!$A$21:$AK$24,2,TRUE)</f>
        <v>0</v>
      </c>
      <c r="AJ1130" s="123">
        <f t="shared" si="808"/>
        <v>0</v>
      </c>
      <c r="AK1130" s="122">
        <f>(1+HLOOKUP(YEAR(A1130),'Real assumptions'!$A$21:$AK$24,2,TRUE)/100)^(1/12)-1</f>
        <v>0</v>
      </c>
      <c r="AL1130">
        <f t="shared" si="842"/>
        <v>3.0468189389781596E-4</v>
      </c>
      <c r="AM1130">
        <f>('Real assumptions'!$B$33/12)*O1129*AV1129</f>
        <v>2.9285315617502792E-4</v>
      </c>
      <c r="AN1130">
        <f t="shared" si="830"/>
        <v>4.3056953924998129E-2</v>
      </c>
      <c r="AO1130">
        <f t="shared" si="809"/>
        <v>0</v>
      </c>
      <c r="AP1130" s="121">
        <f t="shared" si="831"/>
        <v>0</v>
      </c>
      <c r="AQ1130">
        <f t="shared" si="832"/>
        <v>0</v>
      </c>
      <c r="AR1130">
        <v>0</v>
      </c>
      <c r="AS1130">
        <f t="shared" si="815"/>
        <v>0</v>
      </c>
      <c r="AT1130">
        <f t="shared" si="833"/>
        <v>0</v>
      </c>
      <c r="AU1130">
        <f>IFERROR(HLOOKUP(B1130,'Real assumptions'!$B$43:$AL$44,2,TRUE)*($W$3/$U$2),0)</f>
        <v>0</v>
      </c>
      <c r="AV1130">
        <f>AV1129*(1+'Real assumptions'!$B$35)^(1/12)</f>
        <v>3.1815381660592306</v>
      </c>
      <c r="AW1130">
        <f t="shared" si="816"/>
        <v>2112</v>
      </c>
      <c r="AX1130">
        <f t="shared" si="843"/>
        <v>4.3179273338802268E-2</v>
      </c>
      <c r="AY1130">
        <f t="shared" si="844"/>
        <v>3.8780724756226311E-5</v>
      </c>
      <c r="AZ1130">
        <f t="shared" si="817"/>
        <v>1.4947743736487454E-2</v>
      </c>
      <c r="BA1130">
        <f t="shared" si="834"/>
        <v>1.3881240832529229E-4</v>
      </c>
      <c r="BB1130">
        <f t="shared" si="835"/>
        <v>5.75</v>
      </c>
      <c r="BC1130">
        <f t="shared" si="818"/>
        <v>3.4499999999999997</v>
      </c>
      <c r="BD1130">
        <f t="shared" si="836"/>
        <v>0</v>
      </c>
      <c r="BE1130">
        <f t="shared" si="819"/>
        <v>24</v>
      </c>
      <c r="BF1130">
        <f t="shared" si="845"/>
        <v>5000</v>
      </c>
      <c r="BU1130"/>
      <c r="DW1130" s="89"/>
      <c r="DX1130" s="89"/>
      <c r="FD1130"/>
      <c r="FE1130"/>
    </row>
    <row r="1131" spans="1:161" x14ac:dyDescent="0.25">
      <c r="A1131" s="7">
        <f t="shared" si="837"/>
        <v>77523</v>
      </c>
      <c r="B1131">
        <f t="shared" si="820"/>
        <v>1120</v>
      </c>
      <c r="C1131">
        <f t="shared" si="801"/>
        <v>93.25</v>
      </c>
      <c r="D1131">
        <f t="shared" si="802"/>
        <v>0</v>
      </c>
      <c r="E1131">
        <f t="shared" si="821"/>
        <v>145</v>
      </c>
      <c r="F1131">
        <f>IF(C1131&gt;=$T$2,0,VLOOKUP($E1131,EKM_F05!$A$3:$C$128,2,TRUE))</f>
        <v>0</v>
      </c>
      <c r="G1131">
        <f>F1131*'Real assumptions'!$B$3</f>
        <v>0</v>
      </c>
      <c r="H1131">
        <f t="shared" si="803"/>
        <v>0</v>
      </c>
      <c r="I1131">
        <f t="shared" si="804"/>
        <v>0</v>
      </c>
      <c r="J1131">
        <f>IF(B1131&gt;$AJ$2,0,HLOOKUP(C1131,'Real assumptions'!$B$5:$L$8,4,TRUE))</f>
        <v>3.7900000000000003E-2</v>
      </c>
      <c r="K1131">
        <f t="shared" si="810"/>
        <v>1</v>
      </c>
      <c r="L1131">
        <f t="shared" si="838"/>
        <v>8.3333333333333329E-2</v>
      </c>
      <c r="M1131">
        <f t="shared" si="805"/>
        <v>3.2145624959929453E-3</v>
      </c>
      <c r="N1131">
        <f t="shared" si="806"/>
        <v>2.9524728695770284E-8</v>
      </c>
      <c r="O1131" s="8">
        <f t="shared" si="822"/>
        <v>9.1551555295271755E-6</v>
      </c>
      <c r="P1131">
        <f t="shared" si="823"/>
        <v>2.2043232619735071E-4</v>
      </c>
      <c r="Q1131">
        <f t="shared" si="839"/>
        <v>0</v>
      </c>
      <c r="R1131" s="89">
        <f t="shared" si="811"/>
        <v>5000</v>
      </c>
      <c r="S1131">
        <f t="shared" si="812"/>
        <v>0.6666666666666714</v>
      </c>
      <c r="U1131">
        <f>O1130*AV1130*'Real assumptions'!$B$33/12+AX1131*'Real assumptions'!$B$34</f>
        <v>3.0401625497268126E-4</v>
      </c>
      <c r="V1131">
        <f>IF(P1131=0,0,IF(E1131&lt;=$C$7,$AN$5*O1130,0))*'Real assumptions'!$D$28</f>
        <v>0</v>
      </c>
      <c r="X1131" s="94">
        <f t="shared" si="824"/>
        <v>0</v>
      </c>
      <c r="Y1131">
        <f t="shared" si="813"/>
        <v>24</v>
      </c>
      <c r="Z1131">
        <f t="shared" si="840"/>
        <v>5</v>
      </c>
      <c r="AA1131">
        <f t="shared" si="814"/>
        <v>5.6666666666666714</v>
      </c>
      <c r="AB1131">
        <f t="shared" si="825"/>
        <v>50.505050505050505</v>
      </c>
      <c r="AC1131">
        <f t="shared" si="807"/>
        <v>286.19528619528643</v>
      </c>
      <c r="AD1131">
        <f t="shared" si="826"/>
        <v>80.505050505050505</v>
      </c>
      <c r="AE1131">
        <f t="shared" si="827"/>
        <v>22.809764309764329</v>
      </c>
      <c r="AF1131" s="94">
        <f t="shared" si="828"/>
        <v>4690.9949494949487</v>
      </c>
      <c r="AG1131">
        <f t="shared" si="841"/>
        <v>1.3850035319706698E-4</v>
      </c>
      <c r="AH1131">
        <f t="shared" si="829"/>
        <v>4.2946788350852735E-2</v>
      </c>
      <c r="AI1131">
        <f>HLOOKUP(AW1131,'Real assumptions'!$A$21:$AK$24,2,TRUE)</f>
        <v>0</v>
      </c>
      <c r="AJ1131" s="123">
        <f t="shared" si="808"/>
        <v>0</v>
      </c>
      <c r="AK1131" s="122">
        <f>(1+HLOOKUP(YEAR(A1131),'Real assumptions'!$A$21:$AK$24,2,TRUE)/100)^(1/12)-1</f>
        <v>0</v>
      </c>
      <c r="AL1131">
        <f t="shared" si="842"/>
        <v>3.0401625497268126E-4</v>
      </c>
      <c r="AM1131">
        <f>('Real assumptions'!$B$33/12)*O1130*AV1130</f>
        <v>2.9221410784587053E-4</v>
      </c>
      <c r="AN1131">
        <f t="shared" si="830"/>
        <v>4.2959967825464698E-2</v>
      </c>
      <c r="AO1131">
        <f t="shared" si="809"/>
        <v>0</v>
      </c>
      <c r="AP1131" s="121">
        <f t="shared" si="831"/>
        <v>0</v>
      </c>
      <c r="AQ1131">
        <f t="shared" si="832"/>
        <v>0</v>
      </c>
      <c r="AR1131">
        <v>0</v>
      </c>
      <c r="AS1131">
        <f t="shared" si="815"/>
        <v>0</v>
      </c>
      <c r="AT1131">
        <f t="shared" si="833"/>
        <v>0</v>
      </c>
      <c r="AU1131">
        <f>IFERROR(HLOOKUP(B1131,'Real assumptions'!$B$43:$AL$44,2,TRUE)*($W$3/$U$2),0)</f>
        <v>0</v>
      </c>
      <c r="AV1131">
        <f>AV1130*(1+'Real assumptions'!$B$35)^(1/12)</f>
        <v>3.184833431535337</v>
      </c>
      <c r="AW1131">
        <f t="shared" si="816"/>
        <v>2112</v>
      </c>
      <c r="AX1131">
        <f t="shared" si="843"/>
        <v>4.3082207815932881E-2</v>
      </c>
      <c r="AY1131">
        <f t="shared" si="844"/>
        <v>3.8656061692857519E-5</v>
      </c>
      <c r="AZ1131">
        <f t="shared" si="817"/>
        <v>1.4725659454515056E-2</v>
      </c>
      <c r="BA1131">
        <f t="shared" si="834"/>
        <v>1.3850035319706698E-4</v>
      </c>
      <c r="BB1131">
        <f t="shared" si="835"/>
        <v>5.6666666666666714</v>
      </c>
      <c r="BC1131">
        <f t="shared" si="818"/>
        <v>3.400000000000003</v>
      </c>
      <c r="BD1131">
        <f t="shared" si="836"/>
        <v>0</v>
      </c>
      <c r="BE1131">
        <f t="shared" si="819"/>
        <v>24</v>
      </c>
      <c r="BF1131">
        <f t="shared" si="845"/>
        <v>5000</v>
      </c>
      <c r="BU1131"/>
      <c r="DW1131" s="89"/>
      <c r="DX1131" s="89"/>
      <c r="FD1131"/>
      <c r="FE1131"/>
    </row>
    <row r="1132" spans="1:161" x14ac:dyDescent="0.25">
      <c r="A1132" s="7">
        <f t="shared" si="837"/>
        <v>77553</v>
      </c>
      <c r="B1132">
        <f t="shared" si="820"/>
        <v>1121</v>
      </c>
      <c r="C1132">
        <f t="shared" si="801"/>
        <v>93.333333333333329</v>
      </c>
      <c r="D1132">
        <f t="shared" si="802"/>
        <v>0</v>
      </c>
      <c r="E1132">
        <f t="shared" si="821"/>
        <v>145</v>
      </c>
      <c r="F1132">
        <f>IF(C1132&gt;=$T$2,0,VLOOKUP($E1132,EKM_F05!$A$3:$C$128,2,TRUE))</f>
        <v>0</v>
      </c>
      <c r="G1132">
        <f>F1132*'Real assumptions'!$B$3</f>
        <v>0</v>
      </c>
      <c r="H1132">
        <f t="shared" si="803"/>
        <v>0</v>
      </c>
      <c r="I1132">
        <f t="shared" si="804"/>
        <v>0</v>
      </c>
      <c r="J1132">
        <f>IF(B1132&gt;$AJ$2,0,HLOOKUP(C1132,'Real assumptions'!$B$5:$L$8,4,TRUE))</f>
        <v>3.7900000000000003E-2</v>
      </c>
      <c r="K1132">
        <f t="shared" si="810"/>
        <v>1</v>
      </c>
      <c r="L1132">
        <f t="shared" si="838"/>
        <v>8.3333333333333329E-2</v>
      </c>
      <c r="M1132">
        <f t="shared" si="805"/>
        <v>3.2145624959929453E-3</v>
      </c>
      <c r="N1132">
        <f t="shared" si="806"/>
        <v>2.9429819610200492E-8</v>
      </c>
      <c r="O1132" s="8">
        <f t="shared" si="822"/>
        <v>9.1257257099169747E-6</v>
      </c>
      <c r="P1132">
        <f t="shared" si="823"/>
        <v>2.1972373270865223E-4</v>
      </c>
      <c r="Q1132">
        <f t="shared" si="839"/>
        <v>0</v>
      </c>
      <c r="R1132" s="89">
        <f t="shared" si="811"/>
        <v>5000</v>
      </c>
      <c r="S1132">
        <f t="shared" si="812"/>
        <v>0.5833333333333286</v>
      </c>
      <c r="U1132">
        <f>O1131*AV1131*'Real assumptions'!$B$33/12+AX1132*'Real assumptions'!$B$34</f>
        <v>3.0335205926731524E-4</v>
      </c>
      <c r="V1132">
        <f>IF(P1132=0,0,IF(E1132&lt;=$C$7,$AN$5*O1131,0))*'Real assumptions'!$D$28</f>
        <v>0</v>
      </c>
      <c r="X1132" s="94">
        <f t="shared" si="824"/>
        <v>0</v>
      </c>
      <c r="Y1132">
        <f t="shared" si="813"/>
        <v>24</v>
      </c>
      <c r="Z1132">
        <f t="shared" si="840"/>
        <v>5</v>
      </c>
      <c r="AA1132">
        <f t="shared" si="814"/>
        <v>5.5833333333333286</v>
      </c>
      <c r="AB1132">
        <f t="shared" si="825"/>
        <v>50.505050505050505</v>
      </c>
      <c r="AC1132">
        <f t="shared" si="807"/>
        <v>281.98653198653176</v>
      </c>
      <c r="AD1132">
        <f t="shared" si="826"/>
        <v>80.505050505050505</v>
      </c>
      <c r="AE1132">
        <f t="shared" si="827"/>
        <v>22.474326599326581</v>
      </c>
      <c r="AF1132" s="94">
        <f t="shared" si="828"/>
        <v>4695.5391414141413</v>
      </c>
      <c r="AG1132">
        <f t="shared" si="841"/>
        <v>1.3818886990445389E-4</v>
      </c>
      <c r="AH1132">
        <f t="shared" si="829"/>
        <v>4.285020226472451E-2</v>
      </c>
      <c r="AI1132">
        <f>HLOOKUP(AW1132,'Real assumptions'!$A$21:$AK$24,2,TRUE)</f>
        <v>0</v>
      </c>
      <c r="AJ1132" s="123">
        <f t="shared" si="808"/>
        <v>0</v>
      </c>
      <c r="AK1132" s="122">
        <f>(1+HLOOKUP(YEAR(A1132),'Real assumptions'!$A$21:$AK$24,2,TRUE)/100)^(1/12)-1</f>
        <v>0</v>
      </c>
      <c r="AL1132">
        <f t="shared" si="842"/>
        <v>3.0335205926731524E-4</v>
      </c>
      <c r="AM1132">
        <f>('Real assumptions'!$B$33/12)*O1131*AV1131</f>
        <v>2.9157645401343751E-4</v>
      </c>
      <c r="AN1132">
        <f t="shared" si="830"/>
        <v>4.2863160024294071E-2</v>
      </c>
      <c r="AO1132">
        <f t="shared" si="809"/>
        <v>0</v>
      </c>
      <c r="AP1132" s="121">
        <f t="shared" si="831"/>
        <v>0</v>
      </c>
      <c r="AQ1132">
        <f t="shared" si="832"/>
        <v>0</v>
      </c>
      <c r="AR1132">
        <v>0</v>
      </c>
      <c r="AS1132">
        <f t="shared" si="815"/>
        <v>0</v>
      </c>
      <c r="AT1132">
        <f t="shared" si="833"/>
        <v>0</v>
      </c>
      <c r="AU1132">
        <f>IFERROR(HLOOKUP(B1132,'Real assumptions'!$B$43:$AL$44,2,TRUE)*($W$3/$U$2),0)</f>
        <v>0</v>
      </c>
      <c r="AV1132">
        <f>AV1131*(1+'Real assumptions'!$B$35)^(1/12)</f>
        <v>3.1881321100695277</v>
      </c>
      <c r="AW1132">
        <f t="shared" si="816"/>
        <v>2112</v>
      </c>
      <c r="AX1132">
        <f t="shared" si="843"/>
        <v>4.2985320150219435E-2</v>
      </c>
      <c r="AY1132">
        <f t="shared" si="844"/>
        <v>3.8531799366696866E-5</v>
      </c>
      <c r="AZ1132">
        <f t="shared" si="817"/>
        <v>1.450384225805194E-2</v>
      </c>
      <c r="BA1132">
        <f t="shared" si="834"/>
        <v>1.3818886990445389E-4</v>
      </c>
      <c r="BB1132">
        <f t="shared" si="835"/>
        <v>5.5833333333333286</v>
      </c>
      <c r="BC1132">
        <f t="shared" si="818"/>
        <v>3.349999999999997</v>
      </c>
      <c r="BD1132">
        <f t="shared" si="836"/>
        <v>0</v>
      </c>
      <c r="BE1132">
        <f t="shared" si="819"/>
        <v>24</v>
      </c>
      <c r="BF1132">
        <f t="shared" si="845"/>
        <v>5000</v>
      </c>
      <c r="BU1132"/>
      <c r="DW1132" s="89"/>
      <c r="DX1132" s="89"/>
      <c r="FD1132"/>
      <c r="FE1132"/>
    </row>
    <row r="1133" spans="1:161" x14ac:dyDescent="0.25">
      <c r="A1133" s="7">
        <f t="shared" si="837"/>
        <v>77584</v>
      </c>
      <c r="B1133">
        <f t="shared" si="820"/>
        <v>1122</v>
      </c>
      <c r="C1133">
        <f t="shared" si="801"/>
        <v>93.416666666666671</v>
      </c>
      <c r="D1133">
        <f t="shared" si="802"/>
        <v>0</v>
      </c>
      <c r="E1133">
        <f t="shared" si="821"/>
        <v>145</v>
      </c>
      <c r="F1133">
        <f>IF(C1133&gt;=$T$2,0,VLOOKUP($E1133,EKM_F05!$A$3:$C$128,2,TRUE))</f>
        <v>0</v>
      </c>
      <c r="G1133">
        <f>F1133*'Real assumptions'!$B$3</f>
        <v>0</v>
      </c>
      <c r="H1133">
        <f t="shared" si="803"/>
        <v>0</v>
      </c>
      <c r="I1133">
        <f t="shared" si="804"/>
        <v>0</v>
      </c>
      <c r="J1133">
        <f>IF(B1133&gt;$AJ$2,0,HLOOKUP(C1133,'Real assumptions'!$B$5:$L$8,4,TRUE))</f>
        <v>3.7900000000000003E-2</v>
      </c>
      <c r="K1133">
        <f t="shared" si="810"/>
        <v>1</v>
      </c>
      <c r="L1133">
        <f t="shared" si="838"/>
        <v>8.3333333333333329E-2</v>
      </c>
      <c r="M1133">
        <f t="shared" si="805"/>
        <v>3.2145624959929453E-3</v>
      </c>
      <c r="N1133">
        <f t="shared" si="806"/>
        <v>2.9335215615817702E-8</v>
      </c>
      <c r="O1133" s="8">
        <f t="shared" si="822"/>
        <v>9.0963904943011578E-6</v>
      </c>
      <c r="P1133">
        <f t="shared" si="823"/>
        <v>2.1901741703800738E-4</v>
      </c>
      <c r="Q1133">
        <f t="shared" si="839"/>
        <v>0</v>
      </c>
      <c r="R1133" s="89">
        <f t="shared" si="811"/>
        <v>5000</v>
      </c>
      <c r="S1133">
        <f t="shared" si="812"/>
        <v>0.5</v>
      </c>
      <c r="U1133">
        <f>O1132*AV1132*'Real assumptions'!$B$33/12+AX1133*'Real assumptions'!$B$34</f>
        <v>3.0268930370024754E-4</v>
      </c>
      <c r="V1133">
        <f>IF(P1133=0,0,IF(E1133&lt;=$C$7,$AN$5*O1132,0))*'Real assumptions'!$D$28</f>
        <v>0</v>
      </c>
      <c r="X1133" s="94">
        <f t="shared" si="824"/>
        <v>0</v>
      </c>
      <c r="Y1133">
        <f t="shared" si="813"/>
        <v>24</v>
      </c>
      <c r="Z1133">
        <f t="shared" si="840"/>
        <v>5</v>
      </c>
      <c r="AA1133">
        <f t="shared" si="814"/>
        <v>5.5</v>
      </c>
      <c r="AB1133">
        <f t="shared" si="825"/>
        <v>50.505050505050505</v>
      </c>
      <c r="AC1133">
        <f t="shared" si="807"/>
        <v>277.77777777777777</v>
      </c>
      <c r="AD1133">
        <f t="shared" si="826"/>
        <v>80.505050505050505</v>
      </c>
      <c r="AE1133">
        <f t="shared" si="827"/>
        <v>22.138888888888889</v>
      </c>
      <c r="AF1133" s="94">
        <f t="shared" si="828"/>
        <v>4700.0833333333339</v>
      </c>
      <c r="AG1133">
        <f t="shared" si="841"/>
        <v>1.3787795799564455E-4</v>
      </c>
      <c r="AH1133">
        <f t="shared" si="829"/>
        <v>4.2753793355756638E-2</v>
      </c>
      <c r="AI1133">
        <f>HLOOKUP(AW1133,'Real assumptions'!$A$21:$AK$24,2,TRUE)</f>
        <v>0</v>
      </c>
      <c r="AJ1133" s="123">
        <f t="shared" si="808"/>
        <v>0</v>
      </c>
      <c r="AK1133" s="122">
        <f>(1+HLOOKUP(YEAR(A1133),'Real assumptions'!$A$21:$AK$24,2,TRUE)/100)^(1/12)-1</f>
        <v>0</v>
      </c>
      <c r="AL1133">
        <f t="shared" si="842"/>
        <v>3.0268930370024754E-4</v>
      </c>
      <c r="AM1133">
        <f>('Real assumptions'!$B$33/12)*O1132*AV1132</f>
        <v>2.9094019163473342E-4</v>
      </c>
      <c r="AN1133">
        <f t="shared" si="830"/>
        <v>4.2766530378062273E-2</v>
      </c>
      <c r="AO1133">
        <f t="shared" si="809"/>
        <v>0</v>
      </c>
      <c r="AP1133" s="121">
        <f t="shared" si="831"/>
        <v>0</v>
      </c>
      <c r="AQ1133">
        <f t="shared" si="832"/>
        <v>0</v>
      </c>
      <c r="AR1133">
        <v>0</v>
      </c>
      <c r="AS1133">
        <f t="shared" si="815"/>
        <v>0</v>
      </c>
      <c r="AT1133">
        <f t="shared" si="833"/>
        <v>0</v>
      </c>
      <c r="AU1133">
        <f>IFERROR(HLOOKUP(B1133,'Real assumptions'!$B$43:$AL$44,2,TRUE)*($W$3/$U$2),0)</f>
        <v>0</v>
      </c>
      <c r="AV1133">
        <f>AV1132*(1+'Real assumptions'!$B$35)^(1/12)</f>
        <v>3.191434205196864</v>
      </c>
      <c r="AW1133">
        <f t="shared" si="816"/>
        <v>2112</v>
      </c>
      <c r="AX1133">
        <f t="shared" si="843"/>
        <v>4.288861020121406E-2</v>
      </c>
      <c r="AY1133">
        <f t="shared" si="844"/>
        <v>3.8407936489549557E-5</v>
      </c>
      <c r="AZ1133">
        <f t="shared" si="817"/>
        <v>1.4282292413394055E-2</v>
      </c>
      <c r="BA1133">
        <f t="shared" si="834"/>
        <v>1.3787795799564455E-4</v>
      </c>
      <c r="BB1133">
        <f t="shared" si="835"/>
        <v>5.5</v>
      </c>
      <c r="BC1133">
        <f t="shared" si="818"/>
        <v>3.3</v>
      </c>
      <c r="BD1133">
        <f t="shared" si="836"/>
        <v>0</v>
      </c>
      <c r="BE1133">
        <f t="shared" si="819"/>
        <v>24</v>
      </c>
      <c r="BF1133">
        <f t="shared" si="845"/>
        <v>5000</v>
      </c>
      <c r="BU1133"/>
      <c r="DW1133" s="89"/>
      <c r="DX1133" s="89"/>
      <c r="FD1133"/>
      <c r="FE1133"/>
    </row>
    <row r="1134" spans="1:161" x14ac:dyDescent="0.25">
      <c r="A1134" s="7">
        <f t="shared" si="837"/>
        <v>77614</v>
      </c>
      <c r="B1134">
        <f t="shared" si="820"/>
        <v>1123</v>
      </c>
      <c r="C1134">
        <f t="shared" si="801"/>
        <v>93.5</v>
      </c>
      <c r="D1134">
        <f t="shared" si="802"/>
        <v>0</v>
      </c>
      <c r="E1134">
        <f t="shared" si="821"/>
        <v>145</v>
      </c>
      <c r="F1134">
        <f>IF(C1134&gt;=$T$2,0,VLOOKUP($E1134,EKM_F05!$A$3:$C$128,2,TRUE))</f>
        <v>0</v>
      </c>
      <c r="G1134">
        <f>F1134*'Real assumptions'!$B$3</f>
        <v>0</v>
      </c>
      <c r="H1134">
        <f t="shared" si="803"/>
        <v>0</v>
      </c>
      <c r="I1134">
        <f t="shared" si="804"/>
        <v>0</v>
      </c>
      <c r="J1134">
        <f>IF(B1134&gt;$AJ$2,0,HLOOKUP(C1134,'Real assumptions'!$B$5:$L$8,4,TRUE))</f>
        <v>3.7900000000000003E-2</v>
      </c>
      <c r="K1134">
        <f t="shared" si="810"/>
        <v>1</v>
      </c>
      <c r="L1134">
        <f t="shared" si="838"/>
        <v>8.3333333333333329E-2</v>
      </c>
      <c r="M1134">
        <f t="shared" si="805"/>
        <v>3.2145624959929453E-3</v>
      </c>
      <c r="N1134">
        <f t="shared" si="806"/>
        <v>2.9240915731887232E-8</v>
      </c>
      <c r="O1134" s="8">
        <f t="shared" si="822"/>
        <v>9.0671495785692706E-6</v>
      </c>
      <c r="P1134">
        <f t="shared" si="823"/>
        <v>2.183133718632278E-4</v>
      </c>
      <c r="Q1134">
        <f t="shared" si="839"/>
        <v>0</v>
      </c>
      <c r="R1134" s="89">
        <f t="shared" si="811"/>
        <v>5000</v>
      </c>
      <c r="S1134">
        <f t="shared" si="812"/>
        <v>0.4166666666666714</v>
      </c>
      <c r="U1134">
        <f>O1133*AV1133*'Real assumptions'!$B$33/12+AX1134*'Real assumptions'!$B$34</f>
        <v>3.0202798519639204E-4</v>
      </c>
      <c r="V1134">
        <f>IF(P1134=0,0,IF(E1134&lt;=$C$7,$AN$5*O1133,0))*'Real assumptions'!$D$28</f>
        <v>0</v>
      </c>
      <c r="X1134" s="94">
        <f t="shared" si="824"/>
        <v>0</v>
      </c>
      <c r="Y1134">
        <f t="shared" si="813"/>
        <v>24</v>
      </c>
      <c r="Z1134">
        <f t="shared" si="840"/>
        <v>5</v>
      </c>
      <c r="AA1134">
        <f t="shared" si="814"/>
        <v>5.4166666666666714</v>
      </c>
      <c r="AB1134">
        <f t="shared" si="825"/>
        <v>50.505050505050505</v>
      </c>
      <c r="AC1134">
        <f t="shared" si="807"/>
        <v>273.56902356902378</v>
      </c>
      <c r="AD1134">
        <f t="shared" si="826"/>
        <v>80.505050505050505</v>
      </c>
      <c r="AE1134">
        <f t="shared" si="827"/>
        <v>21.803451178451198</v>
      </c>
      <c r="AF1134" s="94">
        <f t="shared" si="828"/>
        <v>4704.6275252525256</v>
      </c>
      <c r="AG1134">
        <f t="shared" si="841"/>
        <v>1.3756761701582627E-4</v>
      </c>
      <c r="AH1134">
        <f t="shared" si="829"/>
        <v>4.2657561482918827E-2</v>
      </c>
      <c r="AI1134">
        <f>HLOOKUP(AW1134,'Real assumptions'!$A$21:$AK$24,2,TRUE)</f>
        <v>0</v>
      </c>
      <c r="AJ1134" s="123">
        <f t="shared" si="808"/>
        <v>0</v>
      </c>
      <c r="AK1134" s="122">
        <f>(1+HLOOKUP(YEAR(A1134),'Real assumptions'!$A$21:$AK$24,2,TRUE)/100)^(1/12)-1</f>
        <v>0</v>
      </c>
      <c r="AL1134">
        <f t="shared" si="842"/>
        <v>3.0202798519639204E-4</v>
      </c>
      <c r="AM1134">
        <f>('Real assumptions'!$B$33/12)*O1133*AV1133</f>
        <v>2.9030531767340324E-4</v>
      </c>
      <c r="AN1134">
        <f t="shared" si="830"/>
        <v>4.267007874242347E-2</v>
      </c>
      <c r="AO1134">
        <f t="shared" si="809"/>
        <v>0</v>
      </c>
      <c r="AP1134" s="121">
        <f t="shared" si="831"/>
        <v>0</v>
      </c>
      <c r="AQ1134">
        <f t="shared" si="832"/>
        <v>0</v>
      </c>
      <c r="AR1134">
        <v>0</v>
      </c>
      <c r="AS1134">
        <f t="shared" si="815"/>
        <v>0</v>
      </c>
      <c r="AT1134">
        <f t="shared" si="833"/>
        <v>0</v>
      </c>
      <c r="AU1134">
        <f>IFERROR(HLOOKUP(B1134,'Real assumptions'!$B$43:$AL$44,2,TRUE)*($W$3/$U$2),0)</f>
        <v>0</v>
      </c>
      <c r="AV1134">
        <f>AV1133*(1+'Real assumptions'!$B$35)^(1/12)</f>
        <v>3.1947397204560688</v>
      </c>
      <c r="AW1134">
        <f t="shared" si="816"/>
        <v>2112</v>
      </c>
      <c r="AX1134">
        <f t="shared" si="843"/>
        <v>4.2792077827533997E-2</v>
      </c>
      <c r="AY1134">
        <f t="shared" si="844"/>
        <v>3.8284471777361773E-5</v>
      </c>
      <c r="AZ1134">
        <f t="shared" si="817"/>
        <v>1.4061010183045066E-2</v>
      </c>
      <c r="BA1134">
        <f t="shared" si="834"/>
        <v>1.3756761701582627E-4</v>
      </c>
      <c r="BB1134">
        <f t="shared" si="835"/>
        <v>5.4166666666666714</v>
      </c>
      <c r="BC1134">
        <f t="shared" si="818"/>
        <v>3.2500000000000027</v>
      </c>
      <c r="BD1134">
        <f t="shared" si="836"/>
        <v>0</v>
      </c>
      <c r="BE1134">
        <f t="shared" si="819"/>
        <v>24</v>
      </c>
      <c r="BF1134">
        <f t="shared" si="845"/>
        <v>5000</v>
      </c>
      <c r="BU1134"/>
      <c r="DW1134" s="89"/>
      <c r="DX1134" s="89"/>
      <c r="FD1134"/>
      <c r="FE1134"/>
    </row>
    <row r="1135" spans="1:161" x14ac:dyDescent="0.25">
      <c r="A1135" s="7">
        <f t="shared" si="837"/>
        <v>77645</v>
      </c>
      <c r="B1135">
        <f t="shared" si="820"/>
        <v>1124</v>
      </c>
      <c r="C1135">
        <f t="shared" ref="C1135:C1198" si="846">(B1135+11)/12-1</f>
        <v>93.583333333333329</v>
      </c>
      <c r="D1135">
        <f t="shared" ref="D1135:D1198" si="847">IF(C1135-INT(C1135)=0,1,0)</f>
        <v>0</v>
      </c>
      <c r="E1135">
        <f t="shared" si="821"/>
        <v>145</v>
      </c>
      <c r="F1135">
        <f>IF(C1135&gt;=$T$2,0,VLOOKUP($E1135,EKM_F05!$A$3:$C$128,2,TRUE))</f>
        <v>0</v>
      </c>
      <c r="G1135">
        <f>F1135*'Real assumptions'!$B$3</f>
        <v>0</v>
      </c>
      <c r="H1135">
        <f t="shared" ref="H1135:H1173" si="848">(1-(1-G1135)^(1/12))</f>
        <v>0</v>
      </c>
      <c r="I1135">
        <f t="shared" ref="I1135:I1198" si="849">H1135*O1134*(1-M1135/2)</f>
        <v>0</v>
      </c>
      <c r="J1135">
        <f>IF(B1135&gt;$AJ$2,0,HLOOKUP(C1135,'Real assumptions'!$B$5:$L$8,4,TRUE))</f>
        <v>3.7900000000000003E-2</v>
      </c>
      <c r="K1135">
        <f t="shared" si="810"/>
        <v>1</v>
      </c>
      <c r="L1135">
        <f t="shared" si="838"/>
        <v>8.3333333333333329E-2</v>
      </c>
      <c r="M1135">
        <f t="shared" ref="M1135:M1198" si="850">(1-(1-J1135)^L1135)</f>
        <v>3.2145624959929453E-3</v>
      </c>
      <c r="N1135">
        <f t="shared" ref="N1135:N1173" si="851">M1135*O1134*(1-H1135/2)</f>
        <v>2.9146918980827016E-8</v>
      </c>
      <c r="O1135" s="8">
        <f t="shared" si="822"/>
        <v>9.0380026595884432E-6</v>
      </c>
      <c r="P1135">
        <f t="shared" si="823"/>
        <v>2.1761158988566249E-4</v>
      </c>
      <c r="Q1135">
        <f t="shared" si="839"/>
        <v>0</v>
      </c>
      <c r="R1135" s="89">
        <f t="shared" si="811"/>
        <v>5000</v>
      </c>
      <c r="S1135">
        <f t="shared" si="812"/>
        <v>0.3333333333333286</v>
      </c>
      <c r="U1135">
        <f>O1134*AV1134*'Real assumptions'!$B$33/12+AX1135*'Real assumptions'!$B$34</f>
        <v>3.0136810068703422E-4</v>
      </c>
      <c r="V1135">
        <f>IF(P1135=0,0,IF(E1135&lt;=$C$7,$AN$5*O1134,0))*'Real assumptions'!$D$28</f>
        <v>0</v>
      </c>
      <c r="X1135" s="94">
        <f t="shared" si="824"/>
        <v>0</v>
      </c>
      <c r="Y1135">
        <f t="shared" si="813"/>
        <v>24</v>
      </c>
      <c r="Z1135">
        <f t="shared" si="840"/>
        <v>5</v>
      </c>
      <c r="AA1135">
        <f t="shared" si="814"/>
        <v>5.3333333333333286</v>
      </c>
      <c r="AB1135">
        <f t="shared" si="825"/>
        <v>50.505050505050505</v>
      </c>
      <c r="AC1135">
        <f t="shared" ref="AC1135:AC1198" si="852">AB1135*AA1135</f>
        <v>269.36026936026911</v>
      </c>
      <c r="AD1135">
        <f t="shared" si="826"/>
        <v>80.505050505050505</v>
      </c>
      <c r="AE1135">
        <f t="shared" si="827"/>
        <v>21.468013468013449</v>
      </c>
      <c r="AF1135" s="94">
        <f t="shared" si="828"/>
        <v>4709.1717171717173</v>
      </c>
      <c r="AG1135">
        <f t="shared" si="841"/>
        <v>1.3725784650720608E-4</v>
      </c>
      <c r="AH1135">
        <f t="shared" si="829"/>
        <v>4.2561506504256656E-2</v>
      </c>
      <c r="AI1135">
        <f>HLOOKUP(AW1135,'Real assumptions'!$A$21:$AK$24,2,TRUE)</f>
        <v>0</v>
      </c>
      <c r="AJ1135" s="123">
        <f t="shared" ref="AJ1135:AJ1198" si="853">((1+AI1135/100)^(1/12))-1</f>
        <v>0</v>
      </c>
      <c r="AK1135" s="122">
        <f>(1+HLOOKUP(YEAR(A1135),'Real assumptions'!$A$21:$AK$24,2,TRUE)/100)^(1/12)-1</f>
        <v>0</v>
      </c>
      <c r="AL1135">
        <f t="shared" si="842"/>
        <v>3.0136810068703422E-4</v>
      </c>
      <c r="AM1135">
        <f>('Real assumptions'!$B$33/12)*O1134*AV1134</f>
        <v>2.8967182909971751E-4</v>
      </c>
      <c r="AN1135">
        <f t="shared" si="830"/>
        <v>4.2573804972117456E-2</v>
      </c>
      <c r="AO1135">
        <f t="shared" ref="AO1135:AO1198" si="854">AN1135*AJ1135</f>
        <v>0</v>
      </c>
      <c r="AP1135" s="121">
        <f t="shared" si="831"/>
        <v>0</v>
      </c>
      <c r="AQ1135">
        <f t="shared" si="832"/>
        <v>0</v>
      </c>
      <c r="AR1135">
        <v>0</v>
      </c>
      <c r="AS1135">
        <f t="shared" si="815"/>
        <v>0</v>
      </c>
      <c r="AT1135">
        <f t="shared" si="833"/>
        <v>0</v>
      </c>
      <c r="AU1135">
        <f>IFERROR(HLOOKUP(B1135,'Real assumptions'!$B$43:$AL$44,2,TRUE)*($W$3/$U$2),0)</f>
        <v>0</v>
      </c>
      <c r="AV1135">
        <f>AV1134*(1+'Real assumptions'!$B$35)^(1/12)</f>
        <v>3.1980486593895296</v>
      </c>
      <c r="AW1135">
        <f t="shared" si="816"/>
        <v>2112</v>
      </c>
      <c r="AX1135">
        <f t="shared" si="843"/>
        <v>4.2695722886869035E-2</v>
      </c>
      <c r="AY1135">
        <f t="shared" si="844"/>
        <v>3.8161403950207366E-5</v>
      </c>
      <c r="AZ1135">
        <f t="shared" si="817"/>
        <v>1.3839995825736487E-2</v>
      </c>
      <c r="BA1135">
        <f t="shared" si="834"/>
        <v>1.3725784650720608E-4</v>
      </c>
      <c r="BB1135">
        <f t="shared" si="835"/>
        <v>5.3333333333333286</v>
      </c>
      <c r="BC1135">
        <f t="shared" si="818"/>
        <v>3.1999999999999971</v>
      </c>
      <c r="BD1135">
        <f t="shared" si="836"/>
        <v>0</v>
      </c>
      <c r="BE1135">
        <f t="shared" si="819"/>
        <v>24</v>
      </c>
      <c r="BF1135">
        <f t="shared" si="845"/>
        <v>5000</v>
      </c>
      <c r="BU1135"/>
      <c r="DW1135" s="89"/>
      <c r="DX1135" s="89"/>
      <c r="FD1135"/>
      <c r="FE1135"/>
    </row>
    <row r="1136" spans="1:161" x14ac:dyDescent="0.25">
      <c r="A1136" s="7">
        <f t="shared" si="837"/>
        <v>77676</v>
      </c>
      <c r="B1136">
        <f t="shared" si="820"/>
        <v>1125</v>
      </c>
      <c r="C1136">
        <f t="shared" si="846"/>
        <v>93.666666666666671</v>
      </c>
      <c r="D1136">
        <f t="shared" si="847"/>
        <v>0</v>
      </c>
      <c r="E1136">
        <f t="shared" si="821"/>
        <v>145</v>
      </c>
      <c r="F1136">
        <f>IF(C1136&gt;=$T$2,0,VLOOKUP($E1136,EKM_F05!$A$3:$C$128,2,TRUE))</f>
        <v>0</v>
      </c>
      <c r="G1136">
        <f>F1136*'Real assumptions'!$B$3</f>
        <v>0</v>
      </c>
      <c r="H1136">
        <f t="shared" si="848"/>
        <v>0</v>
      </c>
      <c r="I1136">
        <f t="shared" si="849"/>
        <v>0</v>
      </c>
      <c r="J1136">
        <f>IF(B1136&gt;$AJ$2,0,HLOOKUP(C1136,'Real assumptions'!$B$5:$L$8,4,TRUE))</f>
        <v>3.7900000000000003E-2</v>
      </c>
      <c r="K1136">
        <f t="shared" si="810"/>
        <v>1</v>
      </c>
      <c r="L1136">
        <f t="shared" si="838"/>
        <v>8.3333333333333329E-2</v>
      </c>
      <c r="M1136">
        <f t="shared" si="850"/>
        <v>3.2145624959929453E-3</v>
      </c>
      <c r="N1136">
        <f t="shared" si="851"/>
        <v>2.9053224388197503E-8</v>
      </c>
      <c r="O1136" s="8">
        <f t="shared" si="822"/>
        <v>9.0089494352002463E-6</v>
      </c>
      <c r="P1136">
        <f t="shared" si="823"/>
        <v>2.1691206383012265E-4</v>
      </c>
      <c r="Q1136">
        <f t="shared" si="839"/>
        <v>0</v>
      </c>
      <c r="R1136" s="89">
        <f t="shared" si="811"/>
        <v>5000</v>
      </c>
      <c r="S1136">
        <f t="shared" si="812"/>
        <v>0.25</v>
      </c>
      <c r="U1136">
        <f>O1135*AV1135*'Real assumptions'!$B$33/12+AX1136*'Real assumptions'!$B$34</f>
        <v>3.0070964710981877E-4</v>
      </c>
      <c r="V1136">
        <f>IF(P1136=0,0,IF(E1136&lt;=$C$7,$AN$5*O1135,0))*'Real assumptions'!$D$28</f>
        <v>0</v>
      </c>
      <c r="X1136" s="94">
        <f t="shared" si="824"/>
        <v>0</v>
      </c>
      <c r="Y1136">
        <f t="shared" si="813"/>
        <v>24</v>
      </c>
      <c r="Z1136">
        <f t="shared" si="840"/>
        <v>5</v>
      </c>
      <c r="AA1136">
        <f t="shared" si="814"/>
        <v>5.25</v>
      </c>
      <c r="AB1136">
        <f t="shared" si="825"/>
        <v>50.505050505050505</v>
      </c>
      <c r="AC1136">
        <f t="shared" si="852"/>
        <v>265.15151515151513</v>
      </c>
      <c r="AD1136">
        <f t="shared" si="826"/>
        <v>80.505050505050505</v>
      </c>
      <c r="AE1136">
        <f t="shared" si="827"/>
        <v>21.132575757575758</v>
      </c>
      <c r="AF1136" s="94">
        <f t="shared" si="828"/>
        <v>4713.715909090909</v>
      </c>
      <c r="AG1136">
        <f t="shared" si="841"/>
        <v>1.3694864600903456E-4</v>
      </c>
      <c r="AH1136">
        <f t="shared" si="829"/>
        <v>4.246562827689896E-2</v>
      </c>
      <c r="AI1136">
        <f>HLOOKUP(AW1136,'Real assumptions'!$A$21:$AK$24,2,TRUE)</f>
        <v>0</v>
      </c>
      <c r="AJ1136" s="123">
        <f t="shared" si="853"/>
        <v>0</v>
      </c>
      <c r="AK1136" s="122">
        <f>(1+HLOOKUP(YEAR(A1136),'Real assumptions'!$A$21:$AK$24,2,TRUE)/100)^(1/12)-1</f>
        <v>0</v>
      </c>
      <c r="AL1136">
        <f t="shared" si="842"/>
        <v>3.0070964710981877E-4</v>
      </c>
      <c r="AM1136">
        <f>('Real assumptions'!$B$33/12)*O1135*AV1135</f>
        <v>2.8903972289055823E-4</v>
      </c>
      <c r="AN1136">
        <f t="shared" si="830"/>
        <v>4.2477708920976957E-2</v>
      </c>
      <c r="AO1136">
        <f t="shared" si="854"/>
        <v>0</v>
      </c>
      <c r="AP1136" s="121">
        <f t="shared" si="831"/>
        <v>0</v>
      </c>
      <c r="AQ1136">
        <f t="shared" si="832"/>
        <v>0</v>
      </c>
      <c r="AR1136">
        <v>0</v>
      </c>
      <c r="AS1136">
        <f t="shared" si="815"/>
        <v>0</v>
      </c>
      <c r="AT1136">
        <f t="shared" si="833"/>
        <v>0</v>
      </c>
      <c r="AU1136">
        <f>IFERROR(HLOOKUP(B1136,'Real assumptions'!$B$43:$AL$44,2,TRUE)*($W$3/$U$2),0)</f>
        <v>0</v>
      </c>
      <c r="AV1136">
        <f>AV1135*(1+'Real assumptions'!$B$35)^(1/12)</f>
        <v>3.2013610255433038</v>
      </c>
      <c r="AW1136">
        <f t="shared" si="816"/>
        <v>2112</v>
      </c>
      <c r="AX1136">
        <f t="shared" si="843"/>
        <v>4.2599545235988932E-2</v>
      </c>
      <c r="AY1136">
        <f t="shared" si="844"/>
        <v>3.8038731732274589E-5</v>
      </c>
      <c r="AZ1136">
        <f t="shared" si="817"/>
        <v>1.3619249596447757E-2</v>
      </c>
      <c r="BA1136">
        <f t="shared" si="834"/>
        <v>1.3694864600903456E-4</v>
      </c>
      <c r="BB1136">
        <f t="shared" si="835"/>
        <v>5.25</v>
      </c>
      <c r="BC1136">
        <f t="shared" si="818"/>
        <v>3.15</v>
      </c>
      <c r="BD1136">
        <f t="shared" si="836"/>
        <v>0</v>
      </c>
      <c r="BE1136">
        <f t="shared" si="819"/>
        <v>24</v>
      </c>
      <c r="BF1136">
        <f t="shared" si="845"/>
        <v>5000</v>
      </c>
      <c r="BU1136"/>
      <c r="DW1136" s="89"/>
      <c r="DX1136" s="89"/>
      <c r="FD1136"/>
      <c r="FE1136"/>
    </row>
    <row r="1137" spans="1:161" x14ac:dyDescent="0.25">
      <c r="A1137" s="7">
        <f t="shared" si="837"/>
        <v>77706</v>
      </c>
      <c r="B1137">
        <f t="shared" si="820"/>
        <v>1126</v>
      </c>
      <c r="C1137">
        <f t="shared" si="846"/>
        <v>93.75</v>
      </c>
      <c r="D1137">
        <f t="shared" si="847"/>
        <v>0</v>
      </c>
      <c r="E1137">
        <f t="shared" si="821"/>
        <v>145</v>
      </c>
      <c r="F1137">
        <f>IF(C1137&gt;=$T$2,0,VLOOKUP($E1137,EKM_F05!$A$3:$C$128,2,TRUE))</f>
        <v>0</v>
      </c>
      <c r="G1137">
        <f>F1137*'Real assumptions'!$B$3</f>
        <v>0</v>
      </c>
      <c r="H1137">
        <f t="shared" si="848"/>
        <v>0</v>
      </c>
      <c r="I1137">
        <f t="shared" si="849"/>
        <v>0</v>
      </c>
      <c r="J1137">
        <f>IF(B1137&gt;$AJ$2,0,HLOOKUP(C1137,'Real assumptions'!$B$5:$L$8,4,TRUE))</f>
        <v>3.7900000000000003E-2</v>
      </c>
      <c r="K1137">
        <f t="shared" si="810"/>
        <v>1</v>
      </c>
      <c r="L1137">
        <f t="shared" si="838"/>
        <v>8.3333333333333329E-2</v>
      </c>
      <c r="M1137">
        <f t="shared" si="850"/>
        <v>3.2145624959929453E-3</v>
      </c>
      <c r="N1137">
        <f t="shared" si="851"/>
        <v>2.8959830982691538E-8</v>
      </c>
      <c r="O1137" s="8">
        <f t="shared" si="822"/>
        <v>8.9799896042175549E-6</v>
      </c>
      <c r="P1137">
        <f t="shared" si="823"/>
        <v>2.1621478644480593E-4</v>
      </c>
      <c r="Q1137">
        <f t="shared" si="839"/>
        <v>0</v>
      </c>
      <c r="R1137" s="89">
        <f t="shared" si="811"/>
        <v>5000</v>
      </c>
      <c r="S1137">
        <f t="shared" si="812"/>
        <v>0.1666666666666714</v>
      </c>
      <c r="U1137">
        <f>O1136*AV1136*'Real assumptions'!$B$33/12+AX1137*'Real assumptions'!$B$34</f>
        <v>3.0005262140873743E-4</v>
      </c>
      <c r="V1137">
        <f>IF(P1137=0,0,IF(E1137&lt;=$C$7,$AN$5*O1136,0))*'Real assumptions'!$D$28</f>
        <v>0</v>
      </c>
      <c r="X1137" s="94">
        <f t="shared" si="824"/>
        <v>0</v>
      </c>
      <c r="Y1137">
        <f t="shared" si="813"/>
        <v>24</v>
      </c>
      <c r="Z1137">
        <f t="shared" si="840"/>
        <v>5</v>
      </c>
      <c r="AA1137">
        <f t="shared" si="814"/>
        <v>5.1666666666666714</v>
      </c>
      <c r="AB1137">
        <f t="shared" si="825"/>
        <v>50.505050505050505</v>
      </c>
      <c r="AC1137">
        <f t="shared" si="852"/>
        <v>260.9427609427612</v>
      </c>
      <c r="AD1137">
        <f t="shared" si="826"/>
        <v>80.505050505050505</v>
      </c>
      <c r="AE1137">
        <f t="shared" si="827"/>
        <v>20.797138047138066</v>
      </c>
      <c r="AF1137" s="94">
        <f t="shared" si="828"/>
        <v>4718.2601010101007</v>
      </c>
      <c r="AG1137">
        <f t="shared" si="841"/>
        <v>1.3664001505762962E-4</v>
      </c>
      <c r="AH1137">
        <f t="shared" si="829"/>
        <v>4.2369926657065175E-2</v>
      </c>
      <c r="AI1137">
        <f>HLOOKUP(AW1137,'Real assumptions'!$A$21:$AK$24,2,TRUE)</f>
        <v>0</v>
      </c>
      <c r="AJ1137" s="123">
        <f t="shared" si="853"/>
        <v>0</v>
      </c>
      <c r="AK1137" s="122">
        <f>(1+HLOOKUP(YEAR(A1137),'Real assumptions'!$A$21:$AK$24,2,TRUE)/100)^(1/12)-1</f>
        <v>0</v>
      </c>
      <c r="AL1137">
        <f t="shared" si="842"/>
        <v>3.0005262140873743E-4</v>
      </c>
      <c r="AM1137">
        <f>('Real assumptions'!$B$33/12)*O1136*AV1136</f>
        <v>2.8840899602940428E-4</v>
      </c>
      <c r="AN1137">
        <f t="shared" si="830"/>
        <v>4.2381790441935026E-2</v>
      </c>
      <c r="AO1137">
        <f t="shared" si="854"/>
        <v>0</v>
      </c>
      <c r="AP1137" s="121">
        <f t="shared" si="831"/>
        <v>0</v>
      </c>
      <c r="AQ1137">
        <f t="shared" si="832"/>
        <v>0</v>
      </c>
      <c r="AR1137">
        <v>0</v>
      </c>
      <c r="AS1137">
        <f t="shared" si="815"/>
        <v>0</v>
      </c>
      <c r="AT1137">
        <f t="shared" si="833"/>
        <v>0</v>
      </c>
      <c r="AU1137">
        <f>IFERROR(HLOOKUP(B1137,'Real assumptions'!$B$43:$AL$44,2,TRUE)*($W$3/$U$2),0)</f>
        <v>0</v>
      </c>
      <c r="AV1137">
        <f>AV1136*(1+'Real assumptions'!$B$35)^(1/12)</f>
        <v>3.2046768224671212</v>
      </c>
      <c r="AW1137">
        <f t="shared" si="816"/>
        <v>2112</v>
      </c>
      <c r="AX1137">
        <f t="shared" si="843"/>
        <v>4.2503544730750811E-2</v>
      </c>
      <c r="AY1137">
        <f t="shared" si="844"/>
        <v>3.7916453851852883E-5</v>
      </c>
      <c r="AZ1137">
        <f t="shared" si="817"/>
        <v>1.3398771746426197E-2</v>
      </c>
      <c r="BA1137">
        <f t="shared" si="834"/>
        <v>1.3664001505762962E-4</v>
      </c>
      <c r="BB1137">
        <f t="shared" si="835"/>
        <v>5.1666666666666714</v>
      </c>
      <c r="BC1137">
        <f t="shared" si="818"/>
        <v>3.1000000000000028</v>
      </c>
      <c r="BD1137">
        <f t="shared" si="836"/>
        <v>0</v>
      </c>
      <c r="BE1137">
        <f t="shared" si="819"/>
        <v>24</v>
      </c>
      <c r="BF1137">
        <f t="shared" si="845"/>
        <v>5000</v>
      </c>
      <c r="BU1137"/>
      <c r="DW1137" s="89"/>
      <c r="DX1137" s="89"/>
      <c r="FD1137"/>
      <c r="FE1137"/>
    </row>
    <row r="1138" spans="1:161" x14ac:dyDescent="0.25">
      <c r="A1138" s="7">
        <f t="shared" si="837"/>
        <v>77737</v>
      </c>
      <c r="B1138">
        <f t="shared" si="820"/>
        <v>1127</v>
      </c>
      <c r="C1138">
        <f t="shared" si="846"/>
        <v>93.833333333333329</v>
      </c>
      <c r="D1138">
        <f t="shared" si="847"/>
        <v>0</v>
      </c>
      <c r="E1138">
        <f t="shared" si="821"/>
        <v>145</v>
      </c>
      <c r="F1138">
        <f>IF(C1138&gt;=$T$2,0,VLOOKUP($E1138,EKM_F05!$A$3:$C$128,2,TRUE))</f>
        <v>0</v>
      </c>
      <c r="G1138">
        <f>F1138*'Real assumptions'!$B$3</f>
        <v>0</v>
      </c>
      <c r="H1138">
        <f t="shared" si="848"/>
        <v>0</v>
      </c>
      <c r="I1138">
        <f t="shared" si="849"/>
        <v>0</v>
      </c>
      <c r="J1138">
        <f>IF(B1138&gt;$AJ$2,0,HLOOKUP(C1138,'Real assumptions'!$B$5:$L$8,4,TRUE))</f>
        <v>3.7900000000000003E-2</v>
      </c>
      <c r="K1138">
        <f t="shared" si="810"/>
        <v>1</v>
      </c>
      <c r="L1138">
        <f t="shared" si="838"/>
        <v>8.3333333333333329E-2</v>
      </c>
      <c r="M1138">
        <f t="shared" si="850"/>
        <v>3.2145624959929453E-3</v>
      </c>
      <c r="N1138">
        <f t="shared" si="851"/>
        <v>2.8866737796124284E-8</v>
      </c>
      <c r="O1138" s="8">
        <f t="shared" si="822"/>
        <v>8.9511228664214314E-6</v>
      </c>
      <c r="P1138">
        <f t="shared" si="823"/>
        <v>2.1551975050122132E-4</v>
      </c>
      <c r="Q1138">
        <f t="shared" si="839"/>
        <v>0</v>
      </c>
      <c r="R1138" s="89">
        <f t="shared" si="811"/>
        <v>5000</v>
      </c>
      <c r="S1138">
        <f t="shared" si="812"/>
        <v>8.3333333333328596E-2</v>
      </c>
      <c r="U1138">
        <f>O1137*AV1137*'Real assumptions'!$B$33/12+AX1138*'Real assumptions'!$B$34</f>
        <v>2.9939702053411631E-4</v>
      </c>
      <c r="V1138">
        <f>IF(P1138=0,0,IF(E1138&lt;=$C$7,$AN$5*O1137,0))*'Real assumptions'!$D$28</f>
        <v>0</v>
      </c>
      <c r="X1138" s="94">
        <f t="shared" si="824"/>
        <v>0</v>
      </c>
      <c r="Y1138">
        <f t="shared" si="813"/>
        <v>24</v>
      </c>
      <c r="Z1138">
        <f t="shared" si="840"/>
        <v>5</v>
      </c>
      <c r="AA1138">
        <f t="shared" si="814"/>
        <v>5.0833333333333286</v>
      </c>
      <c r="AB1138">
        <f t="shared" si="825"/>
        <v>50.505050505050505</v>
      </c>
      <c r="AC1138">
        <f t="shared" si="852"/>
        <v>256.73400673400647</v>
      </c>
      <c r="AD1138">
        <f t="shared" si="826"/>
        <v>80.505050505050505</v>
      </c>
      <c r="AE1138">
        <f t="shared" si="827"/>
        <v>20.461700336700318</v>
      </c>
      <c r="AF1138" s="94">
        <f t="shared" si="828"/>
        <v>4722.8042929292933</v>
      </c>
      <c r="AG1138">
        <f t="shared" si="841"/>
        <v>1.3633195318640004E-4</v>
      </c>
      <c r="AH1138">
        <f t="shared" si="829"/>
        <v>4.2274401500072695E-2</v>
      </c>
      <c r="AI1138">
        <f>HLOOKUP(AW1138,'Real assumptions'!$A$21:$AK$24,2,TRUE)</f>
        <v>0</v>
      </c>
      <c r="AJ1138" s="123">
        <f t="shared" si="853"/>
        <v>0</v>
      </c>
      <c r="AK1138" s="122">
        <f>(1+HLOOKUP(YEAR(A1138),'Real assumptions'!$A$21:$AK$24,2,TRUE)/100)^(1/12)-1</f>
        <v>0</v>
      </c>
      <c r="AL1138">
        <f t="shared" si="842"/>
        <v>2.9939702053411631E-4</v>
      </c>
      <c r="AM1138">
        <f>('Real assumptions'!$B$33/12)*O1137*AV1137</f>
        <v>2.8777964550631691E-4</v>
      </c>
      <c r="AN1138">
        <f t="shared" si="830"/>
        <v>4.228604938703228E-2</v>
      </c>
      <c r="AO1138">
        <f t="shared" si="854"/>
        <v>0</v>
      </c>
      <c r="AP1138" s="121">
        <f t="shared" si="831"/>
        <v>0</v>
      </c>
      <c r="AQ1138">
        <f t="shared" si="832"/>
        <v>0</v>
      </c>
      <c r="AR1138">
        <v>0</v>
      </c>
      <c r="AS1138">
        <f t="shared" si="815"/>
        <v>0</v>
      </c>
      <c r="AT1138">
        <f t="shared" si="833"/>
        <v>0</v>
      </c>
      <c r="AU1138">
        <f>IFERROR(HLOOKUP(B1138,'Real assumptions'!$B$43:$AL$44,2,TRUE)*($W$3/$U$2),0)</f>
        <v>0</v>
      </c>
      <c r="AV1138">
        <f>AV1137*(1+'Real assumptions'!$B$35)^(1/12)</f>
        <v>3.2079960537143877</v>
      </c>
      <c r="AW1138">
        <f t="shared" si="816"/>
        <v>2112</v>
      </c>
      <c r="AX1138">
        <f t="shared" si="843"/>
        <v>4.2407721226106497E-2</v>
      </c>
      <c r="AY1138">
        <f t="shared" si="844"/>
        <v>3.7794569041319671E-5</v>
      </c>
      <c r="AZ1138">
        <f t="shared" si="817"/>
        <v>1.3178562523206903E-2</v>
      </c>
      <c r="BA1138">
        <f t="shared" si="834"/>
        <v>1.3633195318640004E-4</v>
      </c>
      <c r="BB1138">
        <f t="shared" si="835"/>
        <v>5.0833333333333286</v>
      </c>
      <c r="BC1138">
        <f t="shared" si="818"/>
        <v>3.0499999999999972</v>
      </c>
      <c r="BD1138">
        <f t="shared" si="836"/>
        <v>0</v>
      </c>
      <c r="BE1138">
        <f t="shared" si="819"/>
        <v>24</v>
      </c>
      <c r="BF1138">
        <f t="shared" si="845"/>
        <v>5000</v>
      </c>
      <c r="BU1138"/>
      <c r="DW1138" s="89"/>
      <c r="DX1138" s="89"/>
      <c r="FD1138"/>
      <c r="FE1138"/>
    </row>
    <row r="1139" spans="1:161" x14ac:dyDescent="0.25">
      <c r="A1139" s="7">
        <f t="shared" si="837"/>
        <v>77767</v>
      </c>
      <c r="B1139">
        <f t="shared" si="820"/>
        <v>1128</v>
      </c>
      <c r="C1139">
        <f t="shared" si="846"/>
        <v>93.916666666666671</v>
      </c>
      <c r="D1139">
        <f t="shared" si="847"/>
        <v>0</v>
      </c>
      <c r="E1139">
        <f t="shared" si="821"/>
        <v>145</v>
      </c>
      <c r="F1139">
        <f>IF(C1139&gt;=$T$2,0,VLOOKUP($E1139,EKM_F05!$A$3:$C$128,2,TRUE))</f>
        <v>0</v>
      </c>
      <c r="G1139">
        <f>F1139*'Real assumptions'!$B$3</f>
        <v>0</v>
      </c>
      <c r="H1139">
        <f t="shared" si="848"/>
        <v>0</v>
      </c>
      <c r="I1139">
        <f t="shared" si="849"/>
        <v>0</v>
      </c>
      <c r="J1139">
        <f>IF(B1139&gt;$AJ$2,0,HLOOKUP(C1139,'Real assumptions'!$B$5:$L$8,4,TRUE))</f>
        <v>3.7900000000000003E-2</v>
      </c>
      <c r="K1139">
        <f t="shared" si="810"/>
        <v>1</v>
      </c>
      <c r="L1139">
        <f t="shared" si="838"/>
        <v>8.3333333333333329E-2</v>
      </c>
      <c r="M1139">
        <f t="shared" si="850"/>
        <v>3.2145624959929453E-3</v>
      </c>
      <c r="N1139">
        <f t="shared" si="851"/>
        <v>2.8773943863423202E-8</v>
      </c>
      <c r="O1139" s="8">
        <f t="shared" si="822"/>
        <v>8.9223489225580087E-6</v>
      </c>
      <c r="P1139">
        <f t="shared" si="823"/>
        <v>2.1482694879411434E-4</v>
      </c>
      <c r="Q1139">
        <f t="shared" si="839"/>
        <v>0</v>
      </c>
      <c r="R1139" s="89">
        <f t="shared" si="811"/>
        <v>5000</v>
      </c>
      <c r="S1139">
        <f t="shared" si="812"/>
        <v>1</v>
      </c>
      <c r="U1139">
        <f>O1138*AV1138*'Real assumptions'!$B$33/12+AX1139*'Real assumptions'!$B$34</f>
        <v>2.9874284144260375E-4</v>
      </c>
      <c r="V1139">
        <f>IF(P1139=0,0,IF(E1139&lt;=$C$7,$AN$5*O1138,0))*'Real assumptions'!$D$28</f>
        <v>0</v>
      </c>
      <c r="X1139" s="94">
        <f t="shared" si="824"/>
        <v>0</v>
      </c>
      <c r="Y1139">
        <f t="shared" si="813"/>
        <v>24</v>
      </c>
      <c r="Z1139">
        <f t="shared" si="840"/>
        <v>5</v>
      </c>
      <c r="AA1139">
        <f t="shared" si="814"/>
        <v>5</v>
      </c>
      <c r="AB1139">
        <f t="shared" si="825"/>
        <v>50.505050505050505</v>
      </c>
      <c r="AC1139">
        <f t="shared" si="852"/>
        <v>252.52525252525254</v>
      </c>
      <c r="AD1139">
        <f t="shared" si="826"/>
        <v>80.505050505050505</v>
      </c>
      <c r="AE1139">
        <f t="shared" si="827"/>
        <v>20.126262626262626</v>
      </c>
      <c r="AF1139" s="94">
        <f t="shared" si="828"/>
        <v>4727.348484848485</v>
      </c>
      <c r="AG1139">
        <f t="shared" si="841"/>
        <v>1.3602445992586903E-4</v>
      </c>
      <c r="AH1139">
        <f t="shared" si="829"/>
        <v>4.2179052660344114E-2</v>
      </c>
      <c r="AI1139">
        <f>HLOOKUP(AW1139,'Real assumptions'!$A$21:$AK$24,2,TRUE)</f>
        <v>0</v>
      </c>
      <c r="AJ1139" s="123">
        <f t="shared" si="853"/>
        <v>0</v>
      </c>
      <c r="AK1139" s="122">
        <f>(1+HLOOKUP(YEAR(A1139),'Real assumptions'!$A$21:$AK$24,2,TRUE)/100)^(1/12)-1</f>
        <v>0</v>
      </c>
      <c r="AL1139">
        <f t="shared" si="842"/>
        <v>2.9874284144260375E-4</v>
      </c>
      <c r="AM1139">
        <f>('Real assumptions'!$B$33/12)*O1138*AV1138</f>
        <v>2.8715166831792572E-4</v>
      </c>
      <c r="AN1139">
        <f t="shared" si="830"/>
        <v>4.2190485607424208E-2</v>
      </c>
      <c r="AO1139">
        <f t="shared" si="854"/>
        <v>0</v>
      </c>
      <c r="AP1139" s="121">
        <f t="shared" si="831"/>
        <v>0</v>
      </c>
      <c r="AQ1139">
        <f t="shared" si="832"/>
        <v>0</v>
      </c>
      <c r="AR1139">
        <v>0</v>
      </c>
      <c r="AS1139">
        <f t="shared" si="815"/>
        <v>0</v>
      </c>
      <c r="AT1139">
        <f t="shared" si="833"/>
        <v>0</v>
      </c>
      <c r="AU1139">
        <f>IFERROR(HLOOKUP(B1139,'Real assumptions'!$B$43:$AL$44,2,TRUE)*($W$3/$U$2),0)</f>
        <v>0</v>
      </c>
      <c r="AV1139">
        <f>AV1138*(1+'Real assumptions'!$B$35)^(1/12)</f>
        <v>3.2113187228421904</v>
      </c>
      <c r="AW1139">
        <f t="shared" si="816"/>
        <v>2112</v>
      </c>
      <c r="AX1139">
        <f t="shared" si="843"/>
        <v>4.2312074576109825E-2</v>
      </c>
      <c r="AY1139">
        <f t="shared" si="844"/>
        <v>3.7673076037127234E-5</v>
      </c>
      <c r="AZ1139">
        <f t="shared" si="817"/>
        <v>1.2958622170632544E-2</v>
      </c>
      <c r="BA1139">
        <f t="shared" si="834"/>
        <v>1.3602445992586903E-4</v>
      </c>
      <c r="BB1139">
        <f t="shared" si="835"/>
        <v>5</v>
      </c>
      <c r="BC1139">
        <f t="shared" si="818"/>
        <v>3</v>
      </c>
      <c r="BD1139">
        <f t="shared" si="836"/>
        <v>0</v>
      </c>
      <c r="BE1139">
        <f t="shared" si="819"/>
        <v>24</v>
      </c>
      <c r="BF1139">
        <f t="shared" si="845"/>
        <v>5000</v>
      </c>
      <c r="BU1139"/>
      <c r="DW1139" s="89"/>
      <c r="DX1139" s="89"/>
      <c r="FD1139"/>
      <c r="FE1139"/>
    </row>
    <row r="1140" spans="1:161" x14ac:dyDescent="0.25">
      <c r="A1140" s="7">
        <f t="shared" si="837"/>
        <v>77798</v>
      </c>
      <c r="B1140">
        <f t="shared" si="820"/>
        <v>1129</v>
      </c>
      <c r="C1140">
        <f t="shared" si="846"/>
        <v>94</v>
      </c>
      <c r="D1140">
        <f t="shared" si="847"/>
        <v>1</v>
      </c>
      <c r="E1140">
        <f t="shared" si="821"/>
        <v>146</v>
      </c>
      <c r="F1140">
        <f>IF(C1140&gt;=$T$2,0,VLOOKUP($E1140,EKM_F05!$A$3:$C$128,2,TRUE))</f>
        <v>0</v>
      </c>
      <c r="G1140">
        <f>F1140*'Real assumptions'!$B$3</f>
        <v>0</v>
      </c>
      <c r="H1140">
        <f t="shared" si="848"/>
        <v>0</v>
      </c>
      <c r="I1140">
        <f t="shared" si="849"/>
        <v>0</v>
      </c>
      <c r="J1140">
        <f>IF(B1140&gt;$AJ$2,0,HLOOKUP(C1140,'Real assumptions'!$B$5:$L$8,4,TRUE))</f>
        <v>3.7900000000000003E-2</v>
      </c>
      <c r="K1140">
        <f t="shared" si="810"/>
        <v>1</v>
      </c>
      <c r="L1140">
        <f t="shared" si="838"/>
        <v>8.3333333333333329E-2</v>
      </c>
      <c r="M1140">
        <f t="shared" si="850"/>
        <v>3.2145624959929453E-3</v>
      </c>
      <c r="N1140">
        <f t="shared" si="851"/>
        <v>2.8681448222618037E-8</v>
      </c>
      <c r="O1140" s="8">
        <f t="shared" si="822"/>
        <v>8.8936674743353899E-6</v>
      </c>
      <c r="P1140">
        <f t="shared" si="823"/>
        <v>2.1413637414139221E-4</v>
      </c>
      <c r="Q1140">
        <f t="shared" si="839"/>
        <v>0</v>
      </c>
      <c r="R1140" s="89">
        <f t="shared" si="811"/>
        <v>5000</v>
      </c>
      <c r="S1140">
        <f t="shared" si="812"/>
        <v>0.9166666666666714</v>
      </c>
      <c r="U1140">
        <f>O1139*AV1139*'Real assumptions'!$B$33/12+AX1140*'Real assumptions'!$B$34</f>
        <v>2.9809008109715768E-4</v>
      </c>
      <c r="V1140">
        <f>IF(P1140=0,0,IF(E1140&lt;=$C$7,$AN$5*O1139,0))*'Real assumptions'!$D$28</f>
        <v>0</v>
      </c>
      <c r="X1140" s="94">
        <f t="shared" si="824"/>
        <v>0</v>
      </c>
      <c r="Y1140">
        <f t="shared" si="813"/>
        <v>24</v>
      </c>
      <c r="Z1140">
        <f t="shared" si="840"/>
        <v>5</v>
      </c>
      <c r="AA1140">
        <f t="shared" si="814"/>
        <v>4.9166666666666714</v>
      </c>
      <c r="AB1140">
        <f t="shared" si="825"/>
        <v>50.505050505050505</v>
      </c>
      <c r="AC1140">
        <f t="shared" si="852"/>
        <v>248.31649831649855</v>
      </c>
      <c r="AD1140">
        <f t="shared" si="826"/>
        <v>80.505050505050505</v>
      </c>
      <c r="AE1140">
        <f t="shared" si="827"/>
        <v>19.790824915824935</v>
      </c>
      <c r="AF1140" s="94">
        <f t="shared" si="828"/>
        <v>4731.8926767676767</v>
      </c>
      <c r="AG1140">
        <f t="shared" si="841"/>
        <v>1.357175348036976E-4</v>
      </c>
      <c r="AH1140">
        <f t="shared" si="829"/>
        <v>4.2083879991414511E-2</v>
      </c>
      <c r="AI1140">
        <f>HLOOKUP(AW1140,'Real assumptions'!$A$21:$AK$24,2,TRUE)</f>
        <v>0</v>
      </c>
      <c r="AJ1140" s="123">
        <f t="shared" si="853"/>
        <v>0</v>
      </c>
      <c r="AK1140" s="122">
        <f>(1+HLOOKUP(YEAR(A1140),'Real assumptions'!$A$21:$AK$24,2,TRUE)/100)^(1/12)-1</f>
        <v>0</v>
      </c>
      <c r="AL1140">
        <f t="shared" si="842"/>
        <v>2.9809008109715768E-4</v>
      </c>
      <c r="AM1140">
        <f>('Real assumptions'!$B$33/12)*O1139*AV1139</f>
        <v>2.8652506146741377E-4</v>
      </c>
      <c r="AN1140">
        <f t="shared" si="830"/>
        <v>4.2095098953388352E-2</v>
      </c>
      <c r="AO1140">
        <f t="shared" si="854"/>
        <v>0</v>
      </c>
      <c r="AP1140" s="121">
        <f t="shared" si="831"/>
        <v>0</v>
      </c>
      <c r="AQ1140">
        <f t="shared" si="832"/>
        <v>0</v>
      </c>
      <c r="AR1140">
        <v>0</v>
      </c>
      <c r="AS1140">
        <f t="shared" si="815"/>
        <v>0</v>
      </c>
      <c r="AT1140">
        <f t="shared" si="833"/>
        <v>0</v>
      </c>
      <c r="AU1140">
        <f>IFERROR(HLOOKUP(B1140,'Real assumptions'!$B$43:$AL$44,2,TRUE)*($W$3/$U$2),0)</f>
        <v>0</v>
      </c>
      <c r="AV1140">
        <f>AV1139*(1+'Real assumptions'!$B$35)^(1/12)</f>
        <v>3.2146448334113003</v>
      </c>
      <c r="AW1140">
        <f t="shared" si="816"/>
        <v>2112</v>
      </c>
      <c r="AX1140">
        <f t="shared" si="843"/>
        <v>4.2216604633923904E-2</v>
      </c>
      <c r="AY1140">
        <f t="shared" si="844"/>
        <v>3.7551973579789595E-5</v>
      </c>
      <c r="AZ1140">
        <f t="shared" si="817"/>
        <v>1.273895092887308E-2</v>
      </c>
      <c r="BA1140">
        <f t="shared" si="834"/>
        <v>1.357175348036976E-4</v>
      </c>
      <c r="BB1140">
        <f t="shared" si="835"/>
        <v>4.9166666666666714</v>
      </c>
      <c r="BC1140">
        <f t="shared" si="818"/>
        <v>2.9500000000000028</v>
      </c>
      <c r="BD1140">
        <f t="shared" si="836"/>
        <v>0</v>
      </c>
      <c r="BE1140">
        <f t="shared" si="819"/>
        <v>24</v>
      </c>
      <c r="BF1140">
        <f t="shared" si="845"/>
        <v>5000</v>
      </c>
      <c r="BU1140"/>
      <c r="DW1140" s="89"/>
      <c r="DX1140" s="89"/>
      <c r="FD1140"/>
      <c r="FE1140"/>
    </row>
    <row r="1141" spans="1:161" x14ac:dyDescent="0.25">
      <c r="A1141" s="7">
        <f t="shared" si="837"/>
        <v>77829</v>
      </c>
      <c r="B1141">
        <f t="shared" si="820"/>
        <v>1130</v>
      </c>
      <c r="C1141">
        <f t="shared" si="846"/>
        <v>94.083333333333329</v>
      </c>
      <c r="D1141">
        <f t="shared" si="847"/>
        <v>0</v>
      </c>
      <c r="E1141">
        <f t="shared" si="821"/>
        <v>146</v>
      </c>
      <c r="F1141">
        <f>IF(C1141&gt;=$T$2,0,VLOOKUP($E1141,EKM_F05!$A$3:$C$128,2,TRUE))</f>
        <v>0</v>
      </c>
      <c r="G1141">
        <f>F1141*'Real assumptions'!$B$3</f>
        <v>0</v>
      </c>
      <c r="H1141">
        <f t="shared" si="848"/>
        <v>0</v>
      </c>
      <c r="I1141">
        <f t="shared" si="849"/>
        <v>0</v>
      </c>
      <c r="J1141">
        <f>IF(B1141&gt;$AJ$2,0,HLOOKUP(C1141,'Real assumptions'!$B$5:$L$8,4,TRUE))</f>
        <v>3.7900000000000003E-2</v>
      </c>
      <c r="K1141">
        <f t="shared" si="810"/>
        <v>1</v>
      </c>
      <c r="L1141">
        <f t="shared" si="838"/>
        <v>8.3333333333333329E-2</v>
      </c>
      <c r="M1141">
        <f t="shared" si="850"/>
        <v>3.2145624959929453E-3</v>
      </c>
      <c r="N1141">
        <f t="shared" si="851"/>
        <v>2.8589249914830846E-8</v>
      </c>
      <c r="O1141" s="8">
        <f t="shared" si="822"/>
        <v>8.8650782244205585E-6</v>
      </c>
      <c r="P1141">
        <f t="shared" si="823"/>
        <v>2.1344801938404936E-4</v>
      </c>
      <c r="Q1141">
        <f t="shared" si="839"/>
        <v>0</v>
      </c>
      <c r="R1141" s="89">
        <f t="shared" si="811"/>
        <v>5000</v>
      </c>
      <c r="S1141">
        <f t="shared" si="812"/>
        <v>0.8333333333333286</v>
      </c>
      <c r="U1141">
        <f>O1140*AV1140*'Real assumptions'!$B$33/12+AX1141*'Real assumptions'!$B$34</f>
        <v>2.9743873646703359E-4</v>
      </c>
      <c r="V1141">
        <f>IF(P1141=0,0,IF(E1141&lt;=$C$7,$AN$5*O1140,0))*'Real assumptions'!$D$28</f>
        <v>0</v>
      </c>
      <c r="X1141" s="94">
        <f t="shared" si="824"/>
        <v>0</v>
      </c>
      <c r="Y1141">
        <f t="shared" si="813"/>
        <v>24</v>
      </c>
      <c r="Z1141">
        <f t="shared" si="840"/>
        <v>4</v>
      </c>
      <c r="AA1141">
        <f t="shared" si="814"/>
        <v>4.8333333333333286</v>
      </c>
      <c r="AB1141">
        <f t="shared" si="825"/>
        <v>50.505050505050505</v>
      </c>
      <c r="AC1141">
        <f t="shared" si="852"/>
        <v>244.10774410774386</v>
      </c>
      <c r="AD1141">
        <f t="shared" si="826"/>
        <v>80.505050505050505</v>
      </c>
      <c r="AE1141">
        <f t="shared" si="827"/>
        <v>19.455387205387186</v>
      </c>
      <c r="AF1141" s="94">
        <f t="shared" si="828"/>
        <v>4736.4368686868684</v>
      </c>
      <c r="AG1141">
        <f t="shared" si="841"/>
        <v>1.3541117734470773E-4</v>
      </c>
      <c r="AH1141">
        <f t="shared" si="829"/>
        <v>4.198888334593865E-2</v>
      </c>
      <c r="AI1141">
        <f>HLOOKUP(AW1141,'Real assumptions'!$A$21:$AK$24,2,TRUE)</f>
        <v>0</v>
      </c>
      <c r="AJ1141" s="123">
        <f t="shared" si="853"/>
        <v>0</v>
      </c>
      <c r="AK1141" s="122">
        <f>(1+HLOOKUP(YEAR(A1141),'Real assumptions'!$A$21:$AK$24,2,TRUE)/100)^(1/12)-1</f>
        <v>0</v>
      </c>
      <c r="AL1141">
        <f t="shared" si="842"/>
        <v>2.9743873646703359E-4</v>
      </c>
      <c r="AM1141">
        <f>('Real assumptions'!$B$33/12)*O1140*AV1140</f>
        <v>2.8589982196450389E-4</v>
      </c>
      <c r="AN1141">
        <f t="shared" si="830"/>
        <v>4.1999889274331528E-2</v>
      </c>
      <c r="AO1141">
        <f t="shared" si="854"/>
        <v>0</v>
      </c>
      <c r="AP1141" s="121">
        <f t="shared" si="831"/>
        <v>0</v>
      </c>
      <c r="AQ1141">
        <f t="shared" si="832"/>
        <v>0</v>
      </c>
      <c r="AR1141">
        <v>0</v>
      </c>
      <c r="AS1141">
        <f t="shared" si="815"/>
        <v>0</v>
      </c>
      <c r="AT1141">
        <f t="shared" si="833"/>
        <v>0</v>
      </c>
      <c r="AU1141">
        <f>IFERROR(HLOOKUP(B1141,'Real assumptions'!$B$43:$AL$44,2,TRUE)*($W$3/$U$2),0)</f>
        <v>0</v>
      </c>
      <c r="AV1141">
        <f>AV1140*(1+'Real assumptions'!$B$35)^(1/12)</f>
        <v>3.2179743889861765</v>
      </c>
      <c r="AW1141">
        <f t="shared" si="816"/>
        <v>2113</v>
      </c>
      <c r="AX1141">
        <f t="shared" si="843"/>
        <v>4.2121311251828379E-2</v>
      </c>
      <c r="AY1141">
        <f t="shared" si="844"/>
        <v>3.7431260413869486E-5</v>
      </c>
      <c r="AZ1141">
        <f t="shared" si="817"/>
        <v>1.2519549034445387E-2</v>
      </c>
      <c r="BA1141">
        <f t="shared" si="834"/>
        <v>1.3541117734470773E-4</v>
      </c>
      <c r="BB1141">
        <f t="shared" si="835"/>
        <v>4.8333333333333286</v>
      </c>
      <c r="BC1141">
        <f t="shared" si="818"/>
        <v>2.8999999999999968</v>
      </c>
      <c r="BD1141">
        <f t="shared" si="836"/>
        <v>0</v>
      </c>
      <c r="BE1141">
        <f t="shared" si="819"/>
        <v>24</v>
      </c>
      <c r="BF1141">
        <f t="shared" si="845"/>
        <v>5000</v>
      </c>
      <c r="BU1141"/>
      <c r="DW1141" s="89"/>
      <c r="DX1141" s="89"/>
      <c r="FD1141"/>
      <c r="FE1141"/>
    </row>
    <row r="1142" spans="1:161" x14ac:dyDescent="0.25">
      <c r="A1142" s="7">
        <f t="shared" si="837"/>
        <v>77857</v>
      </c>
      <c r="B1142">
        <f t="shared" si="820"/>
        <v>1131</v>
      </c>
      <c r="C1142">
        <f t="shared" si="846"/>
        <v>94.166666666666671</v>
      </c>
      <c r="D1142">
        <f t="shared" si="847"/>
        <v>0</v>
      </c>
      <c r="E1142">
        <f t="shared" si="821"/>
        <v>146</v>
      </c>
      <c r="F1142">
        <f>IF(C1142&gt;=$T$2,0,VLOOKUP($E1142,EKM_F05!$A$3:$C$128,2,TRUE))</f>
        <v>0</v>
      </c>
      <c r="G1142">
        <f>F1142*'Real assumptions'!$B$3</f>
        <v>0</v>
      </c>
      <c r="H1142">
        <f t="shared" si="848"/>
        <v>0</v>
      </c>
      <c r="I1142">
        <f t="shared" si="849"/>
        <v>0</v>
      </c>
      <c r="J1142">
        <f>IF(B1142&gt;$AJ$2,0,HLOOKUP(C1142,'Real assumptions'!$B$5:$L$8,4,TRUE))</f>
        <v>3.7900000000000003E-2</v>
      </c>
      <c r="K1142">
        <f t="shared" si="810"/>
        <v>1</v>
      </c>
      <c r="L1142">
        <f t="shared" si="838"/>
        <v>8.3333333333333329E-2</v>
      </c>
      <c r="M1142">
        <f t="shared" si="850"/>
        <v>3.2145624959929453E-3</v>
      </c>
      <c r="N1142">
        <f t="shared" si="851"/>
        <v>2.8497347984266057E-8</v>
      </c>
      <c r="O1142" s="8">
        <f t="shared" si="822"/>
        <v>8.836580876436293E-6</v>
      </c>
      <c r="P1142">
        <f t="shared" si="823"/>
        <v>2.1276187738609342E-4</v>
      </c>
      <c r="Q1142">
        <f t="shared" si="839"/>
        <v>0</v>
      </c>
      <c r="R1142" s="89">
        <f t="shared" si="811"/>
        <v>5000</v>
      </c>
      <c r="S1142">
        <f t="shared" si="812"/>
        <v>0.75</v>
      </c>
      <c r="U1142">
        <f>O1141*AV1141*'Real assumptions'!$B$33/12+AX1142*'Real assumptions'!$B$34</f>
        <v>2.9678880452777229E-4</v>
      </c>
      <c r="V1142">
        <f>IF(P1142=0,0,IF(E1142&lt;=$C$7,$AN$5*O1141,0))*'Real assumptions'!$D$28</f>
        <v>0</v>
      </c>
      <c r="X1142" s="94">
        <f t="shared" si="824"/>
        <v>0</v>
      </c>
      <c r="Y1142">
        <f t="shared" si="813"/>
        <v>24</v>
      </c>
      <c r="Z1142">
        <f t="shared" si="840"/>
        <v>4</v>
      </c>
      <c r="AA1142">
        <f t="shared" si="814"/>
        <v>4.75</v>
      </c>
      <c r="AB1142">
        <f t="shared" si="825"/>
        <v>50.505050505050505</v>
      </c>
      <c r="AC1142">
        <f t="shared" si="852"/>
        <v>239.8989898989899</v>
      </c>
      <c r="AD1142">
        <f t="shared" si="826"/>
        <v>80.505050505050505</v>
      </c>
      <c r="AE1142">
        <f t="shared" si="827"/>
        <v>19.119949494949495</v>
      </c>
      <c r="AF1142" s="94">
        <f t="shared" si="828"/>
        <v>4740.9810606060601</v>
      </c>
      <c r="AG1142">
        <f t="shared" si="841"/>
        <v>1.3510538707090566E-4</v>
      </c>
      <c r="AH1142">
        <f t="shared" si="829"/>
        <v>4.1894062575698165E-2</v>
      </c>
      <c r="AI1142">
        <f>HLOOKUP(AW1142,'Real assumptions'!$A$21:$AK$24,2,TRUE)</f>
        <v>0</v>
      </c>
      <c r="AJ1142" s="123">
        <f t="shared" si="853"/>
        <v>0</v>
      </c>
      <c r="AK1142" s="122">
        <f>(1+HLOOKUP(YEAR(A1142),'Real assumptions'!$A$21:$AK$24,2,TRUE)/100)^(1/12)-1</f>
        <v>0</v>
      </c>
      <c r="AL1142">
        <f t="shared" si="842"/>
        <v>2.9678880452777229E-4</v>
      </c>
      <c r="AM1142">
        <f>('Real assumptions'!$B$33/12)*O1141*AV1141</f>
        <v>2.8527594682544404E-4</v>
      </c>
      <c r="AN1142">
        <f t="shared" si="830"/>
        <v>4.1904856418796974E-2</v>
      </c>
      <c r="AO1142">
        <f t="shared" si="854"/>
        <v>0</v>
      </c>
      <c r="AP1142" s="121">
        <f t="shared" si="831"/>
        <v>0</v>
      </c>
      <c r="AQ1142">
        <f t="shared" si="832"/>
        <v>0</v>
      </c>
      <c r="AR1142">
        <v>0</v>
      </c>
      <c r="AS1142">
        <f t="shared" si="815"/>
        <v>0</v>
      </c>
      <c r="AT1142">
        <f t="shared" si="833"/>
        <v>0</v>
      </c>
      <c r="AU1142">
        <f>IFERROR(HLOOKUP(B1142,'Real assumptions'!$B$43:$AL$44,2,TRUE)*($W$3/$U$2),0)</f>
        <v>0</v>
      </c>
      <c r="AV1142">
        <f>AV1141*(1+'Real assumptions'!$B$35)^(1/12)</f>
        <v>3.2213073931349703</v>
      </c>
      <c r="AW1142">
        <f t="shared" si="816"/>
        <v>2113</v>
      </c>
      <c r="AX1142">
        <f t="shared" si="843"/>
        <v>4.2026194281226614E-2</v>
      </c>
      <c r="AY1142">
        <f t="shared" si="844"/>
        <v>3.7310935287965308E-5</v>
      </c>
      <c r="AZ1142">
        <f t="shared" si="817"/>
        <v>1.2300416720232804E-2</v>
      </c>
      <c r="BA1142">
        <f t="shared" si="834"/>
        <v>1.3510538707090566E-4</v>
      </c>
      <c r="BB1142">
        <f t="shared" si="835"/>
        <v>4.75</v>
      </c>
      <c r="BC1142">
        <f t="shared" si="818"/>
        <v>2.8499999999999996</v>
      </c>
      <c r="BD1142">
        <f t="shared" si="836"/>
        <v>0</v>
      </c>
      <c r="BE1142">
        <f t="shared" si="819"/>
        <v>24</v>
      </c>
      <c r="BF1142">
        <f t="shared" si="845"/>
        <v>5000</v>
      </c>
      <c r="BU1142"/>
      <c r="DW1142" s="89"/>
      <c r="DX1142" s="89"/>
      <c r="FD1142"/>
      <c r="FE1142"/>
    </row>
    <row r="1143" spans="1:161" x14ac:dyDescent="0.25">
      <c r="A1143" s="7">
        <f t="shared" si="837"/>
        <v>77888</v>
      </c>
      <c r="B1143">
        <f t="shared" si="820"/>
        <v>1132</v>
      </c>
      <c r="C1143">
        <f t="shared" si="846"/>
        <v>94.25</v>
      </c>
      <c r="D1143">
        <f t="shared" si="847"/>
        <v>0</v>
      </c>
      <c r="E1143">
        <f t="shared" si="821"/>
        <v>146</v>
      </c>
      <c r="F1143">
        <f>IF(C1143&gt;=$T$2,0,VLOOKUP($E1143,EKM_F05!$A$3:$C$128,2,TRUE))</f>
        <v>0</v>
      </c>
      <c r="G1143">
        <f>F1143*'Real assumptions'!$B$3</f>
        <v>0</v>
      </c>
      <c r="H1143">
        <f t="shared" si="848"/>
        <v>0</v>
      </c>
      <c r="I1143">
        <f t="shared" si="849"/>
        <v>0</v>
      </c>
      <c r="J1143">
        <f>IF(B1143&gt;$AJ$2,0,HLOOKUP(C1143,'Real assumptions'!$B$5:$L$8,4,TRUE))</f>
        <v>3.7900000000000003E-2</v>
      </c>
      <c r="K1143">
        <f t="shared" si="810"/>
        <v>1</v>
      </c>
      <c r="L1143">
        <f t="shared" si="838"/>
        <v>8.3333333333333329E-2</v>
      </c>
      <c r="M1143">
        <f t="shared" si="850"/>
        <v>3.2145624959929453E-3</v>
      </c>
      <c r="N1143">
        <f t="shared" si="851"/>
        <v>2.840574147820058E-8</v>
      </c>
      <c r="O1143" s="8">
        <f t="shared" si="822"/>
        <v>8.808175134958093E-6</v>
      </c>
      <c r="P1143">
        <f t="shared" si="823"/>
        <v>2.1207794103447102E-4</v>
      </c>
      <c r="Q1143">
        <f t="shared" si="839"/>
        <v>0</v>
      </c>
      <c r="R1143" s="89">
        <f t="shared" si="811"/>
        <v>5000</v>
      </c>
      <c r="S1143">
        <f t="shared" si="812"/>
        <v>0.6666666666666714</v>
      </c>
      <c r="U1143">
        <f>O1142*AV1142*'Real assumptions'!$B$33/12+AX1143*'Real assumptions'!$B$34</f>
        <v>2.9614028226118732E-4</v>
      </c>
      <c r="V1143">
        <f>IF(P1143=0,0,IF(E1143&lt;=$C$7,$AN$5*O1142,0))*'Real assumptions'!$D$28</f>
        <v>0</v>
      </c>
      <c r="X1143" s="94">
        <f t="shared" si="824"/>
        <v>0</v>
      </c>
      <c r="Y1143">
        <f t="shared" si="813"/>
        <v>24</v>
      </c>
      <c r="Z1143">
        <f t="shared" si="840"/>
        <v>4</v>
      </c>
      <c r="AA1143">
        <f t="shared" si="814"/>
        <v>4.6666666666666714</v>
      </c>
      <c r="AB1143">
        <f t="shared" si="825"/>
        <v>50.505050505050505</v>
      </c>
      <c r="AC1143">
        <f t="shared" si="852"/>
        <v>235.69023569023594</v>
      </c>
      <c r="AD1143">
        <f t="shared" si="826"/>
        <v>80.505050505050505</v>
      </c>
      <c r="AE1143">
        <f t="shared" si="827"/>
        <v>18.784511784511803</v>
      </c>
      <c r="AF1143" s="94">
        <f t="shared" si="828"/>
        <v>4745.5252525252527</v>
      </c>
      <c r="AG1143">
        <f t="shared" si="841"/>
        <v>1.3480016350150484E-4</v>
      </c>
      <c r="AH1143">
        <f t="shared" si="829"/>
        <v>4.1799417531608658E-2</v>
      </c>
      <c r="AI1143">
        <f>HLOOKUP(AW1143,'Real assumptions'!$A$21:$AK$24,2,TRUE)</f>
        <v>0</v>
      </c>
      <c r="AJ1143" s="123">
        <f t="shared" si="853"/>
        <v>0</v>
      </c>
      <c r="AK1143" s="122">
        <f>(1+HLOOKUP(YEAR(A1143),'Real assumptions'!$A$21:$AK$24,2,TRUE)/100)^(1/12)-1</f>
        <v>0</v>
      </c>
      <c r="AL1143">
        <f t="shared" si="842"/>
        <v>2.9614028226118732E-4</v>
      </c>
      <c r="AM1143">
        <f>('Real assumptions'!$B$33/12)*O1142*AV1142</f>
        <v>2.8465343307299327E-4</v>
      </c>
      <c r="AN1143">
        <f t="shared" si="830"/>
        <v>4.1810000234471449E-2</v>
      </c>
      <c r="AO1143">
        <f t="shared" si="854"/>
        <v>0</v>
      </c>
      <c r="AP1143" s="121">
        <f t="shared" si="831"/>
        <v>0</v>
      </c>
      <c r="AQ1143">
        <f t="shared" si="832"/>
        <v>0</v>
      </c>
      <c r="AR1143">
        <v>0</v>
      </c>
      <c r="AS1143">
        <f t="shared" si="815"/>
        <v>0</v>
      </c>
      <c r="AT1143">
        <f t="shared" si="833"/>
        <v>0</v>
      </c>
      <c r="AU1143">
        <f>IFERROR(HLOOKUP(B1143,'Real assumptions'!$B$43:$AL$44,2,TRUE)*($W$3/$U$2),0)</f>
        <v>0</v>
      </c>
      <c r="AV1143">
        <f>AV1142*(1+'Real assumptions'!$B$35)^(1/12)</f>
        <v>3.224643849429528</v>
      </c>
      <c r="AW1143">
        <f t="shared" si="816"/>
        <v>2113</v>
      </c>
      <c r="AX1143">
        <f t="shared" si="843"/>
        <v>4.1931253572652864E-2</v>
      </c>
      <c r="AY1143">
        <f t="shared" si="844"/>
        <v>3.71909969546982E-5</v>
      </c>
      <c r="AZ1143">
        <f t="shared" si="817"/>
        <v>1.2081554215504582E-2</v>
      </c>
      <c r="BA1143">
        <f t="shared" si="834"/>
        <v>1.3480016350150484E-4</v>
      </c>
      <c r="BB1143">
        <f t="shared" si="835"/>
        <v>4.6666666666666714</v>
      </c>
      <c r="BC1143">
        <f t="shared" si="818"/>
        <v>2.8000000000000025</v>
      </c>
      <c r="BD1143">
        <f t="shared" si="836"/>
        <v>0</v>
      </c>
      <c r="BE1143">
        <f t="shared" si="819"/>
        <v>24</v>
      </c>
      <c r="BF1143">
        <f t="shared" si="845"/>
        <v>5000</v>
      </c>
      <c r="BU1143"/>
      <c r="DW1143" s="89"/>
      <c r="DX1143" s="89"/>
      <c r="FD1143"/>
      <c r="FE1143"/>
    </row>
    <row r="1144" spans="1:161" x14ac:dyDescent="0.25">
      <c r="A1144" s="7">
        <f t="shared" si="837"/>
        <v>77918</v>
      </c>
      <c r="B1144">
        <f t="shared" si="820"/>
        <v>1133</v>
      </c>
      <c r="C1144">
        <f t="shared" si="846"/>
        <v>94.333333333333329</v>
      </c>
      <c r="D1144">
        <f t="shared" si="847"/>
        <v>0</v>
      </c>
      <c r="E1144">
        <f t="shared" si="821"/>
        <v>146</v>
      </c>
      <c r="F1144">
        <f>IF(C1144&gt;=$T$2,0,VLOOKUP($E1144,EKM_F05!$A$3:$C$128,2,TRUE))</f>
        <v>0</v>
      </c>
      <c r="G1144">
        <f>F1144*'Real assumptions'!$B$3</f>
        <v>0</v>
      </c>
      <c r="H1144">
        <f t="shared" si="848"/>
        <v>0</v>
      </c>
      <c r="I1144">
        <f t="shared" si="849"/>
        <v>0</v>
      </c>
      <c r="J1144">
        <f>IF(B1144&gt;$AJ$2,0,HLOOKUP(C1144,'Real assumptions'!$B$5:$L$8,4,TRUE))</f>
        <v>3.7900000000000003E-2</v>
      </c>
      <c r="K1144">
        <f t="shared" si="810"/>
        <v>1</v>
      </c>
      <c r="L1144">
        <f t="shared" si="838"/>
        <v>8.3333333333333329E-2</v>
      </c>
      <c r="M1144">
        <f t="shared" si="850"/>
        <v>3.2145624959929453E-3</v>
      </c>
      <c r="N1144">
        <f t="shared" si="851"/>
        <v>2.8314429446973885E-8</v>
      </c>
      <c r="O1144" s="8">
        <f t="shared" si="822"/>
        <v>8.7798607055111188E-6</v>
      </c>
      <c r="P1144">
        <f t="shared" si="823"/>
        <v>2.1139620323899424E-4</v>
      </c>
      <c r="Q1144">
        <f t="shared" si="839"/>
        <v>0</v>
      </c>
      <c r="R1144" s="89">
        <f t="shared" si="811"/>
        <v>5000</v>
      </c>
      <c r="S1144">
        <f t="shared" si="812"/>
        <v>0.5833333333333286</v>
      </c>
      <c r="U1144">
        <f>O1143*AV1143*'Real assumptions'!$B$33/12+AX1144*'Real assumptions'!$B$34</f>
        <v>2.9549316665535295E-4</v>
      </c>
      <c r="V1144">
        <f>IF(P1144=0,0,IF(E1144&lt;=$C$7,$AN$5*O1143,0))*'Real assumptions'!$D$28</f>
        <v>0</v>
      </c>
      <c r="X1144" s="94">
        <f t="shared" si="824"/>
        <v>0</v>
      </c>
      <c r="Y1144">
        <f t="shared" si="813"/>
        <v>24</v>
      </c>
      <c r="Z1144">
        <f t="shared" si="840"/>
        <v>4</v>
      </c>
      <c r="AA1144">
        <f t="shared" si="814"/>
        <v>4.5833333333333286</v>
      </c>
      <c r="AB1144">
        <f t="shared" si="825"/>
        <v>50.505050505050505</v>
      </c>
      <c r="AC1144">
        <f t="shared" si="852"/>
        <v>231.48148148148124</v>
      </c>
      <c r="AD1144">
        <f t="shared" si="826"/>
        <v>80.505050505050505</v>
      </c>
      <c r="AE1144">
        <f t="shared" si="827"/>
        <v>18.449074074074055</v>
      </c>
      <c r="AF1144" s="94">
        <f t="shared" si="828"/>
        <v>4750.0694444444453</v>
      </c>
      <c r="AG1144">
        <f t="shared" si="841"/>
        <v>1.3449550615294867E-4</v>
      </c>
      <c r="AH1144">
        <f t="shared" si="829"/>
        <v>4.1704948063726814E-2</v>
      </c>
      <c r="AI1144">
        <f>HLOOKUP(AW1144,'Real assumptions'!$A$21:$AK$24,2,TRUE)</f>
        <v>0</v>
      </c>
      <c r="AJ1144" s="123">
        <f t="shared" si="853"/>
        <v>0</v>
      </c>
      <c r="AK1144" s="122">
        <f>(1+HLOOKUP(YEAR(A1144),'Real assumptions'!$A$21:$AK$24,2,TRUE)/100)^(1/12)-1</f>
        <v>0</v>
      </c>
      <c r="AL1144">
        <f t="shared" si="842"/>
        <v>2.9549316665535295E-4</v>
      </c>
      <c r="AM1144">
        <f>('Real assumptions'!$B$33/12)*O1143*AV1143</f>
        <v>2.8403227773640715E-4</v>
      </c>
      <c r="AN1144">
        <f t="shared" si="830"/>
        <v>4.1715320568192306E-2</v>
      </c>
      <c r="AO1144">
        <f t="shared" si="854"/>
        <v>0</v>
      </c>
      <c r="AP1144" s="121">
        <f t="shared" si="831"/>
        <v>0</v>
      </c>
      <c r="AQ1144">
        <f t="shared" si="832"/>
        <v>0</v>
      </c>
      <c r="AR1144">
        <v>0</v>
      </c>
      <c r="AS1144">
        <f t="shared" si="815"/>
        <v>0</v>
      </c>
      <c r="AT1144">
        <f t="shared" si="833"/>
        <v>0</v>
      </c>
      <c r="AU1144">
        <f>IFERROR(HLOOKUP(B1144,'Real assumptions'!$B$43:$AL$44,2,TRUE)*($W$3/$U$2),0)</f>
        <v>0</v>
      </c>
      <c r="AV1144">
        <f>AV1143*(1+'Real assumptions'!$B$35)^(1/12)</f>
        <v>3.2279837614453961</v>
      </c>
      <c r="AW1144">
        <f t="shared" si="816"/>
        <v>2113</v>
      </c>
      <c r="AX1144">
        <f t="shared" si="843"/>
        <v>4.1836488975779358E-2</v>
      </c>
      <c r="AY1144">
        <f t="shared" si="844"/>
        <v>3.7071444170699039E-5</v>
      </c>
      <c r="AZ1144">
        <f t="shared" si="817"/>
        <v>1.1862961745935274E-2</v>
      </c>
      <c r="BA1144">
        <f t="shared" si="834"/>
        <v>1.3449550615294867E-4</v>
      </c>
      <c r="BB1144">
        <f t="shared" si="835"/>
        <v>4.5833333333333286</v>
      </c>
      <c r="BC1144">
        <f t="shared" si="818"/>
        <v>2.7499999999999973</v>
      </c>
      <c r="BD1144">
        <f t="shared" si="836"/>
        <v>0</v>
      </c>
      <c r="BE1144">
        <f t="shared" si="819"/>
        <v>24</v>
      </c>
      <c r="BF1144">
        <f t="shared" si="845"/>
        <v>5000</v>
      </c>
      <c r="BU1144"/>
      <c r="DW1144" s="89"/>
      <c r="DX1144" s="89"/>
      <c r="FD1144"/>
      <c r="FE1144"/>
    </row>
    <row r="1145" spans="1:161" x14ac:dyDescent="0.25">
      <c r="A1145" s="7">
        <f t="shared" si="837"/>
        <v>77949</v>
      </c>
      <c r="B1145">
        <f t="shared" si="820"/>
        <v>1134</v>
      </c>
      <c r="C1145">
        <f t="shared" si="846"/>
        <v>94.416666666666671</v>
      </c>
      <c r="D1145">
        <f t="shared" si="847"/>
        <v>0</v>
      </c>
      <c r="E1145">
        <f t="shared" si="821"/>
        <v>146</v>
      </c>
      <c r="F1145">
        <f>IF(C1145&gt;=$T$2,0,VLOOKUP($E1145,EKM_F05!$A$3:$C$128,2,TRUE))</f>
        <v>0</v>
      </c>
      <c r="G1145">
        <f>F1145*'Real assumptions'!$B$3</f>
        <v>0</v>
      </c>
      <c r="H1145">
        <f t="shared" si="848"/>
        <v>0</v>
      </c>
      <c r="I1145">
        <f t="shared" si="849"/>
        <v>0</v>
      </c>
      <c r="J1145">
        <f>IF(B1145&gt;$AJ$2,0,HLOOKUP(C1145,'Real assumptions'!$B$5:$L$8,4,TRUE))</f>
        <v>3.7900000000000003E-2</v>
      </c>
      <c r="K1145">
        <f t="shared" si="810"/>
        <v>1</v>
      </c>
      <c r="L1145">
        <f t="shared" si="838"/>
        <v>8.3333333333333329E-2</v>
      </c>
      <c r="M1145">
        <f t="shared" si="850"/>
        <v>3.2145624959929453E-3</v>
      </c>
      <c r="N1145">
        <f t="shared" si="851"/>
        <v>2.8223410943978203E-8</v>
      </c>
      <c r="O1145" s="8">
        <f t="shared" si="822"/>
        <v>8.7516372945671412E-6</v>
      </c>
      <c r="P1145">
        <f t="shared" si="823"/>
        <v>2.1071665693226684E-4</v>
      </c>
      <c r="Q1145">
        <f t="shared" si="839"/>
        <v>0</v>
      </c>
      <c r="R1145" s="89">
        <f t="shared" si="811"/>
        <v>5000</v>
      </c>
      <c r="S1145">
        <f t="shared" si="812"/>
        <v>0.5</v>
      </c>
      <c r="U1145">
        <f>O1144*AV1144*'Real assumptions'!$B$33/12+AX1145*'Real assumptions'!$B$34</f>
        <v>2.9484745470459162E-4</v>
      </c>
      <c r="V1145">
        <f>IF(P1145=0,0,IF(E1145&lt;=$C$7,$AN$5*O1144,0))*'Real assumptions'!$D$28</f>
        <v>0</v>
      </c>
      <c r="X1145" s="94">
        <f t="shared" si="824"/>
        <v>0</v>
      </c>
      <c r="Y1145">
        <f t="shared" si="813"/>
        <v>24</v>
      </c>
      <c r="Z1145">
        <f t="shared" si="840"/>
        <v>4</v>
      </c>
      <c r="AA1145">
        <f t="shared" si="814"/>
        <v>4.5</v>
      </c>
      <c r="AB1145">
        <f t="shared" si="825"/>
        <v>50.505050505050505</v>
      </c>
      <c r="AC1145">
        <f t="shared" si="852"/>
        <v>227.27272727272728</v>
      </c>
      <c r="AD1145">
        <f t="shared" si="826"/>
        <v>80.505050505050505</v>
      </c>
      <c r="AE1145">
        <f t="shared" si="827"/>
        <v>18.113636363636363</v>
      </c>
      <c r="AF1145" s="94">
        <f t="shared" si="828"/>
        <v>4754.6136363636369</v>
      </c>
      <c r="AG1145">
        <f t="shared" si="841"/>
        <v>1.3419141453893348E-4</v>
      </c>
      <c r="AH1145">
        <f t="shared" si="829"/>
        <v>4.16106540212575E-2</v>
      </c>
      <c r="AI1145">
        <f>HLOOKUP(AW1145,'Real assumptions'!$A$21:$AK$24,2,TRUE)</f>
        <v>0</v>
      </c>
      <c r="AJ1145" s="123">
        <f t="shared" si="853"/>
        <v>0</v>
      </c>
      <c r="AK1145" s="122">
        <f>(1+HLOOKUP(YEAR(A1145),'Real assumptions'!$A$21:$AK$24,2,TRUE)/100)^(1/12)-1</f>
        <v>0</v>
      </c>
      <c r="AL1145">
        <f t="shared" si="842"/>
        <v>2.9484745470459162E-4</v>
      </c>
      <c r="AM1145">
        <f>('Real assumptions'!$B$33/12)*O1144*AV1144</f>
        <v>2.834124778514241E-4</v>
      </c>
      <c r="AN1145">
        <f t="shared" si="830"/>
        <v>4.1620817265954485E-2</v>
      </c>
      <c r="AO1145">
        <f t="shared" si="854"/>
        <v>0</v>
      </c>
      <c r="AP1145" s="121">
        <f t="shared" si="831"/>
        <v>0</v>
      </c>
      <c r="AQ1145">
        <f t="shared" si="832"/>
        <v>0</v>
      </c>
      <c r="AR1145">
        <v>0</v>
      </c>
      <c r="AS1145">
        <f t="shared" si="815"/>
        <v>0</v>
      </c>
      <c r="AT1145">
        <f t="shared" si="833"/>
        <v>0</v>
      </c>
      <c r="AU1145">
        <f>IFERROR(HLOOKUP(B1145,'Real assumptions'!$B$43:$AL$44,2,TRUE)*($W$3/$U$2),0)</f>
        <v>0</v>
      </c>
      <c r="AV1145">
        <f>AV1144*(1+'Real assumptions'!$B$35)^(1/12)</f>
        <v>3.231327132761824</v>
      </c>
      <c r="AW1145">
        <f t="shared" si="816"/>
        <v>2113</v>
      </c>
      <c r="AX1145">
        <f t="shared" si="843"/>
        <v>4.1741900339423411E-2</v>
      </c>
      <c r="AY1145">
        <f t="shared" si="844"/>
        <v>3.6952275696595613E-5</v>
      </c>
      <c r="AZ1145">
        <f t="shared" si="817"/>
        <v>1.1644639533624017E-2</v>
      </c>
      <c r="BA1145">
        <f t="shared" si="834"/>
        <v>1.3419141453893348E-4</v>
      </c>
      <c r="BB1145">
        <f t="shared" si="835"/>
        <v>4.5</v>
      </c>
      <c r="BC1145">
        <f t="shared" si="818"/>
        <v>2.7</v>
      </c>
      <c r="BD1145">
        <f t="shared" si="836"/>
        <v>0</v>
      </c>
      <c r="BE1145">
        <f t="shared" si="819"/>
        <v>24</v>
      </c>
      <c r="BF1145">
        <f t="shared" si="845"/>
        <v>5000</v>
      </c>
      <c r="BU1145"/>
      <c r="DW1145" s="89"/>
      <c r="DX1145" s="89"/>
      <c r="FD1145"/>
      <c r="FE1145"/>
    </row>
    <row r="1146" spans="1:161" x14ac:dyDescent="0.25">
      <c r="A1146" s="7">
        <f t="shared" si="837"/>
        <v>77979</v>
      </c>
      <c r="B1146">
        <f t="shared" si="820"/>
        <v>1135</v>
      </c>
      <c r="C1146">
        <f t="shared" si="846"/>
        <v>94.5</v>
      </c>
      <c r="D1146">
        <f t="shared" si="847"/>
        <v>0</v>
      </c>
      <c r="E1146">
        <f t="shared" si="821"/>
        <v>146</v>
      </c>
      <c r="F1146">
        <f>IF(C1146&gt;=$T$2,0,VLOOKUP($E1146,EKM_F05!$A$3:$C$128,2,TRUE))</f>
        <v>0</v>
      </c>
      <c r="G1146">
        <f>F1146*'Real assumptions'!$B$3</f>
        <v>0</v>
      </c>
      <c r="H1146">
        <f t="shared" si="848"/>
        <v>0</v>
      </c>
      <c r="I1146">
        <f t="shared" si="849"/>
        <v>0</v>
      </c>
      <c r="J1146">
        <f>IF(B1146&gt;$AJ$2,0,HLOOKUP(C1146,'Real assumptions'!$B$5:$L$8,4,TRUE))</f>
        <v>3.7900000000000003E-2</v>
      </c>
      <c r="K1146">
        <f t="shared" si="810"/>
        <v>1</v>
      </c>
      <c r="L1146">
        <f t="shared" si="838"/>
        <v>8.3333333333333329E-2</v>
      </c>
      <c r="M1146">
        <f t="shared" si="850"/>
        <v>3.2145624959929453E-3</v>
      </c>
      <c r="N1146">
        <f t="shared" si="851"/>
        <v>2.8132685025648697E-8</v>
      </c>
      <c r="O1146" s="8">
        <f t="shared" si="822"/>
        <v>8.7235046095414917E-6</v>
      </c>
      <c r="P1146">
        <f t="shared" si="823"/>
        <v>2.100392950696114E-4</v>
      </c>
      <c r="Q1146">
        <f t="shared" si="839"/>
        <v>0</v>
      </c>
      <c r="R1146" s="89">
        <f t="shared" si="811"/>
        <v>5000</v>
      </c>
      <c r="S1146">
        <f t="shared" si="812"/>
        <v>0.4166666666666714</v>
      </c>
      <c r="U1146">
        <f>O1145*AV1145*'Real assumptions'!$B$33/12+AX1146*'Real assumptions'!$B$34</f>
        <v>2.942031434094623E-4</v>
      </c>
      <c r="V1146">
        <f>IF(P1146=0,0,IF(E1146&lt;=$C$7,$AN$5*O1145,0))*'Real assumptions'!$D$28</f>
        <v>0</v>
      </c>
      <c r="X1146" s="94">
        <f t="shared" si="824"/>
        <v>0</v>
      </c>
      <c r="Y1146">
        <f t="shared" si="813"/>
        <v>24</v>
      </c>
      <c r="Z1146">
        <f t="shared" si="840"/>
        <v>4</v>
      </c>
      <c r="AA1146">
        <f t="shared" si="814"/>
        <v>4.4166666666666714</v>
      </c>
      <c r="AB1146">
        <f t="shared" si="825"/>
        <v>50.505050505050505</v>
      </c>
      <c r="AC1146">
        <f t="shared" si="852"/>
        <v>223.06397306397329</v>
      </c>
      <c r="AD1146">
        <f t="shared" si="826"/>
        <v>80.505050505050505</v>
      </c>
      <c r="AE1146">
        <f t="shared" si="827"/>
        <v>17.778198653198672</v>
      </c>
      <c r="AF1146" s="94">
        <f t="shared" si="828"/>
        <v>4759.1578282828277</v>
      </c>
      <c r="AG1146">
        <f t="shared" si="841"/>
        <v>1.3388788817043107E-4</v>
      </c>
      <c r="AH1146">
        <f t="shared" si="829"/>
        <v>4.1516535252560723E-2</v>
      </c>
      <c r="AI1146">
        <f>HLOOKUP(AW1146,'Real assumptions'!$A$21:$AK$24,2,TRUE)</f>
        <v>0</v>
      </c>
      <c r="AJ1146" s="123">
        <f t="shared" si="853"/>
        <v>0</v>
      </c>
      <c r="AK1146" s="122">
        <f>(1+HLOOKUP(YEAR(A1146),'Real assumptions'!$A$21:$AK$24,2,TRUE)/100)^(1/12)-1</f>
        <v>0</v>
      </c>
      <c r="AL1146">
        <f t="shared" si="842"/>
        <v>2.942031434094623E-4</v>
      </c>
      <c r="AM1146">
        <f>('Real assumptions'!$B$33/12)*O1145*AV1145</f>
        <v>2.8279403046025086E-4</v>
      </c>
      <c r="AN1146">
        <f t="shared" si="830"/>
        <v>4.1526490172917645E-2</v>
      </c>
      <c r="AO1146">
        <f t="shared" si="854"/>
        <v>0</v>
      </c>
      <c r="AP1146" s="121">
        <f t="shared" si="831"/>
        <v>0</v>
      </c>
      <c r="AQ1146">
        <f t="shared" si="832"/>
        <v>0</v>
      </c>
      <c r="AR1146">
        <v>0</v>
      </c>
      <c r="AS1146">
        <f t="shared" si="815"/>
        <v>0</v>
      </c>
      <c r="AT1146">
        <f t="shared" si="833"/>
        <v>0</v>
      </c>
      <c r="AU1146">
        <f>IFERROR(HLOOKUP(B1146,'Real assumptions'!$B$43:$AL$44,2,TRUE)*($W$3/$U$2),0)</f>
        <v>0</v>
      </c>
      <c r="AV1146">
        <f>AV1145*(1+'Real assumptions'!$B$35)^(1/12)</f>
        <v>3.2346739669617688</v>
      </c>
      <c r="AW1146">
        <f t="shared" si="816"/>
        <v>2113</v>
      </c>
      <c r="AX1146">
        <f t="shared" si="843"/>
        <v>4.1647487511554497E-2</v>
      </c>
      <c r="AY1146">
        <f t="shared" si="844"/>
        <v>3.6833490296999748E-5</v>
      </c>
      <c r="AZ1146">
        <f t="shared" si="817"/>
        <v>1.1426587797113735E-2</v>
      </c>
      <c r="BA1146">
        <f t="shared" si="834"/>
        <v>1.3388788817043107E-4</v>
      </c>
      <c r="BB1146">
        <f t="shared" si="835"/>
        <v>4.4166666666666714</v>
      </c>
      <c r="BC1146">
        <f t="shared" si="818"/>
        <v>2.650000000000003</v>
      </c>
      <c r="BD1146">
        <f t="shared" si="836"/>
        <v>0</v>
      </c>
      <c r="BE1146">
        <f t="shared" si="819"/>
        <v>24</v>
      </c>
      <c r="BF1146">
        <f t="shared" si="845"/>
        <v>5000</v>
      </c>
      <c r="BU1146"/>
      <c r="DW1146" s="89"/>
      <c r="DX1146" s="89"/>
      <c r="FD1146"/>
      <c r="FE1146"/>
    </row>
    <row r="1147" spans="1:161" x14ac:dyDescent="0.25">
      <c r="A1147" s="7">
        <f t="shared" si="837"/>
        <v>78010</v>
      </c>
      <c r="B1147">
        <f t="shared" si="820"/>
        <v>1136</v>
      </c>
      <c r="C1147">
        <f t="shared" si="846"/>
        <v>94.583333333333329</v>
      </c>
      <c r="D1147">
        <f t="shared" si="847"/>
        <v>0</v>
      </c>
      <c r="E1147">
        <f t="shared" si="821"/>
        <v>146</v>
      </c>
      <c r="F1147">
        <f>IF(C1147&gt;=$T$2,0,VLOOKUP($E1147,EKM_F05!$A$3:$C$128,2,TRUE))</f>
        <v>0</v>
      </c>
      <c r="G1147">
        <f>F1147*'Real assumptions'!$B$3</f>
        <v>0</v>
      </c>
      <c r="H1147">
        <f t="shared" si="848"/>
        <v>0</v>
      </c>
      <c r="I1147">
        <f t="shared" si="849"/>
        <v>0</v>
      </c>
      <c r="J1147">
        <f>IF(B1147&gt;$AJ$2,0,HLOOKUP(C1147,'Real assumptions'!$B$5:$L$8,4,TRUE))</f>
        <v>3.7900000000000003E-2</v>
      </c>
      <c r="K1147">
        <f t="shared" si="810"/>
        <v>1</v>
      </c>
      <c r="L1147">
        <f t="shared" si="838"/>
        <v>8.3333333333333329E-2</v>
      </c>
      <c r="M1147">
        <f t="shared" si="850"/>
        <v>3.2145624959929453E-3</v>
      </c>
      <c r="N1147">
        <f t="shared" si="851"/>
        <v>2.8042250751453661E-8</v>
      </c>
      <c r="O1147" s="8">
        <f t="shared" si="822"/>
        <v>8.6954623587900387E-6</v>
      </c>
      <c r="P1147">
        <f t="shared" si="823"/>
        <v>2.0936411062899579E-4</v>
      </c>
      <c r="Q1147">
        <f t="shared" si="839"/>
        <v>0</v>
      </c>
      <c r="R1147" s="89">
        <f t="shared" si="811"/>
        <v>5000</v>
      </c>
      <c r="S1147">
        <f t="shared" si="812"/>
        <v>0.3333333333333286</v>
      </c>
      <c r="U1147">
        <f>O1146*AV1146*'Real assumptions'!$B$33/12+AX1147*'Real assumptions'!$B$34</f>
        <v>2.9356022977674776E-4</v>
      </c>
      <c r="V1147">
        <f>IF(P1147=0,0,IF(E1147&lt;=$C$7,$AN$5*O1146,0))*'Real assumptions'!$D$28</f>
        <v>0</v>
      </c>
      <c r="X1147" s="94">
        <f t="shared" si="824"/>
        <v>0</v>
      </c>
      <c r="Y1147">
        <f t="shared" si="813"/>
        <v>24</v>
      </c>
      <c r="Z1147">
        <f t="shared" si="840"/>
        <v>4</v>
      </c>
      <c r="AA1147">
        <f t="shared" si="814"/>
        <v>4.3333333333333286</v>
      </c>
      <c r="AB1147">
        <f t="shared" si="825"/>
        <v>50.505050505050505</v>
      </c>
      <c r="AC1147">
        <f t="shared" si="852"/>
        <v>218.85521885521862</v>
      </c>
      <c r="AD1147">
        <f t="shared" si="826"/>
        <v>80.505050505050505</v>
      </c>
      <c r="AE1147">
        <f t="shared" si="827"/>
        <v>17.442760942760923</v>
      </c>
      <c r="AF1147" s="94">
        <f t="shared" si="828"/>
        <v>4763.7020202020203</v>
      </c>
      <c r="AG1147">
        <f t="shared" si="841"/>
        <v>1.3358492655571143E-4</v>
      </c>
      <c r="AH1147">
        <f t="shared" si="829"/>
        <v>4.142259160515873E-2</v>
      </c>
      <c r="AI1147">
        <f>HLOOKUP(AW1147,'Real assumptions'!$A$21:$AK$24,2,TRUE)</f>
        <v>0</v>
      </c>
      <c r="AJ1147" s="123">
        <f t="shared" si="853"/>
        <v>0</v>
      </c>
      <c r="AK1147" s="122">
        <f>(1+HLOOKUP(YEAR(A1147),'Real assumptions'!$A$21:$AK$24,2,TRUE)/100)^(1/12)-1</f>
        <v>0</v>
      </c>
      <c r="AL1147">
        <f t="shared" si="842"/>
        <v>2.9356022977674776E-4</v>
      </c>
      <c r="AM1147">
        <f>('Real assumptions'!$B$33/12)*O1146*AV1146</f>
        <v>2.8217693261154856E-4</v>
      </c>
      <c r="AN1147">
        <f t="shared" si="830"/>
        <v>4.1432339133412974E-2</v>
      </c>
      <c r="AO1147">
        <f t="shared" si="854"/>
        <v>0</v>
      </c>
      <c r="AP1147" s="121">
        <f t="shared" si="831"/>
        <v>0</v>
      </c>
      <c r="AQ1147">
        <f t="shared" si="832"/>
        <v>0</v>
      </c>
      <c r="AR1147">
        <v>0</v>
      </c>
      <c r="AS1147">
        <f t="shared" si="815"/>
        <v>0</v>
      </c>
      <c r="AT1147">
        <f t="shared" si="833"/>
        <v>0</v>
      </c>
      <c r="AU1147">
        <f>IFERROR(HLOOKUP(B1147,'Real assumptions'!$B$43:$AL$44,2,TRUE)*($W$3/$U$2),0)</f>
        <v>0</v>
      </c>
      <c r="AV1147">
        <f>AV1146*(1+'Real assumptions'!$B$35)^(1/12)</f>
        <v>3.2380242676318978</v>
      </c>
      <c r="AW1147">
        <f t="shared" si="816"/>
        <v>2113</v>
      </c>
      <c r="AX1147">
        <f t="shared" si="843"/>
        <v>4.1553250339301219E-2</v>
      </c>
      <c r="AY1147">
        <f t="shared" si="844"/>
        <v>3.671508674049449E-5</v>
      </c>
      <c r="AZ1147">
        <f t="shared" si="817"/>
        <v>1.1208806751410271E-2</v>
      </c>
      <c r="BA1147">
        <f t="shared" si="834"/>
        <v>1.3358492655571143E-4</v>
      </c>
      <c r="BB1147">
        <f t="shared" si="835"/>
        <v>4.3333333333333286</v>
      </c>
      <c r="BC1147">
        <f t="shared" si="818"/>
        <v>2.599999999999997</v>
      </c>
      <c r="BD1147">
        <f t="shared" si="836"/>
        <v>0</v>
      </c>
      <c r="BE1147">
        <f t="shared" si="819"/>
        <v>24</v>
      </c>
      <c r="BF1147">
        <f t="shared" si="845"/>
        <v>5000</v>
      </c>
      <c r="BU1147"/>
      <c r="DW1147" s="89"/>
      <c r="DX1147" s="89"/>
      <c r="FD1147"/>
      <c r="FE1147"/>
    </row>
    <row r="1148" spans="1:161" x14ac:dyDescent="0.25">
      <c r="A1148" s="7">
        <f t="shared" si="837"/>
        <v>78041</v>
      </c>
      <c r="B1148">
        <f t="shared" si="820"/>
        <v>1137</v>
      </c>
      <c r="C1148">
        <f t="shared" si="846"/>
        <v>94.666666666666671</v>
      </c>
      <c r="D1148">
        <f t="shared" si="847"/>
        <v>0</v>
      </c>
      <c r="E1148">
        <f t="shared" si="821"/>
        <v>146</v>
      </c>
      <c r="F1148">
        <f>IF(C1148&gt;=$T$2,0,VLOOKUP($E1148,EKM_F05!$A$3:$C$128,2,TRUE))</f>
        <v>0</v>
      </c>
      <c r="G1148">
        <f>F1148*'Real assumptions'!$B$3</f>
        <v>0</v>
      </c>
      <c r="H1148">
        <f t="shared" si="848"/>
        <v>0</v>
      </c>
      <c r="I1148">
        <f t="shared" si="849"/>
        <v>0</v>
      </c>
      <c r="J1148">
        <f>IF(B1148&gt;$AJ$2,0,HLOOKUP(C1148,'Real assumptions'!$B$5:$L$8,4,TRUE))</f>
        <v>3.7900000000000003E-2</v>
      </c>
      <c r="K1148">
        <f t="shared" si="810"/>
        <v>1</v>
      </c>
      <c r="L1148">
        <f t="shared" si="838"/>
        <v>8.3333333333333329E-2</v>
      </c>
      <c r="M1148">
        <f t="shared" si="850"/>
        <v>3.2145624959929453E-3</v>
      </c>
      <c r="N1148">
        <f t="shared" si="851"/>
        <v>2.795210718388481E-8</v>
      </c>
      <c r="O1148" s="8">
        <f t="shared" si="822"/>
        <v>8.6675102516061533E-6</v>
      </c>
      <c r="P1148">
        <f t="shared" si="823"/>
        <v>2.0869109661096093E-4</v>
      </c>
      <c r="Q1148">
        <f t="shared" si="839"/>
        <v>0</v>
      </c>
      <c r="R1148" s="89">
        <f t="shared" si="811"/>
        <v>5000</v>
      </c>
      <c r="S1148">
        <f t="shared" si="812"/>
        <v>0.25</v>
      </c>
      <c r="U1148">
        <f>O1147*AV1147*'Real assumptions'!$B$33/12+AX1148*'Real assumptions'!$B$34</f>
        <v>2.9291871081944245E-4</v>
      </c>
      <c r="V1148">
        <f>IF(P1148=0,0,IF(E1148&lt;=$C$7,$AN$5*O1147,0))*'Real assumptions'!$D$28</f>
        <v>0</v>
      </c>
      <c r="X1148" s="94">
        <f t="shared" si="824"/>
        <v>0</v>
      </c>
      <c r="Y1148">
        <f t="shared" si="813"/>
        <v>24</v>
      </c>
      <c r="Z1148">
        <f t="shared" si="840"/>
        <v>4</v>
      </c>
      <c r="AA1148">
        <f t="shared" si="814"/>
        <v>4.25</v>
      </c>
      <c r="AB1148">
        <f t="shared" si="825"/>
        <v>50.505050505050505</v>
      </c>
      <c r="AC1148">
        <f t="shared" si="852"/>
        <v>214.64646464646464</v>
      </c>
      <c r="AD1148">
        <f t="shared" si="826"/>
        <v>80.505050505050505</v>
      </c>
      <c r="AE1148">
        <f t="shared" si="827"/>
        <v>17.107323232323232</v>
      </c>
      <c r="AF1148" s="94">
        <f t="shared" si="828"/>
        <v>4768.246212121212</v>
      </c>
      <c r="AG1148">
        <f t="shared" si="841"/>
        <v>1.3328252920036487E-4</v>
      </c>
      <c r="AH1148">
        <f t="shared" si="829"/>
        <v>4.1328822925742817E-2</v>
      </c>
      <c r="AI1148">
        <f>HLOOKUP(AW1148,'Real assumptions'!$A$21:$AK$24,2,TRUE)</f>
        <v>0</v>
      </c>
      <c r="AJ1148" s="123">
        <f t="shared" si="853"/>
        <v>0</v>
      </c>
      <c r="AK1148" s="122">
        <f>(1+HLOOKUP(YEAR(A1148),'Real assumptions'!$A$21:$AK$24,2,TRUE)/100)^(1/12)-1</f>
        <v>0</v>
      </c>
      <c r="AL1148">
        <f t="shared" si="842"/>
        <v>2.9291871081944245E-4</v>
      </c>
      <c r="AM1148">
        <f>('Real assumptions'!$B$33/12)*O1147*AV1147</f>
        <v>2.8156118136041849E-4</v>
      </c>
      <c r="AN1148">
        <f t="shared" si="830"/>
        <v>4.1338363990950248E-2</v>
      </c>
      <c r="AO1148">
        <f t="shared" si="854"/>
        <v>0</v>
      </c>
      <c r="AP1148" s="121">
        <f t="shared" si="831"/>
        <v>0</v>
      </c>
      <c r="AQ1148">
        <f t="shared" si="832"/>
        <v>0</v>
      </c>
      <c r="AR1148">
        <v>0</v>
      </c>
      <c r="AS1148">
        <f t="shared" si="815"/>
        <v>0</v>
      </c>
      <c r="AT1148">
        <f t="shared" si="833"/>
        <v>0</v>
      </c>
      <c r="AU1148">
        <f>IFERROR(HLOOKUP(B1148,'Real assumptions'!$B$43:$AL$44,2,TRUE)*($W$3/$U$2),0)</f>
        <v>0</v>
      </c>
      <c r="AV1148">
        <f>AV1147*(1+'Real assumptions'!$B$35)^(1/12)</f>
        <v>3.2413780383625941</v>
      </c>
      <c r="AW1148">
        <f t="shared" si="816"/>
        <v>2113</v>
      </c>
      <c r="AX1148">
        <f t="shared" si="843"/>
        <v>4.1459188668958355E-2</v>
      </c>
      <c r="AY1148">
        <f t="shared" si="844"/>
        <v>3.659706379962137E-5</v>
      </c>
      <c r="AZ1148">
        <f t="shared" si="817"/>
        <v>1.0991296608001425E-2</v>
      </c>
      <c r="BA1148">
        <f t="shared" si="834"/>
        <v>1.3328252920036487E-4</v>
      </c>
      <c r="BB1148">
        <f t="shared" si="835"/>
        <v>4.25</v>
      </c>
      <c r="BC1148">
        <f t="shared" si="818"/>
        <v>2.5499999999999998</v>
      </c>
      <c r="BD1148">
        <f t="shared" si="836"/>
        <v>0</v>
      </c>
      <c r="BE1148">
        <f t="shared" si="819"/>
        <v>24</v>
      </c>
      <c r="BF1148">
        <f t="shared" si="845"/>
        <v>5000</v>
      </c>
      <c r="BU1148"/>
      <c r="DW1148" s="89"/>
      <c r="DX1148" s="89"/>
      <c r="FD1148"/>
      <c r="FE1148"/>
    </row>
    <row r="1149" spans="1:161" x14ac:dyDescent="0.25">
      <c r="A1149" s="7">
        <f t="shared" si="837"/>
        <v>78071</v>
      </c>
      <c r="B1149">
        <f t="shared" si="820"/>
        <v>1138</v>
      </c>
      <c r="C1149">
        <f t="shared" si="846"/>
        <v>94.75</v>
      </c>
      <c r="D1149">
        <f t="shared" si="847"/>
        <v>0</v>
      </c>
      <c r="E1149">
        <f t="shared" si="821"/>
        <v>146</v>
      </c>
      <c r="F1149">
        <f>IF(C1149&gt;=$T$2,0,VLOOKUP($E1149,EKM_F05!$A$3:$C$128,2,TRUE))</f>
        <v>0</v>
      </c>
      <c r="G1149">
        <f>F1149*'Real assumptions'!$B$3</f>
        <v>0</v>
      </c>
      <c r="H1149">
        <f t="shared" si="848"/>
        <v>0</v>
      </c>
      <c r="I1149">
        <f t="shared" si="849"/>
        <v>0</v>
      </c>
      <c r="J1149">
        <f>IF(B1149&gt;$AJ$2,0,HLOOKUP(C1149,'Real assumptions'!$B$5:$L$8,4,TRUE))</f>
        <v>3.7900000000000003E-2</v>
      </c>
      <c r="K1149">
        <f t="shared" si="810"/>
        <v>1</v>
      </c>
      <c r="L1149">
        <f t="shared" si="838"/>
        <v>8.3333333333333329E-2</v>
      </c>
      <c r="M1149">
        <f t="shared" si="850"/>
        <v>3.2145624959929453E-3</v>
      </c>
      <c r="N1149">
        <f t="shared" si="851"/>
        <v>2.7862253388447519E-8</v>
      </c>
      <c r="O1149" s="8">
        <f t="shared" si="822"/>
        <v>8.6396479982177062E-6</v>
      </c>
      <c r="P1149">
        <f t="shared" si="823"/>
        <v>2.0802024603854767E-4</v>
      </c>
      <c r="Q1149">
        <f t="shared" si="839"/>
        <v>0</v>
      </c>
      <c r="R1149" s="89">
        <f t="shared" si="811"/>
        <v>5000</v>
      </c>
      <c r="S1149">
        <f t="shared" si="812"/>
        <v>0.1666666666666714</v>
      </c>
      <c r="U1149">
        <f>O1148*AV1148*'Real assumptions'!$B$33/12+AX1149*'Real assumptions'!$B$34</f>
        <v>2.9227858355674084E-4</v>
      </c>
      <c r="V1149">
        <f>IF(P1149=0,0,IF(E1149&lt;=$C$7,$AN$5*O1148,0))*'Real assumptions'!$D$28</f>
        <v>0</v>
      </c>
      <c r="X1149" s="94">
        <f t="shared" si="824"/>
        <v>0</v>
      </c>
      <c r="Y1149">
        <f t="shared" si="813"/>
        <v>24</v>
      </c>
      <c r="Z1149">
        <f t="shared" si="840"/>
        <v>4</v>
      </c>
      <c r="AA1149">
        <f t="shared" si="814"/>
        <v>4.1666666666666714</v>
      </c>
      <c r="AB1149">
        <f t="shared" si="825"/>
        <v>50.505050505050505</v>
      </c>
      <c r="AC1149">
        <f t="shared" si="852"/>
        <v>210.43771043771068</v>
      </c>
      <c r="AD1149">
        <f t="shared" si="826"/>
        <v>80.505050505050505</v>
      </c>
      <c r="AE1149">
        <f t="shared" si="827"/>
        <v>16.77188552188554</v>
      </c>
      <c r="AF1149" s="94">
        <f t="shared" si="828"/>
        <v>4772.7904040404037</v>
      </c>
      <c r="AG1149">
        <f t="shared" si="841"/>
        <v>1.3298069560732455E-4</v>
      </c>
      <c r="AH1149">
        <f t="shared" si="829"/>
        <v>4.1235229060180352E-2</v>
      </c>
      <c r="AI1149">
        <f>HLOOKUP(AW1149,'Real assumptions'!$A$21:$AK$24,2,TRUE)</f>
        <v>0</v>
      </c>
      <c r="AJ1149" s="123">
        <f t="shared" si="853"/>
        <v>0</v>
      </c>
      <c r="AK1149" s="122">
        <f>(1+HLOOKUP(YEAR(A1149),'Real assumptions'!$A$21:$AK$24,2,TRUE)/100)^(1/12)-1</f>
        <v>0</v>
      </c>
      <c r="AL1149">
        <f t="shared" si="842"/>
        <v>2.9227858355674084E-4</v>
      </c>
      <c r="AM1149">
        <f>('Real assumptions'!$B$33/12)*O1148*AV1148</f>
        <v>2.809467737683883E-4</v>
      </c>
      <c r="AN1149">
        <f t="shared" si="830"/>
        <v>4.1244564588224626E-2</v>
      </c>
      <c r="AO1149">
        <f t="shared" si="854"/>
        <v>0</v>
      </c>
      <c r="AP1149" s="121">
        <f t="shared" si="831"/>
        <v>0</v>
      </c>
      <c r="AQ1149">
        <f t="shared" si="832"/>
        <v>0</v>
      </c>
      <c r="AR1149">
        <v>0</v>
      </c>
      <c r="AS1149">
        <f t="shared" si="815"/>
        <v>0</v>
      </c>
      <c r="AT1149">
        <f t="shared" si="833"/>
        <v>0</v>
      </c>
      <c r="AU1149">
        <f>IFERROR(HLOOKUP(B1149,'Real assumptions'!$B$43:$AL$44,2,TRUE)*($W$3/$U$2),0)</f>
        <v>0</v>
      </c>
      <c r="AV1149">
        <f>AV1148*(1+'Real assumptions'!$B$35)^(1/12)</f>
        <v>3.2447352827479587</v>
      </c>
      <c r="AW1149">
        <f t="shared" si="816"/>
        <v>2113</v>
      </c>
      <c r="AX1149">
        <f t="shared" si="843"/>
        <v>4.1365302345993685E-2</v>
      </c>
      <c r="AY1149">
        <f t="shared" si="844"/>
        <v>3.6479420250867649E-5</v>
      </c>
      <c r="AZ1149">
        <f t="shared" si="817"/>
        <v>1.0774057574875906E-2</v>
      </c>
      <c r="BA1149">
        <f t="shared" si="834"/>
        <v>1.3298069560732455E-4</v>
      </c>
      <c r="BB1149">
        <f t="shared" si="835"/>
        <v>4.1666666666666714</v>
      </c>
      <c r="BC1149">
        <f t="shared" si="818"/>
        <v>2.5000000000000027</v>
      </c>
      <c r="BD1149">
        <f t="shared" si="836"/>
        <v>0</v>
      </c>
      <c r="BE1149">
        <f t="shared" si="819"/>
        <v>24</v>
      </c>
      <c r="BF1149">
        <f t="shared" si="845"/>
        <v>5000</v>
      </c>
      <c r="BU1149"/>
      <c r="DW1149" s="89"/>
      <c r="DX1149" s="89"/>
      <c r="FD1149"/>
      <c r="FE1149"/>
    </row>
    <row r="1150" spans="1:161" x14ac:dyDescent="0.25">
      <c r="A1150" s="7">
        <f t="shared" si="837"/>
        <v>78102</v>
      </c>
      <c r="B1150">
        <f t="shared" si="820"/>
        <v>1139</v>
      </c>
      <c r="C1150">
        <f t="shared" si="846"/>
        <v>94.833333333333329</v>
      </c>
      <c r="D1150">
        <f t="shared" si="847"/>
        <v>0</v>
      </c>
      <c r="E1150">
        <f t="shared" si="821"/>
        <v>146</v>
      </c>
      <c r="F1150">
        <f>IF(C1150&gt;=$T$2,0,VLOOKUP($E1150,EKM_F05!$A$3:$C$128,2,TRUE))</f>
        <v>0</v>
      </c>
      <c r="G1150">
        <f>F1150*'Real assumptions'!$B$3</f>
        <v>0</v>
      </c>
      <c r="H1150">
        <f t="shared" si="848"/>
        <v>0</v>
      </c>
      <c r="I1150">
        <f t="shared" si="849"/>
        <v>0</v>
      </c>
      <c r="J1150">
        <f>IF(B1150&gt;$AJ$2,0,HLOOKUP(C1150,'Real assumptions'!$B$5:$L$8,4,TRUE))</f>
        <v>3.7900000000000003E-2</v>
      </c>
      <c r="K1150">
        <f t="shared" si="810"/>
        <v>1</v>
      </c>
      <c r="L1150">
        <f t="shared" si="838"/>
        <v>8.3333333333333329E-2</v>
      </c>
      <c r="M1150">
        <f t="shared" si="850"/>
        <v>3.2145624959929453E-3</v>
      </c>
      <c r="N1150">
        <f t="shared" si="851"/>
        <v>2.7772688433651163E-8</v>
      </c>
      <c r="O1150" s="8">
        <f t="shared" si="822"/>
        <v>8.611875309784055E-6</v>
      </c>
      <c r="P1150">
        <f t="shared" si="823"/>
        <v>2.0735155195722495E-4</v>
      </c>
      <c r="Q1150">
        <f t="shared" si="839"/>
        <v>0</v>
      </c>
      <c r="R1150" s="89">
        <f t="shared" si="811"/>
        <v>5000</v>
      </c>
      <c r="S1150">
        <f t="shared" si="812"/>
        <v>8.3333333333328596E-2</v>
      </c>
      <c r="U1150">
        <f>O1149*AV1149*'Real assumptions'!$B$33/12+AX1150*'Real assumptions'!$B$34</f>
        <v>2.9163984501402458E-4</v>
      </c>
      <c r="V1150">
        <f>IF(P1150=0,0,IF(E1150&lt;=$C$7,$AN$5*O1149,0))*'Real assumptions'!$D$28</f>
        <v>0</v>
      </c>
      <c r="X1150" s="94">
        <f t="shared" si="824"/>
        <v>0</v>
      </c>
      <c r="Y1150">
        <f t="shared" si="813"/>
        <v>24</v>
      </c>
      <c r="Z1150">
        <f t="shared" si="840"/>
        <v>4</v>
      </c>
      <c r="AA1150">
        <f t="shared" si="814"/>
        <v>4.0833333333333286</v>
      </c>
      <c r="AB1150">
        <f t="shared" si="825"/>
        <v>50.505050505050505</v>
      </c>
      <c r="AC1150">
        <f t="shared" si="852"/>
        <v>206.22895622895598</v>
      </c>
      <c r="AD1150">
        <f t="shared" si="826"/>
        <v>80.505050505050505</v>
      </c>
      <c r="AE1150">
        <f t="shared" si="827"/>
        <v>16.436447811447792</v>
      </c>
      <c r="AF1150" s="94">
        <f t="shared" si="828"/>
        <v>4777.3345959595963</v>
      </c>
      <c r="AG1150">
        <f t="shared" si="841"/>
        <v>1.3267942527688862E-4</v>
      </c>
      <c r="AH1150">
        <f t="shared" si="829"/>
        <v>4.114180985352163E-2</v>
      </c>
      <c r="AI1150">
        <f>HLOOKUP(AW1150,'Real assumptions'!$A$21:$AK$24,2,TRUE)</f>
        <v>0</v>
      </c>
      <c r="AJ1150" s="123">
        <f t="shared" si="853"/>
        <v>0</v>
      </c>
      <c r="AK1150" s="122">
        <f>(1+HLOOKUP(YEAR(A1150),'Real assumptions'!$A$21:$AK$24,2,TRUE)/100)^(1/12)-1</f>
        <v>0</v>
      </c>
      <c r="AL1150">
        <f t="shared" si="842"/>
        <v>2.9163984501402458E-4</v>
      </c>
      <c r="AM1150">
        <f>('Real assumptions'!$B$33/12)*O1149*AV1149</f>
        <v>2.8033370690339765E-4</v>
      </c>
      <c r="AN1150">
        <f t="shared" si="830"/>
        <v>4.1150940767123549E-2</v>
      </c>
      <c r="AO1150">
        <f t="shared" si="854"/>
        <v>0</v>
      </c>
      <c r="AP1150" s="121">
        <f t="shared" si="831"/>
        <v>0</v>
      </c>
      <c r="AQ1150">
        <f t="shared" si="832"/>
        <v>0</v>
      </c>
      <c r="AR1150">
        <v>0</v>
      </c>
      <c r="AS1150">
        <f t="shared" si="815"/>
        <v>0</v>
      </c>
      <c r="AT1150">
        <f t="shared" si="833"/>
        <v>0</v>
      </c>
      <c r="AU1150">
        <f>IFERROR(HLOOKUP(B1150,'Real assumptions'!$B$43:$AL$44,2,TRUE)*($W$3/$U$2),0)</f>
        <v>0</v>
      </c>
      <c r="AV1150">
        <f>AV1149*(1+'Real assumptions'!$B$35)^(1/12)</f>
        <v>3.248096004385816</v>
      </c>
      <c r="AW1150">
        <f t="shared" si="816"/>
        <v>2113</v>
      </c>
      <c r="AX1150">
        <f t="shared" si="843"/>
        <v>4.1271591215055005E-2</v>
      </c>
      <c r="AY1150">
        <f t="shared" si="844"/>
        <v>3.6362154874653644E-5</v>
      </c>
      <c r="AZ1150">
        <f t="shared" si="817"/>
        <v>1.0557089856542218E-2</v>
      </c>
      <c r="BA1150">
        <f t="shared" si="834"/>
        <v>1.3267942527688862E-4</v>
      </c>
      <c r="BB1150">
        <f t="shared" si="835"/>
        <v>4.0833333333333286</v>
      </c>
      <c r="BC1150">
        <f t="shared" si="818"/>
        <v>2.4499999999999971</v>
      </c>
      <c r="BD1150">
        <f t="shared" si="836"/>
        <v>0</v>
      </c>
      <c r="BE1150">
        <f t="shared" si="819"/>
        <v>24</v>
      </c>
      <c r="BF1150">
        <f t="shared" si="845"/>
        <v>5000</v>
      </c>
      <c r="BU1150"/>
      <c r="DW1150" s="89"/>
      <c r="DX1150" s="89"/>
      <c r="FD1150"/>
      <c r="FE1150"/>
    </row>
    <row r="1151" spans="1:161" x14ac:dyDescent="0.25">
      <c r="A1151" s="7">
        <f t="shared" si="837"/>
        <v>78132</v>
      </c>
      <c r="B1151">
        <f t="shared" si="820"/>
        <v>1140</v>
      </c>
      <c r="C1151">
        <f t="shared" si="846"/>
        <v>94.916666666666671</v>
      </c>
      <c r="D1151">
        <f t="shared" si="847"/>
        <v>0</v>
      </c>
      <c r="E1151">
        <f t="shared" si="821"/>
        <v>146</v>
      </c>
      <c r="F1151">
        <f>IF(C1151&gt;=$T$2,0,VLOOKUP($E1151,EKM_F05!$A$3:$C$128,2,TRUE))</f>
        <v>0</v>
      </c>
      <c r="G1151">
        <f>F1151*'Real assumptions'!$B$3</f>
        <v>0</v>
      </c>
      <c r="H1151">
        <f t="shared" si="848"/>
        <v>0</v>
      </c>
      <c r="I1151">
        <f t="shared" si="849"/>
        <v>0</v>
      </c>
      <c r="J1151">
        <f>IF(B1151&gt;$AJ$2,0,HLOOKUP(C1151,'Real assumptions'!$B$5:$L$8,4,TRUE))</f>
        <v>3.7900000000000003E-2</v>
      </c>
      <c r="K1151">
        <f t="shared" si="810"/>
        <v>1</v>
      </c>
      <c r="L1151">
        <f t="shared" si="838"/>
        <v>8.3333333333333329E-2</v>
      </c>
      <c r="M1151">
        <f t="shared" si="850"/>
        <v>3.2145624959929453E-3</v>
      </c>
      <c r="N1151">
        <f t="shared" si="851"/>
        <v>2.768341139099945E-8</v>
      </c>
      <c r="O1151" s="8">
        <f t="shared" si="822"/>
        <v>8.5841918983930563E-6</v>
      </c>
      <c r="P1151">
        <f t="shared" si="823"/>
        <v>2.0668500743481732E-4</v>
      </c>
      <c r="Q1151">
        <f t="shared" si="839"/>
        <v>0</v>
      </c>
      <c r="R1151" s="89">
        <f t="shared" si="811"/>
        <v>5000</v>
      </c>
      <c r="S1151">
        <f t="shared" si="812"/>
        <v>1</v>
      </c>
      <c r="U1151">
        <f>O1150*AV1150*'Real assumptions'!$B$33/12+AX1151*'Real assumptions'!$B$34</f>
        <v>2.9100249222285097E-4</v>
      </c>
      <c r="V1151">
        <f>IF(P1151=0,0,IF(E1151&lt;=$C$7,$AN$5*O1150,0))*'Real assumptions'!$D$28</f>
        <v>0</v>
      </c>
      <c r="X1151" s="94">
        <f t="shared" si="824"/>
        <v>0</v>
      </c>
      <c r="Y1151">
        <f t="shared" si="813"/>
        <v>24</v>
      </c>
      <c r="Z1151">
        <f t="shared" si="840"/>
        <v>4</v>
      </c>
      <c r="AA1151">
        <f t="shared" si="814"/>
        <v>4</v>
      </c>
      <c r="AB1151">
        <f t="shared" si="825"/>
        <v>50.505050505050505</v>
      </c>
      <c r="AC1151">
        <f t="shared" si="852"/>
        <v>202.02020202020202</v>
      </c>
      <c r="AD1151">
        <f t="shared" si="826"/>
        <v>80.505050505050505</v>
      </c>
      <c r="AE1151">
        <f t="shared" si="827"/>
        <v>16.1010101010101</v>
      </c>
      <c r="AF1151" s="94">
        <f t="shared" si="828"/>
        <v>4781.878787878788</v>
      </c>
      <c r="AG1151">
        <f t="shared" si="841"/>
        <v>1.3237871770674229E-4</v>
      </c>
      <c r="AH1151">
        <f t="shared" si="829"/>
        <v>4.1048565150006697E-2</v>
      </c>
      <c r="AI1151">
        <f>HLOOKUP(AW1151,'Real assumptions'!$A$21:$AK$24,2,TRUE)</f>
        <v>0</v>
      </c>
      <c r="AJ1151" s="123">
        <f t="shared" si="853"/>
        <v>0</v>
      </c>
      <c r="AK1151" s="122">
        <f>(1+HLOOKUP(YEAR(A1151),'Real assumptions'!$A$21:$AK$24,2,TRUE)/100)^(1/12)-1</f>
        <v>0</v>
      </c>
      <c r="AL1151">
        <f t="shared" si="842"/>
        <v>2.9100249222285097E-4</v>
      </c>
      <c r="AM1151">
        <f>('Real assumptions'!$B$33/12)*O1150*AV1150</f>
        <v>2.7972197783978449E-4</v>
      </c>
      <c r="AN1151">
        <f t="shared" si="830"/>
        <v>4.1057492368733593E-2</v>
      </c>
      <c r="AO1151">
        <f t="shared" si="854"/>
        <v>0</v>
      </c>
      <c r="AP1151" s="121">
        <f t="shared" si="831"/>
        <v>0</v>
      </c>
      <c r="AQ1151">
        <f t="shared" si="832"/>
        <v>0</v>
      </c>
      <c r="AR1151">
        <v>0</v>
      </c>
      <c r="AS1151">
        <f t="shared" si="815"/>
        <v>0</v>
      </c>
      <c r="AT1151">
        <f t="shared" si="833"/>
        <v>0</v>
      </c>
      <c r="AU1151">
        <f>IFERROR(HLOOKUP(B1151,'Real assumptions'!$B$43:$AL$44,2,TRUE)*($W$3/$U$2),0)</f>
        <v>0</v>
      </c>
      <c r="AV1151">
        <f>AV1150*(1+'Real assumptions'!$B$35)^(1/12)</f>
        <v>3.2514602068777161</v>
      </c>
      <c r="AW1151">
        <f t="shared" si="816"/>
        <v>2113</v>
      </c>
      <c r="AX1151">
        <f t="shared" si="843"/>
        <v>4.117805511997695E-2</v>
      </c>
      <c r="AY1151">
        <f t="shared" si="844"/>
        <v>3.6245266455320091E-5</v>
      </c>
      <c r="AZ1151">
        <f t="shared" si="817"/>
        <v>1.0340393654047441E-2</v>
      </c>
      <c r="BA1151">
        <f t="shared" si="834"/>
        <v>1.3237871770674229E-4</v>
      </c>
      <c r="BB1151">
        <f t="shared" si="835"/>
        <v>4</v>
      </c>
      <c r="BC1151">
        <f t="shared" si="818"/>
        <v>2.4</v>
      </c>
      <c r="BD1151">
        <f t="shared" si="836"/>
        <v>0</v>
      </c>
      <c r="BE1151">
        <f t="shared" si="819"/>
        <v>24</v>
      </c>
      <c r="BF1151">
        <f t="shared" si="845"/>
        <v>5000</v>
      </c>
      <c r="BU1151"/>
      <c r="DW1151" s="89"/>
      <c r="DX1151" s="89"/>
      <c r="FD1151"/>
      <c r="FE1151"/>
    </row>
    <row r="1152" spans="1:161" x14ac:dyDescent="0.25">
      <c r="A1152" s="7">
        <f t="shared" si="837"/>
        <v>78163</v>
      </c>
      <c r="B1152">
        <f t="shared" si="820"/>
        <v>1141</v>
      </c>
      <c r="C1152">
        <f t="shared" si="846"/>
        <v>95</v>
      </c>
      <c r="D1152">
        <f t="shared" si="847"/>
        <v>1</v>
      </c>
      <c r="E1152">
        <f t="shared" si="821"/>
        <v>147</v>
      </c>
      <c r="F1152">
        <f>IF(C1152&gt;=$T$2,0,VLOOKUP($E1152,EKM_F05!$A$3:$C$128,2,TRUE))</f>
        <v>0</v>
      </c>
      <c r="G1152">
        <f>F1152*'Real assumptions'!$B$3</f>
        <v>0</v>
      </c>
      <c r="H1152">
        <f t="shared" si="848"/>
        <v>0</v>
      </c>
      <c r="I1152">
        <f t="shared" si="849"/>
        <v>0</v>
      </c>
      <c r="J1152">
        <f>IF(B1152&gt;$AJ$2,0,HLOOKUP(C1152,'Real assumptions'!$B$5:$L$8,4,TRUE))</f>
        <v>3.7900000000000003E-2</v>
      </c>
      <c r="K1152">
        <f t="shared" si="810"/>
        <v>1</v>
      </c>
      <c r="L1152">
        <f t="shared" si="838"/>
        <v>8.3333333333333329E-2</v>
      </c>
      <c r="M1152">
        <f t="shared" si="850"/>
        <v>3.2145624959929453E-3</v>
      </c>
      <c r="N1152">
        <f t="shared" si="851"/>
        <v>2.7594421334980802E-8</v>
      </c>
      <c r="O1152" s="8">
        <f t="shared" si="822"/>
        <v>8.5565974770580756E-6</v>
      </c>
      <c r="P1152">
        <f t="shared" si="823"/>
        <v>2.0602060556143336E-4</v>
      </c>
      <c r="Q1152">
        <f t="shared" si="839"/>
        <v>0</v>
      </c>
      <c r="R1152" s="89">
        <f t="shared" si="811"/>
        <v>5000</v>
      </c>
      <c r="S1152">
        <f t="shared" si="812"/>
        <v>0.9166666666666714</v>
      </c>
      <c r="U1152">
        <f>O1151*AV1151*'Real assumptions'!$B$33/12+AX1152*'Real assumptions'!$B$34</f>
        <v>2.9036652222094061E-4</v>
      </c>
      <c r="V1152">
        <f>IF(P1152=0,0,IF(E1152&lt;=$C$7,$AN$5*O1151,0))*'Real assumptions'!$D$28</f>
        <v>0</v>
      </c>
      <c r="X1152" s="94">
        <f t="shared" si="824"/>
        <v>0</v>
      </c>
      <c r="Y1152">
        <f t="shared" si="813"/>
        <v>24</v>
      </c>
      <c r="Z1152">
        <f t="shared" si="840"/>
        <v>4</v>
      </c>
      <c r="AA1152">
        <f t="shared" si="814"/>
        <v>3.9166666666666714</v>
      </c>
      <c r="AB1152">
        <f t="shared" si="825"/>
        <v>50.505050505050505</v>
      </c>
      <c r="AC1152">
        <f t="shared" si="852"/>
        <v>197.81144781144806</v>
      </c>
      <c r="AD1152">
        <f t="shared" si="826"/>
        <v>80.505050505050505</v>
      </c>
      <c r="AE1152">
        <f t="shared" si="827"/>
        <v>15.765572390572409</v>
      </c>
      <c r="AF1152" s="94">
        <f t="shared" si="828"/>
        <v>4786.4229797979788</v>
      </c>
      <c r="AG1152">
        <f t="shared" si="841"/>
        <v>1.3207857239197973E-4</v>
      </c>
      <c r="AH1152">
        <f t="shared" si="829"/>
        <v>4.0955494793072179E-2</v>
      </c>
      <c r="AI1152">
        <f>HLOOKUP(AW1152,'Real assumptions'!$A$21:$AK$24,2,TRUE)</f>
        <v>0</v>
      </c>
      <c r="AJ1152" s="123">
        <f t="shared" si="853"/>
        <v>0</v>
      </c>
      <c r="AK1152" s="122">
        <f>(1+HLOOKUP(YEAR(A1152),'Real assumptions'!$A$21:$AK$24,2,TRUE)/100)^(1/12)-1</f>
        <v>0</v>
      </c>
      <c r="AL1152">
        <f t="shared" si="842"/>
        <v>2.9036652222094061E-4</v>
      </c>
      <c r="AM1152">
        <f>('Real assumptions'!$B$33/12)*O1151*AV1151</f>
        <v>2.7911158365827098E-4</v>
      </c>
      <c r="AN1152">
        <f t="shared" si="830"/>
        <v>4.0964219233347192E-2</v>
      </c>
      <c r="AO1152">
        <f t="shared" si="854"/>
        <v>0</v>
      </c>
      <c r="AP1152" s="121">
        <f t="shared" si="831"/>
        <v>0</v>
      </c>
      <c r="AQ1152">
        <f t="shared" si="832"/>
        <v>0</v>
      </c>
      <c r="AR1152">
        <v>0</v>
      </c>
      <c r="AS1152">
        <f t="shared" si="815"/>
        <v>0</v>
      </c>
      <c r="AT1152">
        <f t="shared" si="833"/>
        <v>0</v>
      </c>
      <c r="AU1152">
        <f>IFERROR(HLOOKUP(B1152,'Real assumptions'!$B$43:$AL$44,2,TRUE)*($W$3/$U$2),0)</f>
        <v>0</v>
      </c>
      <c r="AV1152">
        <f>AV1151*(1+'Real assumptions'!$B$35)^(1/12)</f>
        <v>3.2548278938289399</v>
      </c>
      <c r="AW1152">
        <f t="shared" si="816"/>
        <v>2113</v>
      </c>
      <c r="AX1152">
        <f t="shared" si="843"/>
        <v>4.1084693903787814E-2</v>
      </c>
      <c r="AY1152">
        <f t="shared" si="844"/>
        <v>3.6128753781115553E-5</v>
      </c>
      <c r="AZ1152">
        <f t="shared" si="817"/>
        <v>1.0123969164995954E-2</v>
      </c>
      <c r="BA1152">
        <f t="shared" si="834"/>
        <v>1.3207857239197973E-4</v>
      </c>
      <c r="BB1152">
        <f t="shared" si="835"/>
        <v>3.9166666666666714</v>
      </c>
      <c r="BC1152">
        <f t="shared" si="818"/>
        <v>2.3500000000000028</v>
      </c>
      <c r="BD1152">
        <f t="shared" si="836"/>
        <v>0</v>
      </c>
      <c r="BE1152">
        <f t="shared" si="819"/>
        <v>24</v>
      </c>
      <c r="BF1152">
        <f t="shared" si="845"/>
        <v>5000</v>
      </c>
      <c r="BU1152"/>
      <c r="DW1152" s="89"/>
      <c r="DX1152" s="89"/>
      <c r="FD1152"/>
      <c r="FE1152"/>
    </row>
    <row r="1153" spans="1:161" x14ac:dyDescent="0.25">
      <c r="A1153" s="7">
        <f t="shared" si="837"/>
        <v>78194</v>
      </c>
      <c r="B1153">
        <f t="shared" si="820"/>
        <v>1142</v>
      </c>
      <c r="C1153">
        <f t="shared" si="846"/>
        <v>95.083333333333329</v>
      </c>
      <c r="D1153">
        <f t="shared" si="847"/>
        <v>0</v>
      </c>
      <c r="E1153">
        <f t="shared" si="821"/>
        <v>147</v>
      </c>
      <c r="F1153">
        <f>IF(C1153&gt;=$T$2,0,VLOOKUP($E1153,EKM_F05!$A$3:$C$128,2,TRUE))</f>
        <v>0</v>
      </c>
      <c r="G1153">
        <f>F1153*'Real assumptions'!$B$3</f>
        <v>0</v>
      </c>
      <c r="H1153">
        <f t="shared" si="848"/>
        <v>0</v>
      </c>
      <c r="I1153">
        <f t="shared" si="849"/>
        <v>0</v>
      </c>
      <c r="J1153">
        <f>IF(B1153&gt;$AJ$2,0,HLOOKUP(C1153,'Real assumptions'!$B$5:$L$8,4,TRUE))</f>
        <v>3.7900000000000003E-2</v>
      </c>
      <c r="K1153">
        <f t="shared" si="810"/>
        <v>1</v>
      </c>
      <c r="L1153">
        <f t="shared" si="838"/>
        <v>8.3333333333333329E-2</v>
      </c>
      <c r="M1153">
        <f t="shared" si="850"/>
        <v>3.2145624959929453E-3</v>
      </c>
      <c r="N1153">
        <f t="shared" si="851"/>
        <v>2.7505717343058747E-8</v>
      </c>
      <c r="O1153" s="8">
        <f t="shared" si="822"/>
        <v>8.5290917597150174E-6</v>
      </c>
      <c r="P1153">
        <f t="shared" si="823"/>
        <v>2.0535833944939383E-4</v>
      </c>
      <c r="Q1153">
        <f t="shared" si="839"/>
        <v>0</v>
      </c>
      <c r="R1153" s="89">
        <f t="shared" si="811"/>
        <v>5000</v>
      </c>
      <c r="S1153">
        <f t="shared" si="812"/>
        <v>0.8333333333333286</v>
      </c>
      <c r="U1153">
        <f>O1152*AV1152*'Real assumptions'!$B$33/12+AX1153*'Real assumptions'!$B$34</f>
        <v>2.8973193205216515E-4</v>
      </c>
      <c r="V1153">
        <f>IF(P1153=0,0,IF(E1153&lt;=$C$7,$AN$5*O1152,0))*'Real assumptions'!$D$28</f>
        <v>0</v>
      </c>
      <c r="X1153" s="94">
        <f t="shared" si="824"/>
        <v>0</v>
      </c>
      <c r="Y1153">
        <f t="shared" si="813"/>
        <v>24</v>
      </c>
      <c r="Z1153">
        <f t="shared" si="840"/>
        <v>3</v>
      </c>
      <c r="AA1153">
        <f t="shared" si="814"/>
        <v>3.8333333333333286</v>
      </c>
      <c r="AB1153">
        <f t="shared" si="825"/>
        <v>50.505050505050505</v>
      </c>
      <c r="AC1153">
        <f t="shared" si="852"/>
        <v>193.60269360269336</v>
      </c>
      <c r="AD1153">
        <f t="shared" si="826"/>
        <v>80.505050505050505</v>
      </c>
      <c r="AE1153">
        <f t="shared" si="827"/>
        <v>15.43013468013466</v>
      </c>
      <c r="AF1153" s="94">
        <f t="shared" si="828"/>
        <v>4790.9671717171714</v>
      </c>
      <c r="AG1153">
        <f t="shared" si="841"/>
        <v>1.3177898882512612E-4</v>
      </c>
      <c r="AH1153">
        <f t="shared" si="829"/>
        <v>4.0862598625358092E-2</v>
      </c>
      <c r="AI1153">
        <f>HLOOKUP(AW1153,'Real assumptions'!$A$21:$AK$24,2,TRUE)</f>
        <v>0</v>
      </c>
      <c r="AJ1153" s="123">
        <f t="shared" si="853"/>
        <v>0</v>
      </c>
      <c r="AK1153" s="122">
        <f>(1+HLOOKUP(YEAR(A1153),'Real assumptions'!$A$21:$AK$24,2,TRUE)/100)^(1/12)-1</f>
        <v>0</v>
      </c>
      <c r="AL1153">
        <f t="shared" si="842"/>
        <v>2.8973193205216515E-4</v>
      </c>
      <c r="AM1153">
        <f>('Real assumptions'!$B$33/12)*O1152*AV1152</f>
        <v>2.7850252144594954E-4</v>
      </c>
      <c r="AN1153">
        <f t="shared" si="830"/>
        <v>4.0871121200469408E-2</v>
      </c>
      <c r="AO1153">
        <f t="shared" si="854"/>
        <v>0</v>
      </c>
      <c r="AP1153" s="121">
        <f t="shared" si="831"/>
        <v>0</v>
      </c>
      <c r="AQ1153">
        <f t="shared" si="832"/>
        <v>0</v>
      </c>
      <c r="AR1153">
        <v>0</v>
      </c>
      <c r="AS1153">
        <f t="shared" si="815"/>
        <v>0</v>
      </c>
      <c r="AT1153">
        <f t="shared" si="833"/>
        <v>0</v>
      </c>
      <c r="AU1153">
        <f>IFERROR(HLOOKUP(B1153,'Real assumptions'!$B$43:$AL$44,2,TRUE)*($W$3/$U$2),0)</f>
        <v>0</v>
      </c>
      <c r="AV1153">
        <f>AV1152*(1+'Real assumptions'!$B$35)^(1/12)</f>
        <v>3.2581990688485023</v>
      </c>
      <c r="AW1153">
        <f t="shared" si="816"/>
        <v>2114</v>
      </c>
      <c r="AX1153">
        <f t="shared" si="843"/>
        <v>4.0991507408716363E-2</v>
      </c>
      <c r="AY1153">
        <f t="shared" si="844"/>
        <v>3.6012615644183819E-5</v>
      </c>
      <c r="AZ1153">
        <f t="shared" si="817"/>
        <v>9.9078165835680566E-3</v>
      </c>
      <c r="BA1153">
        <f t="shared" si="834"/>
        <v>1.3177898882512612E-4</v>
      </c>
      <c r="BB1153">
        <f t="shared" si="835"/>
        <v>3.8333333333333286</v>
      </c>
      <c r="BC1153">
        <f t="shared" si="818"/>
        <v>2.2999999999999972</v>
      </c>
      <c r="BD1153">
        <f t="shared" si="836"/>
        <v>0</v>
      </c>
      <c r="BE1153">
        <f t="shared" si="819"/>
        <v>24</v>
      </c>
      <c r="BF1153">
        <f t="shared" si="845"/>
        <v>5000</v>
      </c>
      <c r="BU1153"/>
      <c r="DW1153" s="89"/>
      <c r="DX1153" s="89"/>
      <c r="FD1153"/>
      <c r="FE1153"/>
    </row>
    <row r="1154" spans="1:161" x14ac:dyDescent="0.25">
      <c r="A1154" s="7">
        <f t="shared" si="837"/>
        <v>78222</v>
      </c>
      <c r="B1154">
        <f t="shared" si="820"/>
        <v>1143</v>
      </c>
      <c r="C1154">
        <f t="shared" si="846"/>
        <v>95.166666666666671</v>
      </c>
      <c r="D1154">
        <f t="shared" si="847"/>
        <v>0</v>
      </c>
      <c r="E1154">
        <f t="shared" si="821"/>
        <v>147</v>
      </c>
      <c r="F1154">
        <f>IF(C1154&gt;=$T$2,0,VLOOKUP($E1154,EKM_F05!$A$3:$C$128,2,TRUE))</f>
        <v>0</v>
      </c>
      <c r="G1154">
        <f>F1154*'Real assumptions'!$B$3</f>
        <v>0</v>
      </c>
      <c r="H1154">
        <f t="shared" si="848"/>
        <v>0</v>
      </c>
      <c r="I1154">
        <f t="shared" si="849"/>
        <v>0</v>
      </c>
      <c r="J1154">
        <f>IF(B1154&gt;$AJ$2,0,HLOOKUP(C1154,'Real assumptions'!$B$5:$L$8,4,TRUE))</f>
        <v>3.7900000000000003E-2</v>
      </c>
      <c r="K1154">
        <f t="shared" si="810"/>
        <v>1</v>
      </c>
      <c r="L1154">
        <f t="shared" si="838"/>
        <v>8.3333333333333329E-2</v>
      </c>
      <c r="M1154">
        <f t="shared" si="850"/>
        <v>3.2145624959929453E-3</v>
      </c>
      <c r="N1154">
        <f t="shared" si="851"/>
        <v>2.7417298495662368E-8</v>
      </c>
      <c r="O1154" s="8">
        <f t="shared" si="822"/>
        <v>8.5016744612193543E-6</v>
      </c>
      <c r="P1154">
        <f t="shared" si="823"/>
        <v>2.046982022331604E-4</v>
      </c>
      <c r="Q1154">
        <f t="shared" si="839"/>
        <v>0</v>
      </c>
      <c r="R1154" s="89">
        <f t="shared" si="811"/>
        <v>5000</v>
      </c>
      <c r="S1154">
        <f t="shared" si="812"/>
        <v>0.75</v>
      </c>
      <c r="U1154">
        <f>O1153*AV1153*'Real assumptions'!$B$33/12+AX1154*'Real assumptions'!$B$34</f>
        <v>2.8909871876653588E-4</v>
      </c>
      <c r="V1154">
        <f>IF(P1154=0,0,IF(E1154&lt;=$C$7,$AN$5*O1153,0))*'Real assumptions'!$D$28</f>
        <v>0</v>
      </c>
      <c r="X1154" s="94">
        <f t="shared" si="824"/>
        <v>0</v>
      </c>
      <c r="Y1154">
        <f t="shared" si="813"/>
        <v>24</v>
      </c>
      <c r="Z1154">
        <f t="shared" si="840"/>
        <v>3</v>
      </c>
      <c r="AA1154">
        <f t="shared" si="814"/>
        <v>3.75</v>
      </c>
      <c r="AB1154">
        <f t="shared" si="825"/>
        <v>50.505050505050505</v>
      </c>
      <c r="AC1154">
        <f t="shared" si="852"/>
        <v>189.39393939393941</v>
      </c>
      <c r="AD1154">
        <f t="shared" si="826"/>
        <v>80.505050505050505</v>
      </c>
      <c r="AE1154">
        <f t="shared" si="827"/>
        <v>15.094696969696969</v>
      </c>
      <c r="AF1154" s="94">
        <f t="shared" si="828"/>
        <v>4795.511363636364</v>
      </c>
      <c r="AG1154">
        <f t="shared" si="841"/>
        <v>1.3147996649615908E-4</v>
      </c>
      <c r="AH1154">
        <f t="shared" si="829"/>
        <v>4.0769876488714475E-2</v>
      </c>
      <c r="AI1154">
        <f>HLOOKUP(AW1154,'Real assumptions'!$A$21:$AK$24,2,TRUE)</f>
        <v>0</v>
      </c>
      <c r="AJ1154" s="123">
        <f t="shared" si="853"/>
        <v>0</v>
      </c>
      <c r="AK1154" s="122">
        <f>(1+HLOOKUP(YEAR(A1154),'Real assumptions'!$A$21:$AK$24,2,TRUE)/100)^(1/12)-1</f>
        <v>0</v>
      </c>
      <c r="AL1154">
        <f t="shared" si="842"/>
        <v>2.8909871876653588E-4</v>
      </c>
      <c r="AM1154">
        <f>('Real assumptions'!$B$33/12)*O1153*AV1153</f>
        <v>2.7789478829626907E-4</v>
      </c>
      <c r="AN1154">
        <f t="shared" si="830"/>
        <v>4.0778198108824715E-2</v>
      </c>
      <c r="AO1154">
        <f t="shared" si="854"/>
        <v>0</v>
      </c>
      <c r="AP1154" s="121">
        <f t="shared" si="831"/>
        <v>0</v>
      </c>
      <c r="AQ1154">
        <f t="shared" si="832"/>
        <v>0</v>
      </c>
      <c r="AR1154">
        <v>0</v>
      </c>
      <c r="AS1154">
        <f t="shared" si="815"/>
        <v>0</v>
      </c>
      <c r="AT1154">
        <f t="shared" si="833"/>
        <v>0</v>
      </c>
      <c r="AU1154">
        <f>IFERROR(HLOOKUP(B1154,'Real assumptions'!$B$43:$AL$44,2,TRUE)*($W$3/$U$2),0)</f>
        <v>0</v>
      </c>
      <c r="AV1154">
        <f>AV1153*(1+'Real assumptions'!$B$35)^(1/12)</f>
        <v>3.2615737355491561</v>
      </c>
      <c r="AW1154">
        <f t="shared" si="816"/>
        <v>2114</v>
      </c>
      <c r="AX1154">
        <f t="shared" si="843"/>
        <v>4.0898495476198643E-2</v>
      </c>
      <c r="AY1154">
        <f t="shared" si="844"/>
        <v>3.5896850840551419E-5</v>
      </c>
      <c r="AZ1154">
        <f t="shared" si="817"/>
        <v>9.6919361005385219E-3</v>
      </c>
      <c r="BA1154">
        <f t="shared" si="834"/>
        <v>1.3147996649615908E-4</v>
      </c>
      <c r="BB1154">
        <f t="shared" si="835"/>
        <v>3.75</v>
      </c>
      <c r="BC1154">
        <f t="shared" si="818"/>
        <v>2.25</v>
      </c>
      <c r="BD1154">
        <f t="shared" si="836"/>
        <v>0</v>
      </c>
      <c r="BE1154">
        <f t="shared" si="819"/>
        <v>24</v>
      </c>
      <c r="BF1154">
        <f t="shared" si="845"/>
        <v>5000</v>
      </c>
      <c r="BU1154"/>
      <c r="DW1154" s="89"/>
      <c r="DX1154" s="89"/>
      <c r="FD1154"/>
      <c r="FE1154"/>
    </row>
    <row r="1155" spans="1:161" x14ac:dyDescent="0.25">
      <c r="A1155" s="7">
        <f t="shared" si="837"/>
        <v>78253</v>
      </c>
      <c r="B1155">
        <f t="shared" si="820"/>
        <v>1144</v>
      </c>
      <c r="C1155">
        <f t="shared" si="846"/>
        <v>95.25</v>
      </c>
      <c r="D1155">
        <f t="shared" si="847"/>
        <v>0</v>
      </c>
      <c r="E1155">
        <f t="shared" si="821"/>
        <v>147</v>
      </c>
      <c r="F1155">
        <f>IF(C1155&gt;=$T$2,0,VLOOKUP($E1155,EKM_F05!$A$3:$C$128,2,TRUE))</f>
        <v>0</v>
      </c>
      <c r="G1155">
        <f>F1155*'Real assumptions'!$B$3</f>
        <v>0</v>
      </c>
      <c r="H1155">
        <f t="shared" si="848"/>
        <v>0</v>
      </c>
      <c r="I1155">
        <f t="shared" si="849"/>
        <v>0</v>
      </c>
      <c r="J1155">
        <f>IF(B1155&gt;$AJ$2,0,HLOOKUP(C1155,'Real assumptions'!$B$5:$L$8,4,TRUE))</f>
        <v>3.7900000000000003E-2</v>
      </c>
      <c r="K1155">
        <f t="shared" si="810"/>
        <v>1</v>
      </c>
      <c r="L1155">
        <f t="shared" si="838"/>
        <v>8.3333333333333329E-2</v>
      </c>
      <c r="M1155">
        <f t="shared" si="850"/>
        <v>3.2145624959929453E-3</v>
      </c>
      <c r="N1155">
        <f t="shared" si="851"/>
        <v>2.7329163876176765E-8</v>
      </c>
      <c r="O1155" s="8">
        <f t="shared" si="822"/>
        <v>8.4743452973431769E-6</v>
      </c>
      <c r="P1155">
        <f t="shared" si="823"/>
        <v>2.0404018706926449E-4</v>
      </c>
      <c r="Q1155">
        <f t="shared" si="839"/>
        <v>0</v>
      </c>
      <c r="R1155" s="89">
        <f t="shared" si="811"/>
        <v>5000</v>
      </c>
      <c r="S1155">
        <f t="shared" si="812"/>
        <v>0.6666666666666714</v>
      </c>
      <c r="U1155">
        <f>O1154*AV1154*'Real assumptions'!$B$33/12+AX1155*'Real assumptions'!$B$34</f>
        <v>2.8846687942019083E-4</v>
      </c>
      <c r="V1155">
        <f>IF(P1155=0,0,IF(E1155&lt;=$C$7,$AN$5*O1154,0))*'Real assumptions'!$D$28</f>
        <v>0</v>
      </c>
      <c r="X1155" s="94">
        <f t="shared" si="824"/>
        <v>0</v>
      </c>
      <c r="Y1155">
        <f t="shared" si="813"/>
        <v>24</v>
      </c>
      <c r="Z1155">
        <f t="shared" si="840"/>
        <v>3</v>
      </c>
      <c r="AA1155">
        <f t="shared" si="814"/>
        <v>3.6666666666666714</v>
      </c>
      <c r="AB1155">
        <f t="shared" si="825"/>
        <v>50.505050505050505</v>
      </c>
      <c r="AC1155">
        <f t="shared" si="852"/>
        <v>185.18518518518542</v>
      </c>
      <c r="AD1155">
        <f t="shared" si="826"/>
        <v>80.505050505050505</v>
      </c>
      <c r="AE1155">
        <f t="shared" si="827"/>
        <v>14.759259259259277</v>
      </c>
      <c r="AF1155" s="94">
        <f t="shared" si="828"/>
        <v>4800.0555555555557</v>
      </c>
      <c r="AG1155">
        <f t="shared" si="841"/>
        <v>1.311815048925305E-4</v>
      </c>
      <c r="AH1155">
        <f t="shared" si="829"/>
        <v>4.0677328224208213E-2</v>
      </c>
      <c r="AI1155">
        <f>HLOOKUP(AW1155,'Real assumptions'!$A$21:$AK$24,2,TRUE)</f>
        <v>0</v>
      </c>
      <c r="AJ1155" s="123">
        <f t="shared" si="853"/>
        <v>0</v>
      </c>
      <c r="AK1155" s="122">
        <f>(1+HLOOKUP(YEAR(A1155),'Real assumptions'!$A$21:$AK$24,2,TRUE)/100)^(1/12)-1</f>
        <v>0</v>
      </c>
      <c r="AL1155">
        <f t="shared" si="842"/>
        <v>2.8846687942019083E-4</v>
      </c>
      <c r="AM1155">
        <f>('Real assumptions'!$B$33/12)*O1154*AV1154</f>
        <v>2.772883813090207E-4</v>
      </c>
      <c r="AN1155">
        <f t="shared" si="830"/>
        <v>4.068544979636355E-2</v>
      </c>
      <c r="AO1155">
        <f t="shared" si="854"/>
        <v>0</v>
      </c>
      <c r="AP1155" s="121">
        <f t="shared" si="831"/>
        <v>0</v>
      </c>
      <c r="AQ1155">
        <f t="shared" si="832"/>
        <v>0</v>
      </c>
      <c r="AR1155">
        <v>0</v>
      </c>
      <c r="AS1155">
        <f t="shared" si="815"/>
        <v>0</v>
      </c>
      <c r="AT1155">
        <f t="shared" si="833"/>
        <v>0</v>
      </c>
      <c r="AU1155">
        <f>IFERROR(HLOOKUP(B1155,'Real assumptions'!$B$43:$AL$44,2,TRUE)*($W$3/$U$2),0)</f>
        <v>0</v>
      </c>
      <c r="AV1155">
        <f>AV1154*(1+'Real assumptions'!$B$35)^(1/12)</f>
        <v>3.2649518975473959</v>
      </c>
      <c r="AW1155">
        <f t="shared" si="816"/>
        <v>2114</v>
      </c>
      <c r="AX1155">
        <f t="shared" si="843"/>
        <v>4.0805657946884594E-2</v>
      </c>
      <c r="AY1155">
        <f t="shared" si="844"/>
        <v>3.5781458170115124E-5</v>
      </c>
      <c r="AZ1155">
        <f t="shared" si="817"/>
        <v>9.4763279032950651E-3</v>
      </c>
      <c r="BA1155">
        <f t="shared" si="834"/>
        <v>1.311815048925305E-4</v>
      </c>
      <c r="BB1155">
        <f t="shared" si="835"/>
        <v>3.6666666666666714</v>
      </c>
      <c r="BC1155">
        <f t="shared" si="818"/>
        <v>2.2000000000000028</v>
      </c>
      <c r="BD1155">
        <f t="shared" si="836"/>
        <v>0</v>
      </c>
      <c r="BE1155">
        <f t="shared" si="819"/>
        <v>24</v>
      </c>
      <c r="BF1155">
        <f t="shared" si="845"/>
        <v>5000</v>
      </c>
      <c r="BU1155"/>
      <c r="DW1155" s="89"/>
      <c r="DX1155" s="89"/>
      <c r="FD1155"/>
      <c r="FE1155"/>
    </row>
    <row r="1156" spans="1:161" x14ac:dyDescent="0.25">
      <c r="A1156" s="7">
        <f t="shared" si="837"/>
        <v>78283</v>
      </c>
      <c r="B1156">
        <f t="shared" si="820"/>
        <v>1145</v>
      </c>
      <c r="C1156">
        <f t="shared" si="846"/>
        <v>95.333333333333329</v>
      </c>
      <c r="D1156">
        <f t="shared" si="847"/>
        <v>0</v>
      </c>
      <c r="E1156">
        <f t="shared" si="821"/>
        <v>147</v>
      </c>
      <c r="F1156">
        <f>IF(C1156&gt;=$T$2,0,VLOOKUP($E1156,EKM_F05!$A$3:$C$128,2,TRUE))</f>
        <v>0</v>
      </c>
      <c r="G1156">
        <f>F1156*'Real assumptions'!$B$3</f>
        <v>0</v>
      </c>
      <c r="H1156">
        <f t="shared" si="848"/>
        <v>0</v>
      </c>
      <c r="I1156">
        <f t="shared" si="849"/>
        <v>0</v>
      </c>
      <c r="J1156">
        <f>IF(B1156&gt;$AJ$2,0,HLOOKUP(C1156,'Real assumptions'!$B$5:$L$8,4,TRUE))</f>
        <v>3.7900000000000003E-2</v>
      </c>
      <c r="K1156">
        <f t="shared" si="810"/>
        <v>1</v>
      </c>
      <c r="L1156">
        <f t="shared" si="838"/>
        <v>8.3333333333333329E-2</v>
      </c>
      <c r="M1156">
        <f t="shared" si="850"/>
        <v>3.2145624959929453E-3</v>
      </c>
      <c r="N1156">
        <f t="shared" si="851"/>
        <v>2.7241312570933561E-8</v>
      </c>
      <c r="O1156" s="8">
        <f t="shared" si="822"/>
        <v>8.4471039847722434E-6</v>
      </c>
      <c r="P1156">
        <f t="shared" si="823"/>
        <v>2.0338428713623626E-4</v>
      </c>
      <c r="Q1156">
        <f t="shared" si="839"/>
        <v>0</v>
      </c>
      <c r="R1156" s="89">
        <f t="shared" si="811"/>
        <v>5000</v>
      </c>
      <c r="S1156">
        <f t="shared" si="812"/>
        <v>0.5833333333333286</v>
      </c>
      <c r="U1156">
        <f>O1155*AV1155*'Real assumptions'!$B$33/12+AX1156*'Real assumptions'!$B$34</f>
        <v>2.878364110753834E-4</v>
      </c>
      <c r="V1156">
        <f>IF(P1156=0,0,IF(E1156&lt;=$C$7,$AN$5*O1155,0))*'Real assumptions'!$D$28</f>
        <v>0</v>
      </c>
      <c r="X1156" s="94">
        <f t="shared" si="824"/>
        <v>0</v>
      </c>
      <c r="Y1156">
        <f t="shared" si="813"/>
        <v>24</v>
      </c>
      <c r="Z1156">
        <f t="shared" si="840"/>
        <v>3</v>
      </c>
      <c r="AA1156">
        <f t="shared" si="814"/>
        <v>3.5833333333333286</v>
      </c>
      <c r="AB1156">
        <f t="shared" si="825"/>
        <v>50.505050505050505</v>
      </c>
      <c r="AC1156">
        <f t="shared" si="852"/>
        <v>180.97643097643075</v>
      </c>
      <c r="AD1156">
        <f t="shared" si="826"/>
        <v>80.505050505050505</v>
      </c>
      <c r="AE1156">
        <f t="shared" si="827"/>
        <v>14.423821548821529</v>
      </c>
      <c r="AF1156" s="94">
        <f t="shared" si="828"/>
        <v>4804.5997474747483</v>
      </c>
      <c r="AG1156">
        <f t="shared" si="841"/>
        <v>1.3088360349918808E-4</v>
      </c>
      <c r="AH1156">
        <f t="shared" si="829"/>
        <v>4.0584953672129657E-2</v>
      </c>
      <c r="AI1156">
        <f>HLOOKUP(AW1156,'Real assumptions'!$A$21:$AK$24,2,TRUE)</f>
        <v>0</v>
      </c>
      <c r="AJ1156" s="123">
        <f t="shared" si="853"/>
        <v>0</v>
      </c>
      <c r="AK1156" s="122">
        <f>(1+HLOOKUP(YEAR(A1156),'Real assumptions'!$A$21:$AK$24,2,TRUE)/100)^(1/12)-1</f>
        <v>0</v>
      </c>
      <c r="AL1156">
        <f t="shared" si="842"/>
        <v>2.878364110753834E-4</v>
      </c>
      <c r="AM1156">
        <f>('Real assumptions'!$B$33/12)*O1155*AV1155</f>
        <v>2.7668329759032457E-4</v>
      </c>
      <c r="AN1156">
        <f t="shared" si="830"/>
        <v>4.0592876100269071E-2</v>
      </c>
      <c r="AO1156">
        <f t="shared" si="854"/>
        <v>0</v>
      </c>
      <c r="AP1156" s="121">
        <f t="shared" si="831"/>
        <v>0</v>
      </c>
      <c r="AQ1156">
        <f t="shared" si="832"/>
        <v>0</v>
      </c>
      <c r="AR1156">
        <v>0</v>
      </c>
      <c r="AS1156">
        <f t="shared" si="815"/>
        <v>0</v>
      </c>
      <c r="AT1156">
        <f t="shared" si="833"/>
        <v>0</v>
      </c>
      <c r="AU1156">
        <f>IFERROR(HLOOKUP(B1156,'Real assumptions'!$B$43:$AL$44,2,TRUE)*($W$3/$U$2),0)</f>
        <v>0</v>
      </c>
      <c r="AV1156">
        <f>AV1155*(1+'Real assumptions'!$B$35)^(1/12)</f>
        <v>3.2683335584634623</v>
      </c>
      <c r="AW1156">
        <f t="shared" si="816"/>
        <v>2114</v>
      </c>
      <c r="AX1156">
        <f t="shared" si="843"/>
        <v>4.071299466064484E-2</v>
      </c>
      <c r="AY1156">
        <f t="shared" si="844"/>
        <v>3.5666436436629533E-5</v>
      </c>
      <c r="AZ1156">
        <f t="shared" si="817"/>
        <v>9.2609921758567294E-3</v>
      </c>
      <c r="BA1156">
        <f t="shared" si="834"/>
        <v>1.3088360349918808E-4</v>
      </c>
      <c r="BB1156">
        <f t="shared" si="835"/>
        <v>3.5833333333333286</v>
      </c>
      <c r="BC1156">
        <f t="shared" si="818"/>
        <v>2.1499999999999968</v>
      </c>
      <c r="BD1156">
        <f t="shared" si="836"/>
        <v>0</v>
      </c>
      <c r="BE1156">
        <f t="shared" si="819"/>
        <v>24</v>
      </c>
      <c r="BF1156">
        <f t="shared" si="845"/>
        <v>5000</v>
      </c>
      <c r="BU1156"/>
      <c r="DW1156" s="89"/>
      <c r="DX1156" s="89"/>
      <c r="FD1156"/>
      <c r="FE1156"/>
    </row>
    <row r="1157" spans="1:161" x14ac:dyDescent="0.25">
      <c r="A1157" s="7">
        <f t="shared" si="837"/>
        <v>78314</v>
      </c>
      <c r="B1157">
        <f t="shared" si="820"/>
        <v>1146</v>
      </c>
      <c r="C1157">
        <f t="shared" si="846"/>
        <v>95.416666666666671</v>
      </c>
      <c r="D1157">
        <f t="shared" si="847"/>
        <v>0</v>
      </c>
      <c r="E1157">
        <f t="shared" si="821"/>
        <v>147</v>
      </c>
      <c r="F1157">
        <f>IF(C1157&gt;=$T$2,0,VLOOKUP($E1157,EKM_F05!$A$3:$C$128,2,TRUE))</f>
        <v>0</v>
      </c>
      <c r="G1157">
        <f>F1157*'Real assumptions'!$B$3</f>
        <v>0</v>
      </c>
      <c r="H1157">
        <f t="shared" si="848"/>
        <v>0</v>
      </c>
      <c r="I1157">
        <f t="shared" si="849"/>
        <v>0</v>
      </c>
      <c r="J1157">
        <f>IF(B1157&gt;$AJ$2,0,HLOOKUP(C1157,'Real assumptions'!$B$5:$L$8,4,TRUE))</f>
        <v>3.7900000000000003E-2</v>
      </c>
      <c r="K1157">
        <f t="shared" si="810"/>
        <v>1</v>
      </c>
      <c r="L1157">
        <f t="shared" si="838"/>
        <v>8.3333333333333329E-2</v>
      </c>
      <c r="M1157">
        <f t="shared" si="850"/>
        <v>3.2145624959929453E-3</v>
      </c>
      <c r="N1157">
        <f t="shared" si="851"/>
        <v>2.7153743669201418E-8</v>
      </c>
      <c r="O1157" s="8">
        <f t="shared" si="822"/>
        <v>8.4199502411030416E-6</v>
      </c>
      <c r="P1157">
        <f t="shared" si="823"/>
        <v>2.0273049563453383E-4</v>
      </c>
      <c r="Q1157">
        <f t="shared" si="839"/>
        <v>0</v>
      </c>
      <c r="R1157" s="89">
        <f t="shared" si="811"/>
        <v>5000</v>
      </c>
      <c r="S1157">
        <f t="shared" si="812"/>
        <v>0.5</v>
      </c>
      <c r="U1157">
        <f>O1156*AV1156*'Real assumptions'!$B$33/12+AX1157*'Real assumptions'!$B$34</f>
        <v>2.8720731080047031E-4</v>
      </c>
      <c r="V1157">
        <f>IF(P1157=0,0,IF(E1157&lt;=$C$7,$AN$5*O1156,0))*'Real assumptions'!$D$28</f>
        <v>0</v>
      </c>
      <c r="X1157" s="94">
        <f t="shared" si="824"/>
        <v>0</v>
      </c>
      <c r="Y1157">
        <f t="shared" si="813"/>
        <v>24</v>
      </c>
      <c r="Z1157">
        <f t="shared" si="840"/>
        <v>3</v>
      </c>
      <c r="AA1157">
        <f t="shared" si="814"/>
        <v>3.5</v>
      </c>
      <c r="AB1157">
        <f t="shared" si="825"/>
        <v>50.505050505050505</v>
      </c>
      <c r="AC1157">
        <f t="shared" si="852"/>
        <v>176.76767676767676</v>
      </c>
      <c r="AD1157">
        <f t="shared" si="826"/>
        <v>80.505050505050505</v>
      </c>
      <c r="AE1157">
        <f t="shared" si="827"/>
        <v>14.088383838383837</v>
      </c>
      <c r="AF1157" s="94">
        <f t="shared" si="828"/>
        <v>4809.143939393939</v>
      </c>
      <c r="AG1157">
        <f t="shared" si="841"/>
        <v>1.3058626179859653E-4</v>
      </c>
      <c r="AH1157">
        <f t="shared" si="829"/>
        <v>4.0492752671999227E-2</v>
      </c>
      <c r="AI1157">
        <f>HLOOKUP(AW1157,'Real assumptions'!$A$21:$AK$24,2,TRUE)</f>
        <v>0</v>
      </c>
      <c r="AJ1157" s="123">
        <f t="shared" si="853"/>
        <v>0</v>
      </c>
      <c r="AK1157" s="122">
        <f>(1+HLOOKUP(YEAR(A1157),'Real assumptions'!$A$21:$AK$24,2,TRUE)/100)^(1/12)-1</f>
        <v>0</v>
      </c>
      <c r="AL1157">
        <f t="shared" si="842"/>
        <v>2.8720731080047031E-4</v>
      </c>
      <c r="AM1157">
        <f>('Real assumptions'!$B$33/12)*O1156*AV1156</f>
        <v>2.760795342526156E-4</v>
      </c>
      <c r="AN1157">
        <f t="shared" si="830"/>
        <v>4.0500476856963716E-2</v>
      </c>
      <c r="AO1157">
        <f t="shared" si="854"/>
        <v>0</v>
      </c>
      <c r="AP1157" s="121">
        <f t="shared" si="831"/>
        <v>0</v>
      </c>
      <c r="AQ1157">
        <f t="shared" si="832"/>
        <v>0</v>
      </c>
      <c r="AR1157">
        <v>0</v>
      </c>
      <c r="AS1157">
        <f t="shared" si="815"/>
        <v>0</v>
      </c>
      <c r="AT1157">
        <f t="shared" si="833"/>
        <v>0</v>
      </c>
      <c r="AU1157">
        <f>IFERROR(HLOOKUP(B1157,'Real assumptions'!$B$43:$AL$44,2,TRUE)*($W$3/$U$2),0)</f>
        <v>0</v>
      </c>
      <c r="AV1157">
        <f>AV1156*(1+'Real assumptions'!$B$35)^(1/12)</f>
        <v>3.2717187219213457</v>
      </c>
      <c r="AW1157">
        <f t="shared" si="816"/>
        <v>2114</v>
      </c>
      <c r="AX1157">
        <f t="shared" si="843"/>
        <v>4.0620505456577354E-2</v>
      </c>
      <c r="AY1157">
        <f t="shared" si="844"/>
        <v>3.5551784447694626E-5</v>
      </c>
      <c r="AZ1157">
        <f t="shared" si="817"/>
        <v>9.0459290988921959E-3</v>
      </c>
      <c r="BA1157">
        <f t="shared" si="834"/>
        <v>1.3058626179859653E-4</v>
      </c>
      <c r="BB1157">
        <f t="shared" si="835"/>
        <v>3.5</v>
      </c>
      <c r="BC1157">
        <f t="shared" si="818"/>
        <v>2.0999999999999996</v>
      </c>
      <c r="BD1157">
        <f t="shared" si="836"/>
        <v>0</v>
      </c>
      <c r="BE1157">
        <f t="shared" si="819"/>
        <v>24</v>
      </c>
      <c r="BF1157">
        <f t="shared" si="845"/>
        <v>5000</v>
      </c>
      <c r="BU1157"/>
      <c r="DW1157" s="89"/>
      <c r="DX1157" s="89"/>
      <c r="FD1157"/>
      <c r="FE1157"/>
    </row>
    <row r="1158" spans="1:161" x14ac:dyDescent="0.25">
      <c r="A1158" s="7">
        <f t="shared" si="837"/>
        <v>78344</v>
      </c>
      <c r="B1158">
        <f t="shared" si="820"/>
        <v>1147</v>
      </c>
      <c r="C1158">
        <f t="shared" si="846"/>
        <v>95.5</v>
      </c>
      <c r="D1158">
        <f t="shared" si="847"/>
        <v>0</v>
      </c>
      <c r="E1158">
        <f t="shared" si="821"/>
        <v>147</v>
      </c>
      <c r="F1158">
        <f>IF(C1158&gt;=$T$2,0,VLOOKUP($E1158,EKM_F05!$A$3:$C$128,2,TRUE))</f>
        <v>0</v>
      </c>
      <c r="G1158">
        <f>F1158*'Real assumptions'!$B$3</f>
        <v>0</v>
      </c>
      <c r="H1158">
        <f t="shared" si="848"/>
        <v>0</v>
      </c>
      <c r="I1158">
        <f t="shared" si="849"/>
        <v>0</v>
      </c>
      <c r="J1158">
        <f>IF(B1158&gt;$AJ$2,0,HLOOKUP(C1158,'Real assumptions'!$B$5:$L$8,4,TRUE))</f>
        <v>3.7900000000000003E-2</v>
      </c>
      <c r="K1158">
        <f t="shared" si="810"/>
        <v>1</v>
      </c>
      <c r="L1158">
        <f t="shared" si="838"/>
        <v>8.3333333333333329E-2</v>
      </c>
      <c r="M1158">
        <f t="shared" si="850"/>
        <v>3.2145624959929453E-3</v>
      </c>
      <c r="N1158">
        <f t="shared" si="851"/>
        <v>2.7066456263176596E-8</v>
      </c>
      <c r="O1158" s="8">
        <f t="shared" si="822"/>
        <v>8.3928837848398655E-6</v>
      </c>
      <c r="P1158">
        <f t="shared" si="823"/>
        <v>2.0207880578647299E-4</v>
      </c>
      <c r="Q1158">
        <f t="shared" si="839"/>
        <v>0</v>
      </c>
      <c r="R1158" s="89">
        <f t="shared" si="811"/>
        <v>5000</v>
      </c>
      <c r="S1158">
        <f t="shared" si="812"/>
        <v>0.4166666666666714</v>
      </c>
      <c r="U1158">
        <f>O1157*AV1157*'Real assumptions'!$B$33/12+AX1158*'Real assumptions'!$B$34</f>
        <v>2.8657957566989941E-4</v>
      </c>
      <c r="V1158">
        <f>IF(P1158=0,0,IF(E1158&lt;=$C$7,$AN$5*O1157,0))*'Real assumptions'!$D$28</f>
        <v>0</v>
      </c>
      <c r="X1158" s="94">
        <f t="shared" si="824"/>
        <v>0</v>
      </c>
      <c r="Y1158">
        <f t="shared" si="813"/>
        <v>24</v>
      </c>
      <c r="Z1158">
        <f t="shared" si="840"/>
        <v>3</v>
      </c>
      <c r="AA1158">
        <f t="shared" si="814"/>
        <v>3.4166666666666714</v>
      </c>
      <c r="AB1158">
        <f t="shared" si="825"/>
        <v>50.505050505050505</v>
      </c>
      <c r="AC1158">
        <f t="shared" si="852"/>
        <v>172.5589225589228</v>
      </c>
      <c r="AD1158">
        <f t="shared" si="826"/>
        <v>80.505050505050505</v>
      </c>
      <c r="AE1158">
        <f t="shared" si="827"/>
        <v>13.752946127946146</v>
      </c>
      <c r="AF1158" s="94">
        <f t="shared" si="828"/>
        <v>4813.6881313131307</v>
      </c>
      <c r="AG1158">
        <f t="shared" si="841"/>
        <v>1.3028947927075913E-4</v>
      </c>
      <c r="AH1158">
        <f t="shared" si="829"/>
        <v>4.040072506257409E-2</v>
      </c>
      <c r="AI1158">
        <f>HLOOKUP(AW1158,'Real assumptions'!$A$21:$AK$24,2,TRUE)</f>
        <v>0</v>
      </c>
      <c r="AJ1158" s="123">
        <f t="shared" si="853"/>
        <v>0</v>
      </c>
      <c r="AK1158" s="122">
        <f>(1+HLOOKUP(YEAR(A1158),'Real assumptions'!$A$21:$AK$24,2,TRUE)/100)^(1/12)-1</f>
        <v>0</v>
      </c>
      <c r="AL1158">
        <f t="shared" si="842"/>
        <v>2.8657957566989941E-4</v>
      </c>
      <c r="AM1158">
        <f>('Real assumptions'!$B$33/12)*O1157*AV1157</f>
        <v>2.7547708841462972E-4</v>
      </c>
      <c r="AN1158">
        <f t="shared" si="830"/>
        <v>4.0408251902115798E-2</v>
      </c>
      <c r="AO1158">
        <f t="shared" si="854"/>
        <v>0</v>
      </c>
      <c r="AP1158" s="121">
        <f t="shared" si="831"/>
        <v>0</v>
      </c>
      <c r="AQ1158">
        <f t="shared" si="832"/>
        <v>0</v>
      </c>
      <c r="AR1158">
        <v>0</v>
      </c>
      <c r="AS1158">
        <f t="shared" si="815"/>
        <v>0</v>
      </c>
      <c r="AT1158">
        <f t="shared" si="833"/>
        <v>0</v>
      </c>
      <c r="AU1158">
        <f>IFERROR(HLOOKUP(B1158,'Real assumptions'!$B$43:$AL$44,2,TRUE)*($W$3/$U$2),0)</f>
        <v>0</v>
      </c>
      <c r="AV1158">
        <f>AV1157*(1+'Real assumptions'!$B$35)^(1/12)</f>
        <v>3.2751073915487896</v>
      </c>
      <c r="AW1158">
        <f t="shared" si="816"/>
        <v>2114</v>
      </c>
      <c r="AX1158">
        <f t="shared" si="843"/>
        <v>4.052819017301397E-2</v>
      </c>
      <c r="AY1158">
        <f t="shared" si="844"/>
        <v>3.5437501014743439E-5</v>
      </c>
      <c r="AZ1158">
        <f t="shared" si="817"/>
        <v>8.8311388497380114E-3</v>
      </c>
      <c r="BA1158">
        <f t="shared" si="834"/>
        <v>1.3028947927075913E-4</v>
      </c>
      <c r="BB1158">
        <f t="shared" si="835"/>
        <v>3.4166666666666714</v>
      </c>
      <c r="BC1158">
        <f t="shared" si="818"/>
        <v>2.0500000000000025</v>
      </c>
      <c r="BD1158">
        <f t="shared" si="836"/>
        <v>0</v>
      </c>
      <c r="BE1158">
        <f t="shared" si="819"/>
        <v>24</v>
      </c>
      <c r="BF1158">
        <f t="shared" si="845"/>
        <v>5000</v>
      </c>
      <c r="BU1158"/>
      <c r="DW1158" s="89"/>
      <c r="DX1158" s="89"/>
      <c r="FD1158"/>
      <c r="FE1158"/>
    </row>
    <row r="1159" spans="1:161" x14ac:dyDescent="0.25">
      <c r="A1159" s="7">
        <f t="shared" si="837"/>
        <v>78375</v>
      </c>
      <c r="B1159">
        <f t="shared" si="820"/>
        <v>1148</v>
      </c>
      <c r="C1159">
        <f t="shared" si="846"/>
        <v>95.583333333333329</v>
      </c>
      <c r="D1159">
        <f t="shared" si="847"/>
        <v>0</v>
      </c>
      <c r="E1159">
        <f t="shared" si="821"/>
        <v>147</v>
      </c>
      <c r="F1159">
        <f>IF(C1159&gt;=$T$2,0,VLOOKUP($E1159,EKM_F05!$A$3:$C$128,2,TRUE))</f>
        <v>0</v>
      </c>
      <c r="G1159">
        <f>F1159*'Real assumptions'!$B$3</f>
        <v>0</v>
      </c>
      <c r="H1159">
        <f t="shared" si="848"/>
        <v>0</v>
      </c>
      <c r="I1159">
        <f t="shared" si="849"/>
        <v>0</v>
      </c>
      <c r="J1159">
        <f>IF(B1159&gt;$AJ$2,0,HLOOKUP(C1159,'Real assumptions'!$B$5:$L$8,4,TRUE))</f>
        <v>3.7900000000000003E-2</v>
      </c>
      <c r="K1159">
        <f t="shared" si="810"/>
        <v>1</v>
      </c>
      <c r="L1159">
        <f t="shared" si="838"/>
        <v>8.3333333333333329E-2</v>
      </c>
      <c r="M1159">
        <f t="shared" si="850"/>
        <v>3.2145624959929453E-3</v>
      </c>
      <c r="N1159">
        <f t="shared" si="851"/>
        <v>2.6979449447973554E-8</v>
      </c>
      <c r="O1159" s="8">
        <f t="shared" si="822"/>
        <v>8.3659043353918925E-6</v>
      </c>
      <c r="P1159">
        <f t="shared" si="823"/>
        <v>2.0142921083615679E-4</v>
      </c>
      <c r="Q1159">
        <f t="shared" si="839"/>
        <v>0</v>
      </c>
      <c r="R1159" s="89">
        <f t="shared" si="811"/>
        <v>5000</v>
      </c>
      <c r="S1159">
        <f t="shared" si="812"/>
        <v>0.3333333333333286</v>
      </c>
      <c r="U1159">
        <f>O1158*AV1158*'Real assumptions'!$B$33/12+AX1159*'Real assumptions'!$B$34</f>
        <v>2.8595320276419766E-4</v>
      </c>
      <c r="V1159">
        <f>IF(P1159=0,0,IF(E1159&lt;=$C$7,$AN$5*O1158,0))*'Real assumptions'!$D$28</f>
        <v>0</v>
      </c>
      <c r="X1159" s="94">
        <f t="shared" si="824"/>
        <v>0</v>
      </c>
      <c r="Y1159">
        <f t="shared" si="813"/>
        <v>24</v>
      </c>
      <c r="Z1159">
        <f t="shared" si="840"/>
        <v>3</v>
      </c>
      <c r="AA1159">
        <f t="shared" si="814"/>
        <v>3.3333333333333286</v>
      </c>
      <c r="AB1159">
        <f t="shared" si="825"/>
        <v>50.505050505050505</v>
      </c>
      <c r="AC1159">
        <f t="shared" si="852"/>
        <v>168.3501683501681</v>
      </c>
      <c r="AD1159">
        <f t="shared" si="826"/>
        <v>80.505050505050505</v>
      </c>
      <c r="AE1159">
        <f t="shared" si="827"/>
        <v>13.417508417508397</v>
      </c>
      <c r="AF1159" s="94">
        <f t="shared" si="828"/>
        <v>4818.2323232323233</v>
      </c>
      <c r="AG1159">
        <f t="shared" si="841"/>
        <v>1.2999325539323864E-4</v>
      </c>
      <c r="AH1159">
        <f t="shared" si="829"/>
        <v>4.0308870681854646E-2</v>
      </c>
      <c r="AI1159">
        <f>HLOOKUP(AW1159,'Real assumptions'!$A$21:$AK$24,2,TRUE)</f>
        <v>0</v>
      </c>
      <c r="AJ1159" s="123">
        <f t="shared" si="853"/>
        <v>0</v>
      </c>
      <c r="AK1159" s="122">
        <f>(1+HLOOKUP(YEAR(A1159),'Real assumptions'!$A$21:$AK$24,2,TRUE)/100)^(1/12)-1</f>
        <v>0</v>
      </c>
      <c r="AL1159">
        <f t="shared" si="842"/>
        <v>2.8595320276419766E-4</v>
      </c>
      <c r="AM1159">
        <f>('Real assumptions'!$B$33/12)*O1158*AV1158</f>
        <v>2.7487595720139025E-4</v>
      </c>
      <c r="AN1159">
        <f t="shared" si="830"/>
        <v>4.0316201070646047E-2</v>
      </c>
      <c r="AO1159">
        <f t="shared" si="854"/>
        <v>0</v>
      </c>
      <c r="AP1159" s="121">
        <f t="shared" si="831"/>
        <v>0</v>
      </c>
      <c r="AQ1159">
        <f t="shared" si="832"/>
        <v>0</v>
      </c>
      <c r="AR1159">
        <v>0</v>
      </c>
      <c r="AS1159">
        <f t="shared" si="815"/>
        <v>0</v>
      </c>
      <c r="AT1159">
        <f t="shared" si="833"/>
        <v>0</v>
      </c>
      <c r="AU1159">
        <f>IFERROR(HLOOKUP(B1159,'Real assumptions'!$B$43:$AL$44,2,TRUE)*($W$3/$U$2),0)</f>
        <v>0</v>
      </c>
      <c r="AV1159">
        <f>AV1158*(1+'Real assumptions'!$B$35)^(1/12)</f>
        <v>3.2784995709772953</v>
      </c>
      <c r="AW1159">
        <f t="shared" si="816"/>
        <v>2114</v>
      </c>
      <c r="AX1159">
        <f t="shared" si="843"/>
        <v>4.0436048647527117E-2</v>
      </c>
      <c r="AY1159">
        <f t="shared" si="844"/>
        <v>3.5323584953029733E-5</v>
      </c>
      <c r="AZ1159">
        <f t="shared" si="817"/>
        <v>8.6166216024167325E-3</v>
      </c>
      <c r="BA1159">
        <f t="shared" si="834"/>
        <v>1.2999325539323864E-4</v>
      </c>
      <c r="BB1159">
        <f t="shared" si="835"/>
        <v>3.3333333333333286</v>
      </c>
      <c r="BC1159">
        <f t="shared" si="818"/>
        <v>1.9999999999999971</v>
      </c>
      <c r="BD1159">
        <f t="shared" si="836"/>
        <v>0</v>
      </c>
      <c r="BE1159">
        <f t="shared" si="819"/>
        <v>24</v>
      </c>
      <c r="BF1159">
        <f t="shared" si="845"/>
        <v>5000</v>
      </c>
      <c r="BU1159"/>
      <c r="DW1159" s="89"/>
      <c r="DX1159" s="89"/>
      <c r="FD1159"/>
      <c r="FE1159"/>
    </row>
    <row r="1160" spans="1:161" x14ac:dyDescent="0.25">
      <c r="A1160" s="7">
        <f t="shared" si="837"/>
        <v>78406</v>
      </c>
      <c r="B1160">
        <f t="shared" si="820"/>
        <v>1149</v>
      </c>
      <c r="C1160">
        <f t="shared" si="846"/>
        <v>95.666666666666671</v>
      </c>
      <c r="D1160">
        <f t="shared" si="847"/>
        <v>0</v>
      </c>
      <c r="E1160">
        <f t="shared" si="821"/>
        <v>147</v>
      </c>
      <c r="F1160">
        <f>IF(C1160&gt;=$T$2,0,VLOOKUP($E1160,EKM_F05!$A$3:$C$128,2,TRUE))</f>
        <v>0</v>
      </c>
      <c r="G1160">
        <f>F1160*'Real assumptions'!$B$3</f>
        <v>0</v>
      </c>
      <c r="H1160">
        <f t="shared" si="848"/>
        <v>0</v>
      </c>
      <c r="I1160">
        <f t="shared" si="849"/>
        <v>0</v>
      </c>
      <c r="J1160">
        <f>IF(B1160&gt;$AJ$2,0,HLOOKUP(C1160,'Real assumptions'!$B$5:$L$8,4,TRUE))</f>
        <v>3.7900000000000003E-2</v>
      </c>
      <c r="K1160">
        <f t="shared" si="810"/>
        <v>1</v>
      </c>
      <c r="L1160">
        <f t="shared" si="838"/>
        <v>8.3333333333333329E-2</v>
      </c>
      <c r="M1160">
        <f t="shared" si="850"/>
        <v>3.2145624959929453E-3</v>
      </c>
      <c r="N1160">
        <f t="shared" si="851"/>
        <v>2.6892722321615563E-8</v>
      </c>
      <c r="O1160" s="8">
        <f t="shared" si="822"/>
        <v>8.3390116130702764E-6</v>
      </c>
      <c r="P1160">
        <f t="shared" si="823"/>
        <v>2.0078170404940542E-4</v>
      </c>
      <c r="Q1160">
        <f t="shared" si="839"/>
        <v>0</v>
      </c>
      <c r="R1160" s="89">
        <f t="shared" si="811"/>
        <v>5000</v>
      </c>
      <c r="S1160">
        <f t="shared" si="812"/>
        <v>0.25</v>
      </c>
      <c r="U1160">
        <f>O1159*AV1159*'Real assumptions'!$B$33/12+AX1160*'Real assumptions'!$B$34</f>
        <v>2.853281891699597E-4</v>
      </c>
      <c r="V1160">
        <f>IF(P1160=0,0,IF(E1160&lt;=$C$7,$AN$5*O1159,0))*'Real assumptions'!$D$28</f>
        <v>0</v>
      </c>
      <c r="X1160" s="94">
        <f t="shared" si="824"/>
        <v>0</v>
      </c>
      <c r="Y1160">
        <f t="shared" si="813"/>
        <v>24</v>
      </c>
      <c r="Z1160">
        <f t="shared" si="840"/>
        <v>3</v>
      </c>
      <c r="AA1160">
        <f t="shared" si="814"/>
        <v>3.25</v>
      </c>
      <c r="AB1160">
        <f t="shared" si="825"/>
        <v>50.505050505050505</v>
      </c>
      <c r="AC1160">
        <f t="shared" si="852"/>
        <v>164.14141414141415</v>
      </c>
      <c r="AD1160">
        <f t="shared" si="826"/>
        <v>80.505050505050505</v>
      </c>
      <c r="AE1160">
        <f t="shared" si="827"/>
        <v>13.082070707070706</v>
      </c>
      <c r="AF1160" s="94">
        <f t="shared" si="828"/>
        <v>4822.776515151515</v>
      </c>
      <c r="AG1160">
        <f t="shared" si="841"/>
        <v>1.2969758964117846E-4</v>
      </c>
      <c r="AH1160">
        <f t="shared" si="829"/>
        <v>4.021718936709108E-2</v>
      </c>
      <c r="AI1160">
        <f>HLOOKUP(AW1160,'Real assumptions'!$A$21:$AK$24,2,TRUE)</f>
        <v>0</v>
      </c>
      <c r="AJ1160" s="123">
        <f t="shared" si="853"/>
        <v>0</v>
      </c>
      <c r="AK1160" s="122">
        <f>(1+HLOOKUP(YEAR(A1160),'Real assumptions'!$A$21:$AK$24,2,TRUE)/100)^(1/12)-1</f>
        <v>0</v>
      </c>
      <c r="AL1160">
        <f t="shared" si="842"/>
        <v>2.853281891699597E-4</v>
      </c>
      <c r="AM1160">
        <f>('Real assumptions'!$B$33/12)*O1159*AV1159</f>
        <v>2.7427613774419414E-4</v>
      </c>
      <c r="AN1160">
        <f t="shared" si="830"/>
        <v>4.0224324196734093E-2</v>
      </c>
      <c r="AO1160">
        <f t="shared" si="854"/>
        <v>0</v>
      </c>
      <c r="AP1160" s="121">
        <f t="shared" si="831"/>
        <v>0</v>
      </c>
      <c r="AQ1160">
        <f t="shared" si="832"/>
        <v>0</v>
      </c>
      <c r="AR1160">
        <v>0</v>
      </c>
      <c r="AS1160">
        <f t="shared" si="815"/>
        <v>0</v>
      </c>
      <c r="AT1160">
        <f t="shared" si="833"/>
        <v>0</v>
      </c>
      <c r="AU1160">
        <f>IFERROR(HLOOKUP(B1160,'Real assumptions'!$B$43:$AL$44,2,TRUE)*($W$3/$U$2),0)</f>
        <v>0</v>
      </c>
      <c r="AV1160">
        <f>AV1159*(1+'Real assumptions'!$B$35)^(1/12)</f>
        <v>3.2818952638421255</v>
      </c>
      <c r="AW1160">
        <f t="shared" si="816"/>
        <v>2114</v>
      </c>
      <c r="AX1160">
        <f t="shared" si="843"/>
        <v>4.0344080716936265E-2</v>
      </c>
      <c r="AY1160">
        <f t="shared" si="844"/>
        <v>3.521003508161571E-5</v>
      </c>
      <c r="AZ1160">
        <f t="shared" si="817"/>
        <v>8.4023775276550021E-3</v>
      </c>
      <c r="BA1160">
        <f t="shared" si="834"/>
        <v>1.2969758964117846E-4</v>
      </c>
      <c r="BB1160">
        <f t="shared" si="835"/>
        <v>3.25</v>
      </c>
      <c r="BC1160">
        <f t="shared" si="818"/>
        <v>1.95</v>
      </c>
      <c r="BD1160">
        <f t="shared" si="836"/>
        <v>0</v>
      </c>
      <c r="BE1160">
        <f t="shared" si="819"/>
        <v>24</v>
      </c>
      <c r="BF1160">
        <f t="shared" si="845"/>
        <v>5000</v>
      </c>
      <c r="BU1160"/>
      <c r="DW1160" s="89"/>
      <c r="DX1160" s="89"/>
      <c r="FD1160"/>
      <c r="FE1160"/>
    </row>
    <row r="1161" spans="1:161" x14ac:dyDescent="0.25">
      <c r="A1161" s="7">
        <f t="shared" si="837"/>
        <v>78436</v>
      </c>
      <c r="B1161">
        <f t="shared" si="820"/>
        <v>1150</v>
      </c>
      <c r="C1161">
        <f t="shared" si="846"/>
        <v>95.75</v>
      </c>
      <c r="D1161">
        <f t="shared" si="847"/>
        <v>0</v>
      </c>
      <c r="E1161">
        <f t="shared" si="821"/>
        <v>147</v>
      </c>
      <c r="F1161">
        <f>IF(C1161&gt;=$T$2,0,VLOOKUP($E1161,EKM_F05!$A$3:$C$128,2,TRUE))</f>
        <v>0</v>
      </c>
      <c r="G1161">
        <f>F1161*'Real assumptions'!$B$3</f>
        <v>0</v>
      </c>
      <c r="H1161">
        <f t="shared" si="848"/>
        <v>0</v>
      </c>
      <c r="I1161">
        <f t="shared" si="849"/>
        <v>0</v>
      </c>
      <c r="J1161">
        <f>IF(B1161&gt;$AJ$2,0,HLOOKUP(C1161,'Real assumptions'!$B$5:$L$8,4,TRUE))</f>
        <v>3.7900000000000003E-2</v>
      </c>
      <c r="K1161">
        <f t="shared" si="810"/>
        <v>1</v>
      </c>
      <c r="L1161">
        <f t="shared" si="838"/>
        <v>8.3333333333333329E-2</v>
      </c>
      <c r="M1161">
        <f t="shared" si="850"/>
        <v>3.2145624959929453E-3</v>
      </c>
      <c r="N1161">
        <f t="shared" si="851"/>
        <v>2.6806273985025344E-8</v>
      </c>
      <c r="O1161" s="8">
        <f t="shared" si="822"/>
        <v>8.3122053390852511E-6</v>
      </c>
      <c r="P1161">
        <f t="shared" si="823"/>
        <v>2.0013627871368663E-4</v>
      </c>
      <c r="Q1161">
        <f t="shared" si="839"/>
        <v>0</v>
      </c>
      <c r="R1161" s="89">
        <f t="shared" si="811"/>
        <v>5000</v>
      </c>
      <c r="S1161">
        <f t="shared" si="812"/>
        <v>0.1666666666666714</v>
      </c>
      <c r="U1161">
        <f>O1160*AV1160*'Real assumptions'!$B$33/12+AX1161*'Real assumptions'!$B$34</f>
        <v>2.8470453197983539E-4</v>
      </c>
      <c r="V1161">
        <f>IF(P1161=0,0,IF(E1161&lt;=$C$7,$AN$5*O1160,0))*'Real assumptions'!$D$28</f>
        <v>0</v>
      </c>
      <c r="X1161" s="94">
        <f t="shared" si="824"/>
        <v>0</v>
      </c>
      <c r="Y1161">
        <f t="shared" si="813"/>
        <v>24</v>
      </c>
      <c r="Z1161">
        <f t="shared" si="840"/>
        <v>3</v>
      </c>
      <c r="AA1161">
        <f t="shared" si="814"/>
        <v>3.1666666666666714</v>
      </c>
      <c r="AB1161">
        <f t="shared" si="825"/>
        <v>50.505050505050505</v>
      </c>
      <c r="AC1161">
        <f t="shared" si="852"/>
        <v>159.93265993266019</v>
      </c>
      <c r="AD1161">
        <f t="shared" si="826"/>
        <v>80.505050505050505</v>
      </c>
      <c r="AE1161">
        <f t="shared" si="827"/>
        <v>12.746632996633014</v>
      </c>
      <c r="AF1161" s="94">
        <f t="shared" si="828"/>
        <v>4827.3207070707067</v>
      </c>
      <c r="AG1161">
        <f t="shared" si="841"/>
        <v>1.2940248148732362E-4</v>
      </c>
      <c r="AH1161">
        <f t="shared" si="829"/>
        <v>4.0125680954789918E-2</v>
      </c>
      <c r="AI1161">
        <f>HLOOKUP(AW1161,'Real assumptions'!$A$21:$AK$24,2,TRUE)</f>
        <v>0</v>
      </c>
      <c r="AJ1161" s="123">
        <f t="shared" si="853"/>
        <v>0</v>
      </c>
      <c r="AK1161" s="122">
        <f>(1+HLOOKUP(YEAR(A1161),'Real assumptions'!$A$21:$AK$24,2,TRUE)/100)^(1/12)-1</f>
        <v>0</v>
      </c>
      <c r="AL1161">
        <f t="shared" si="842"/>
        <v>2.8470453197983539E-4</v>
      </c>
      <c r="AM1161">
        <f>('Real assumptions'!$B$33/12)*O1160*AV1160</f>
        <v>2.7367762718059826E-4</v>
      </c>
      <c r="AN1161">
        <f t="shared" si="830"/>
        <v>4.0132621113824929E-2</v>
      </c>
      <c r="AO1161">
        <f t="shared" si="854"/>
        <v>0</v>
      </c>
      <c r="AP1161" s="121">
        <f t="shared" si="831"/>
        <v>0</v>
      </c>
      <c r="AQ1161">
        <f t="shared" si="832"/>
        <v>0</v>
      </c>
      <c r="AR1161">
        <v>0</v>
      </c>
      <c r="AS1161">
        <f t="shared" si="815"/>
        <v>0</v>
      </c>
      <c r="AT1161">
        <f t="shared" si="833"/>
        <v>0</v>
      </c>
      <c r="AU1161">
        <f>IFERROR(HLOOKUP(B1161,'Real assumptions'!$B$43:$AL$44,2,TRUE)*($W$3/$U$2),0)</f>
        <v>0</v>
      </c>
      <c r="AV1161">
        <f>AV1160*(1+'Real assumptions'!$B$35)^(1/12)</f>
        <v>3.2852944737823075</v>
      </c>
      <c r="AW1161">
        <f t="shared" si="816"/>
        <v>2114</v>
      </c>
      <c r="AX1161">
        <f t="shared" si="843"/>
        <v>4.0252286217314442E-2</v>
      </c>
      <c r="AY1161">
        <f t="shared" si="844"/>
        <v>3.5096850223359745E-5</v>
      </c>
      <c r="AZ1161">
        <f t="shared" si="817"/>
        <v>8.1884067929015297E-3</v>
      </c>
      <c r="BA1161">
        <f t="shared" si="834"/>
        <v>1.2940248148732362E-4</v>
      </c>
      <c r="BB1161">
        <f t="shared" si="835"/>
        <v>3.1666666666666714</v>
      </c>
      <c r="BC1161">
        <f t="shared" si="818"/>
        <v>1.9000000000000028</v>
      </c>
      <c r="BD1161">
        <f t="shared" si="836"/>
        <v>0</v>
      </c>
      <c r="BE1161">
        <f t="shared" si="819"/>
        <v>24</v>
      </c>
      <c r="BF1161">
        <f t="shared" si="845"/>
        <v>5000</v>
      </c>
      <c r="BU1161"/>
      <c r="DW1161" s="89"/>
      <c r="DX1161" s="89"/>
      <c r="FD1161"/>
      <c r="FE1161"/>
    </row>
    <row r="1162" spans="1:161" x14ac:dyDescent="0.25">
      <c r="A1162" s="7">
        <f t="shared" si="837"/>
        <v>78467</v>
      </c>
      <c r="B1162">
        <f t="shared" si="820"/>
        <v>1151</v>
      </c>
      <c r="C1162">
        <f t="shared" si="846"/>
        <v>95.833333333333329</v>
      </c>
      <c r="D1162">
        <f t="shared" si="847"/>
        <v>0</v>
      </c>
      <c r="E1162">
        <f t="shared" si="821"/>
        <v>147</v>
      </c>
      <c r="F1162">
        <f>IF(C1162&gt;=$T$2,0,VLOOKUP($E1162,EKM_F05!$A$3:$C$128,2,TRUE))</f>
        <v>0</v>
      </c>
      <c r="G1162">
        <f>F1162*'Real assumptions'!$B$3</f>
        <v>0</v>
      </c>
      <c r="H1162">
        <f t="shared" si="848"/>
        <v>0</v>
      </c>
      <c r="I1162">
        <f t="shared" si="849"/>
        <v>0</v>
      </c>
      <c r="J1162">
        <f>IF(B1162&gt;$AJ$2,0,HLOOKUP(C1162,'Real assumptions'!$B$5:$L$8,4,TRUE))</f>
        <v>3.7900000000000003E-2</v>
      </c>
      <c r="K1162">
        <f t="shared" si="810"/>
        <v>1</v>
      </c>
      <c r="L1162">
        <f t="shared" si="838"/>
        <v>8.3333333333333329E-2</v>
      </c>
      <c r="M1162">
        <f t="shared" si="850"/>
        <v>3.2145624959929453E-3</v>
      </c>
      <c r="N1162">
        <f t="shared" si="851"/>
        <v>2.6720103542015771E-8</v>
      </c>
      <c r="O1162" s="8">
        <f t="shared" si="822"/>
        <v>8.2854852355432349E-6</v>
      </c>
      <c r="P1162">
        <f t="shared" si="823"/>
        <v>1.9949292813804603E-4</v>
      </c>
      <c r="Q1162">
        <f t="shared" si="839"/>
        <v>0</v>
      </c>
      <c r="R1162" s="89">
        <f t="shared" si="811"/>
        <v>5000</v>
      </c>
      <c r="S1162">
        <f t="shared" si="812"/>
        <v>8.3333333333328596E-2</v>
      </c>
      <c r="U1162">
        <f>O1161*AV1161*'Real assumptions'!$B$33/12+AX1162*'Real assumptions'!$B$34</f>
        <v>2.8408222829251809E-4</v>
      </c>
      <c r="V1162">
        <f>IF(P1162=0,0,IF(E1162&lt;=$C$7,$AN$5*O1161,0))*'Real assumptions'!$D$28</f>
        <v>0</v>
      </c>
      <c r="X1162" s="94">
        <f t="shared" si="824"/>
        <v>0</v>
      </c>
      <c r="Y1162">
        <f t="shared" si="813"/>
        <v>24</v>
      </c>
      <c r="Z1162">
        <f t="shared" si="840"/>
        <v>3</v>
      </c>
      <c r="AA1162">
        <f t="shared" si="814"/>
        <v>3.0833333333333286</v>
      </c>
      <c r="AB1162">
        <f t="shared" si="825"/>
        <v>50.505050505050505</v>
      </c>
      <c r="AC1162">
        <f t="shared" si="852"/>
        <v>155.72390572390549</v>
      </c>
      <c r="AD1162">
        <f t="shared" si="826"/>
        <v>80.505050505050505</v>
      </c>
      <c r="AE1162">
        <f t="shared" si="827"/>
        <v>12.411195286195266</v>
      </c>
      <c r="AF1162" s="94">
        <f t="shared" si="828"/>
        <v>4831.8648989898993</v>
      </c>
      <c r="AG1162">
        <f t="shared" si="841"/>
        <v>1.2910793040204167E-4</v>
      </c>
      <c r="AH1162">
        <f t="shared" si="829"/>
        <v>4.0034345280720411E-2</v>
      </c>
      <c r="AI1162">
        <f>HLOOKUP(AW1162,'Real assumptions'!$A$21:$AK$24,2,TRUE)</f>
        <v>0</v>
      </c>
      <c r="AJ1162" s="123">
        <f t="shared" si="853"/>
        <v>0</v>
      </c>
      <c r="AK1162" s="122">
        <f>(1+HLOOKUP(YEAR(A1162),'Real assumptions'!$A$21:$AK$24,2,TRUE)/100)^(1/12)-1</f>
        <v>0</v>
      </c>
      <c r="AL1162">
        <f t="shared" si="842"/>
        <v>2.8408222829251809E-4</v>
      </c>
      <c r="AM1162">
        <f>('Real assumptions'!$B$33/12)*O1161*AV1161</f>
        <v>2.7308042265440565E-4</v>
      </c>
      <c r="AN1162">
        <f t="shared" si="830"/>
        <v>4.0041091654635451E-2</v>
      </c>
      <c r="AO1162">
        <f t="shared" si="854"/>
        <v>0</v>
      </c>
      <c r="AP1162" s="121">
        <f t="shared" si="831"/>
        <v>0</v>
      </c>
      <c r="AQ1162">
        <f t="shared" si="832"/>
        <v>0</v>
      </c>
      <c r="AR1162">
        <v>0</v>
      </c>
      <c r="AS1162">
        <f t="shared" si="815"/>
        <v>0</v>
      </c>
      <c r="AT1162">
        <f t="shared" si="833"/>
        <v>0</v>
      </c>
      <c r="AU1162">
        <f>IFERROR(HLOOKUP(B1162,'Real assumptions'!$B$43:$AL$44,2,TRUE)*($W$3/$U$2),0)</f>
        <v>0</v>
      </c>
      <c r="AV1162">
        <f>AV1161*(1+'Real assumptions'!$B$35)^(1/12)</f>
        <v>3.2886972044406382</v>
      </c>
      <c r="AW1162">
        <f t="shared" si="816"/>
        <v>2114</v>
      </c>
      <c r="AX1162">
        <f t="shared" si="843"/>
        <v>4.0160664983994822E-2</v>
      </c>
      <c r="AY1162">
        <f t="shared" si="844"/>
        <v>3.4984029204904251E-5</v>
      </c>
      <c r="AZ1162">
        <f t="shared" si="817"/>
        <v>7.974709562345016E-3</v>
      </c>
      <c r="BA1162">
        <f t="shared" si="834"/>
        <v>1.2910793040204167E-4</v>
      </c>
      <c r="BB1162">
        <f t="shared" si="835"/>
        <v>3.0833333333333286</v>
      </c>
      <c r="BC1162">
        <f t="shared" si="818"/>
        <v>1.849999999999997</v>
      </c>
      <c r="BD1162">
        <f t="shared" si="836"/>
        <v>0</v>
      </c>
      <c r="BE1162">
        <f t="shared" si="819"/>
        <v>24</v>
      </c>
      <c r="BF1162">
        <f t="shared" si="845"/>
        <v>5000</v>
      </c>
      <c r="BU1162"/>
      <c r="DW1162" s="89"/>
      <c r="DX1162" s="89"/>
      <c r="FD1162"/>
      <c r="FE1162"/>
    </row>
    <row r="1163" spans="1:161" x14ac:dyDescent="0.25">
      <c r="A1163" s="7">
        <f t="shared" si="837"/>
        <v>78497</v>
      </c>
      <c r="B1163">
        <f t="shared" si="820"/>
        <v>1152</v>
      </c>
      <c r="C1163">
        <f t="shared" si="846"/>
        <v>95.916666666666671</v>
      </c>
      <c r="D1163">
        <f t="shared" si="847"/>
        <v>0</v>
      </c>
      <c r="E1163">
        <f t="shared" si="821"/>
        <v>147</v>
      </c>
      <c r="F1163">
        <f>IF(C1163&gt;=$T$2,0,VLOOKUP($E1163,EKM_F05!$A$3:$C$128,2,TRUE))</f>
        <v>0</v>
      </c>
      <c r="G1163">
        <f>F1163*'Real assumptions'!$B$3</f>
        <v>0</v>
      </c>
      <c r="H1163">
        <f t="shared" si="848"/>
        <v>0</v>
      </c>
      <c r="I1163">
        <f t="shared" si="849"/>
        <v>0</v>
      </c>
      <c r="J1163">
        <f>IF(B1163&gt;$AJ$2,0,HLOOKUP(C1163,'Real assumptions'!$B$5:$L$8,4,TRUE))</f>
        <v>3.7900000000000003E-2</v>
      </c>
      <c r="K1163">
        <f t="shared" si="810"/>
        <v>1</v>
      </c>
      <c r="L1163">
        <f t="shared" si="838"/>
        <v>8.3333333333333329E-2</v>
      </c>
      <c r="M1163">
        <f t="shared" si="850"/>
        <v>3.2145624959929453E-3</v>
      </c>
      <c r="N1163">
        <f t="shared" si="851"/>
        <v>2.6634210099280556E-8</v>
      </c>
      <c r="O1163" s="8">
        <f t="shared" si="822"/>
        <v>8.258851025443954E-6</v>
      </c>
      <c r="P1163">
        <f t="shared" si="823"/>
        <v>1.9885164565303765E-4</v>
      </c>
      <c r="Q1163">
        <f t="shared" si="839"/>
        <v>0</v>
      </c>
      <c r="R1163" s="89">
        <f t="shared" si="811"/>
        <v>5000</v>
      </c>
      <c r="S1163">
        <f t="shared" si="812"/>
        <v>1</v>
      </c>
      <c r="U1163">
        <f>O1162*AV1162*'Real assumptions'!$B$33/12+AX1163*'Real assumptions'!$B$34</f>
        <v>2.8346127521273323E-4</v>
      </c>
      <c r="V1163">
        <f>IF(P1163=0,0,IF(E1163&lt;=$C$7,$AN$5*O1162,0))*'Real assumptions'!$D$28</f>
        <v>0</v>
      </c>
      <c r="X1163" s="94">
        <f t="shared" si="824"/>
        <v>0</v>
      </c>
      <c r="Y1163">
        <f t="shared" si="813"/>
        <v>24</v>
      </c>
      <c r="Z1163">
        <f t="shared" si="840"/>
        <v>3</v>
      </c>
      <c r="AA1163">
        <f t="shared" si="814"/>
        <v>3</v>
      </c>
      <c r="AB1163">
        <f t="shared" si="825"/>
        <v>50.505050505050505</v>
      </c>
      <c r="AC1163">
        <f t="shared" si="852"/>
        <v>151.5151515151515</v>
      </c>
      <c r="AD1163">
        <f t="shared" si="826"/>
        <v>80.505050505050505</v>
      </c>
      <c r="AE1163">
        <f t="shared" si="827"/>
        <v>12.075757575757574</v>
      </c>
      <c r="AF1163" s="94">
        <f t="shared" si="828"/>
        <v>4836.4090909090901</v>
      </c>
      <c r="AG1163">
        <f t="shared" si="841"/>
        <v>1.2881393585334317E-4</v>
      </c>
      <c r="AH1163">
        <f t="shared" si="829"/>
        <v>3.9943182179921002E-2</v>
      </c>
      <c r="AI1163">
        <f>HLOOKUP(AW1163,'Real assumptions'!$A$21:$AK$24,2,TRUE)</f>
        <v>0</v>
      </c>
      <c r="AJ1163" s="123">
        <f t="shared" si="853"/>
        <v>0</v>
      </c>
      <c r="AK1163" s="122">
        <f>(1+HLOOKUP(YEAR(A1163),'Real assumptions'!$A$21:$AK$24,2,TRUE)/100)^(1/12)-1</f>
        <v>0</v>
      </c>
      <c r="AL1163">
        <f t="shared" si="842"/>
        <v>2.8346127521273323E-4</v>
      </c>
      <c r="AM1163">
        <f>('Real assumptions'!$B$33/12)*O1162*AV1162</f>
        <v>2.7248452131565219E-4</v>
      </c>
      <c r="AN1163">
        <f t="shared" si="830"/>
        <v>3.9949735651160716E-2</v>
      </c>
      <c r="AO1163">
        <f t="shared" si="854"/>
        <v>0</v>
      </c>
      <c r="AP1163" s="121">
        <f t="shared" si="831"/>
        <v>0</v>
      </c>
      <c r="AQ1163">
        <f t="shared" si="832"/>
        <v>0</v>
      </c>
      <c r="AR1163">
        <v>0</v>
      </c>
      <c r="AS1163">
        <f t="shared" si="815"/>
        <v>0</v>
      </c>
      <c r="AT1163">
        <f t="shared" si="833"/>
        <v>0</v>
      </c>
      <c r="AU1163">
        <f>IFERROR(HLOOKUP(B1163,'Real assumptions'!$B$43:$AL$44,2,TRUE)*($W$3/$U$2),0)</f>
        <v>0</v>
      </c>
      <c r="AV1163">
        <f>AV1162*(1+'Real assumptions'!$B$35)^(1/12)</f>
        <v>3.2921034594636871</v>
      </c>
      <c r="AW1163">
        <f t="shared" si="816"/>
        <v>2114</v>
      </c>
      <c r="AX1163">
        <f t="shared" si="843"/>
        <v>4.0069216851577077E-2</v>
      </c>
      <c r="AY1163">
        <f t="shared" si="844"/>
        <v>3.4871570856663445E-5</v>
      </c>
      <c r="AZ1163">
        <f t="shared" si="817"/>
        <v>7.7612859969319768E-3</v>
      </c>
      <c r="BA1163">
        <f t="shared" si="834"/>
        <v>1.2881393585334317E-4</v>
      </c>
      <c r="BB1163">
        <f t="shared" si="835"/>
        <v>3</v>
      </c>
      <c r="BC1163">
        <f t="shared" si="818"/>
        <v>1.7999999999999998</v>
      </c>
      <c r="BD1163">
        <f t="shared" si="836"/>
        <v>0</v>
      </c>
      <c r="BE1163">
        <f t="shared" si="819"/>
        <v>24</v>
      </c>
      <c r="BF1163">
        <f t="shared" si="845"/>
        <v>5000</v>
      </c>
      <c r="BU1163"/>
      <c r="DW1163" s="89"/>
      <c r="DX1163" s="89"/>
      <c r="FD1163"/>
      <c r="FE1163"/>
    </row>
    <row r="1164" spans="1:161" x14ac:dyDescent="0.25">
      <c r="A1164" s="7">
        <f t="shared" si="837"/>
        <v>78528</v>
      </c>
      <c r="B1164">
        <f t="shared" si="820"/>
        <v>1153</v>
      </c>
      <c r="C1164">
        <f t="shared" si="846"/>
        <v>96</v>
      </c>
      <c r="D1164">
        <f t="shared" si="847"/>
        <v>1</v>
      </c>
      <c r="E1164">
        <f t="shared" si="821"/>
        <v>148</v>
      </c>
      <c r="F1164">
        <f>IF(C1164&gt;=$T$2,0,VLOOKUP($E1164,EKM_F05!$A$3:$C$128,2,TRUE))</f>
        <v>0</v>
      </c>
      <c r="G1164">
        <f>F1164*'Real assumptions'!$B$3</f>
        <v>0</v>
      </c>
      <c r="H1164">
        <f t="shared" si="848"/>
        <v>0</v>
      </c>
      <c r="I1164">
        <f t="shared" si="849"/>
        <v>0</v>
      </c>
      <c r="J1164">
        <f>IF(B1164&gt;$AJ$2,0,HLOOKUP(C1164,'Real assumptions'!$B$5:$L$8,4,TRUE))</f>
        <v>3.7900000000000003E-2</v>
      </c>
      <c r="K1164">
        <f t="shared" ref="K1164:K1212" si="855">IF(B1164&gt;$AJ$2,0,IF(($U$2*(B1164+11))/12-INT(($U$2*(B1164+11))/12)=0,1,0))</f>
        <v>1</v>
      </c>
      <c r="L1164">
        <f t="shared" si="838"/>
        <v>8.3333333333333329E-2</v>
      </c>
      <c r="M1164">
        <f t="shared" si="850"/>
        <v>3.2145624959929453E-3</v>
      </c>
      <c r="N1164">
        <f t="shared" si="851"/>
        <v>2.6548592766385012E-8</v>
      </c>
      <c r="O1164" s="8">
        <f t="shared" si="822"/>
        <v>8.2323024326775682E-6</v>
      </c>
      <c r="P1164">
        <f t="shared" si="823"/>
        <v>1.982124246106549E-4</v>
      </c>
      <c r="Q1164">
        <f t="shared" si="839"/>
        <v>0</v>
      </c>
      <c r="R1164" s="89">
        <f t="shared" ref="R1164:R1212" si="856">$AI$2</f>
        <v>5000</v>
      </c>
      <c r="S1164">
        <f t="shared" ref="S1164:S1212" si="857">INT(B1164/12)+1-B1164/12</f>
        <v>0.9166666666666714</v>
      </c>
      <c r="U1164">
        <f>O1163*AV1163*'Real assumptions'!$B$33/12+AX1164*'Real assumptions'!$B$34</f>
        <v>2.8284166985122574E-4</v>
      </c>
      <c r="V1164">
        <f>IF(P1164=0,0,IF(E1164&lt;=$C$7,$AN$5*O1163,0))*'Real assumptions'!$D$28</f>
        <v>0</v>
      </c>
      <c r="X1164" s="94">
        <f t="shared" si="824"/>
        <v>0</v>
      </c>
      <c r="Y1164">
        <f t="shared" ref="Y1164:Y1212" si="858">IF(P1164=0,0,$AN$5)</f>
        <v>24</v>
      </c>
      <c r="Z1164">
        <f t="shared" si="840"/>
        <v>3</v>
      </c>
      <c r="AA1164">
        <f t="shared" ref="AA1164:AA1212" si="859">99-(B1164/12)</f>
        <v>2.9166666666666714</v>
      </c>
      <c r="AB1164">
        <f t="shared" si="825"/>
        <v>50.505050505050505</v>
      </c>
      <c r="AC1164">
        <f t="shared" si="852"/>
        <v>147.30639730639754</v>
      </c>
      <c r="AD1164">
        <f t="shared" si="826"/>
        <v>80.505050505050505</v>
      </c>
      <c r="AE1164">
        <f t="shared" si="827"/>
        <v>11.740319865319885</v>
      </c>
      <c r="AF1164" s="94">
        <f t="shared" si="828"/>
        <v>4840.9532828282827</v>
      </c>
      <c r="AG1164">
        <f t="shared" si="841"/>
        <v>1.2852049730690271E-4</v>
      </c>
      <c r="AH1164">
        <f t="shared" si="829"/>
        <v>3.9852191486705733E-2</v>
      </c>
      <c r="AI1164">
        <f>HLOOKUP(AW1164,'Real assumptions'!$A$21:$AK$24,2,TRUE)</f>
        <v>0</v>
      </c>
      <c r="AJ1164" s="123">
        <f t="shared" si="853"/>
        <v>0</v>
      </c>
      <c r="AK1164" s="122">
        <f>(1+HLOOKUP(YEAR(A1164),'Real assumptions'!$A$21:$AK$24,2,TRUE)/100)^(1/12)-1</f>
        <v>0</v>
      </c>
      <c r="AL1164">
        <f t="shared" si="842"/>
        <v>2.8284166985122574E-4</v>
      </c>
      <c r="AM1164">
        <f>('Real assumptions'!$B$33/12)*O1163*AV1163</f>
        <v>2.7188992032059256E-4</v>
      </c>
      <c r="AN1164">
        <f t="shared" si="830"/>
        <v>3.9858552934680429E-2</v>
      </c>
      <c r="AO1164">
        <f t="shared" si="854"/>
        <v>0</v>
      </c>
      <c r="AP1164" s="121">
        <f t="shared" si="831"/>
        <v>0</v>
      </c>
      <c r="AQ1164">
        <f t="shared" si="832"/>
        <v>0</v>
      </c>
      <c r="AR1164">
        <v>0</v>
      </c>
      <c r="AS1164">
        <f t="shared" ref="AS1164:AS1212" si="860">IF(B1164&gt;$B$12,IF(B1164&lt;=$AJ$2,AT1164,0),0)</f>
        <v>0</v>
      </c>
      <c r="AT1164">
        <f t="shared" si="833"/>
        <v>0</v>
      </c>
      <c r="AU1164">
        <f>IFERROR(HLOOKUP(B1164,'Real assumptions'!$B$43:$AL$44,2,TRUE)*($W$3/$U$2),0)</f>
        <v>0</v>
      </c>
      <c r="AV1164">
        <f>AV1163*(1+'Real assumptions'!$B$35)^(1/12)</f>
        <v>3.2955132425018014</v>
      </c>
      <c r="AW1164">
        <f t="shared" ref="AW1164:AW1212" si="861">YEAR(A1164)</f>
        <v>2114</v>
      </c>
      <c r="AX1164">
        <f t="shared" si="843"/>
        <v>3.9977941653933813E-2</v>
      </c>
      <c r="AY1164">
        <f t="shared" si="844"/>
        <v>3.4759474012811252E-5</v>
      </c>
      <c r="AZ1164">
        <f t="shared" ref="AZ1164:AZ1211" si="862">(AZ1165+BA1165-P1165+U1165+AQ1165)/((1+AJ1165))</f>
        <v>7.5481362543845026E-3</v>
      </c>
      <c r="BA1164">
        <f t="shared" si="834"/>
        <v>1.2852049730690271E-4</v>
      </c>
      <c r="BB1164">
        <f t="shared" si="835"/>
        <v>2.9166666666666714</v>
      </c>
      <c r="BC1164">
        <f t="shared" ref="BC1164:BC1227" si="863">$AQ$5*BB1164+IF($W$3=0,0,$AP$5*AA1164)</f>
        <v>1.7500000000000029</v>
      </c>
      <c r="BD1164">
        <f t="shared" si="836"/>
        <v>0</v>
      </c>
      <c r="BE1164">
        <f t="shared" ref="BE1164:BE1212" si="864">IF(B1164=1,$AR$5,IF(P1164=0,0,$W$3/$U$2))</f>
        <v>24</v>
      </c>
      <c r="BF1164">
        <f t="shared" si="845"/>
        <v>5000</v>
      </c>
      <c r="BU1164"/>
      <c r="DW1164" s="89"/>
      <c r="DX1164" s="89"/>
      <c r="FD1164"/>
      <c r="FE1164"/>
    </row>
    <row r="1165" spans="1:161" x14ac:dyDescent="0.25">
      <c r="A1165" s="7">
        <f t="shared" si="837"/>
        <v>78559</v>
      </c>
      <c r="B1165">
        <f t="shared" ref="B1165:B1212" si="865">B1164+1</f>
        <v>1154</v>
      </c>
      <c r="C1165">
        <f t="shared" si="846"/>
        <v>96.083333333333329</v>
      </c>
      <c r="D1165">
        <f t="shared" si="847"/>
        <v>0</v>
      </c>
      <c r="E1165">
        <f t="shared" ref="E1165:E1212" si="866">$C$2+INT($C1165)</f>
        <v>148</v>
      </c>
      <c r="F1165">
        <f>IF(C1165&gt;=$T$2,0,VLOOKUP($E1165,EKM_F05!$A$3:$C$128,2,TRUE))</f>
        <v>0</v>
      </c>
      <c r="G1165">
        <f>F1165*'Real assumptions'!$B$3</f>
        <v>0</v>
      </c>
      <c r="H1165">
        <f t="shared" si="848"/>
        <v>0</v>
      </c>
      <c r="I1165">
        <f t="shared" si="849"/>
        <v>0</v>
      </c>
      <c r="J1165">
        <f>IF(B1165&gt;$AJ$2,0,HLOOKUP(C1165,'Real assumptions'!$B$5:$L$8,4,TRUE))</f>
        <v>3.7900000000000003E-2</v>
      </c>
      <c r="K1165">
        <f t="shared" si="855"/>
        <v>1</v>
      </c>
      <c r="L1165">
        <f t="shared" si="838"/>
        <v>8.3333333333333329E-2</v>
      </c>
      <c r="M1165">
        <f t="shared" si="850"/>
        <v>3.2145624959929453E-3</v>
      </c>
      <c r="N1165">
        <f t="shared" si="851"/>
        <v>2.6463250655756798E-8</v>
      </c>
      <c r="O1165" s="8">
        <f t="shared" ref="O1165:O1212" si="867">IF(E1166&gt;$C$5,0,IF(B1165&gt;$AJ$2,0,O1164-I1165-N1165))</f>
        <v>8.2058391820218106E-6</v>
      </c>
      <c r="P1165">
        <f t="shared" ref="P1165:P1212" si="868">IF($U$2=0,0,$W$3/$U$2*K1165*O1164)</f>
        <v>1.9757525838426165E-4</v>
      </c>
      <c r="Q1165">
        <f t="shared" si="839"/>
        <v>0</v>
      </c>
      <c r="R1165" s="89">
        <f t="shared" si="856"/>
        <v>5000</v>
      </c>
      <c r="S1165">
        <f t="shared" si="857"/>
        <v>0.8333333333333286</v>
      </c>
      <c r="U1165">
        <f>O1164*AV1164*'Real assumptions'!$B$33/12+AX1165*'Real assumptions'!$B$34</f>
        <v>2.822234093247488E-4</v>
      </c>
      <c r="V1165">
        <f>IF(P1165=0,0,IF(E1165&lt;=$C$7,$AN$5*O1164,0))*'Real assumptions'!$D$28</f>
        <v>0</v>
      </c>
      <c r="X1165" s="94">
        <f t="shared" ref="X1165:X1228" si="869">IF($U$2=12,0,IF($AM$2&lt;&gt;0,0,X1164+Y1165-($AN$5*($U$2/12))))</f>
        <v>0</v>
      </c>
      <c r="Y1165">
        <f t="shared" si="858"/>
        <v>24</v>
      </c>
      <c r="Z1165">
        <f t="shared" si="840"/>
        <v>2</v>
      </c>
      <c r="AA1165">
        <f t="shared" si="859"/>
        <v>2.8333333333333286</v>
      </c>
      <c r="AB1165">
        <f t="shared" ref="AB1165:AB1212" si="870">IF($AM$2&lt;&gt;0,0,R1165/99)</f>
        <v>50.505050505050505</v>
      </c>
      <c r="AC1165">
        <f t="shared" si="852"/>
        <v>143.09764309764284</v>
      </c>
      <c r="AD1165">
        <f t="shared" ref="AD1165:AD1212" si="871">IF($AM$2&lt;&gt;0,0,AB1165+$Q$4*$AI$2+$Q$5*$AI$2)</f>
        <v>80.505050505050505</v>
      </c>
      <c r="AE1165">
        <f t="shared" ref="AE1165:AE1212" si="872">MIN($C$6*AD1165*AA1165,$AI$2-AC1165+BD1165)</f>
        <v>11.404882154882136</v>
      </c>
      <c r="AF1165" s="94">
        <f t="shared" ref="AF1165:AF1212" si="873">MAX(($AI$2+$Y$2-AC1165-AE1165+X1165+BD1165),0)</f>
        <v>4845.4974747474753</v>
      </c>
      <c r="AG1165">
        <f t="shared" si="841"/>
        <v>1.2822761422607903E-4</v>
      </c>
      <c r="AH1165">
        <f t="shared" ref="AH1165:AH1212" si="874">AF1165*O1165</f>
        <v>3.9761373034670575E-2</v>
      </c>
      <c r="AI1165">
        <f>HLOOKUP(AW1165,'Real assumptions'!$A$21:$AK$24,2,TRUE)</f>
        <v>0</v>
      </c>
      <c r="AJ1165" s="123">
        <f t="shared" si="853"/>
        <v>0</v>
      </c>
      <c r="AK1165" s="122">
        <f>(1+HLOOKUP(YEAR(A1165),'Real assumptions'!$A$21:$AK$24,2,TRUE)/100)^(1/12)-1</f>
        <v>0</v>
      </c>
      <c r="AL1165">
        <f t="shared" si="842"/>
        <v>2.822234093247488E-4</v>
      </c>
      <c r="AM1165">
        <f>('Real assumptions'!$B$33/12)*O1164*AV1164</f>
        <v>2.7129661683168721E-4</v>
      </c>
      <c r="AN1165">
        <f t="shared" ref="AN1165:AN1212" si="875">AP1164+P1165+AH1164-V1165-AL1165</f>
        <v>3.9767543335765251E-2</v>
      </c>
      <c r="AO1165">
        <f t="shared" si="854"/>
        <v>0</v>
      </c>
      <c r="AP1165" s="121">
        <f t="shared" ref="AP1165:AP1212" si="876">IF(MONTH(A1165)=12,0,AP1164+AO1165)</f>
        <v>0</v>
      </c>
      <c r="AQ1165">
        <f t="shared" ref="AQ1165:AQ1212" si="877">IF(P1165=0,0,AR1165+AS1165)</f>
        <v>0</v>
      </c>
      <c r="AR1165">
        <v>0</v>
      </c>
      <c r="AS1165">
        <f t="shared" si="860"/>
        <v>0</v>
      </c>
      <c r="AT1165">
        <f t="shared" ref="AT1165:AT1212" si="878">IF(OR(B1165&lt;=$B$12,B1165&gt;$AJ$2),0,AU1165*O1164)</f>
        <v>0</v>
      </c>
      <c r="AU1165">
        <f>IFERROR(HLOOKUP(B1165,'Real assumptions'!$B$43:$AL$44,2,TRUE)*($W$3/$U$2),0)</f>
        <v>0</v>
      </c>
      <c r="AV1165">
        <f>AV1164*(1+'Real assumptions'!$B$35)^(1/12)</f>
        <v>3.2989265572091084</v>
      </c>
      <c r="AW1165">
        <f t="shared" si="861"/>
        <v>2115</v>
      </c>
      <c r="AX1165">
        <f t="shared" si="843"/>
        <v>3.9886839224216999E-2</v>
      </c>
      <c r="AY1165">
        <f t="shared" si="844"/>
        <v>3.4647737511269227E-5</v>
      </c>
      <c r="AZ1165">
        <f t="shared" si="862"/>
        <v>7.3352604892179367E-3</v>
      </c>
      <c r="BA1165">
        <f t="shared" ref="BA1165:BA1212" si="879">AG1165+V1165+Q1165</f>
        <v>1.2822761422607903E-4</v>
      </c>
      <c r="BB1165">
        <f t="shared" ref="BB1165:BB1212" si="880">Z1166+IF(S1165=1,0,S1165)</f>
        <v>2.8333333333333286</v>
      </c>
      <c r="BC1165">
        <f t="shared" si="863"/>
        <v>1.6999999999999971</v>
      </c>
      <c r="BD1165">
        <f t="shared" ref="BD1165:BD1212" si="881">(BC1165/100)*($AI$2+$Y$2)-AA1165*(AD1165-AB1165)</f>
        <v>0</v>
      </c>
      <c r="BE1165">
        <f t="shared" si="864"/>
        <v>24</v>
      </c>
      <c r="BF1165">
        <f t="shared" si="845"/>
        <v>5000</v>
      </c>
      <c r="BU1165"/>
      <c r="DW1165" s="89"/>
      <c r="DX1165" s="89"/>
      <c r="FD1165"/>
      <c r="FE1165"/>
    </row>
    <row r="1166" spans="1:161" x14ac:dyDescent="0.25">
      <c r="A1166" s="7">
        <f t="shared" ref="A1166:A1212" si="882">DATE(YEAR(A1165),MONTH(A1165)+2,1)-1</f>
        <v>78587</v>
      </c>
      <c r="B1166">
        <f t="shared" si="865"/>
        <v>1155</v>
      </c>
      <c r="C1166">
        <f t="shared" si="846"/>
        <v>96.166666666666671</v>
      </c>
      <c r="D1166">
        <f t="shared" si="847"/>
        <v>0</v>
      </c>
      <c r="E1166">
        <f t="shared" si="866"/>
        <v>148</v>
      </c>
      <c r="F1166">
        <f>IF(C1166&gt;=$T$2,0,VLOOKUP($E1166,EKM_F05!$A$3:$C$128,2,TRUE))</f>
        <v>0</v>
      </c>
      <c r="G1166">
        <f>F1166*'Real assumptions'!$B$3</f>
        <v>0</v>
      </c>
      <c r="H1166">
        <f t="shared" si="848"/>
        <v>0</v>
      </c>
      <c r="I1166">
        <f t="shared" si="849"/>
        <v>0</v>
      </c>
      <c r="J1166">
        <f>IF(B1166&gt;$AJ$2,0,HLOOKUP(C1166,'Real assumptions'!$B$5:$L$8,4,TRUE))</f>
        <v>3.7900000000000003E-2</v>
      </c>
      <c r="K1166">
        <f t="shared" si="855"/>
        <v>1</v>
      </c>
      <c r="L1166">
        <f t="shared" ref="L1166:L1212" si="883">IF(B1166&gt;$AJ$2,0,1/12)</f>
        <v>8.3333333333333329E-2</v>
      </c>
      <c r="M1166">
        <f t="shared" si="850"/>
        <v>3.2145624959929453E-3</v>
      </c>
      <c r="N1166">
        <f t="shared" si="851"/>
        <v>2.637818288267674E-8</v>
      </c>
      <c r="O1166" s="8">
        <f t="shared" si="867"/>
        <v>8.1794609991391335E-6</v>
      </c>
      <c r="P1166">
        <f t="shared" si="868"/>
        <v>1.9694014036852344E-4</v>
      </c>
      <c r="Q1166">
        <f t="shared" ref="Q1166:Q1212" si="884">BF1166*I1166</f>
        <v>0</v>
      </c>
      <c r="R1166" s="89">
        <f t="shared" si="856"/>
        <v>5000</v>
      </c>
      <c r="S1166">
        <f t="shared" si="857"/>
        <v>0.75</v>
      </c>
      <c r="U1166">
        <f>O1165*AV1165*'Real assumptions'!$B$33/12+AX1166*'Real assumptions'!$B$34</f>
        <v>2.8160649075605174E-4</v>
      </c>
      <c r="V1166">
        <f>IF(P1166=0,0,IF(E1166&lt;=$C$7,$AN$5*O1165,0))*'Real assumptions'!$D$28</f>
        <v>0</v>
      </c>
      <c r="X1166" s="94">
        <f t="shared" si="869"/>
        <v>0</v>
      </c>
      <c r="Y1166">
        <f t="shared" si="858"/>
        <v>24</v>
      </c>
      <c r="Z1166">
        <f t="shared" ref="Z1166:Z1212" si="885">IF(S1164=1,Z1165-1,Z1165)</f>
        <v>2</v>
      </c>
      <c r="AA1166">
        <f t="shared" si="859"/>
        <v>2.75</v>
      </c>
      <c r="AB1166">
        <f t="shared" si="870"/>
        <v>50.505050505050505</v>
      </c>
      <c r="AC1166">
        <f t="shared" si="852"/>
        <v>138.88888888888889</v>
      </c>
      <c r="AD1166">
        <f t="shared" si="871"/>
        <v>80.505050505050505</v>
      </c>
      <c r="AE1166">
        <f t="shared" si="872"/>
        <v>11.069444444444445</v>
      </c>
      <c r="AF1166" s="94">
        <f t="shared" si="873"/>
        <v>4850.041666666667</v>
      </c>
      <c r="AG1166">
        <f t="shared" ref="AG1166:AG1212" si="886">IF(B1166&lt;=$C$8,0,AF1166*N1166)</f>
        <v>1.2793528607193564E-4</v>
      </c>
      <c r="AH1166">
        <f t="shared" si="874"/>
        <v>3.9670726656699767E-2</v>
      </c>
      <c r="AI1166">
        <f>HLOOKUP(AW1166,'Real assumptions'!$A$21:$AK$24,2,TRUE)</f>
        <v>0</v>
      </c>
      <c r="AJ1166" s="123">
        <f t="shared" si="853"/>
        <v>0</v>
      </c>
      <c r="AK1166" s="122">
        <f>(1+HLOOKUP(YEAR(A1166),'Real assumptions'!$A$21:$AK$24,2,TRUE)/100)^(1/12)-1</f>
        <v>0</v>
      </c>
      <c r="AL1166">
        <f t="shared" ref="AL1166:AL1212" si="887">AQ1166+U1166</f>
        <v>2.8160649075605174E-4</v>
      </c>
      <c r="AM1166">
        <f>('Real assumptions'!$B$33/12)*O1165*AV1165</f>
        <v>2.7070460801758818E-4</v>
      </c>
      <c r="AN1166">
        <f t="shared" si="875"/>
        <v>3.9676706684283046E-2</v>
      </c>
      <c r="AO1166">
        <f t="shared" si="854"/>
        <v>0</v>
      </c>
      <c r="AP1166" s="121">
        <f t="shared" si="876"/>
        <v>0</v>
      </c>
      <c r="AQ1166">
        <f t="shared" si="877"/>
        <v>0</v>
      </c>
      <c r="AR1166">
        <v>0</v>
      </c>
      <c r="AS1166">
        <f t="shared" si="860"/>
        <v>0</v>
      </c>
      <c r="AT1166">
        <f t="shared" si="878"/>
        <v>0</v>
      </c>
      <c r="AU1166">
        <f>IFERROR(HLOOKUP(B1166,'Real assumptions'!$B$43:$AL$44,2,TRUE)*($W$3/$U$2),0)</f>
        <v>0</v>
      </c>
      <c r="AV1166">
        <f>AV1165*(1+'Real assumptions'!$B$35)^(1/12)</f>
        <v>3.3023434072435203</v>
      </c>
      <c r="AW1166">
        <f t="shared" si="861"/>
        <v>2115</v>
      </c>
      <c r="AX1166">
        <f t="shared" ref="AX1166:AX1212" si="888">MAX(0,AH1165+AP1165-V1166+AY1166)</f>
        <v>3.9795909394864271E-2</v>
      </c>
      <c r="AY1166">
        <f t="shared" ref="AY1166:AY1212" si="889">IF(P1166=0,0,(AB1166/$U$2)*O1165)</f>
        <v>3.4536360193694488E-5</v>
      </c>
      <c r="AZ1166">
        <f t="shared" si="862"/>
        <v>7.1226588527584737E-3</v>
      </c>
      <c r="BA1166">
        <f t="shared" si="879"/>
        <v>1.2793528607193564E-4</v>
      </c>
      <c r="BB1166">
        <f t="shared" si="880"/>
        <v>2.75</v>
      </c>
      <c r="BC1166">
        <f t="shared" si="863"/>
        <v>1.65</v>
      </c>
      <c r="BD1166">
        <f t="shared" si="881"/>
        <v>0</v>
      </c>
      <c r="BE1166">
        <f t="shared" si="864"/>
        <v>24</v>
      </c>
      <c r="BF1166">
        <f t="shared" ref="BF1166:BF1212" si="890">((IF(B1166&lt;13,BF1165+BE1166,$AI$2+$Y$2)))</f>
        <v>5000</v>
      </c>
      <c r="BU1166"/>
      <c r="DW1166" s="89"/>
      <c r="DX1166" s="89"/>
      <c r="FD1166"/>
      <c r="FE1166"/>
    </row>
    <row r="1167" spans="1:161" x14ac:dyDescent="0.25">
      <c r="A1167" s="7">
        <f t="shared" si="882"/>
        <v>78618</v>
      </c>
      <c r="B1167">
        <f t="shared" si="865"/>
        <v>1156</v>
      </c>
      <c r="C1167">
        <f t="shared" si="846"/>
        <v>96.25</v>
      </c>
      <c r="D1167">
        <f t="shared" si="847"/>
        <v>0</v>
      </c>
      <c r="E1167">
        <f t="shared" si="866"/>
        <v>148</v>
      </c>
      <c r="F1167">
        <f>IF(C1167&gt;=$T$2,0,VLOOKUP($E1167,EKM_F05!$A$3:$C$128,2,TRUE))</f>
        <v>0</v>
      </c>
      <c r="G1167">
        <f>F1167*'Real assumptions'!$B$3</f>
        <v>0</v>
      </c>
      <c r="H1167">
        <f t="shared" si="848"/>
        <v>0</v>
      </c>
      <c r="I1167">
        <f t="shared" si="849"/>
        <v>0</v>
      </c>
      <c r="J1167">
        <f>IF(B1167&gt;$AJ$2,0,HLOOKUP(C1167,'Real assumptions'!$B$5:$L$8,4,TRUE))</f>
        <v>3.7900000000000003E-2</v>
      </c>
      <c r="K1167">
        <f t="shared" si="855"/>
        <v>1</v>
      </c>
      <c r="L1167">
        <f t="shared" si="883"/>
        <v>8.3333333333333329E-2</v>
      </c>
      <c r="M1167">
        <f t="shared" si="850"/>
        <v>3.2145624959929453E-3</v>
      </c>
      <c r="N1167">
        <f t="shared" si="851"/>
        <v>2.6293388565269645E-8</v>
      </c>
      <c r="O1167" s="8">
        <f t="shared" si="867"/>
        <v>8.1531676105738641E-6</v>
      </c>
      <c r="P1167">
        <f t="shared" si="868"/>
        <v>1.9630706397933919E-4</v>
      </c>
      <c r="Q1167">
        <f t="shared" si="884"/>
        <v>0</v>
      </c>
      <c r="R1167" s="89">
        <f t="shared" si="856"/>
        <v>5000</v>
      </c>
      <c r="S1167">
        <f t="shared" si="857"/>
        <v>0.6666666666666714</v>
      </c>
      <c r="U1167">
        <f>O1166*AV1166*'Real assumptions'!$B$33/12+AX1167*'Real assumptions'!$B$34</f>
        <v>2.8099091127386838E-4</v>
      </c>
      <c r="V1167">
        <f>IF(P1167=0,0,IF(E1167&lt;=$C$7,$AN$5*O1166,0))*'Real assumptions'!$D$28</f>
        <v>0</v>
      </c>
      <c r="X1167" s="94">
        <f t="shared" si="869"/>
        <v>0</v>
      </c>
      <c r="Y1167">
        <f t="shared" si="858"/>
        <v>24</v>
      </c>
      <c r="Z1167">
        <f t="shared" si="885"/>
        <v>2</v>
      </c>
      <c r="AA1167">
        <f t="shared" si="859"/>
        <v>2.6666666666666714</v>
      </c>
      <c r="AB1167">
        <f t="shared" si="870"/>
        <v>50.505050505050505</v>
      </c>
      <c r="AC1167">
        <f t="shared" si="852"/>
        <v>134.68013468013493</v>
      </c>
      <c r="AD1167">
        <f t="shared" si="871"/>
        <v>80.505050505050505</v>
      </c>
      <c r="AE1167">
        <f t="shared" si="872"/>
        <v>10.734006734006753</v>
      </c>
      <c r="AF1167" s="94">
        <f t="shared" si="873"/>
        <v>4854.5858585858587</v>
      </c>
      <c r="AG1167">
        <f t="shared" si="886"/>
        <v>1.2764351230326113E-4</v>
      </c>
      <c r="AH1167">
        <f t="shared" si="874"/>
        <v>3.9580252184972138E-2</v>
      </c>
      <c r="AI1167">
        <f>HLOOKUP(AW1167,'Real assumptions'!$A$21:$AK$24,2,TRUE)</f>
        <v>0</v>
      </c>
      <c r="AJ1167" s="123">
        <f t="shared" si="853"/>
        <v>0</v>
      </c>
      <c r="AK1167" s="122">
        <f>(1+HLOOKUP(YEAR(A1167),'Real assumptions'!$A$21:$AK$24,2,TRUE)/100)^(1/12)-1</f>
        <v>0</v>
      </c>
      <c r="AL1167">
        <f t="shared" si="887"/>
        <v>2.8099091127386838E-4</v>
      </c>
      <c r="AM1167">
        <f>('Real assumptions'!$B$33/12)*O1166*AV1166</f>
        <v>2.7011389105312613E-4</v>
      </c>
      <c r="AN1167">
        <f t="shared" si="875"/>
        <v>3.9586042809405239E-2</v>
      </c>
      <c r="AO1167">
        <f t="shared" si="854"/>
        <v>0</v>
      </c>
      <c r="AP1167" s="121">
        <f t="shared" si="876"/>
        <v>0</v>
      </c>
      <c r="AQ1167">
        <f t="shared" si="877"/>
        <v>0</v>
      </c>
      <c r="AR1167">
        <v>0</v>
      </c>
      <c r="AS1167">
        <f t="shared" si="860"/>
        <v>0</v>
      </c>
      <c r="AT1167">
        <f t="shared" si="878"/>
        <v>0</v>
      </c>
      <c r="AU1167">
        <f>IFERROR(HLOOKUP(B1167,'Real assumptions'!$B$43:$AL$44,2,TRUE)*($W$3/$U$2),0)</f>
        <v>0</v>
      </c>
      <c r="AV1167">
        <f>AV1166*(1+'Real assumptions'!$B$35)^(1/12)</f>
        <v>3.3057637962667381</v>
      </c>
      <c r="AW1167">
        <f t="shared" si="861"/>
        <v>2115</v>
      </c>
      <c r="AX1167">
        <f t="shared" si="888"/>
        <v>3.9705151997605236E-2</v>
      </c>
      <c r="AY1167">
        <f t="shared" si="889"/>
        <v>3.4425340905467731E-5</v>
      </c>
      <c r="AZ1167">
        <f t="shared" si="862"/>
        <v>6.9103314931606838E-3</v>
      </c>
      <c r="BA1167">
        <f t="shared" si="879"/>
        <v>1.2764351230326113E-4</v>
      </c>
      <c r="BB1167">
        <f t="shared" si="880"/>
        <v>2.6666666666666714</v>
      </c>
      <c r="BC1167">
        <f t="shared" si="863"/>
        <v>1.6000000000000028</v>
      </c>
      <c r="BD1167">
        <f t="shared" si="881"/>
        <v>0</v>
      </c>
      <c r="BE1167">
        <f t="shared" si="864"/>
        <v>24</v>
      </c>
      <c r="BF1167">
        <f t="shared" si="890"/>
        <v>5000</v>
      </c>
      <c r="BU1167"/>
      <c r="DW1167" s="89"/>
      <c r="DX1167" s="89"/>
      <c r="FD1167"/>
      <c r="FE1167"/>
    </row>
    <row r="1168" spans="1:161" x14ac:dyDescent="0.25">
      <c r="A1168" s="7">
        <f t="shared" si="882"/>
        <v>78648</v>
      </c>
      <c r="B1168">
        <f t="shared" si="865"/>
        <v>1157</v>
      </c>
      <c r="C1168">
        <f t="shared" si="846"/>
        <v>96.333333333333329</v>
      </c>
      <c r="D1168">
        <f t="shared" si="847"/>
        <v>0</v>
      </c>
      <c r="E1168">
        <f t="shared" si="866"/>
        <v>148</v>
      </c>
      <c r="F1168">
        <f>IF(C1168&gt;=$T$2,0,VLOOKUP($E1168,EKM_F05!$A$3:$C$128,2,TRUE))</f>
        <v>0</v>
      </c>
      <c r="G1168">
        <f>F1168*'Real assumptions'!$B$3</f>
        <v>0</v>
      </c>
      <c r="H1168">
        <f t="shared" si="848"/>
        <v>0</v>
      </c>
      <c r="I1168">
        <f t="shared" si="849"/>
        <v>0</v>
      </c>
      <c r="J1168">
        <f>IF(B1168&gt;$AJ$2,0,HLOOKUP(C1168,'Real assumptions'!$B$5:$L$8,4,TRUE))</f>
        <v>3.7900000000000003E-2</v>
      </c>
      <c r="K1168">
        <f t="shared" si="855"/>
        <v>1</v>
      </c>
      <c r="L1168">
        <f t="shared" si="883"/>
        <v>8.3333333333333329E-2</v>
      </c>
      <c r="M1168">
        <f t="shared" si="850"/>
        <v>3.2145624959929453E-3</v>
      </c>
      <c r="N1168">
        <f t="shared" si="851"/>
        <v>2.6208866824495158E-8</v>
      </c>
      <c r="O1168" s="8">
        <f t="shared" si="867"/>
        <v>8.1269587437493686E-6</v>
      </c>
      <c r="P1168">
        <f t="shared" si="868"/>
        <v>1.9567602265377273E-4</v>
      </c>
      <c r="Q1168">
        <f t="shared" si="884"/>
        <v>0</v>
      </c>
      <c r="R1168" s="89">
        <f t="shared" si="856"/>
        <v>5000</v>
      </c>
      <c r="S1168">
        <f t="shared" si="857"/>
        <v>0.5833333333333286</v>
      </c>
      <c r="U1168">
        <f>O1167*AV1167*'Real assumptions'!$B$33/12+AX1168*'Real assumptions'!$B$34</f>
        <v>2.8037666801290529E-4</v>
      </c>
      <c r="V1168">
        <f>IF(P1168=0,0,IF(E1168&lt;=$C$7,$AN$5*O1167,0))*'Real assumptions'!$D$28</f>
        <v>0</v>
      </c>
      <c r="X1168" s="94">
        <f t="shared" si="869"/>
        <v>0</v>
      </c>
      <c r="Y1168">
        <f t="shared" si="858"/>
        <v>24</v>
      </c>
      <c r="Z1168">
        <f t="shared" si="885"/>
        <v>2</v>
      </c>
      <c r="AA1168">
        <f t="shared" si="859"/>
        <v>2.5833333333333286</v>
      </c>
      <c r="AB1168">
        <f t="shared" si="870"/>
        <v>50.505050505050505</v>
      </c>
      <c r="AC1168">
        <f t="shared" si="852"/>
        <v>130.47138047138023</v>
      </c>
      <c r="AD1168">
        <f t="shared" si="871"/>
        <v>80.505050505050505</v>
      </c>
      <c r="AE1168">
        <f t="shared" si="872"/>
        <v>10.398569023569005</v>
      </c>
      <c r="AF1168" s="94">
        <f t="shared" si="873"/>
        <v>4859.1300505050513</v>
      </c>
      <c r="AG1168">
        <f t="shared" si="886"/>
        <v>1.2735229237658931E-4</v>
      </c>
      <c r="AH1168">
        <f t="shared" si="874"/>
        <v>3.9489949450967336E-2</v>
      </c>
      <c r="AI1168">
        <f>HLOOKUP(AW1168,'Real assumptions'!$A$21:$AK$24,2,TRUE)</f>
        <v>0</v>
      </c>
      <c r="AJ1168" s="123">
        <f t="shared" si="853"/>
        <v>0</v>
      </c>
      <c r="AK1168" s="122">
        <f>(1+HLOOKUP(YEAR(A1168),'Real assumptions'!$A$21:$AK$24,2,TRUE)/100)^(1/12)-1</f>
        <v>0</v>
      </c>
      <c r="AL1168">
        <f t="shared" si="887"/>
        <v>2.8037666801290529E-4</v>
      </c>
      <c r="AM1168">
        <f>('Real assumptions'!$B$33/12)*O1167*AV1167</f>
        <v>2.695244631192967E-4</v>
      </c>
      <c r="AN1168">
        <f t="shared" si="875"/>
        <v>3.9495551539613004E-2</v>
      </c>
      <c r="AO1168">
        <f t="shared" si="854"/>
        <v>0</v>
      </c>
      <c r="AP1168" s="121">
        <f t="shared" si="876"/>
        <v>0</v>
      </c>
      <c r="AQ1168">
        <f t="shared" si="877"/>
        <v>0</v>
      </c>
      <c r="AR1168">
        <v>0</v>
      </c>
      <c r="AS1168">
        <f t="shared" si="860"/>
        <v>0</v>
      </c>
      <c r="AT1168">
        <f t="shared" si="878"/>
        <v>0</v>
      </c>
      <c r="AU1168">
        <f>IFERROR(HLOOKUP(B1168,'Real assumptions'!$B$43:$AL$44,2,TRUE)*($W$3/$U$2),0)</f>
        <v>0</v>
      </c>
      <c r="AV1168">
        <f>AV1167*(1+'Real assumptions'!$B$35)^(1/12)</f>
        <v>3.3091877279442556</v>
      </c>
      <c r="AW1168">
        <f t="shared" si="861"/>
        <v>2115</v>
      </c>
      <c r="AX1168">
        <f t="shared" si="888"/>
        <v>3.9614566863467822E-2</v>
      </c>
      <c r="AY1168">
        <f t="shared" si="889"/>
        <v>3.4314678495681246E-5</v>
      </c>
      <c r="AZ1168">
        <f t="shared" si="862"/>
        <v>6.6982785554249623E-3</v>
      </c>
      <c r="BA1168">
        <f t="shared" si="879"/>
        <v>1.2735229237658931E-4</v>
      </c>
      <c r="BB1168">
        <f t="shared" si="880"/>
        <v>2.5833333333333286</v>
      </c>
      <c r="BC1168">
        <f t="shared" si="863"/>
        <v>1.5499999999999972</v>
      </c>
      <c r="BD1168">
        <f t="shared" si="881"/>
        <v>0</v>
      </c>
      <c r="BE1168">
        <f t="shared" si="864"/>
        <v>24</v>
      </c>
      <c r="BF1168">
        <f t="shared" si="890"/>
        <v>5000</v>
      </c>
      <c r="BU1168"/>
      <c r="DW1168" s="89"/>
      <c r="DX1168" s="89"/>
      <c r="FD1168"/>
      <c r="FE1168"/>
    </row>
    <row r="1169" spans="1:161" x14ac:dyDescent="0.25">
      <c r="A1169" s="7">
        <f t="shared" si="882"/>
        <v>78679</v>
      </c>
      <c r="B1169">
        <f t="shared" si="865"/>
        <v>1158</v>
      </c>
      <c r="C1169">
        <f t="shared" si="846"/>
        <v>96.416666666666671</v>
      </c>
      <c r="D1169">
        <f t="shared" si="847"/>
        <v>0</v>
      </c>
      <c r="E1169">
        <f t="shared" si="866"/>
        <v>148</v>
      </c>
      <c r="F1169">
        <f>IF(C1169&gt;=$T$2,0,VLOOKUP($E1169,EKM_F05!$A$3:$C$128,2,TRUE))</f>
        <v>0</v>
      </c>
      <c r="G1169">
        <f>F1169*'Real assumptions'!$B$3</f>
        <v>0</v>
      </c>
      <c r="H1169">
        <f t="shared" si="848"/>
        <v>0</v>
      </c>
      <c r="I1169">
        <f t="shared" si="849"/>
        <v>0</v>
      </c>
      <c r="J1169">
        <f>IF(B1169&gt;$AJ$2,0,HLOOKUP(C1169,'Real assumptions'!$B$5:$L$8,4,TRUE))</f>
        <v>3.7900000000000003E-2</v>
      </c>
      <c r="K1169">
        <f t="shared" si="855"/>
        <v>1</v>
      </c>
      <c r="L1169">
        <f t="shared" si="883"/>
        <v>8.3333333333333329E-2</v>
      </c>
      <c r="M1169">
        <f t="shared" si="850"/>
        <v>3.2145624959929453E-3</v>
      </c>
      <c r="N1169">
        <f t="shared" si="851"/>
        <v>2.612461678413866E-8</v>
      </c>
      <c r="O1169" s="8">
        <f t="shared" si="867"/>
        <v>8.1008341269652295E-6</v>
      </c>
      <c r="P1169">
        <f t="shared" si="868"/>
        <v>1.9504700984998485E-4</v>
      </c>
      <c r="Q1169">
        <f t="shared" si="884"/>
        <v>0</v>
      </c>
      <c r="R1169" s="89">
        <f t="shared" si="856"/>
        <v>5000</v>
      </c>
      <c r="S1169">
        <f t="shared" si="857"/>
        <v>0.5</v>
      </c>
      <c r="U1169">
        <f>O1168*AV1168*'Real assumptions'!$B$33/12+AX1169*'Real assumptions'!$B$34</f>
        <v>2.7976375811382984E-4</v>
      </c>
      <c r="V1169">
        <f>IF(P1169=0,0,IF(E1169&lt;=$C$7,$AN$5*O1168,0))*'Real assumptions'!$D$28</f>
        <v>0</v>
      </c>
      <c r="X1169" s="94">
        <f t="shared" si="869"/>
        <v>0</v>
      </c>
      <c r="Y1169">
        <f t="shared" si="858"/>
        <v>24</v>
      </c>
      <c r="Z1169">
        <f t="shared" si="885"/>
        <v>2</v>
      </c>
      <c r="AA1169">
        <f t="shared" si="859"/>
        <v>2.5</v>
      </c>
      <c r="AB1169">
        <f t="shared" si="870"/>
        <v>50.505050505050505</v>
      </c>
      <c r="AC1169">
        <f t="shared" si="852"/>
        <v>126.26262626262627</v>
      </c>
      <c r="AD1169">
        <f t="shared" si="871"/>
        <v>80.505050505050505</v>
      </c>
      <c r="AE1169">
        <f t="shared" si="872"/>
        <v>10.063131313131313</v>
      </c>
      <c r="AF1169" s="94">
        <f t="shared" si="873"/>
        <v>4863.674242424242</v>
      </c>
      <c r="AG1169">
        <f t="shared" si="886"/>
        <v>1.2706162574621923E-4</v>
      </c>
      <c r="AH1169">
        <f t="shared" si="874"/>
        <v>3.9399818285472059E-2</v>
      </c>
      <c r="AI1169">
        <f>HLOOKUP(AW1169,'Real assumptions'!$A$21:$AK$24,2,TRUE)</f>
        <v>0</v>
      </c>
      <c r="AJ1169" s="123">
        <f t="shared" si="853"/>
        <v>0</v>
      </c>
      <c r="AK1169" s="122">
        <f>(1+HLOOKUP(YEAR(A1169),'Real assumptions'!$A$21:$AK$24,2,TRUE)/100)^(1/12)-1</f>
        <v>0</v>
      </c>
      <c r="AL1169">
        <f t="shared" si="887"/>
        <v>2.7976375811382984E-4</v>
      </c>
      <c r="AM1169">
        <f>('Real assumptions'!$B$33/12)*O1168*AV1168</f>
        <v>2.6893632140324679E-4</v>
      </c>
      <c r="AN1169">
        <f t="shared" si="875"/>
        <v>3.9405232702703491E-2</v>
      </c>
      <c r="AO1169">
        <f t="shared" si="854"/>
        <v>0</v>
      </c>
      <c r="AP1169" s="121">
        <f t="shared" si="876"/>
        <v>0</v>
      </c>
      <c r="AQ1169">
        <f t="shared" si="877"/>
        <v>0</v>
      </c>
      <c r="AR1169">
        <v>0</v>
      </c>
      <c r="AS1169">
        <f t="shared" si="860"/>
        <v>0</v>
      </c>
      <c r="AT1169">
        <f t="shared" si="878"/>
        <v>0</v>
      </c>
      <c r="AU1169">
        <f>IFERROR(HLOOKUP(B1169,'Real assumptions'!$B$43:$AL$44,2,TRUE)*($W$3/$U$2),0)</f>
        <v>0</v>
      </c>
      <c r="AV1169">
        <f>AV1168*(1+'Real assumptions'!$B$35)^(1/12)</f>
        <v>3.3126152059453626</v>
      </c>
      <c r="AW1169">
        <f t="shared" si="861"/>
        <v>2115</v>
      </c>
      <c r="AX1169">
        <f t="shared" si="888"/>
        <v>3.9524153822784465E-2</v>
      </c>
      <c r="AY1169">
        <f t="shared" si="889"/>
        <v>3.4204371817126973E-5</v>
      </c>
      <c r="AZ1169">
        <f t="shared" si="862"/>
        <v>6.4865001814148979E-3</v>
      </c>
      <c r="BA1169">
        <f t="shared" si="879"/>
        <v>1.2706162574621923E-4</v>
      </c>
      <c r="BB1169">
        <f t="shared" si="880"/>
        <v>2.5</v>
      </c>
      <c r="BC1169">
        <f t="shared" si="863"/>
        <v>1.5</v>
      </c>
      <c r="BD1169">
        <f t="shared" si="881"/>
        <v>0</v>
      </c>
      <c r="BE1169">
        <f t="shared" si="864"/>
        <v>24</v>
      </c>
      <c r="BF1169">
        <f t="shared" si="890"/>
        <v>5000</v>
      </c>
      <c r="BU1169"/>
      <c r="DW1169" s="89"/>
      <c r="DX1169" s="89"/>
      <c r="FD1169"/>
      <c r="FE1169"/>
    </row>
    <row r="1170" spans="1:161" x14ac:dyDescent="0.25">
      <c r="A1170" s="7">
        <f t="shared" si="882"/>
        <v>78709</v>
      </c>
      <c r="B1170">
        <f t="shared" si="865"/>
        <v>1159</v>
      </c>
      <c r="C1170">
        <f t="shared" si="846"/>
        <v>96.5</v>
      </c>
      <c r="D1170">
        <f t="shared" si="847"/>
        <v>0</v>
      </c>
      <c r="E1170">
        <f t="shared" si="866"/>
        <v>148</v>
      </c>
      <c r="F1170">
        <f>IF(C1170&gt;=$T$2,0,VLOOKUP($E1170,EKM_F05!$A$3:$C$128,2,TRUE))</f>
        <v>0</v>
      </c>
      <c r="G1170">
        <f>F1170*'Real assumptions'!$B$3</f>
        <v>0</v>
      </c>
      <c r="H1170">
        <f t="shared" si="848"/>
        <v>0</v>
      </c>
      <c r="I1170">
        <f t="shared" si="849"/>
        <v>0</v>
      </c>
      <c r="J1170">
        <f>IF(B1170&gt;$AJ$2,0,HLOOKUP(C1170,'Real assumptions'!$B$5:$L$8,4,TRUE))</f>
        <v>3.7900000000000003E-2</v>
      </c>
      <c r="K1170">
        <f t="shared" si="855"/>
        <v>1</v>
      </c>
      <c r="L1170">
        <f t="shared" si="883"/>
        <v>8.3333333333333329E-2</v>
      </c>
      <c r="M1170">
        <f t="shared" si="850"/>
        <v>3.2145624959929453E-3</v>
      </c>
      <c r="N1170">
        <f t="shared" si="851"/>
        <v>2.604063757080218E-8</v>
      </c>
      <c r="O1170" s="8">
        <f t="shared" si="867"/>
        <v>8.0747934893944274E-6</v>
      </c>
      <c r="P1170">
        <f t="shared" si="868"/>
        <v>1.9442001904716551E-4</v>
      </c>
      <c r="Q1170">
        <f t="shared" si="884"/>
        <v>0</v>
      </c>
      <c r="R1170" s="89">
        <f t="shared" si="856"/>
        <v>5000</v>
      </c>
      <c r="S1170">
        <f t="shared" si="857"/>
        <v>0.4166666666666714</v>
      </c>
      <c r="U1170">
        <f>O1169*AV1169*'Real assumptions'!$B$33/12+AX1170*'Real assumptions'!$B$34</f>
        <v>2.7915217872325886E-4</v>
      </c>
      <c r="V1170">
        <f>IF(P1170=0,0,IF(E1170&lt;=$C$7,$AN$5*O1169,0))*'Real assumptions'!$D$28</f>
        <v>0</v>
      </c>
      <c r="X1170" s="94">
        <f t="shared" si="869"/>
        <v>0</v>
      </c>
      <c r="Y1170">
        <f t="shared" si="858"/>
        <v>24</v>
      </c>
      <c r="Z1170">
        <f t="shared" si="885"/>
        <v>2</v>
      </c>
      <c r="AA1170">
        <f t="shared" si="859"/>
        <v>2.4166666666666714</v>
      </c>
      <c r="AB1170">
        <f t="shared" si="870"/>
        <v>50.505050505050505</v>
      </c>
      <c r="AC1170">
        <f t="shared" si="852"/>
        <v>122.0538720538723</v>
      </c>
      <c r="AD1170">
        <f t="shared" si="871"/>
        <v>80.505050505050505</v>
      </c>
      <c r="AE1170">
        <f t="shared" si="872"/>
        <v>9.7276936026936216</v>
      </c>
      <c r="AF1170" s="94">
        <f t="shared" si="873"/>
        <v>4868.2184343434337</v>
      </c>
      <c r="AG1170">
        <f t="shared" si="886"/>
        <v>1.267715118642354E-4</v>
      </c>
      <c r="AH1170">
        <f t="shared" si="874"/>
        <v>3.9309858518586288E-2</v>
      </c>
      <c r="AI1170">
        <f>HLOOKUP(AW1170,'Real assumptions'!$A$21:$AK$24,2,TRUE)</f>
        <v>0</v>
      </c>
      <c r="AJ1170" s="123">
        <f t="shared" si="853"/>
        <v>0</v>
      </c>
      <c r="AK1170" s="122">
        <f>(1+HLOOKUP(YEAR(A1170),'Real assumptions'!$A$21:$AK$24,2,TRUE)/100)^(1/12)-1</f>
        <v>0</v>
      </c>
      <c r="AL1170">
        <f t="shared" si="887"/>
        <v>2.7915217872325886E-4</v>
      </c>
      <c r="AM1170">
        <f>('Real assumptions'!$B$33/12)*O1169*AV1169</f>
        <v>2.6834946309826148E-4</v>
      </c>
      <c r="AN1170">
        <f t="shared" si="875"/>
        <v>3.931508612579597E-2</v>
      </c>
      <c r="AO1170">
        <f t="shared" si="854"/>
        <v>0</v>
      </c>
      <c r="AP1170" s="121">
        <f t="shared" si="876"/>
        <v>0</v>
      </c>
      <c r="AQ1170">
        <f t="shared" si="877"/>
        <v>0</v>
      </c>
      <c r="AR1170">
        <v>0</v>
      </c>
      <c r="AS1170">
        <f t="shared" si="860"/>
        <v>0</v>
      </c>
      <c r="AT1170">
        <f t="shared" si="878"/>
        <v>0</v>
      </c>
      <c r="AU1170">
        <f>IFERROR(HLOOKUP(B1170,'Real assumptions'!$B$43:$AL$44,2,TRUE)*($W$3/$U$2),0)</f>
        <v>0</v>
      </c>
      <c r="AV1170">
        <f>AV1169*(1+'Real assumptions'!$B$35)^(1/12)</f>
        <v>3.3160462339431498</v>
      </c>
      <c r="AW1170">
        <f t="shared" si="861"/>
        <v>2115</v>
      </c>
      <c r="AX1170">
        <f t="shared" si="888"/>
        <v>3.9433912705198346E-2</v>
      </c>
      <c r="AY1170">
        <f t="shared" si="889"/>
        <v>3.4094419726284635E-5</v>
      </c>
      <c r="AZ1170">
        <f t="shared" si="862"/>
        <v>6.2749965098745693E-3</v>
      </c>
      <c r="BA1170">
        <f t="shared" si="879"/>
        <v>1.267715118642354E-4</v>
      </c>
      <c r="BB1170">
        <f t="shared" si="880"/>
        <v>2.4166666666666714</v>
      </c>
      <c r="BC1170">
        <f t="shared" si="863"/>
        <v>1.4500000000000028</v>
      </c>
      <c r="BD1170">
        <f t="shared" si="881"/>
        <v>0</v>
      </c>
      <c r="BE1170">
        <f t="shared" si="864"/>
        <v>24</v>
      </c>
      <c r="BF1170">
        <f t="shared" si="890"/>
        <v>5000</v>
      </c>
      <c r="BU1170"/>
      <c r="DW1170" s="89"/>
      <c r="DX1170" s="89"/>
      <c r="FD1170"/>
      <c r="FE1170"/>
    </row>
    <row r="1171" spans="1:161" x14ac:dyDescent="0.25">
      <c r="A1171" s="7">
        <f t="shared" si="882"/>
        <v>78740</v>
      </c>
      <c r="B1171">
        <f t="shared" si="865"/>
        <v>1160</v>
      </c>
      <c r="C1171">
        <f t="shared" si="846"/>
        <v>96.583333333333329</v>
      </c>
      <c r="D1171">
        <f t="shared" si="847"/>
        <v>0</v>
      </c>
      <c r="E1171">
        <f t="shared" si="866"/>
        <v>148</v>
      </c>
      <c r="F1171">
        <f>IF(C1171&gt;=$T$2,0,VLOOKUP($E1171,EKM_F05!$A$3:$C$128,2,TRUE))</f>
        <v>0</v>
      </c>
      <c r="G1171">
        <f>F1171*'Real assumptions'!$B$3</f>
        <v>0</v>
      </c>
      <c r="H1171">
        <f t="shared" si="848"/>
        <v>0</v>
      </c>
      <c r="I1171">
        <f t="shared" si="849"/>
        <v>0</v>
      </c>
      <c r="J1171">
        <f>IF(B1171&gt;$AJ$2,0,HLOOKUP(C1171,'Real assumptions'!$B$5:$L$8,4,TRUE))</f>
        <v>3.7900000000000003E-2</v>
      </c>
      <c r="K1171">
        <f t="shared" si="855"/>
        <v>1</v>
      </c>
      <c r="L1171">
        <f t="shared" si="883"/>
        <v>8.3333333333333329E-2</v>
      </c>
      <c r="M1171">
        <f t="shared" si="850"/>
        <v>3.2145624959929453E-3</v>
      </c>
      <c r="N1171">
        <f t="shared" si="851"/>
        <v>2.5956928313895335E-8</v>
      </c>
      <c r="O1171" s="8">
        <f t="shared" si="867"/>
        <v>8.0488365610805315E-6</v>
      </c>
      <c r="P1171">
        <f t="shared" si="868"/>
        <v>1.9379504374546626E-4</v>
      </c>
      <c r="Q1171">
        <f t="shared" si="884"/>
        <v>0</v>
      </c>
      <c r="R1171" s="89">
        <f t="shared" si="856"/>
        <v>5000</v>
      </c>
      <c r="S1171">
        <f t="shared" si="857"/>
        <v>0.3333333333333286</v>
      </c>
      <c r="U1171">
        <f>O1170*AV1170*'Real assumptions'!$B$33/12+AX1171*'Real assumptions'!$B$34</f>
        <v>2.7854192699374651E-4</v>
      </c>
      <c r="V1171">
        <f>IF(P1171=0,0,IF(E1171&lt;=$C$7,$AN$5*O1170,0))*'Real assumptions'!$D$28</f>
        <v>0</v>
      </c>
      <c r="X1171" s="94">
        <f t="shared" si="869"/>
        <v>0</v>
      </c>
      <c r="Y1171">
        <f t="shared" si="858"/>
        <v>24</v>
      </c>
      <c r="Z1171">
        <f t="shared" si="885"/>
        <v>2</v>
      </c>
      <c r="AA1171">
        <f t="shared" si="859"/>
        <v>2.3333333333333286</v>
      </c>
      <c r="AB1171">
        <f t="shared" si="870"/>
        <v>50.505050505050505</v>
      </c>
      <c r="AC1171">
        <f t="shared" si="852"/>
        <v>117.8451178451176</v>
      </c>
      <c r="AD1171">
        <f t="shared" si="871"/>
        <v>80.505050505050505</v>
      </c>
      <c r="AE1171">
        <f t="shared" si="872"/>
        <v>9.3922558922558732</v>
      </c>
      <c r="AF1171" s="94">
        <f t="shared" si="873"/>
        <v>4872.7626262626263</v>
      </c>
      <c r="AG1171">
        <f t="shared" si="886"/>
        <v>1.2648195018052737E-4</v>
      </c>
      <c r="AH1171">
        <f t="shared" si="874"/>
        <v>3.9220069979729419E-2</v>
      </c>
      <c r="AI1171">
        <f>HLOOKUP(AW1171,'Real assumptions'!$A$21:$AK$24,2,TRUE)</f>
        <v>0</v>
      </c>
      <c r="AJ1171" s="123">
        <f t="shared" si="853"/>
        <v>0</v>
      </c>
      <c r="AK1171" s="122">
        <f>(1+HLOOKUP(YEAR(A1171),'Real assumptions'!$A$21:$AK$24,2,TRUE)/100)^(1/12)-1</f>
        <v>0</v>
      </c>
      <c r="AL1171">
        <f t="shared" si="887"/>
        <v>2.7854192699374651E-4</v>
      </c>
      <c r="AM1171">
        <f>('Real assumptions'!$B$33/12)*O1170*AV1170</f>
        <v>2.6776388540375055E-4</v>
      </c>
      <c r="AN1171">
        <f t="shared" si="875"/>
        <v>3.9225111635338011E-2</v>
      </c>
      <c r="AO1171">
        <f t="shared" si="854"/>
        <v>0</v>
      </c>
      <c r="AP1171" s="121">
        <f t="shared" si="876"/>
        <v>0</v>
      </c>
      <c r="AQ1171">
        <f t="shared" si="877"/>
        <v>0</v>
      </c>
      <c r="AR1171">
        <v>0</v>
      </c>
      <c r="AS1171">
        <f t="shared" si="860"/>
        <v>0</v>
      </c>
      <c r="AT1171">
        <f t="shared" si="878"/>
        <v>0</v>
      </c>
      <c r="AU1171">
        <f>IFERROR(HLOOKUP(B1171,'Real assumptions'!$B$43:$AL$44,2,TRUE)*($W$3/$U$2),0)</f>
        <v>0</v>
      </c>
      <c r="AV1171">
        <f>AV1170*(1+'Real assumptions'!$B$35)^(1/12)</f>
        <v>3.3194808156145119</v>
      </c>
      <c r="AW1171">
        <f t="shared" si="861"/>
        <v>2115</v>
      </c>
      <c r="AX1171">
        <f t="shared" si="888"/>
        <v>3.9343843339669601E-2</v>
      </c>
      <c r="AY1171">
        <f t="shared" si="889"/>
        <v>3.3984821083309876E-5</v>
      </c>
      <c r="AZ1171">
        <f t="shared" si="862"/>
        <v>6.0637676764457617E-3</v>
      </c>
      <c r="BA1171">
        <f t="shared" si="879"/>
        <v>1.2648195018052737E-4</v>
      </c>
      <c r="BB1171">
        <f t="shared" si="880"/>
        <v>2.3333333333333286</v>
      </c>
      <c r="BC1171">
        <f t="shared" si="863"/>
        <v>1.3999999999999972</v>
      </c>
      <c r="BD1171">
        <f t="shared" si="881"/>
        <v>0</v>
      </c>
      <c r="BE1171">
        <f t="shared" si="864"/>
        <v>24</v>
      </c>
      <c r="BF1171">
        <f t="shared" si="890"/>
        <v>5000</v>
      </c>
      <c r="BU1171"/>
      <c r="DW1171" s="89"/>
      <c r="DX1171" s="89"/>
      <c r="FD1171"/>
      <c r="FE1171"/>
    </row>
    <row r="1172" spans="1:161" x14ac:dyDescent="0.25">
      <c r="A1172" s="7">
        <f t="shared" si="882"/>
        <v>78771</v>
      </c>
      <c r="B1172">
        <f t="shared" si="865"/>
        <v>1161</v>
      </c>
      <c r="C1172">
        <f t="shared" si="846"/>
        <v>96.666666666666671</v>
      </c>
      <c r="D1172">
        <f t="shared" si="847"/>
        <v>0</v>
      </c>
      <c r="E1172">
        <f t="shared" si="866"/>
        <v>148</v>
      </c>
      <c r="F1172">
        <f>IF(C1172&gt;=$T$2,0,VLOOKUP($E1172,EKM_F05!$A$3:$C$128,2,TRUE))</f>
        <v>0</v>
      </c>
      <c r="G1172">
        <f>F1172*'Real assumptions'!$B$3</f>
        <v>0</v>
      </c>
      <c r="H1172">
        <f t="shared" si="848"/>
        <v>0</v>
      </c>
      <c r="I1172">
        <f t="shared" si="849"/>
        <v>0</v>
      </c>
      <c r="J1172">
        <f>IF(B1172&gt;$AJ$2,0,HLOOKUP(C1172,'Real assumptions'!$B$5:$L$8,4,TRUE))</f>
        <v>3.7900000000000003E-2</v>
      </c>
      <c r="K1172">
        <f t="shared" si="855"/>
        <v>1</v>
      </c>
      <c r="L1172">
        <f t="shared" si="883"/>
        <v>8.3333333333333329E-2</v>
      </c>
      <c r="M1172">
        <f t="shared" si="850"/>
        <v>3.2145624959929453E-3</v>
      </c>
      <c r="N1172">
        <f t="shared" si="851"/>
        <v>2.5873488145626308E-8</v>
      </c>
      <c r="O1172" s="8">
        <f t="shared" si="867"/>
        <v>8.022963072934905E-6</v>
      </c>
      <c r="P1172">
        <f t="shared" si="868"/>
        <v>1.9317207746593276E-4</v>
      </c>
      <c r="Q1172">
        <f t="shared" si="884"/>
        <v>0</v>
      </c>
      <c r="R1172" s="89">
        <f t="shared" si="856"/>
        <v>5000</v>
      </c>
      <c r="S1172">
        <f t="shared" si="857"/>
        <v>0.25</v>
      </c>
      <c r="U1172">
        <f>O1171*AV1171*'Real assumptions'!$B$33/12+AX1172*'Real assumptions'!$B$34</f>
        <v>2.7793300008377301E-4</v>
      </c>
      <c r="V1172">
        <f>IF(P1172=0,0,IF(E1172&lt;=$C$7,$AN$5*O1171,0))*'Real assumptions'!$D$28</f>
        <v>0</v>
      </c>
      <c r="X1172" s="94">
        <f t="shared" si="869"/>
        <v>0</v>
      </c>
      <c r="Y1172">
        <f t="shared" si="858"/>
        <v>24</v>
      </c>
      <c r="Z1172">
        <f t="shared" si="885"/>
        <v>2</v>
      </c>
      <c r="AA1172">
        <f t="shared" si="859"/>
        <v>2.25</v>
      </c>
      <c r="AB1172">
        <f t="shared" si="870"/>
        <v>50.505050505050505</v>
      </c>
      <c r="AC1172">
        <f t="shared" si="852"/>
        <v>113.63636363636364</v>
      </c>
      <c r="AD1172">
        <f t="shared" si="871"/>
        <v>80.505050505050505</v>
      </c>
      <c r="AE1172">
        <f t="shared" si="872"/>
        <v>9.0568181818181817</v>
      </c>
      <c r="AF1172" s="94">
        <f t="shared" si="873"/>
        <v>4877.306818181818</v>
      </c>
      <c r="AG1172">
        <f t="shared" si="886"/>
        <v>1.2619294014280965E-4</v>
      </c>
      <c r="AH1172">
        <f t="shared" si="874"/>
        <v>3.9130452497646365E-2</v>
      </c>
      <c r="AI1172">
        <f>HLOOKUP(AW1172,'Real assumptions'!$A$21:$AK$24,2,TRUE)</f>
        <v>0</v>
      </c>
      <c r="AJ1172" s="123">
        <f t="shared" si="853"/>
        <v>0</v>
      </c>
      <c r="AK1172" s="122">
        <f>(1+HLOOKUP(YEAR(A1172),'Real assumptions'!$A$21:$AK$24,2,TRUE)/100)^(1/12)-1</f>
        <v>0</v>
      </c>
      <c r="AL1172">
        <f t="shared" si="887"/>
        <v>2.7793300008377301E-4</v>
      </c>
      <c r="AM1172">
        <f>('Real assumptions'!$B$33/12)*O1171*AV1171</f>
        <v>2.6717958552523505E-4</v>
      </c>
      <c r="AN1172">
        <f t="shared" si="875"/>
        <v>3.9135309057111579E-2</v>
      </c>
      <c r="AO1172">
        <f t="shared" si="854"/>
        <v>0</v>
      </c>
      <c r="AP1172" s="121">
        <f t="shared" si="876"/>
        <v>0</v>
      </c>
      <c r="AQ1172">
        <f t="shared" si="877"/>
        <v>0</v>
      </c>
      <c r="AR1172">
        <v>0</v>
      </c>
      <c r="AS1172">
        <f t="shared" si="860"/>
        <v>0</v>
      </c>
      <c r="AT1172">
        <f t="shared" si="878"/>
        <v>0</v>
      </c>
      <c r="AU1172">
        <f>IFERROR(HLOOKUP(B1172,'Real assumptions'!$B$43:$AL$44,2,TRUE)*($W$3/$U$2),0)</f>
        <v>0</v>
      </c>
      <c r="AV1172">
        <f>AV1171*(1+'Real assumptions'!$B$35)^(1/12)</f>
        <v>3.3229189546401523</v>
      </c>
      <c r="AW1172">
        <f t="shared" si="861"/>
        <v>2115</v>
      </c>
      <c r="AX1172">
        <f t="shared" si="888"/>
        <v>3.9253945554481438E-2</v>
      </c>
      <c r="AY1172">
        <f t="shared" si="889"/>
        <v>3.3875574752022434E-5</v>
      </c>
      <c r="AZ1172">
        <f t="shared" si="862"/>
        <v>5.8528138136851116E-3</v>
      </c>
      <c r="BA1172">
        <f t="shared" si="879"/>
        <v>1.2619294014280965E-4</v>
      </c>
      <c r="BB1172">
        <f t="shared" si="880"/>
        <v>2.25</v>
      </c>
      <c r="BC1172">
        <f t="shared" si="863"/>
        <v>1.35</v>
      </c>
      <c r="BD1172">
        <f t="shared" si="881"/>
        <v>0</v>
      </c>
      <c r="BE1172">
        <f t="shared" si="864"/>
        <v>24</v>
      </c>
      <c r="BF1172">
        <f t="shared" si="890"/>
        <v>5000</v>
      </c>
      <c r="BU1172"/>
      <c r="DW1172" s="89"/>
      <c r="DX1172" s="89"/>
      <c r="FD1172"/>
      <c r="FE1172"/>
    </row>
    <row r="1173" spans="1:161" x14ac:dyDescent="0.25">
      <c r="A1173" s="7">
        <f t="shared" si="882"/>
        <v>78801</v>
      </c>
      <c r="B1173">
        <f t="shared" si="865"/>
        <v>1162</v>
      </c>
      <c r="C1173">
        <f t="shared" si="846"/>
        <v>96.75</v>
      </c>
      <c r="D1173">
        <f t="shared" si="847"/>
        <v>0</v>
      </c>
      <c r="E1173">
        <f t="shared" si="866"/>
        <v>148</v>
      </c>
      <c r="F1173">
        <f>IF(C1173&gt;=$T$2,0,VLOOKUP($E1173,EKM_F05!$A$3:$C$128,2,TRUE))</f>
        <v>0</v>
      </c>
      <c r="G1173">
        <f>F1173*'Real assumptions'!$B$3</f>
        <v>0</v>
      </c>
      <c r="H1173">
        <f t="shared" si="848"/>
        <v>0</v>
      </c>
      <c r="I1173">
        <f t="shared" si="849"/>
        <v>0</v>
      </c>
      <c r="J1173">
        <f>IF(B1173&gt;$AJ$2,0,HLOOKUP(C1173,'Real assumptions'!$B$5:$L$8,4,TRUE))</f>
        <v>3.7900000000000003E-2</v>
      </c>
      <c r="K1173">
        <f t="shared" si="855"/>
        <v>1</v>
      </c>
      <c r="L1173">
        <f t="shared" si="883"/>
        <v>8.3333333333333329E-2</v>
      </c>
      <c r="M1173">
        <f t="shared" si="850"/>
        <v>3.2145624959929453E-3</v>
      </c>
      <c r="N1173">
        <f t="shared" si="851"/>
        <v>2.5790316200992858E-8</v>
      </c>
      <c r="O1173" s="8">
        <f t="shared" si="867"/>
        <v>7.9971727567339127E-6</v>
      </c>
      <c r="P1173">
        <f t="shared" si="868"/>
        <v>1.9255111375043773E-4</v>
      </c>
      <c r="Q1173">
        <f t="shared" si="884"/>
        <v>0</v>
      </c>
      <c r="R1173" s="89">
        <f t="shared" si="856"/>
        <v>5000</v>
      </c>
      <c r="S1173">
        <f t="shared" si="857"/>
        <v>0.1666666666666714</v>
      </c>
      <c r="U1173">
        <f>O1172*AV1172*'Real assumptions'!$B$33/12+AX1173*'Real assumptions'!$B$34</f>
        <v>2.7732539515773252E-4</v>
      </c>
      <c r="V1173">
        <f>IF(P1173=0,0,IF(E1173&lt;=$C$7,$AN$5*O1172,0))*'Real assumptions'!$D$28</f>
        <v>0</v>
      </c>
      <c r="X1173" s="94">
        <f t="shared" si="869"/>
        <v>0</v>
      </c>
      <c r="Y1173">
        <f t="shared" si="858"/>
        <v>24</v>
      </c>
      <c r="Z1173">
        <f t="shared" si="885"/>
        <v>2</v>
      </c>
      <c r="AA1173">
        <f t="shared" si="859"/>
        <v>2.1666666666666714</v>
      </c>
      <c r="AB1173">
        <f t="shared" si="870"/>
        <v>50.505050505050505</v>
      </c>
      <c r="AC1173">
        <f t="shared" si="852"/>
        <v>109.42760942760967</v>
      </c>
      <c r="AD1173">
        <f t="shared" si="871"/>
        <v>80.505050505050505</v>
      </c>
      <c r="AE1173">
        <f t="shared" si="872"/>
        <v>8.7213804713804901</v>
      </c>
      <c r="AF1173" s="94">
        <f t="shared" si="873"/>
        <v>4881.8510101010106</v>
      </c>
      <c r="AG1173">
        <f t="shared" si="886"/>
        <v>1.2590448119664143E-4</v>
      </c>
      <c r="AH1173">
        <f t="shared" si="874"/>
        <v>3.9041005900413733E-2</v>
      </c>
      <c r="AI1173">
        <f>HLOOKUP(AW1173,'Real assumptions'!$A$21:$AK$24,2,TRUE)</f>
        <v>0</v>
      </c>
      <c r="AJ1173" s="123">
        <f t="shared" si="853"/>
        <v>0</v>
      </c>
      <c r="AK1173" s="122">
        <f>(1+HLOOKUP(YEAR(A1173),'Real assumptions'!$A$21:$AK$24,2,TRUE)/100)^(1/12)-1</f>
        <v>0</v>
      </c>
      <c r="AL1173">
        <f t="shared" si="887"/>
        <v>2.7732539515773252E-4</v>
      </c>
      <c r="AM1173">
        <f>('Real assumptions'!$B$33/12)*O1172*AV1172</f>
        <v>2.6659656067433397E-4</v>
      </c>
      <c r="AN1173">
        <f t="shared" si="875"/>
        <v>3.9045678216239069E-2</v>
      </c>
      <c r="AO1173">
        <f t="shared" si="854"/>
        <v>0</v>
      </c>
      <c r="AP1173" s="121">
        <f t="shared" si="876"/>
        <v>0</v>
      </c>
      <c r="AQ1173">
        <f t="shared" si="877"/>
        <v>0</v>
      </c>
      <c r="AR1173">
        <v>0</v>
      </c>
      <c r="AS1173">
        <f t="shared" si="860"/>
        <v>0</v>
      </c>
      <c r="AT1173">
        <f t="shared" si="878"/>
        <v>0</v>
      </c>
      <c r="AU1173">
        <f>IFERROR(HLOOKUP(B1173,'Real assumptions'!$B$43:$AL$44,2,TRUE)*($W$3/$U$2),0)</f>
        <v>0</v>
      </c>
      <c r="AV1173">
        <f>AV1172*(1+'Real assumptions'!$B$35)^(1/12)</f>
        <v>3.3263606547045863</v>
      </c>
      <c r="AW1173">
        <f t="shared" si="861"/>
        <v>2115</v>
      </c>
      <c r="AX1173">
        <f t="shared" si="888"/>
        <v>3.9164219177246259E-2</v>
      </c>
      <c r="AY1173">
        <f t="shared" si="889"/>
        <v>3.376667959989438E-5</v>
      </c>
      <c r="AZ1173">
        <f t="shared" si="862"/>
        <v>5.6421350510811761E-3</v>
      </c>
      <c r="BA1173">
        <f t="shared" si="879"/>
        <v>1.2590448119664143E-4</v>
      </c>
      <c r="BB1173">
        <f t="shared" si="880"/>
        <v>2.1666666666666714</v>
      </c>
      <c r="BC1173">
        <f t="shared" si="863"/>
        <v>1.3000000000000029</v>
      </c>
      <c r="BD1173">
        <f t="shared" si="881"/>
        <v>0</v>
      </c>
      <c r="BE1173">
        <f t="shared" si="864"/>
        <v>24</v>
      </c>
      <c r="BF1173">
        <f t="shared" si="890"/>
        <v>5000</v>
      </c>
      <c r="BU1173"/>
      <c r="DW1173" s="89"/>
      <c r="DX1173" s="89"/>
      <c r="FD1173"/>
      <c r="FE1173"/>
    </row>
    <row r="1174" spans="1:161" x14ac:dyDescent="0.25">
      <c r="A1174" s="7">
        <f t="shared" si="882"/>
        <v>78832</v>
      </c>
      <c r="B1174">
        <f t="shared" si="865"/>
        <v>1163</v>
      </c>
      <c r="C1174">
        <f t="shared" si="846"/>
        <v>96.833333333333329</v>
      </c>
      <c r="D1174">
        <f t="shared" si="847"/>
        <v>0</v>
      </c>
      <c r="E1174">
        <f t="shared" si="866"/>
        <v>148</v>
      </c>
      <c r="F1174">
        <f>IF(C1174&gt;=$T$2,0,VLOOKUP($E1174,EKM_F05!$A$3:$C$128,2,TRUE))</f>
        <v>0</v>
      </c>
      <c r="G1174">
        <f>F1174*'Real assumptions'!$B$3</f>
        <v>0</v>
      </c>
      <c r="H1174">
        <f>(1-(1-G1174)^(1/12))</f>
        <v>0</v>
      </c>
      <c r="I1174">
        <f t="shared" si="849"/>
        <v>0</v>
      </c>
      <c r="J1174">
        <f>IF(B1174&gt;$AJ$2,0,HLOOKUP(C1174,'Real assumptions'!$B$5:$L$8,4,TRUE))</f>
        <v>3.7900000000000003E-2</v>
      </c>
      <c r="K1174">
        <f t="shared" si="855"/>
        <v>1</v>
      </c>
      <c r="L1174">
        <f t="shared" si="883"/>
        <v>8.3333333333333329E-2</v>
      </c>
      <c r="M1174">
        <f t="shared" si="850"/>
        <v>3.2145624959929453E-3</v>
      </c>
      <c r="N1174">
        <f>M1174*O1173*(1-H1174/2)</f>
        <v>2.5707411617773351E-8</v>
      </c>
      <c r="O1174" s="8">
        <f t="shared" si="867"/>
        <v>7.9714653451161399E-6</v>
      </c>
      <c r="P1174">
        <f t="shared" si="868"/>
        <v>1.9193214616161392E-4</v>
      </c>
      <c r="Q1174">
        <f t="shared" si="884"/>
        <v>0</v>
      </c>
      <c r="R1174" s="89">
        <f t="shared" si="856"/>
        <v>5000</v>
      </c>
      <c r="S1174">
        <f t="shared" si="857"/>
        <v>8.3333333333328596E-2</v>
      </c>
      <c r="U1174">
        <f>O1173*AV1173*'Real assumptions'!$B$33/12+AX1174*'Real assumptions'!$B$34</f>
        <v>2.7671910938592206E-4</v>
      </c>
      <c r="V1174">
        <f>IF(P1174=0,0,IF(E1174&lt;=$C$7,$AN$5*O1173,0))*'Real assumptions'!$D$28</f>
        <v>0</v>
      </c>
      <c r="X1174" s="94">
        <f t="shared" si="869"/>
        <v>0</v>
      </c>
      <c r="Y1174">
        <f t="shared" si="858"/>
        <v>24</v>
      </c>
      <c r="Z1174">
        <f t="shared" si="885"/>
        <v>2</v>
      </c>
      <c r="AA1174">
        <f t="shared" si="859"/>
        <v>2.0833333333333286</v>
      </c>
      <c r="AB1174">
        <f t="shared" si="870"/>
        <v>50.505050505050505</v>
      </c>
      <c r="AC1174">
        <f t="shared" si="852"/>
        <v>105.21885521885498</v>
      </c>
      <c r="AD1174">
        <f t="shared" si="871"/>
        <v>80.505050505050505</v>
      </c>
      <c r="AE1174">
        <f t="shared" si="872"/>
        <v>8.3859427609427417</v>
      </c>
      <c r="AF1174" s="94">
        <f t="shared" si="873"/>
        <v>4886.3952020202014</v>
      </c>
      <c r="AG1174">
        <f t="shared" si="886"/>
        <v>1.2561657278544608E-4</v>
      </c>
      <c r="AH1174">
        <f t="shared" si="874"/>
        <v>3.8951730015445815E-2</v>
      </c>
      <c r="AI1174">
        <f>HLOOKUP(AW1174,'Real assumptions'!$A$21:$AK$24,2,TRUE)</f>
        <v>0</v>
      </c>
      <c r="AJ1174" s="123">
        <f t="shared" si="853"/>
        <v>0</v>
      </c>
      <c r="AK1174" s="122">
        <f>(1+HLOOKUP(YEAR(A1174),'Real assumptions'!$A$21:$AK$24,2,TRUE)/100)^(1/12)-1</f>
        <v>0</v>
      </c>
      <c r="AL1174">
        <f t="shared" si="887"/>
        <v>2.7671910938592206E-4</v>
      </c>
      <c r="AM1174">
        <f>('Real assumptions'!$B$33/12)*O1173*AV1173</f>
        <v>2.6601480806875098E-4</v>
      </c>
      <c r="AN1174">
        <f t="shared" si="875"/>
        <v>3.8956218937189431E-2</v>
      </c>
      <c r="AO1174">
        <f t="shared" si="854"/>
        <v>0</v>
      </c>
      <c r="AP1174" s="121">
        <f t="shared" si="876"/>
        <v>0</v>
      </c>
      <c r="AQ1174">
        <f t="shared" si="877"/>
        <v>0</v>
      </c>
      <c r="AR1174">
        <v>0</v>
      </c>
      <c r="AS1174">
        <f t="shared" si="860"/>
        <v>0</v>
      </c>
      <c r="AT1174">
        <f t="shared" si="878"/>
        <v>0</v>
      </c>
      <c r="AU1174">
        <f>IFERROR(HLOOKUP(B1174,'Real assumptions'!$B$43:$AL$44,2,TRUE)*($W$3/$U$2),0)</f>
        <v>0</v>
      </c>
      <c r="AV1174">
        <f>AV1173*(1+'Real assumptions'!$B$35)^(1/12)</f>
        <v>3.3298059194961458</v>
      </c>
      <c r="AW1174">
        <f t="shared" si="861"/>
        <v>2115</v>
      </c>
      <c r="AX1174">
        <f t="shared" si="888"/>
        <v>3.907466403491177E-2</v>
      </c>
      <c r="AY1174">
        <f t="shared" si="889"/>
        <v>3.3658134498038353E-5</v>
      </c>
      <c r="AZ1174">
        <f t="shared" si="862"/>
        <v>5.4317315150714217E-3</v>
      </c>
      <c r="BA1174">
        <f t="shared" si="879"/>
        <v>1.2561657278544608E-4</v>
      </c>
      <c r="BB1174">
        <f t="shared" si="880"/>
        <v>2.0833333333333286</v>
      </c>
      <c r="BC1174">
        <f t="shared" si="863"/>
        <v>1.2499999999999971</v>
      </c>
      <c r="BD1174">
        <f t="shared" si="881"/>
        <v>0</v>
      </c>
      <c r="BE1174">
        <f t="shared" si="864"/>
        <v>24</v>
      </c>
      <c r="BF1174">
        <f t="shared" si="890"/>
        <v>5000</v>
      </c>
      <c r="BU1174"/>
      <c r="DW1174" s="89"/>
      <c r="DX1174" s="89"/>
      <c r="FD1174"/>
      <c r="FE1174"/>
    </row>
    <row r="1175" spans="1:161" x14ac:dyDescent="0.25">
      <c r="A1175" s="7">
        <f t="shared" si="882"/>
        <v>78862</v>
      </c>
      <c r="B1175">
        <f t="shared" si="865"/>
        <v>1164</v>
      </c>
      <c r="C1175">
        <f t="shared" si="846"/>
        <v>96.916666666666671</v>
      </c>
      <c r="D1175">
        <f t="shared" si="847"/>
        <v>0</v>
      </c>
      <c r="E1175">
        <f t="shared" si="866"/>
        <v>148</v>
      </c>
      <c r="F1175">
        <f>IF(C1175&gt;=$T$2,0,VLOOKUP($E1175,EKM_F05!$A$3:$C$128,2,TRUE))</f>
        <v>0</v>
      </c>
      <c r="G1175">
        <f>F1175*'Real assumptions'!$B$3</f>
        <v>0</v>
      </c>
      <c r="H1175">
        <f t="shared" ref="H1175:H1211" si="891">(1-(1-G1175)^(1/12))</f>
        <v>0</v>
      </c>
      <c r="I1175">
        <f t="shared" si="849"/>
        <v>0</v>
      </c>
      <c r="J1175">
        <f>IF(B1175&gt;$AJ$2,0,HLOOKUP(C1175,'Real assumptions'!$B$5:$L$8,4,TRUE))</f>
        <v>3.7900000000000003E-2</v>
      </c>
      <c r="K1175">
        <f t="shared" si="855"/>
        <v>1</v>
      </c>
      <c r="L1175">
        <f t="shared" si="883"/>
        <v>8.3333333333333329E-2</v>
      </c>
      <c r="M1175">
        <f t="shared" si="850"/>
        <v>3.2145624959929453E-3</v>
      </c>
      <c r="N1175">
        <f t="shared" ref="N1175:N1211" si="892">M1175*O1174*(1-H1175/2)</f>
        <v>2.5624773536517802E-8</v>
      </c>
      <c r="O1175" s="8">
        <f t="shared" si="867"/>
        <v>7.9458405715796222E-6</v>
      </c>
      <c r="P1175">
        <f t="shared" si="868"/>
        <v>1.9131516828278734E-4</v>
      </c>
      <c r="Q1175">
        <f t="shared" si="884"/>
        <v>0</v>
      </c>
      <c r="R1175" s="89">
        <f t="shared" si="856"/>
        <v>5000</v>
      </c>
      <c r="S1175">
        <f t="shared" si="857"/>
        <v>1</v>
      </c>
      <c r="U1175">
        <f>O1174*AV1174*'Real assumptions'!$B$33/12+AX1175*'Real assumptions'!$B$34</f>
        <v>2.7611413994452943E-4</v>
      </c>
      <c r="V1175">
        <f>IF(P1175=0,0,IF(E1175&lt;=$C$7,$AN$5*O1174,0))*'Real assumptions'!$D$28</f>
        <v>0</v>
      </c>
      <c r="X1175" s="94">
        <f t="shared" si="869"/>
        <v>0</v>
      </c>
      <c r="Y1175">
        <f t="shared" si="858"/>
        <v>24</v>
      </c>
      <c r="Z1175">
        <f t="shared" si="885"/>
        <v>2</v>
      </c>
      <c r="AA1175">
        <f t="shared" si="859"/>
        <v>2</v>
      </c>
      <c r="AB1175">
        <f t="shared" si="870"/>
        <v>50.505050505050505</v>
      </c>
      <c r="AC1175">
        <f t="shared" si="852"/>
        <v>101.01010101010101</v>
      </c>
      <c r="AD1175">
        <f t="shared" si="871"/>
        <v>80.505050505050505</v>
      </c>
      <c r="AE1175">
        <f t="shared" si="872"/>
        <v>8.0505050505050502</v>
      </c>
      <c r="AF1175" s="94">
        <f t="shared" si="873"/>
        <v>4890.939393939394</v>
      </c>
      <c r="AG1175">
        <f t="shared" si="886"/>
        <v>1.253292143505306E-4</v>
      </c>
      <c r="AH1175">
        <f t="shared" si="874"/>
        <v>3.8862624669500682E-2</v>
      </c>
      <c r="AI1175">
        <f>HLOOKUP(AW1175,'Real assumptions'!$A$21:$AK$24,2,TRUE)</f>
        <v>0</v>
      </c>
      <c r="AJ1175" s="123">
        <f t="shared" si="853"/>
        <v>0</v>
      </c>
      <c r="AK1175" s="122">
        <f>(1+HLOOKUP(YEAR(A1175),'Real assumptions'!$A$21:$AK$24,2,TRUE)/100)^(1/12)-1</f>
        <v>0</v>
      </c>
      <c r="AL1175">
        <f t="shared" si="887"/>
        <v>2.7611413994452943E-4</v>
      </c>
      <c r="AM1175">
        <f>('Real assumptions'!$B$33/12)*O1174*AV1174</f>
        <v>2.654343249322611E-4</v>
      </c>
      <c r="AN1175">
        <f t="shared" si="875"/>
        <v>3.8866931043784074E-2</v>
      </c>
      <c r="AO1175">
        <f t="shared" si="854"/>
        <v>0</v>
      </c>
      <c r="AP1175" s="121">
        <f t="shared" si="876"/>
        <v>0</v>
      </c>
      <c r="AQ1175">
        <f t="shared" si="877"/>
        <v>0</v>
      </c>
      <c r="AR1175">
        <v>0</v>
      </c>
      <c r="AS1175">
        <f t="shared" si="860"/>
        <v>0</v>
      </c>
      <c r="AT1175">
        <f t="shared" si="878"/>
        <v>0</v>
      </c>
      <c r="AU1175">
        <f>IFERROR(HLOOKUP(B1175,'Real assumptions'!$B$43:$AL$44,2,TRUE)*($W$3/$U$2),0)</f>
        <v>0</v>
      </c>
      <c r="AV1175">
        <f>AV1174*(1+'Real assumptions'!$B$35)^(1/12)</f>
        <v>3.3332547527069831</v>
      </c>
      <c r="AW1175">
        <f t="shared" si="861"/>
        <v>2115</v>
      </c>
      <c r="AX1175">
        <f t="shared" si="888"/>
        <v>3.8985279953767014E-2</v>
      </c>
      <c r="AY1175">
        <f t="shared" si="889"/>
        <v>3.3549938321195876E-5</v>
      </c>
      <c r="AZ1175">
        <f t="shared" si="862"/>
        <v>5.2216033290591489E-3</v>
      </c>
      <c r="BA1175">
        <f t="shared" si="879"/>
        <v>1.253292143505306E-4</v>
      </c>
      <c r="BB1175">
        <f t="shared" si="880"/>
        <v>2</v>
      </c>
      <c r="BC1175">
        <f t="shared" si="863"/>
        <v>1.2</v>
      </c>
      <c r="BD1175">
        <f t="shared" si="881"/>
        <v>0</v>
      </c>
      <c r="BE1175">
        <f t="shared" si="864"/>
        <v>24</v>
      </c>
      <c r="BF1175">
        <f t="shared" si="890"/>
        <v>5000</v>
      </c>
      <c r="BU1175"/>
      <c r="DW1175" s="89"/>
      <c r="DX1175" s="89"/>
      <c r="FD1175"/>
      <c r="FE1175"/>
    </row>
    <row r="1176" spans="1:161" x14ac:dyDescent="0.25">
      <c r="A1176" s="7">
        <f t="shared" si="882"/>
        <v>78893</v>
      </c>
      <c r="B1176">
        <f t="shared" si="865"/>
        <v>1165</v>
      </c>
      <c r="C1176">
        <f t="shared" si="846"/>
        <v>97</v>
      </c>
      <c r="D1176">
        <f t="shared" si="847"/>
        <v>1</v>
      </c>
      <c r="E1176">
        <f t="shared" si="866"/>
        <v>149</v>
      </c>
      <c r="F1176">
        <f>IF(C1176&gt;=$T$2,0,VLOOKUP($E1176,EKM_F05!$A$3:$C$128,2,TRUE))</f>
        <v>0</v>
      </c>
      <c r="G1176">
        <f>F1176*'Real assumptions'!$B$3</f>
        <v>0</v>
      </c>
      <c r="H1176">
        <f t="shared" si="891"/>
        <v>0</v>
      </c>
      <c r="I1176">
        <f t="shared" si="849"/>
        <v>0</v>
      </c>
      <c r="J1176">
        <f>IF(B1176&gt;$AJ$2,0,HLOOKUP(C1176,'Real assumptions'!$B$5:$L$8,4,TRUE))</f>
        <v>3.7900000000000003E-2</v>
      </c>
      <c r="K1176">
        <f t="shared" si="855"/>
        <v>1</v>
      </c>
      <c r="L1176">
        <f t="shared" si="883"/>
        <v>8.3333333333333329E-2</v>
      </c>
      <c r="M1176">
        <f t="shared" si="850"/>
        <v>3.2145624959929453E-3</v>
      </c>
      <c r="N1176">
        <f t="shared" si="892"/>
        <v>2.5542401100539003E-8</v>
      </c>
      <c r="O1176" s="8">
        <f t="shared" si="867"/>
        <v>7.9202981704790828E-6</v>
      </c>
      <c r="P1176">
        <f t="shared" si="868"/>
        <v>1.9070017371791093E-4</v>
      </c>
      <c r="Q1176">
        <f t="shared" si="884"/>
        <v>0</v>
      </c>
      <c r="R1176" s="89">
        <f t="shared" si="856"/>
        <v>5000</v>
      </c>
      <c r="S1176">
        <f t="shared" si="857"/>
        <v>0.9166666666666714</v>
      </c>
      <c r="U1176">
        <f>O1175*AV1175*'Real assumptions'!$B$33/12+AX1176*'Real assumptions'!$B$34</f>
        <v>2.7551048401562171E-4</v>
      </c>
      <c r="V1176">
        <f>IF(P1176=0,0,IF(E1176&lt;=$C$7,$AN$5*O1175,0))*'Real assumptions'!$D$28</f>
        <v>0</v>
      </c>
      <c r="X1176" s="94">
        <f t="shared" si="869"/>
        <v>0</v>
      </c>
      <c r="Y1176">
        <f t="shared" si="858"/>
        <v>24</v>
      </c>
      <c r="Z1176">
        <f t="shared" si="885"/>
        <v>2</v>
      </c>
      <c r="AA1176">
        <f t="shared" si="859"/>
        <v>1.9166666666666714</v>
      </c>
      <c r="AB1176">
        <f t="shared" si="870"/>
        <v>50.505050505050505</v>
      </c>
      <c r="AC1176">
        <f t="shared" si="852"/>
        <v>96.801346801347037</v>
      </c>
      <c r="AD1176">
        <f t="shared" si="871"/>
        <v>80.505050505050505</v>
      </c>
      <c r="AE1176">
        <f t="shared" si="872"/>
        <v>7.7150673400673586</v>
      </c>
      <c r="AF1176" s="94">
        <f t="shared" si="873"/>
        <v>4895.4835858585857</v>
      </c>
      <c r="AG1176">
        <f t="shared" si="886"/>
        <v>1.2504240533110496E-4</v>
      </c>
      <c r="AH1176">
        <f t="shared" si="874"/>
        <v>3.8773689688686136E-2</v>
      </c>
      <c r="AI1176">
        <f>HLOOKUP(AW1176,'Real assumptions'!$A$21:$AK$24,2,TRUE)</f>
        <v>0</v>
      </c>
      <c r="AJ1176" s="123">
        <f t="shared" si="853"/>
        <v>0</v>
      </c>
      <c r="AK1176" s="122">
        <f>(1+HLOOKUP(YEAR(A1176),'Real assumptions'!$A$21:$AK$24,2,TRUE)/100)^(1/12)-1</f>
        <v>0</v>
      </c>
      <c r="AL1176">
        <f t="shared" si="887"/>
        <v>2.7551048401562171E-4</v>
      </c>
      <c r="AM1176">
        <f>('Real assumptions'!$B$33/12)*O1175*AV1175</f>
        <v>2.6485510849469742E-4</v>
      </c>
      <c r="AN1176">
        <f t="shared" si="875"/>
        <v>3.8777814359202974E-2</v>
      </c>
      <c r="AO1176">
        <f t="shared" si="854"/>
        <v>0</v>
      </c>
      <c r="AP1176" s="121">
        <f t="shared" si="876"/>
        <v>0</v>
      </c>
      <c r="AQ1176">
        <f t="shared" si="877"/>
        <v>0</v>
      </c>
      <c r="AR1176">
        <v>0</v>
      </c>
      <c r="AS1176">
        <f t="shared" si="860"/>
        <v>0</v>
      </c>
      <c r="AT1176">
        <f t="shared" si="878"/>
        <v>0</v>
      </c>
      <c r="AU1176">
        <f>IFERROR(HLOOKUP(B1176,'Real assumptions'!$B$43:$AL$44,2,TRUE)*($W$3/$U$2),0)</f>
        <v>0</v>
      </c>
      <c r="AV1176">
        <f>AV1175*(1+'Real assumptions'!$B$35)^(1/12)</f>
        <v>3.3367071580330738</v>
      </c>
      <c r="AW1176">
        <f t="shared" si="861"/>
        <v>2115</v>
      </c>
      <c r="AX1176">
        <f t="shared" si="888"/>
        <v>3.8896066759448407E-2</v>
      </c>
      <c r="AY1176">
        <f t="shared" si="889"/>
        <v>3.3442089947725682E-5</v>
      </c>
      <c r="AZ1176">
        <f t="shared" si="862"/>
        <v>5.0117506134303332E-3</v>
      </c>
      <c r="BA1176">
        <f t="shared" si="879"/>
        <v>1.2504240533110496E-4</v>
      </c>
      <c r="BB1176">
        <f t="shared" si="880"/>
        <v>1.9166666666666714</v>
      </c>
      <c r="BC1176">
        <f t="shared" si="863"/>
        <v>1.1500000000000028</v>
      </c>
      <c r="BD1176">
        <f t="shared" si="881"/>
        <v>0</v>
      </c>
      <c r="BE1176">
        <f t="shared" si="864"/>
        <v>24</v>
      </c>
      <c r="BF1176">
        <f t="shared" si="890"/>
        <v>5000</v>
      </c>
      <c r="BU1176"/>
      <c r="DW1176" s="89"/>
      <c r="DX1176" s="89"/>
      <c r="FD1176"/>
      <c r="FE1176"/>
    </row>
    <row r="1177" spans="1:161" x14ac:dyDescent="0.25">
      <c r="A1177" s="7">
        <f t="shared" si="882"/>
        <v>78924</v>
      </c>
      <c r="B1177">
        <f t="shared" si="865"/>
        <v>1166</v>
      </c>
      <c r="C1177">
        <f t="shared" si="846"/>
        <v>97.083333333333329</v>
      </c>
      <c r="D1177">
        <f t="shared" si="847"/>
        <v>0</v>
      </c>
      <c r="E1177">
        <f t="shared" si="866"/>
        <v>149</v>
      </c>
      <c r="F1177">
        <f>IF(C1177&gt;=$T$2,0,VLOOKUP($E1177,EKM_F05!$A$3:$C$128,2,TRUE))</f>
        <v>0</v>
      </c>
      <c r="G1177">
        <f>F1177*'Real assumptions'!$B$3</f>
        <v>0</v>
      </c>
      <c r="H1177">
        <f t="shared" si="891"/>
        <v>0</v>
      </c>
      <c r="I1177">
        <f t="shared" si="849"/>
        <v>0</v>
      </c>
      <c r="J1177">
        <f>IF(B1177&gt;$AJ$2,0,HLOOKUP(C1177,'Real assumptions'!$B$5:$L$8,4,TRUE))</f>
        <v>3.7900000000000003E-2</v>
      </c>
      <c r="K1177">
        <f t="shared" si="855"/>
        <v>1</v>
      </c>
      <c r="L1177">
        <f t="shared" si="883"/>
        <v>8.3333333333333329E-2</v>
      </c>
      <c r="M1177">
        <f t="shared" si="850"/>
        <v>3.2145624959929453E-3</v>
      </c>
      <c r="N1177">
        <f t="shared" si="892"/>
        <v>2.5460293455903597E-8</v>
      </c>
      <c r="O1177" s="8">
        <f t="shared" si="867"/>
        <v>7.8948378770231793E-6</v>
      </c>
      <c r="P1177">
        <f t="shared" si="868"/>
        <v>1.9008715609149799E-4</v>
      </c>
      <c r="Q1177">
        <f t="shared" si="884"/>
        <v>0</v>
      </c>
      <c r="R1177" s="89">
        <f t="shared" si="856"/>
        <v>5000</v>
      </c>
      <c r="S1177">
        <f t="shared" si="857"/>
        <v>0.8333333333333286</v>
      </c>
      <c r="U1177">
        <f>O1176*AV1176*'Real assumptions'!$B$33/12+AX1177*'Real assumptions'!$B$34</f>
        <v>2.7490813878713389E-4</v>
      </c>
      <c r="V1177">
        <f>IF(P1177=0,0,IF(E1177&lt;=$C$7,$AN$5*O1176,0))*'Real assumptions'!$D$28</f>
        <v>0</v>
      </c>
      <c r="X1177" s="94">
        <f t="shared" si="869"/>
        <v>0</v>
      </c>
      <c r="Y1177">
        <f t="shared" si="858"/>
        <v>24</v>
      </c>
      <c r="Z1177">
        <f t="shared" si="885"/>
        <v>1</v>
      </c>
      <c r="AA1177">
        <f t="shared" si="859"/>
        <v>1.8333333333333286</v>
      </c>
      <c r="AB1177">
        <f t="shared" si="870"/>
        <v>50.505050505050505</v>
      </c>
      <c r="AC1177">
        <f t="shared" si="852"/>
        <v>92.592592592592354</v>
      </c>
      <c r="AD1177">
        <f t="shared" si="871"/>
        <v>80.505050505050505</v>
      </c>
      <c r="AE1177">
        <f t="shared" si="872"/>
        <v>7.3796296296296102</v>
      </c>
      <c r="AF1177" s="94">
        <f t="shared" si="873"/>
        <v>4900.0277777777783</v>
      </c>
      <c r="AG1177">
        <f t="shared" si="886"/>
        <v>1.2475614516430141E-4</v>
      </c>
      <c r="AH1177">
        <f t="shared" si="874"/>
        <v>3.8684924898465721E-2</v>
      </c>
      <c r="AI1177">
        <f>HLOOKUP(AW1177,'Real assumptions'!$A$21:$AK$24,2,TRUE)</f>
        <v>0</v>
      </c>
      <c r="AJ1177" s="123">
        <f t="shared" si="853"/>
        <v>0</v>
      </c>
      <c r="AK1177" s="122">
        <f>(1+HLOOKUP(YEAR(A1177),'Real assumptions'!$A$21:$AK$24,2,TRUE)/100)^(1/12)-1</f>
        <v>0</v>
      </c>
      <c r="AL1177">
        <f t="shared" si="887"/>
        <v>2.7490813878713389E-4</v>
      </c>
      <c r="AM1177">
        <f>('Real assumptions'!$B$33/12)*O1176*AV1176</f>
        <v>2.6427715599193816E-4</v>
      </c>
      <c r="AN1177">
        <f t="shared" si="875"/>
        <v>3.8688868705990503E-2</v>
      </c>
      <c r="AO1177">
        <f t="shared" si="854"/>
        <v>0</v>
      </c>
      <c r="AP1177" s="121">
        <f t="shared" si="876"/>
        <v>0</v>
      </c>
      <c r="AQ1177">
        <f t="shared" si="877"/>
        <v>0</v>
      </c>
      <c r="AR1177">
        <v>0</v>
      </c>
      <c r="AS1177">
        <f t="shared" si="860"/>
        <v>0</v>
      </c>
      <c r="AT1177">
        <f t="shared" si="878"/>
        <v>0</v>
      </c>
      <c r="AU1177">
        <f>IFERROR(HLOOKUP(B1177,'Real assumptions'!$B$43:$AL$44,2,TRUE)*($W$3/$U$2),0)</f>
        <v>0</v>
      </c>
      <c r="AV1177">
        <f>AV1176*(1+'Real assumptions'!$B$35)^(1/12)</f>
        <v>3.3401631391742219</v>
      </c>
      <c r="AW1177">
        <f t="shared" si="861"/>
        <v>2116</v>
      </c>
      <c r="AX1177">
        <f t="shared" si="888"/>
        <v>3.8807024276945726E-2</v>
      </c>
      <c r="AY1177">
        <f t="shared" si="889"/>
        <v>3.3334588259592096E-5</v>
      </c>
      <c r="AZ1177">
        <f t="shared" si="862"/>
        <v>4.8021734855703954E-3</v>
      </c>
      <c r="BA1177">
        <f t="shared" si="879"/>
        <v>1.2475614516430141E-4</v>
      </c>
      <c r="BB1177">
        <f t="shared" si="880"/>
        <v>1.8333333333333286</v>
      </c>
      <c r="BC1177">
        <f t="shared" si="863"/>
        <v>1.099999999999997</v>
      </c>
      <c r="BD1177">
        <f t="shared" si="881"/>
        <v>0</v>
      </c>
      <c r="BE1177">
        <f t="shared" si="864"/>
        <v>24</v>
      </c>
      <c r="BF1177">
        <f t="shared" si="890"/>
        <v>5000</v>
      </c>
      <c r="BU1177"/>
      <c r="DW1177" s="89"/>
      <c r="DX1177" s="89"/>
      <c r="FD1177"/>
      <c r="FE1177"/>
    </row>
    <row r="1178" spans="1:161" x14ac:dyDescent="0.25">
      <c r="A1178" s="7">
        <f t="shared" si="882"/>
        <v>78953</v>
      </c>
      <c r="B1178">
        <f t="shared" si="865"/>
        <v>1167</v>
      </c>
      <c r="C1178">
        <f t="shared" si="846"/>
        <v>97.166666666666671</v>
      </c>
      <c r="D1178">
        <f t="shared" si="847"/>
        <v>0</v>
      </c>
      <c r="E1178">
        <f t="shared" si="866"/>
        <v>149</v>
      </c>
      <c r="F1178">
        <f>IF(C1178&gt;=$T$2,0,VLOOKUP($E1178,EKM_F05!$A$3:$C$128,2,TRUE))</f>
        <v>0</v>
      </c>
      <c r="G1178">
        <f>F1178*'Real assumptions'!$B$3</f>
        <v>0</v>
      </c>
      <c r="H1178">
        <f t="shared" si="891"/>
        <v>0</v>
      </c>
      <c r="I1178">
        <f t="shared" si="849"/>
        <v>0</v>
      </c>
      <c r="J1178">
        <f>IF(B1178&gt;$AJ$2,0,HLOOKUP(C1178,'Real assumptions'!$B$5:$L$8,4,TRUE))</f>
        <v>3.7900000000000003E-2</v>
      </c>
      <c r="K1178">
        <f t="shared" si="855"/>
        <v>1</v>
      </c>
      <c r="L1178">
        <f t="shared" si="883"/>
        <v>8.3333333333333329E-2</v>
      </c>
      <c r="M1178">
        <f t="shared" si="850"/>
        <v>3.2145624959929453E-3</v>
      </c>
      <c r="N1178">
        <f t="shared" si="892"/>
        <v>2.5378449751423278E-8</v>
      </c>
      <c r="O1178" s="8">
        <f t="shared" si="867"/>
        <v>7.8694594272717562E-6</v>
      </c>
      <c r="P1178">
        <f t="shared" si="868"/>
        <v>1.8947610904855632E-4</v>
      </c>
      <c r="Q1178">
        <f t="shared" si="884"/>
        <v>0</v>
      </c>
      <c r="R1178" s="89">
        <f t="shared" si="856"/>
        <v>5000</v>
      </c>
      <c r="S1178">
        <f t="shared" si="857"/>
        <v>0.75</v>
      </c>
      <c r="U1178">
        <f>O1177*AV1177*'Real assumptions'!$B$33/12+AX1178*'Real assumptions'!$B$34</f>
        <v>2.7430710145285702E-4</v>
      </c>
      <c r="V1178">
        <f>IF(P1178=0,0,IF(E1178&lt;=$C$7,$AN$5*O1177,0))*'Real assumptions'!$D$28</f>
        <v>0</v>
      </c>
      <c r="X1178" s="94">
        <f t="shared" si="869"/>
        <v>0</v>
      </c>
      <c r="Y1178">
        <f t="shared" si="858"/>
        <v>24</v>
      </c>
      <c r="Z1178">
        <f t="shared" si="885"/>
        <v>1</v>
      </c>
      <c r="AA1178">
        <f t="shared" si="859"/>
        <v>1.75</v>
      </c>
      <c r="AB1178">
        <f t="shared" si="870"/>
        <v>50.505050505050505</v>
      </c>
      <c r="AC1178">
        <f t="shared" si="852"/>
        <v>88.383838383838381</v>
      </c>
      <c r="AD1178">
        <f t="shared" si="871"/>
        <v>80.505050505050505</v>
      </c>
      <c r="AE1178">
        <f t="shared" si="872"/>
        <v>7.0441919191919187</v>
      </c>
      <c r="AF1178" s="94">
        <f t="shared" si="873"/>
        <v>4904.57196969697</v>
      </c>
      <c r="AG1178">
        <f t="shared" si="886"/>
        <v>1.2447043328519365E-4</v>
      </c>
      <c r="AH1178">
        <f t="shared" si="874"/>
        <v>3.8596330123664625E-2</v>
      </c>
      <c r="AI1178">
        <f>HLOOKUP(AW1178,'Real assumptions'!$A$21:$AK$24,2,TRUE)</f>
        <v>0</v>
      </c>
      <c r="AJ1178" s="123">
        <f t="shared" si="853"/>
        <v>0</v>
      </c>
      <c r="AK1178" s="122">
        <f>(1+HLOOKUP(YEAR(A1178),'Real assumptions'!$A$21:$AK$24,2,TRUE)/100)^(1/12)-1</f>
        <v>0</v>
      </c>
      <c r="AL1178">
        <f t="shared" si="887"/>
        <v>2.7430710145285702E-4</v>
      </c>
      <c r="AM1178">
        <f>('Real assumptions'!$B$33/12)*O1177*AV1177</f>
        <v>2.6370046466589291E-4</v>
      </c>
      <c r="AN1178">
        <f t="shared" si="875"/>
        <v>3.8600093906061422E-2</v>
      </c>
      <c r="AO1178">
        <f t="shared" si="854"/>
        <v>0</v>
      </c>
      <c r="AP1178" s="121">
        <f t="shared" si="876"/>
        <v>0</v>
      </c>
      <c r="AQ1178">
        <f t="shared" si="877"/>
        <v>0</v>
      </c>
      <c r="AR1178">
        <v>0</v>
      </c>
      <c r="AS1178">
        <f t="shared" si="860"/>
        <v>0</v>
      </c>
      <c r="AT1178">
        <f t="shared" si="878"/>
        <v>0</v>
      </c>
      <c r="AU1178">
        <f>IFERROR(HLOOKUP(B1178,'Real assumptions'!$B$43:$AL$44,2,TRUE)*($W$3/$U$2),0)</f>
        <v>0</v>
      </c>
      <c r="AV1178">
        <f>AV1177*(1+'Real assumptions'!$B$35)^(1/12)</f>
        <v>3.3436226998340639</v>
      </c>
      <c r="AW1178">
        <f t="shared" si="861"/>
        <v>2116</v>
      </c>
      <c r="AX1178">
        <f t="shared" si="888"/>
        <v>3.8718152330608074E-2</v>
      </c>
      <c r="AY1178">
        <f t="shared" si="889"/>
        <v>3.3227432142353449E-5</v>
      </c>
      <c r="AZ1178">
        <f t="shared" si="862"/>
        <v>4.592872059880901E-3</v>
      </c>
      <c r="BA1178">
        <f t="shared" si="879"/>
        <v>1.2447043328519365E-4</v>
      </c>
      <c r="BB1178">
        <f t="shared" si="880"/>
        <v>1.75</v>
      </c>
      <c r="BC1178">
        <f t="shared" si="863"/>
        <v>1.0499999999999998</v>
      </c>
      <c r="BD1178">
        <f t="shared" si="881"/>
        <v>0</v>
      </c>
      <c r="BE1178">
        <f t="shared" si="864"/>
        <v>24</v>
      </c>
      <c r="BF1178">
        <f t="shared" si="890"/>
        <v>5000</v>
      </c>
      <c r="BU1178"/>
      <c r="DW1178" s="89"/>
      <c r="DX1178" s="89"/>
      <c r="FD1178"/>
      <c r="FE1178"/>
    </row>
    <row r="1179" spans="1:161" x14ac:dyDescent="0.25">
      <c r="A1179" s="7">
        <f t="shared" si="882"/>
        <v>78984</v>
      </c>
      <c r="B1179">
        <f t="shared" si="865"/>
        <v>1168</v>
      </c>
      <c r="C1179">
        <f t="shared" si="846"/>
        <v>97.25</v>
      </c>
      <c r="D1179">
        <f t="shared" si="847"/>
        <v>0</v>
      </c>
      <c r="E1179">
        <f t="shared" si="866"/>
        <v>149</v>
      </c>
      <c r="F1179">
        <f>IF(C1179&gt;=$T$2,0,VLOOKUP($E1179,EKM_F05!$A$3:$C$128,2,TRUE))</f>
        <v>0</v>
      </c>
      <c r="G1179">
        <f>F1179*'Real assumptions'!$B$3</f>
        <v>0</v>
      </c>
      <c r="H1179">
        <f t="shared" si="891"/>
        <v>0</v>
      </c>
      <c r="I1179">
        <f t="shared" si="849"/>
        <v>0</v>
      </c>
      <c r="J1179">
        <f>IF(B1179&gt;$AJ$2,0,HLOOKUP(C1179,'Real assumptions'!$B$5:$L$8,4,TRUE))</f>
        <v>3.7900000000000003E-2</v>
      </c>
      <c r="K1179">
        <f t="shared" si="855"/>
        <v>1</v>
      </c>
      <c r="L1179">
        <f t="shared" si="883"/>
        <v>8.3333333333333329E-2</v>
      </c>
      <c r="M1179">
        <f t="shared" si="850"/>
        <v>3.2145624959929453E-3</v>
      </c>
      <c r="N1179">
        <f t="shared" si="892"/>
        <v>2.5296869138645909E-8</v>
      </c>
      <c r="O1179" s="8">
        <f t="shared" si="867"/>
        <v>7.8441625581331105E-6</v>
      </c>
      <c r="P1179">
        <f t="shared" si="868"/>
        <v>1.8886702625452216E-4</v>
      </c>
      <c r="Q1179">
        <f t="shared" si="884"/>
        <v>0</v>
      </c>
      <c r="R1179" s="89">
        <f t="shared" si="856"/>
        <v>5000</v>
      </c>
      <c r="S1179">
        <f t="shared" si="857"/>
        <v>0.6666666666666714</v>
      </c>
      <c r="U1179">
        <f>O1178*AV1178*'Real assumptions'!$B$33/12+AX1179*'Real assumptions'!$B$34</f>
        <v>2.73707369212427E-4</v>
      </c>
      <c r="V1179">
        <f>IF(P1179=0,0,IF(E1179&lt;=$C$7,$AN$5*O1178,0))*'Real assumptions'!$D$28</f>
        <v>0</v>
      </c>
      <c r="X1179" s="94">
        <f t="shared" si="869"/>
        <v>0</v>
      </c>
      <c r="Y1179">
        <f t="shared" si="858"/>
        <v>24</v>
      </c>
      <c r="Z1179">
        <f t="shared" si="885"/>
        <v>1</v>
      </c>
      <c r="AA1179">
        <f t="shared" si="859"/>
        <v>1.6666666666666714</v>
      </c>
      <c r="AB1179">
        <f t="shared" si="870"/>
        <v>50.505050505050505</v>
      </c>
      <c r="AC1179">
        <f t="shared" si="852"/>
        <v>84.175084175084422</v>
      </c>
      <c r="AD1179">
        <f t="shared" si="871"/>
        <v>80.505050505050505</v>
      </c>
      <c r="AE1179">
        <f t="shared" si="872"/>
        <v>6.7087542087542271</v>
      </c>
      <c r="AF1179" s="94">
        <f t="shared" si="873"/>
        <v>4909.1161616161617</v>
      </c>
      <c r="AG1179">
        <f t="shared" si="886"/>
        <v>1.2418526912681574E-4</v>
      </c>
      <c r="AH1179">
        <f t="shared" si="874"/>
        <v>3.8507905188475626E-2</v>
      </c>
      <c r="AI1179">
        <f>HLOOKUP(AW1179,'Real assumptions'!$A$21:$AK$24,2,TRUE)</f>
        <v>0</v>
      </c>
      <c r="AJ1179" s="123">
        <f t="shared" si="853"/>
        <v>0</v>
      </c>
      <c r="AK1179" s="122">
        <f>(1+HLOOKUP(YEAR(A1179),'Real assumptions'!$A$21:$AK$24,2,TRUE)/100)^(1/12)-1</f>
        <v>0</v>
      </c>
      <c r="AL1179">
        <f t="shared" si="887"/>
        <v>2.73707369212427E-4</v>
      </c>
      <c r="AM1179">
        <f>('Real assumptions'!$B$33/12)*O1178*AV1178</f>
        <v>2.6312503176449014E-4</v>
      </c>
      <c r="AN1179">
        <f t="shared" si="875"/>
        <v>3.8511489780706717E-2</v>
      </c>
      <c r="AO1179">
        <f t="shared" si="854"/>
        <v>0</v>
      </c>
      <c r="AP1179" s="121">
        <f t="shared" si="876"/>
        <v>0</v>
      </c>
      <c r="AQ1179">
        <f t="shared" si="877"/>
        <v>0</v>
      </c>
      <c r="AR1179">
        <v>0</v>
      </c>
      <c r="AS1179">
        <f t="shared" si="860"/>
        <v>0</v>
      </c>
      <c r="AT1179">
        <f t="shared" si="878"/>
        <v>0</v>
      </c>
      <c r="AU1179">
        <f>IFERROR(HLOOKUP(B1179,'Real assumptions'!$B$43:$AL$44,2,TRUE)*($W$3/$U$2),0)</f>
        <v>0</v>
      </c>
      <c r="AV1179">
        <f>AV1178*(1+'Real assumptions'!$B$35)^(1/12)</f>
        <v>3.3470858437200719</v>
      </c>
      <c r="AW1179">
        <f t="shared" si="861"/>
        <v>2116</v>
      </c>
      <c r="AX1179">
        <f t="shared" si="888"/>
        <v>3.8629450744149779E-2</v>
      </c>
      <c r="AY1179">
        <f t="shared" si="889"/>
        <v>3.3120620485150485E-5</v>
      </c>
      <c r="AZ1179">
        <f t="shared" si="862"/>
        <v>4.3838464477961806E-3</v>
      </c>
      <c r="BA1179">
        <f t="shared" si="879"/>
        <v>1.2418526912681574E-4</v>
      </c>
      <c r="BB1179">
        <f t="shared" si="880"/>
        <v>1.6666666666666714</v>
      </c>
      <c r="BC1179">
        <f t="shared" si="863"/>
        <v>1.0000000000000027</v>
      </c>
      <c r="BD1179">
        <f t="shared" si="881"/>
        <v>0</v>
      </c>
      <c r="BE1179">
        <f t="shared" si="864"/>
        <v>24</v>
      </c>
      <c r="BF1179">
        <f t="shared" si="890"/>
        <v>5000</v>
      </c>
      <c r="BU1179"/>
      <c r="DW1179" s="89"/>
      <c r="DX1179" s="89"/>
      <c r="FD1179"/>
      <c r="FE1179"/>
    </row>
    <row r="1180" spans="1:161" x14ac:dyDescent="0.25">
      <c r="A1180" s="7">
        <f t="shared" si="882"/>
        <v>79014</v>
      </c>
      <c r="B1180">
        <f t="shared" si="865"/>
        <v>1169</v>
      </c>
      <c r="C1180">
        <f t="shared" si="846"/>
        <v>97.333333333333329</v>
      </c>
      <c r="D1180">
        <f t="shared" si="847"/>
        <v>0</v>
      </c>
      <c r="E1180">
        <f t="shared" si="866"/>
        <v>149</v>
      </c>
      <c r="F1180">
        <f>IF(C1180&gt;=$T$2,0,VLOOKUP($E1180,EKM_F05!$A$3:$C$128,2,TRUE))</f>
        <v>0</v>
      </c>
      <c r="G1180">
        <f>F1180*'Real assumptions'!$B$3</f>
        <v>0</v>
      </c>
      <c r="H1180">
        <f t="shared" si="891"/>
        <v>0</v>
      </c>
      <c r="I1180">
        <f t="shared" si="849"/>
        <v>0</v>
      </c>
      <c r="J1180">
        <f>IF(B1180&gt;$AJ$2,0,HLOOKUP(C1180,'Real assumptions'!$B$5:$L$8,4,TRUE))</f>
        <v>3.7900000000000003E-2</v>
      </c>
      <c r="K1180">
        <f t="shared" si="855"/>
        <v>1</v>
      </c>
      <c r="L1180">
        <f t="shared" si="883"/>
        <v>8.3333333333333329E-2</v>
      </c>
      <c r="M1180">
        <f t="shared" si="850"/>
        <v>3.2145624959929453E-3</v>
      </c>
      <c r="N1180">
        <f t="shared" si="892"/>
        <v>2.521555077184678E-8</v>
      </c>
      <c r="O1180" s="8">
        <f t="shared" si="867"/>
        <v>7.8189470073612644E-6</v>
      </c>
      <c r="P1180">
        <f t="shared" si="868"/>
        <v>1.8825990139519465E-4</v>
      </c>
      <c r="Q1180">
        <f t="shared" si="884"/>
        <v>0</v>
      </c>
      <c r="R1180" s="89">
        <f t="shared" si="856"/>
        <v>5000</v>
      </c>
      <c r="S1180">
        <f t="shared" si="857"/>
        <v>0.5833333333333286</v>
      </c>
      <c r="U1180">
        <f>O1179*AV1179*'Real assumptions'!$B$33/12+AX1180*'Real assumptions'!$B$34</f>
        <v>2.7310893927131268E-4</v>
      </c>
      <c r="V1180">
        <f>IF(P1180=0,0,IF(E1180&lt;=$C$7,$AN$5*O1179,0))*'Real assumptions'!$D$28</f>
        <v>0</v>
      </c>
      <c r="X1180" s="94">
        <f t="shared" si="869"/>
        <v>0</v>
      </c>
      <c r="Y1180">
        <f t="shared" si="858"/>
        <v>24</v>
      </c>
      <c r="Z1180">
        <f t="shared" si="885"/>
        <v>1</v>
      </c>
      <c r="AA1180">
        <f t="shared" si="859"/>
        <v>1.5833333333333286</v>
      </c>
      <c r="AB1180">
        <f t="shared" si="870"/>
        <v>50.505050505050505</v>
      </c>
      <c r="AC1180">
        <f t="shared" si="852"/>
        <v>79.966329966329724</v>
      </c>
      <c r="AD1180">
        <f t="shared" si="871"/>
        <v>80.505050505050505</v>
      </c>
      <c r="AE1180">
        <f t="shared" si="872"/>
        <v>6.3733164983164787</v>
      </c>
      <c r="AF1180" s="94">
        <f t="shared" si="873"/>
        <v>4913.6603535353534</v>
      </c>
      <c r="AG1180">
        <f t="shared" si="886"/>
        <v>1.2390065212018129E-4</v>
      </c>
      <c r="AH1180">
        <f t="shared" si="874"/>
        <v>3.8419649916464946E-2</v>
      </c>
      <c r="AI1180">
        <f>HLOOKUP(AW1180,'Real assumptions'!$A$21:$AK$24,2,TRUE)</f>
        <v>0</v>
      </c>
      <c r="AJ1180" s="123">
        <f t="shared" si="853"/>
        <v>0</v>
      </c>
      <c r="AK1180" s="122">
        <f>(1+HLOOKUP(YEAR(A1180),'Real assumptions'!$A$21:$AK$24,2,TRUE)/100)^(1/12)-1</f>
        <v>0</v>
      </c>
      <c r="AL1180">
        <f t="shared" si="887"/>
        <v>2.7310893927131268E-4</v>
      </c>
      <c r="AM1180">
        <f>('Real assumptions'!$B$33/12)*O1179*AV1179</f>
        <v>2.6255085454166357E-4</v>
      </c>
      <c r="AN1180">
        <f t="shared" si="875"/>
        <v>3.8423056150599509E-2</v>
      </c>
      <c r="AO1180">
        <f t="shared" si="854"/>
        <v>0</v>
      </c>
      <c r="AP1180" s="121">
        <f t="shared" si="876"/>
        <v>0</v>
      </c>
      <c r="AQ1180">
        <f t="shared" si="877"/>
        <v>0</v>
      </c>
      <c r="AR1180">
        <v>0</v>
      </c>
      <c r="AS1180">
        <f t="shared" si="860"/>
        <v>0</v>
      </c>
      <c r="AT1180">
        <f t="shared" si="878"/>
        <v>0</v>
      </c>
      <c r="AU1180">
        <f>IFERROR(HLOOKUP(B1180,'Real assumptions'!$B$43:$AL$44,2,TRUE)*($W$3/$U$2),0)</f>
        <v>0</v>
      </c>
      <c r="AV1180">
        <f>AV1179*(1+'Real assumptions'!$B$35)^(1/12)</f>
        <v>3.350552574543558</v>
      </c>
      <c r="AW1180">
        <f t="shared" si="861"/>
        <v>2116</v>
      </c>
      <c r="AX1180">
        <f t="shared" si="888"/>
        <v>3.8540919340656322E-2</v>
      </c>
      <c r="AY1180">
        <f t="shared" si="889"/>
        <v>3.3014152180694905E-5</v>
      </c>
      <c r="AZ1180">
        <f t="shared" si="862"/>
        <v>4.1750967577998807E-3</v>
      </c>
      <c r="BA1180">
        <f t="shared" si="879"/>
        <v>1.2390065212018129E-4</v>
      </c>
      <c r="BB1180">
        <f t="shared" si="880"/>
        <v>1.5833333333333286</v>
      </c>
      <c r="BC1180">
        <f t="shared" si="863"/>
        <v>0.94999999999999707</v>
      </c>
      <c r="BD1180">
        <f t="shared" si="881"/>
        <v>0</v>
      </c>
      <c r="BE1180">
        <f t="shared" si="864"/>
        <v>24</v>
      </c>
      <c r="BF1180">
        <f t="shared" si="890"/>
        <v>5000</v>
      </c>
      <c r="BU1180"/>
      <c r="DW1180" s="89"/>
      <c r="DX1180" s="89"/>
      <c r="FD1180"/>
      <c r="FE1180"/>
    </row>
    <row r="1181" spans="1:161" x14ac:dyDescent="0.25">
      <c r="A1181" s="7">
        <f t="shared" si="882"/>
        <v>79045</v>
      </c>
      <c r="B1181">
        <f t="shared" si="865"/>
        <v>1170</v>
      </c>
      <c r="C1181">
        <f t="shared" si="846"/>
        <v>97.416666666666671</v>
      </c>
      <c r="D1181">
        <f t="shared" si="847"/>
        <v>0</v>
      </c>
      <c r="E1181">
        <f t="shared" si="866"/>
        <v>149</v>
      </c>
      <c r="F1181">
        <f>IF(C1181&gt;=$T$2,0,VLOOKUP($E1181,EKM_F05!$A$3:$C$128,2,TRUE))</f>
        <v>0</v>
      </c>
      <c r="G1181">
        <f>F1181*'Real assumptions'!$B$3</f>
        <v>0</v>
      </c>
      <c r="H1181">
        <f t="shared" si="891"/>
        <v>0</v>
      </c>
      <c r="I1181">
        <f t="shared" si="849"/>
        <v>0</v>
      </c>
      <c r="J1181">
        <f>IF(B1181&gt;$AJ$2,0,HLOOKUP(C1181,'Real assumptions'!$B$5:$L$8,4,TRUE))</f>
        <v>3.7900000000000003E-2</v>
      </c>
      <c r="K1181">
        <f t="shared" si="855"/>
        <v>1</v>
      </c>
      <c r="L1181">
        <f t="shared" si="883"/>
        <v>8.3333333333333329E-2</v>
      </c>
      <c r="M1181">
        <f t="shared" si="850"/>
        <v>3.2145624959929453E-3</v>
      </c>
      <c r="N1181">
        <f t="shared" si="892"/>
        <v>2.5134493808019794E-8</v>
      </c>
      <c r="O1181" s="8">
        <f t="shared" si="867"/>
        <v>7.7938125135532444E-6</v>
      </c>
      <c r="P1181">
        <f t="shared" si="868"/>
        <v>1.8765472817667035E-4</v>
      </c>
      <c r="Q1181">
        <f t="shared" si="884"/>
        <v>0</v>
      </c>
      <c r="R1181" s="89">
        <f t="shared" si="856"/>
        <v>5000</v>
      </c>
      <c r="S1181">
        <f t="shared" si="857"/>
        <v>0.5</v>
      </c>
      <c r="U1181">
        <f>O1180*AV1180*'Real assumptions'!$B$33/12+AX1181*'Real assumptions'!$B$34</f>
        <v>2.7251180884080485E-4</v>
      </c>
      <c r="V1181">
        <f>IF(P1181=0,0,IF(E1181&lt;=$C$7,$AN$5*O1180,0))*'Real assumptions'!$D$28</f>
        <v>0</v>
      </c>
      <c r="X1181" s="94">
        <f t="shared" si="869"/>
        <v>0</v>
      </c>
      <c r="Y1181">
        <f t="shared" si="858"/>
        <v>24</v>
      </c>
      <c r="Z1181">
        <f t="shared" si="885"/>
        <v>1</v>
      </c>
      <c r="AA1181">
        <f t="shared" si="859"/>
        <v>1.5</v>
      </c>
      <c r="AB1181">
        <f t="shared" si="870"/>
        <v>50.505050505050505</v>
      </c>
      <c r="AC1181">
        <f t="shared" si="852"/>
        <v>75.757575757575751</v>
      </c>
      <c r="AD1181">
        <f t="shared" si="871"/>
        <v>80.505050505050505</v>
      </c>
      <c r="AE1181">
        <f t="shared" si="872"/>
        <v>6.0378787878787872</v>
      </c>
      <c r="AF1181" s="94">
        <f t="shared" si="873"/>
        <v>4918.204545454545</v>
      </c>
      <c r="AG1181">
        <f t="shared" si="886"/>
        <v>1.2361658169430208E-4</v>
      </c>
      <c r="AH1181">
        <f t="shared" si="874"/>
        <v>3.8331564130578082E-2</v>
      </c>
      <c r="AI1181">
        <f>HLOOKUP(AW1181,'Real assumptions'!$A$21:$AK$24,2,TRUE)</f>
        <v>0</v>
      </c>
      <c r="AJ1181" s="123">
        <f t="shared" si="853"/>
        <v>0</v>
      </c>
      <c r="AK1181" s="122">
        <f>(1+HLOOKUP(YEAR(A1181),'Real assumptions'!$A$21:$AK$24,2,TRUE)/100)^(1/12)-1</f>
        <v>0</v>
      </c>
      <c r="AL1181">
        <f t="shared" si="887"/>
        <v>2.7251180884080485E-4</v>
      </c>
      <c r="AM1181">
        <f>('Real assumptions'!$B$33/12)*O1180*AV1180</f>
        <v>2.6197793025733936E-4</v>
      </c>
      <c r="AN1181">
        <f t="shared" si="875"/>
        <v>3.833479283580081E-2</v>
      </c>
      <c r="AO1181">
        <f t="shared" si="854"/>
        <v>0</v>
      </c>
      <c r="AP1181" s="121">
        <f t="shared" si="876"/>
        <v>0</v>
      </c>
      <c r="AQ1181">
        <f t="shared" si="877"/>
        <v>0</v>
      </c>
      <c r="AR1181">
        <v>0</v>
      </c>
      <c r="AS1181">
        <f t="shared" si="860"/>
        <v>0</v>
      </c>
      <c r="AT1181">
        <f t="shared" si="878"/>
        <v>0</v>
      </c>
      <c r="AU1181">
        <f>IFERROR(HLOOKUP(B1181,'Real assumptions'!$B$43:$AL$44,2,TRUE)*($W$3/$U$2),0)</f>
        <v>0</v>
      </c>
      <c r="AV1181">
        <f>AV1180*(1+'Real assumptions'!$B$35)^(1/12)</f>
        <v>3.354022896019679</v>
      </c>
      <c r="AW1181">
        <f t="shared" si="861"/>
        <v>2116</v>
      </c>
      <c r="AX1181">
        <f t="shared" si="888"/>
        <v>3.8452557942590206E-2</v>
      </c>
      <c r="AY1181">
        <f t="shared" si="889"/>
        <v>3.2908026125257845E-5</v>
      </c>
      <c r="AZ1181">
        <f t="shared" si="862"/>
        <v>3.9666230954414437E-3</v>
      </c>
      <c r="BA1181">
        <f t="shared" si="879"/>
        <v>1.2361658169430208E-4</v>
      </c>
      <c r="BB1181">
        <f t="shared" si="880"/>
        <v>1.5</v>
      </c>
      <c r="BC1181">
        <f t="shared" si="863"/>
        <v>0.89999999999999991</v>
      </c>
      <c r="BD1181">
        <f t="shared" si="881"/>
        <v>0</v>
      </c>
      <c r="BE1181">
        <f t="shared" si="864"/>
        <v>24</v>
      </c>
      <c r="BF1181">
        <f t="shared" si="890"/>
        <v>5000</v>
      </c>
      <c r="BU1181"/>
      <c r="DW1181" s="89"/>
      <c r="DX1181" s="89"/>
      <c r="FD1181"/>
      <c r="FE1181"/>
    </row>
    <row r="1182" spans="1:161" x14ac:dyDescent="0.25">
      <c r="A1182" s="7">
        <f t="shared" si="882"/>
        <v>79075</v>
      </c>
      <c r="B1182">
        <f t="shared" si="865"/>
        <v>1171</v>
      </c>
      <c r="C1182">
        <f t="shared" si="846"/>
        <v>97.5</v>
      </c>
      <c r="D1182">
        <f t="shared" si="847"/>
        <v>0</v>
      </c>
      <c r="E1182">
        <f t="shared" si="866"/>
        <v>149</v>
      </c>
      <c r="F1182">
        <f>IF(C1182&gt;=$T$2,0,VLOOKUP($E1182,EKM_F05!$A$3:$C$128,2,TRUE))</f>
        <v>0</v>
      </c>
      <c r="G1182">
        <f>F1182*'Real assumptions'!$B$3</f>
        <v>0</v>
      </c>
      <c r="H1182">
        <f t="shared" si="891"/>
        <v>0</v>
      </c>
      <c r="I1182">
        <f t="shared" si="849"/>
        <v>0</v>
      </c>
      <c r="J1182">
        <f>IF(B1182&gt;$AJ$2,0,HLOOKUP(C1182,'Real assumptions'!$B$5:$L$8,4,TRUE))</f>
        <v>3.7900000000000003E-2</v>
      </c>
      <c r="K1182">
        <f t="shared" si="855"/>
        <v>1</v>
      </c>
      <c r="L1182">
        <f t="shared" si="883"/>
        <v>8.3333333333333329E-2</v>
      </c>
      <c r="M1182">
        <f t="shared" si="850"/>
        <v>3.2145624959929453E-3</v>
      </c>
      <c r="N1182">
        <f t="shared" si="892"/>
        <v>2.5053697406868769E-8</v>
      </c>
      <c r="O1182" s="8">
        <f t="shared" si="867"/>
        <v>7.7687588161463763E-6</v>
      </c>
      <c r="P1182">
        <f t="shared" si="868"/>
        <v>1.8705150032527788E-4</v>
      </c>
      <c r="Q1182">
        <f t="shared" si="884"/>
        <v>0</v>
      </c>
      <c r="R1182" s="89">
        <f t="shared" si="856"/>
        <v>5000</v>
      </c>
      <c r="S1182">
        <f t="shared" si="857"/>
        <v>0.4166666666666714</v>
      </c>
      <c r="U1182">
        <f>O1181*AV1181*'Real assumptions'!$B$33/12+AX1182*'Real assumptions'!$B$34</f>
        <v>2.7191597513800405E-4</v>
      </c>
      <c r="V1182">
        <f>IF(P1182=0,0,IF(E1182&lt;=$C$7,$AN$5*O1181,0))*'Real assumptions'!$D$28</f>
        <v>0</v>
      </c>
      <c r="X1182" s="94">
        <f t="shared" si="869"/>
        <v>0</v>
      </c>
      <c r="Y1182">
        <f t="shared" si="858"/>
        <v>24</v>
      </c>
      <c r="Z1182">
        <f t="shared" si="885"/>
        <v>1</v>
      </c>
      <c r="AA1182">
        <f t="shared" si="859"/>
        <v>1.4166666666666714</v>
      </c>
      <c r="AB1182">
        <f t="shared" si="870"/>
        <v>50.505050505050505</v>
      </c>
      <c r="AC1182">
        <f t="shared" si="852"/>
        <v>71.548821548821792</v>
      </c>
      <c r="AD1182">
        <f t="shared" si="871"/>
        <v>80.505050505050505</v>
      </c>
      <c r="AE1182">
        <f t="shared" si="872"/>
        <v>5.7024410774410965</v>
      </c>
      <c r="AF1182" s="94">
        <f t="shared" si="873"/>
        <v>4922.7487373737367</v>
      </c>
      <c r="AG1182">
        <f t="shared" si="886"/>
        <v>1.2333305727620688E-4</v>
      </c>
      <c r="AH1182">
        <f t="shared" si="874"/>
        <v>3.8243647653145661E-2</v>
      </c>
      <c r="AI1182">
        <f>HLOOKUP(AW1182,'Real assumptions'!$A$21:$AK$24,2,TRUE)</f>
        <v>0</v>
      </c>
      <c r="AJ1182" s="123">
        <f t="shared" si="853"/>
        <v>0</v>
      </c>
      <c r="AK1182" s="122">
        <f>(1+HLOOKUP(YEAR(A1182),'Real assumptions'!$A$21:$AK$24,2,TRUE)/100)^(1/12)-1</f>
        <v>0</v>
      </c>
      <c r="AL1182">
        <f t="shared" si="887"/>
        <v>2.7191597513800405E-4</v>
      </c>
      <c r="AM1182">
        <f>('Real assumptions'!$B$33/12)*O1181*AV1181</f>
        <v>2.6140625617742264E-4</v>
      </c>
      <c r="AN1182">
        <f t="shared" si="875"/>
        <v>3.8246699655765354E-2</v>
      </c>
      <c r="AO1182">
        <f t="shared" si="854"/>
        <v>0</v>
      </c>
      <c r="AP1182" s="121">
        <f t="shared" si="876"/>
        <v>0</v>
      </c>
      <c r="AQ1182">
        <f t="shared" si="877"/>
        <v>0</v>
      </c>
      <c r="AR1182">
        <v>0</v>
      </c>
      <c r="AS1182">
        <f t="shared" si="860"/>
        <v>0</v>
      </c>
      <c r="AT1182">
        <f t="shared" si="878"/>
        <v>0</v>
      </c>
      <c r="AU1182">
        <f>IFERROR(HLOOKUP(B1182,'Real assumptions'!$B$43:$AL$44,2,TRUE)*($W$3/$U$2),0)</f>
        <v>0</v>
      </c>
      <c r="AV1182">
        <f>AV1181*(1+'Real assumptions'!$B$35)^(1/12)</f>
        <v>3.3574968118674384</v>
      </c>
      <c r="AW1182">
        <f t="shared" si="861"/>
        <v>2116</v>
      </c>
      <c r="AX1182">
        <f t="shared" si="888"/>
        <v>3.8364366371796743E-2</v>
      </c>
      <c r="AY1182">
        <f t="shared" si="889"/>
        <v>3.2802241218658433E-5</v>
      </c>
      <c r="AZ1182">
        <f t="shared" si="862"/>
        <v>3.7584255633525106E-3</v>
      </c>
      <c r="BA1182">
        <f t="shared" si="879"/>
        <v>1.2333305727620688E-4</v>
      </c>
      <c r="BB1182">
        <f t="shared" si="880"/>
        <v>1.4166666666666714</v>
      </c>
      <c r="BC1182">
        <f t="shared" si="863"/>
        <v>0.85000000000000275</v>
      </c>
      <c r="BD1182">
        <f t="shared" si="881"/>
        <v>0</v>
      </c>
      <c r="BE1182">
        <f t="shared" si="864"/>
        <v>24</v>
      </c>
      <c r="BF1182">
        <f t="shared" si="890"/>
        <v>5000</v>
      </c>
      <c r="BU1182"/>
      <c r="DW1182" s="89"/>
      <c r="DX1182" s="89"/>
      <c r="FD1182"/>
      <c r="FE1182"/>
    </row>
    <row r="1183" spans="1:161" x14ac:dyDescent="0.25">
      <c r="A1183" s="7">
        <f t="shared" si="882"/>
        <v>79106</v>
      </c>
      <c r="B1183">
        <f t="shared" si="865"/>
        <v>1172</v>
      </c>
      <c r="C1183">
        <f t="shared" si="846"/>
        <v>97.583333333333329</v>
      </c>
      <c r="D1183">
        <f t="shared" si="847"/>
        <v>0</v>
      </c>
      <c r="E1183">
        <f t="shared" si="866"/>
        <v>149</v>
      </c>
      <c r="F1183">
        <f>IF(C1183&gt;=$T$2,0,VLOOKUP($E1183,EKM_F05!$A$3:$C$128,2,TRUE))</f>
        <v>0</v>
      </c>
      <c r="G1183">
        <f>F1183*'Real assumptions'!$B$3</f>
        <v>0</v>
      </c>
      <c r="H1183">
        <f t="shared" si="891"/>
        <v>0</v>
      </c>
      <c r="I1183">
        <f t="shared" si="849"/>
        <v>0</v>
      </c>
      <c r="J1183">
        <f>IF(B1183&gt;$AJ$2,0,HLOOKUP(C1183,'Real assumptions'!$B$5:$L$8,4,TRUE))</f>
        <v>3.7900000000000003E-2</v>
      </c>
      <c r="K1183">
        <f t="shared" si="855"/>
        <v>1</v>
      </c>
      <c r="L1183">
        <f t="shared" si="883"/>
        <v>8.3333333333333329E-2</v>
      </c>
      <c r="M1183">
        <f t="shared" si="850"/>
        <v>3.2145624959929453E-3</v>
      </c>
      <c r="N1183">
        <f t="shared" si="892"/>
        <v>2.4973160730798695E-8</v>
      </c>
      <c r="O1183" s="8">
        <f t="shared" si="867"/>
        <v>7.7437856554155777E-6</v>
      </c>
      <c r="P1183">
        <f t="shared" si="868"/>
        <v>1.8645021158751303E-4</v>
      </c>
      <c r="Q1183">
        <f t="shared" si="884"/>
        <v>0</v>
      </c>
      <c r="R1183" s="89">
        <f t="shared" si="856"/>
        <v>5000</v>
      </c>
      <c r="S1183">
        <f t="shared" si="857"/>
        <v>0.3333333333333286</v>
      </c>
      <c r="U1183">
        <f>O1182*AV1182*'Real assumptions'!$B$33/12+AX1183*'Real assumptions'!$B$34</f>
        <v>2.713214353858098E-4</v>
      </c>
      <c r="V1183">
        <f>IF(P1183=0,0,IF(E1183&lt;=$C$7,$AN$5*O1182,0))*'Real assumptions'!$D$28</f>
        <v>0</v>
      </c>
      <c r="X1183" s="94">
        <f t="shared" si="869"/>
        <v>0</v>
      </c>
      <c r="Y1183">
        <f t="shared" si="858"/>
        <v>24</v>
      </c>
      <c r="Z1183">
        <f t="shared" si="885"/>
        <v>1</v>
      </c>
      <c r="AA1183">
        <f t="shared" si="859"/>
        <v>1.3333333333333286</v>
      </c>
      <c r="AB1183">
        <f t="shared" si="870"/>
        <v>50.505050505050505</v>
      </c>
      <c r="AC1183">
        <f t="shared" si="852"/>
        <v>67.340067340067094</v>
      </c>
      <c r="AD1183">
        <f t="shared" si="871"/>
        <v>80.505050505050505</v>
      </c>
      <c r="AE1183">
        <f t="shared" si="872"/>
        <v>5.3670033670033481</v>
      </c>
      <c r="AF1183" s="94">
        <f t="shared" si="873"/>
        <v>4927.2929292929293</v>
      </c>
      <c r="AG1183">
        <f t="shared" si="886"/>
        <v>1.2305007829096026E-4</v>
      </c>
      <c r="AH1183">
        <f t="shared" si="874"/>
        <v>3.8155900305889189E-2</v>
      </c>
      <c r="AI1183">
        <f>HLOOKUP(AW1183,'Real assumptions'!$A$21:$AK$24,2,TRUE)</f>
        <v>0</v>
      </c>
      <c r="AJ1183" s="123">
        <f t="shared" si="853"/>
        <v>0</v>
      </c>
      <c r="AK1183" s="122">
        <f>(1+HLOOKUP(YEAR(A1183),'Real assumptions'!$A$21:$AK$24,2,TRUE)/100)^(1/12)-1</f>
        <v>0</v>
      </c>
      <c r="AL1183">
        <f t="shared" si="887"/>
        <v>2.713214353858098E-4</v>
      </c>
      <c r="AM1183">
        <f>('Real assumptions'!$B$33/12)*O1182*AV1182</f>
        <v>2.6083582957378516E-4</v>
      </c>
      <c r="AN1183">
        <f t="shared" si="875"/>
        <v>3.8158776429347369E-2</v>
      </c>
      <c r="AO1183">
        <f t="shared" si="854"/>
        <v>0</v>
      </c>
      <c r="AP1183" s="121">
        <f t="shared" si="876"/>
        <v>0</v>
      </c>
      <c r="AQ1183">
        <f t="shared" si="877"/>
        <v>0</v>
      </c>
      <c r="AR1183">
        <v>0</v>
      </c>
      <c r="AS1183">
        <f t="shared" si="860"/>
        <v>0</v>
      </c>
      <c r="AT1183">
        <f t="shared" si="878"/>
        <v>0</v>
      </c>
      <c r="AU1183">
        <f>IFERROR(HLOOKUP(B1183,'Real assumptions'!$B$43:$AL$44,2,TRUE)*($W$3/$U$2),0)</f>
        <v>0</v>
      </c>
      <c r="AV1183">
        <f>AV1182*(1+'Real assumptions'!$B$35)^(1/12)</f>
        <v>3.3609743258096927</v>
      </c>
      <c r="AW1183">
        <f t="shared" si="861"/>
        <v>2116</v>
      </c>
      <c r="AX1183">
        <f t="shared" si="888"/>
        <v>3.8276344449509912E-2</v>
      </c>
      <c r="AY1183">
        <f t="shared" si="889"/>
        <v>3.2696796364252422E-5</v>
      </c>
      <c r="AZ1183">
        <f t="shared" si="862"/>
        <v>3.5505042612632536E-3</v>
      </c>
      <c r="BA1183">
        <f t="shared" si="879"/>
        <v>1.2305007829096026E-4</v>
      </c>
      <c r="BB1183">
        <f t="shared" si="880"/>
        <v>1.3333333333333286</v>
      </c>
      <c r="BC1183">
        <f t="shared" si="863"/>
        <v>0.79999999999999716</v>
      </c>
      <c r="BD1183">
        <f t="shared" si="881"/>
        <v>0</v>
      </c>
      <c r="BE1183">
        <f t="shared" si="864"/>
        <v>24</v>
      </c>
      <c r="BF1183">
        <f t="shared" si="890"/>
        <v>5000</v>
      </c>
      <c r="BU1183"/>
      <c r="DW1183" s="89"/>
      <c r="DX1183" s="89"/>
      <c r="FD1183"/>
      <c r="FE1183"/>
    </row>
    <row r="1184" spans="1:161" x14ac:dyDescent="0.25">
      <c r="A1184" s="7">
        <f t="shared" si="882"/>
        <v>79137</v>
      </c>
      <c r="B1184">
        <f t="shared" si="865"/>
        <v>1173</v>
      </c>
      <c r="C1184">
        <f t="shared" si="846"/>
        <v>97.666666666666671</v>
      </c>
      <c r="D1184">
        <f t="shared" si="847"/>
        <v>0</v>
      </c>
      <c r="E1184">
        <f t="shared" si="866"/>
        <v>149</v>
      </c>
      <c r="F1184">
        <f>IF(C1184&gt;=$T$2,0,VLOOKUP($E1184,EKM_F05!$A$3:$C$128,2,TRUE))</f>
        <v>0</v>
      </c>
      <c r="G1184">
        <f>F1184*'Real assumptions'!$B$3</f>
        <v>0</v>
      </c>
      <c r="H1184">
        <f t="shared" si="891"/>
        <v>0</v>
      </c>
      <c r="I1184">
        <f t="shared" si="849"/>
        <v>0</v>
      </c>
      <c r="J1184">
        <f>IF(B1184&gt;$AJ$2,0,HLOOKUP(C1184,'Real assumptions'!$B$5:$L$8,4,TRUE))</f>
        <v>3.7900000000000003E-2</v>
      </c>
      <c r="K1184">
        <f t="shared" si="855"/>
        <v>1</v>
      </c>
      <c r="L1184">
        <f t="shared" si="883"/>
        <v>8.3333333333333329E-2</v>
      </c>
      <c r="M1184">
        <f t="shared" si="850"/>
        <v>3.2145624959929453E-3</v>
      </c>
      <c r="N1184">
        <f t="shared" si="892"/>
        <v>2.4892882944907064E-8</v>
      </c>
      <c r="O1184" s="8">
        <f t="shared" si="867"/>
        <v>7.7188927724706712E-6</v>
      </c>
      <c r="P1184">
        <f t="shared" si="868"/>
        <v>1.8585085572997385E-4</v>
      </c>
      <c r="Q1184">
        <f t="shared" si="884"/>
        <v>0</v>
      </c>
      <c r="R1184" s="89">
        <f t="shared" si="856"/>
        <v>5000</v>
      </c>
      <c r="S1184">
        <f t="shared" si="857"/>
        <v>0.25</v>
      </c>
      <c r="U1184">
        <f>O1183*AV1183*'Real assumptions'!$B$33/12+AX1184*'Real assumptions'!$B$34</f>
        <v>2.7072818681290903E-4</v>
      </c>
      <c r="V1184">
        <f>IF(P1184=0,0,IF(E1184&lt;=$C$7,$AN$5*O1183,0))*'Real assumptions'!$D$28</f>
        <v>0</v>
      </c>
      <c r="X1184" s="94">
        <f t="shared" si="869"/>
        <v>0</v>
      </c>
      <c r="Y1184">
        <f t="shared" si="858"/>
        <v>24</v>
      </c>
      <c r="Z1184">
        <f t="shared" si="885"/>
        <v>1</v>
      </c>
      <c r="AA1184">
        <f t="shared" si="859"/>
        <v>1.25</v>
      </c>
      <c r="AB1184">
        <f t="shared" si="870"/>
        <v>50.505050505050505</v>
      </c>
      <c r="AC1184">
        <f t="shared" si="852"/>
        <v>63.131313131313135</v>
      </c>
      <c r="AD1184">
        <f t="shared" si="871"/>
        <v>80.505050505050505</v>
      </c>
      <c r="AE1184">
        <f t="shared" si="872"/>
        <v>5.0315656565656566</v>
      </c>
      <c r="AF1184" s="94">
        <f t="shared" si="873"/>
        <v>4931.8371212121219</v>
      </c>
      <c r="AG1184">
        <f t="shared" si="886"/>
        <v>1.2276764416168078E-4</v>
      </c>
      <c r="AH1184">
        <f t="shared" si="874"/>
        <v>3.806832190992681E-2</v>
      </c>
      <c r="AI1184">
        <f>HLOOKUP(AW1184,'Real assumptions'!$A$21:$AK$24,2,TRUE)</f>
        <v>0</v>
      </c>
      <c r="AJ1184" s="123">
        <f t="shared" si="853"/>
        <v>0</v>
      </c>
      <c r="AK1184" s="122">
        <f>(1+HLOOKUP(YEAR(A1184),'Real assumptions'!$A$21:$AK$24,2,TRUE)/100)^(1/12)-1</f>
        <v>0</v>
      </c>
      <c r="AL1184">
        <f t="shared" si="887"/>
        <v>2.7072818681290903E-4</v>
      </c>
      <c r="AM1184">
        <f>('Real assumptions'!$B$33/12)*O1183*AV1183</f>
        <v>2.602666477242514E-4</v>
      </c>
      <c r="AN1184">
        <f t="shared" si="875"/>
        <v>3.8071022974806253E-2</v>
      </c>
      <c r="AO1184">
        <f t="shared" si="854"/>
        <v>0</v>
      </c>
      <c r="AP1184" s="121">
        <f t="shared" si="876"/>
        <v>0</v>
      </c>
      <c r="AQ1184">
        <f t="shared" si="877"/>
        <v>0</v>
      </c>
      <c r="AR1184">
        <v>0</v>
      </c>
      <c r="AS1184">
        <f t="shared" si="860"/>
        <v>0</v>
      </c>
      <c r="AT1184">
        <f t="shared" si="878"/>
        <v>0</v>
      </c>
      <c r="AU1184">
        <f>IFERROR(HLOOKUP(B1184,'Real assumptions'!$B$43:$AL$44,2,TRUE)*($W$3/$U$2),0)</f>
        <v>0</v>
      </c>
      <c r="AV1184">
        <f>AV1183*(1+'Real assumptions'!$B$35)^(1/12)</f>
        <v>3.3644554415731536</v>
      </c>
      <c r="AW1184">
        <f t="shared" si="861"/>
        <v>2116</v>
      </c>
      <c r="AX1184">
        <f t="shared" si="888"/>
        <v>3.8188491996358112E-2</v>
      </c>
      <c r="AY1184">
        <f t="shared" si="889"/>
        <v>3.2591690468920781E-5</v>
      </c>
      <c r="AZ1184">
        <f t="shared" si="862"/>
        <v>3.3428592860186377E-3</v>
      </c>
      <c r="BA1184">
        <f t="shared" si="879"/>
        <v>1.2276764416168078E-4</v>
      </c>
      <c r="BB1184">
        <f t="shared" si="880"/>
        <v>1.25</v>
      </c>
      <c r="BC1184">
        <f t="shared" si="863"/>
        <v>0.75</v>
      </c>
      <c r="BD1184">
        <f t="shared" si="881"/>
        <v>0</v>
      </c>
      <c r="BE1184">
        <f t="shared" si="864"/>
        <v>24</v>
      </c>
      <c r="BF1184">
        <f t="shared" si="890"/>
        <v>5000</v>
      </c>
      <c r="BU1184"/>
      <c r="DW1184" s="89"/>
      <c r="DX1184" s="89"/>
      <c r="FD1184"/>
      <c r="FE1184"/>
    </row>
    <row r="1185" spans="1:161" x14ac:dyDescent="0.25">
      <c r="A1185" s="7">
        <f t="shared" si="882"/>
        <v>79167</v>
      </c>
      <c r="B1185">
        <f t="shared" si="865"/>
        <v>1174</v>
      </c>
      <c r="C1185">
        <f t="shared" si="846"/>
        <v>97.75</v>
      </c>
      <c r="D1185">
        <f t="shared" si="847"/>
        <v>0</v>
      </c>
      <c r="E1185">
        <f t="shared" si="866"/>
        <v>149</v>
      </c>
      <c r="F1185">
        <f>IF(C1185&gt;=$T$2,0,VLOOKUP($E1185,EKM_F05!$A$3:$C$128,2,TRUE))</f>
        <v>0</v>
      </c>
      <c r="G1185">
        <f>F1185*'Real assumptions'!$B$3</f>
        <v>0</v>
      </c>
      <c r="H1185">
        <f t="shared" si="891"/>
        <v>0</v>
      </c>
      <c r="I1185">
        <f t="shared" si="849"/>
        <v>0</v>
      </c>
      <c r="J1185">
        <f>IF(B1185&gt;$AJ$2,0,HLOOKUP(C1185,'Real assumptions'!$B$5:$L$8,4,TRUE))</f>
        <v>3.7900000000000003E-2</v>
      </c>
      <c r="K1185">
        <f t="shared" si="855"/>
        <v>1</v>
      </c>
      <c r="L1185">
        <f t="shared" si="883"/>
        <v>8.3333333333333329E-2</v>
      </c>
      <c r="M1185">
        <f t="shared" si="850"/>
        <v>3.2145624959929453E-3</v>
      </c>
      <c r="N1185">
        <f t="shared" si="892"/>
        <v>2.4812863216975226E-8</v>
      </c>
      <c r="O1185" s="8">
        <f t="shared" si="867"/>
        <v>7.6940799092536961E-6</v>
      </c>
      <c r="P1185">
        <f t="shared" si="868"/>
        <v>1.8525342653929609E-4</v>
      </c>
      <c r="Q1185">
        <f t="shared" si="884"/>
        <v>0</v>
      </c>
      <c r="R1185" s="89">
        <f t="shared" si="856"/>
        <v>5000</v>
      </c>
      <c r="S1185">
        <f t="shared" si="857"/>
        <v>0.1666666666666714</v>
      </c>
      <c r="U1185">
        <f>O1184*AV1184*'Real assumptions'!$B$33/12+AX1185*'Real assumptions'!$B$34</f>
        <v>2.701362266537642E-4</v>
      </c>
      <c r="V1185">
        <f>IF(P1185=0,0,IF(E1185&lt;=$C$7,$AN$5*O1184,0))*'Real assumptions'!$D$28</f>
        <v>0</v>
      </c>
      <c r="X1185" s="94">
        <f t="shared" si="869"/>
        <v>0</v>
      </c>
      <c r="Y1185">
        <f t="shared" si="858"/>
        <v>24</v>
      </c>
      <c r="Z1185">
        <f t="shared" si="885"/>
        <v>1</v>
      </c>
      <c r="AA1185">
        <f t="shared" si="859"/>
        <v>1.1666666666666714</v>
      </c>
      <c r="AB1185">
        <f t="shared" si="870"/>
        <v>50.505050505050505</v>
      </c>
      <c r="AC1185">
        <f t="shared" si="852"/>
        <v>58.922558922559162</v>
      </c>
      <c r="AD1185">
        <f t="shared" si="871"/>
        <v>80.505050505050505</v>
      </c>
      <c r="AE1185">
        <f t="shared" si="872"/>
        <v>4.696127946127965</v>
      </c>
      <c r="AF1185" s="94">
        <f t="shared" si="873"/>
        <v>4936.3813131313127</v>
      </c>
      <c r="AG1185">
        <f t="shared" si="886"/>
        <v>1.224857543095598E-4</v>
      </c>
      <c r="AH1185">
        <f t="shared" si="874"/>
        <v>3.798091228577901E-2</v>
      </c>
      <c r="AI1185">
        <f>HLOOKUP(AW1185,'Real assumptions'!$A$21:$AK$24,2,TRUE)</f>
        <v>0</v>
      </c>
      <c r="AJ1185" s="123">
        <f t="shared" si="853"/>
        <v>0</v>
      </c>
      <c r="AK1185" s="122">
        <f>(1+HLOOKUP(YEAR(A1185),'Real assumptions'!$A$21:$AK$24,2,TRUE)/100)^(1/12)-1</f>
        <v>0</v>
      </c>
      <c r="AL1185">
        <f t="shared" si="887"/>
        <v>2.701362266537642E-4</v>
      </c>
      <c r="AM1185">
        <f>('Real assumptions'!$B$33/12)*O1184*AV1184</f>
        <v>2.5969870791258635E-4</v>
      </c>
      <c r="AN1185">
        <f t="shared" si="875"/>
        <v>3.7983439109812341E-2</v>
      </c>
      <c r="AO1185">
        <f t="shared" si="854"/>
        <v>0</v>
      </c>
      <c r="AP1185" s="121">
        <f t="shared" si="876"/>
        <v>0</v>
      </c>
      <c r="AQ1185">
        <f t="shared" si="877"/>
        <v>0</v>
      </c>
      <c r="AR1185">
        <v>0</v>
      </c>
      <c r="AS1185">
        <f t="shared" si="860"/>
        <v>0</v>
      </c>
      <c r="AT1185">
        <f t="shared" si="878"/>
        <v>0</v>
      </c>
      <c r="AU1185">
        <f>IFERROR(HLOOKUP(B1185,'Real assumptions'!$B$43:$AL$44,2,TRUE)*($W$3/$U$2),0)</f>
        <v>0</v>
      </c>
      <c r="AV1185">
        <f>AV1184*(1+'Real assumptions'!$B$35)^(1/12)</f>
        <v>3.3679401628883934</v>
      </c>
      <c r="AW1185">
        <f t="shared" si="861"/>
        <v>2116</v>
      </c>
      <c r="AX1185">
        <f t="shared" si="888"/>
        <v>3.8100808832369867E-2</v>
      </c>
      <c r="AY1185">
        <f t="shared" si="889"/>
        <v>3.248692244305838E-5</v>
      </c>
      <c r="AZ1185">
        <f t="shared" si="862"/>
        <v>3.1354907315946099E-3</v>
      </c>
      <c r="BA1185">
        <f t="shared" si="879"/>
        <v>1.224857543095598E-4</v>
      </c>
      <c r="BB1185">
        <f t="shared" si="880"/>
        <v>1.1666666666666714</v>
      </c>
      <c r="BC1185">
        <f t="shared" si="863"/>
        <v>0.70000000000000284</v>
      </c>
      <c r="BD1185">
        <f t="shared" si="881"/>
        <v>0</v>
      </c>
      <c r="BE1185">
        <f t="shared" si="864"/>
        <v>24</v>
      </c>
      <c r="BF1185">
        <f t="shared" si="890"/>
        <v>5000</v>
      </c>
      <c r="BU1185"/>
      <c r="DW1185" s="89"/>
      <c r="DX1185" s="89"/>
      <c r="FD1185"/>
      <c r="FE1185"/>
    </row>
    <row r="1186" spans="1:161" x14ac:dyDescent="0.25">
      <c r="A1186" s="7">
        <f t="shared" si="882"/>
        <v>79198</v>
      </c>
      <c r="B1186">
        <f t="shared" si="865"/>
        <v>1175</v>
      </c>
      <c r="C1186">
        <f t="shared" si="846"/>
        <v>97.833333333333329</v>
      </c>
      <c r="D1186">
        <f t="shared" si="847"/>
        <v>0</v>
      </c>
      <c r="E1186">
        <f t="shared" si="866"/>
        <v>149</v>
      </c>
      <c r="F1186">
        <f>IF(C1186&gt;=$T$2,0,VLOOKUP($E1186,EKM_F05!$A$3:$C$128,2,TRUE))</f>
        <v>0</v>
      </c>
      <c r="G1186">
        <f>F1186*'Real assumptions'!$B$3</f>
        <v>0</v>
      </c>
      <c r="H1186">
        <f t="shared" si="891"/>
        <v>0</v>
      </c>
      <c r="I1186">
        <f t="shared" si="849"/>
        <v>0</v>
      </c>
      <c r="J1186">
        <f>IF(B1186&gt;$AJ$2,0,HLOOKUP(C1186,'Real assumptions'!$B$5:$L$8,4,TRUE))</f>
        <v>3.7900000000000003E-2</v>
      </c>
      <c r="K1186">
        <f t="shared" si="855"/>
        <v>1</v>
      </c>
      <c r="L1186">
        <f t="shared" si="883"/>
        <v>8.3333333333333329E-2</v>
      </c>
      <c r="M1186">
        <f t="shared" si="850"/>
        <v>3.2145624959929453E-3</v>
      </c>
      <c r="N1186">
        <f t="shared" si="892"/>
        <v>2.4733100717459736E-8</v>
      </c>
      <c r="O1186" s="8">
        <f t="shared" si="867"/>
        <v>7.669346808536237E-6</v>
      </c>
      <c r="P1186">
        <f t="shared" si="868"/>
        <v>1.8465791782208869E-4</v>
      </c>
      <c r="Q1186">
        <f t="shared" si="884"/>
        <v>0</v>
      </c>
      <c r="R1186" s="89">
        <f t="shared" si="856"/>
        <v>5000</v>
      </c>
      <c r="S1186">
        <f t="shared" si="857"/>
        <v>8.3333333333328596E-2</v>
      </c>
      <c r="U1186">
        <f>O1185*AV1185*'Real assumptions'!$B$33/12+AX1186*'Real assumptions'!$B$34</f>
        <v>2.695455521486025E-4</v>
      </c>
      <c r="V1186">
        <f>IF(P1186=0,0,IF(E1186&lt;=$C$7,$AN$5*O1185,0))*'Real assumptions'!$D$28</f>
        <v>0</v>
      </c>
      <c r="X1186" s="94">
        <f t="shared" si="869"/>
        <v>0</v>
      </c>
      <c r="Y1186">
        <f t="shared" si="858"/>
        <v>24</v>
      </c>
      <c r="Z1186">
        <f t="shared" si="885"/>
        <v>1</v>
      </c>
      <c r="AA1186">
        <f t="shared" si="859"/>
        <v>1.0833333333333286</v>
      </c>
      <c r="AB1186">
        <f t="shared" si="870"/>
        <v>50.505050505050505</v>
      </c>
      <c r="AC1186">
        <f t="shared" si="852"/>
        <v>54.713804713804471</v>
      </c>
      <c r="AD1186">
        <f t="shared" si="871"/>
        <v>80.505050505050505</v>
      </c>
      <c r="AE1186">
        <f t="shared" si="872"/>
        <v>4.3606902356902166</v>
      </c>
      <c r="AF1186" s="94">
        <f t="shared" si="873"/>
        <v>4940.9255050505053</v>
      </c>
      <c r="AG1186">
        <f t="shared" si="886"/>
        <v>1.2220440815387975E-4</v>
      </c>
      <c r="AH1186">
        <f t="shared" si="874"/>
        <v>3.7893671253374388E-2</v>
      </c>
      <c r="AI1186">
        <f>HLOOKUP(AW1186,'Real assumptions'!$A$21:$AK$24,2,TRUE)</f>
        <v>0</v>
      </c>
      <c r="AJ1186" s="123">
        <f t="shared" si="853"/>
        <v>0</v>
      </c>
      <c r="AK1186" s="122">
        <f>(1+HLOOKUP(YEAR(A1186),'Real assumptions'!$A$21:$AK$24,2,TRUE)/100)^(1/12)-1</f>
        <v>0</v>
      </c>
      <c r="AL1186">
        <f t="shared" si="887"/>
        <v>2.695455521486025E-4</v>
      </c>
      <c r="AM1186">
        <f>('Real assumptions'!$B$33/12)*O1185*AV1185</f>
        <v>2.5913200742848212E-4</v>
      </c>
      <c r="AN1186">
        <f t="shared" si="875"/>
        <v>3.7896024651452496E-2</v>
      </c>
      <c r="AO1186">
        <f t="shared" si="854"/>
        <v>0</v>
      </c>
      <c r="AP1186" s="121">
        <f t="shared" si="876"/>
        <v>0</v>
      </c>
      <c r="AQ1186">
        <f t="shared" si="877"/>
        <v>0</v>
      </c>
      <c r="AR1186">
        <v>0</v>
      </c>
      <c r="AS1186">
        <f t="shared" si="860"/>
        <v>0</v>
      </c>
      <c r="AT1186">
        <f t="shared" si="878"/>
        <v>0</v>
      </c>
      <c r="AU1186">
        <f>IFERROR(HLOOKUP(B1186,'Real assumptions'!$B$43:$AL$44,2,TRUE)*($W$3/$U$2),0)</f>
        <v>0</v>
      </c>
      <c r="AV1186">
        <f>AV1185*(1+'Real assumptions'!$B$35)^(1/12)</f>
        <v>3.3714284934898475</v>
      </c>
      <c r="AW1186">
        <f t="shared" si="861"/>
        <v>2116</v>
      </c>
      <c r="AX1186">
        <f t="shared" si="888"/>
        <v>3.8013294776979574E-2</v>
      </c>
      <c r="AY1186">
        <f t="shared" si="889"/>
        <v>3.238249120056269E-5</v>
      </c>
      <c r="AZ1186">
        <f t="shared" si="862"/>
        <v>2.9283986891142162E-3</v>
      </c>
      <c r="BA1186">
        <f t="shared" si="879"/>
        <v>1.2220440815387975E-4</v>
      </c>
      <c r="BB1186">
        <f t="shared" si="880"/>
        <v>1.0833333333333286</v>
      </c>
      <c r="BC1186">
        <f t="shared" si="863"/>
        <v>0.64999999999999714</v>
      </c>
      <c r="BD1186">
        <f t="shared" si="881"/>
        <v>0</v>
      </c>
      <c r="BE1186">
        <f t="shared" si="864"/>
        <v>24</v>
      </c>
      <c r="BF1186">
        <f t="shared" si="890"/>
        <v>5000</v>
      </c>
      <c r="BU1186"/>
      <c r="DW1186" s="89"/>
      <c r="DX1186" s="89"/>
      <c r="FD1186"/>
      <c r="FE1186"/>
    </row>
    <row r="1187" spans="1:161" x14ac:dyDescent="0.25">
      <c r="A1187" s="7">
        <f t="shared" si="882"/>
        <v>79228</v>
      </c>
      <c r="B1187">
        <f t="shared" si="865"/>
        <v>1176</v>
      </c>
      <c r="C1187">
        <f t="shared" si="846"/>
        <v>97.916666666666671</v>
      </c>
      <c r="D1187">
        <f t="shared" si="847"/>
        <v>0</v>
      </c>
      <c r="E1187">
        <f t="shared" si="866"/>
        <v>149</v>
      </c>
      <c r="F1187">
        <f>IF(C1187&gt;=$T$2,0,VLOOKUP($E1187,EKM_F05!$A$3:$C$128,2,TRUE))</f>
        <v>0</v>
      </c>
      <c r="G1187">
        <f>F1187*'Real assumptions'!$B$3</f>
        <v>0</v>
      </c>
      <c r="H1187">
        <f t="shared" si="891"/>
        <v>0</v>
      </c>
      <c r="I1187">
        <f t="shared" si="849"/>
        <v>0</v>
      </c>
      <c r="J1187">
        <f>IF(B1187&gt;$AJ$2,0,HLOOKUP(C1187,'Real assumptions'!$B$5:$L$8,4,TRUE))</f>
        <v>3.7900000000000003E-2</v>
      </c>
      <c r="K1187">
        <f t="shared" si="855"/>
        <v>1</v>
      </c>
      <c r="L1187">
        <f t="shared" si="883"/>
        <v>8.3333333333333329E-2</v>
      </c>
      <c r="M1187">
        <f t="shared" si="850"/>
        <v>3.2145624959929453E-3</v>
      </c>
      <c r="N1187">
        <f t="shared" si="892"/>
        <v>2.4653594619483776E-8</v>
      </c>
      <c r="O1187" s="8">
        <f t="shared" si="867"/>
        <v>7.6446932139167536E-6</v>
      </c>
      <c r="P1187">
        <f t="shared" si="868"/>
        <v>1.8406432340486968E-4</v>
      </c>
      <c r="Q1187">
        <f t="shared" si="884"/>
        <v>0</v>
      </c>
      <c r="R1187" s="89">
        <f t="shared" si="856"/>
        <v>5000</v>
      </c>
      <c r="S1187">
        <f t="shared" si="857"/>
        <v>1</v>
      </c>
      <c r="U1187">
        <f>O1186*AV1186*'Real assumptions'!$B$33/12+AX1187*'Real assumptions'!$B$34</f>
        <v>2.6895616054340408E-4</v>
      </c>
      <c r="V1187">
        <f>IF(P1187=0,0,IF(E1187&lt;=$C$7,$AN$5*O1186,0))*'Real assumptions'!$D$28</f>
        <v>0</v>
      </c>
      <c r="X1187" s="94">
        <f t="shared" si="869"/>
        <v>0</v>
      </c>
      <c r="Y1187">
        <f t="shared" si="858"/>
        <v>24</v>
      </c>
      <c r="Z1187">
        <f t="shared" si="885"/>
        <v>1</v>
      </c>
      <c r="AA1187">
        <f t="shared" si="859"/>
        <v>1</v>
      </c>
      <c r="AB1187">
        <f t="shared" si="870"/>
        <v>50.505050505050505</v>
      </c>
      <c r="AC1187">
        <f t="shared" si="852"/>
        <v>50.505050505050505</v>
      </c>
      <c r="AD1187">
        <f t="shared" si="871"/>
        <v>80.505050505050505</v>
      </c>
      <c r="AE1187">
        <f t="shared" si="872"/>
        <v>4.0252525252525251</v>
      </c>
      <c r="AF1187" s="94">
        <f t="shared" si="873"/>
        <v>4945.469696969697</v>
      </c>
      <c r="AG1187">
        <f t="shared" si="886"/>
        <v>1.2192360511203218E-4</v>
      </c>
      <c r="AH1187">
        <f t="shared" si="874"/>
        <v>3.780659863205519E-2</v>
      </c>
      <c r="AI1187">
        <f>HLOOKUP(AW1187,'Real assumptions'!$A$21:$AK$24,2,TRUE)</f>
        <v>0</v>
      </c>
      <c r="AJ1187" s="123">
        <f t="shared" si="853"/>
        <v>0</v>
      </c>
      <c r="AK1187" s="122">
        <f>(1+HLOOKUP(YEAR(A1187),'Real assumptions'!$A$21:$AK$24,2,TRUE)/100)^(1/12)-1</f>
        <v>0</v>
      </c>
      <c r="AL1187">
        <f t="shared" si="887"/>
        <v>2.6895616054340408E-4</v>
      </c>
      <c r="AM1187">
        <f>('Real assumptions'!$B$33/12)*O1186*AV1186</f>
        <v>2.5856654356754498E-4</v>
      </c>
      <c r="AN1187">
        <f t="shared" si="875"/>
        <v>3.7808779416235852E-2</v>
      </c>
      <c r="AO1187">
        <f t="shared" si="854"/>
        <v>0</v>
      </c>
      <c r="AP1187" s="121">
        <f t="shared" si="876"/>
        <v>0</v>
      </c>
      <c r="AQ1187">
        <f t="shared" si="877"/>
        <v>0</v>
      </c>
      <c r="AR1187">
        <v>0</v>
      </c>
      <c r="AS1187">
        <f t="shared" si="860"/>
        <v>0</v>
      </c>
      <c r="AT1187">
        <f t="shared" si="878"/>
        <v>0</v>
      </c>
      <c r="AU1187">
        <f>IFERROR(HLOOKUP(B1187,'Real assumptions'!$B$43:$AL$44,2,TRUE)*($W$3/$U$2),0)</f>
        <v>0</v>
      </c>
      <c r="AV1187">
        <f>AV1186*(1+'Real assumptions'!$B$35)^(1/12)</f>
        <v>3.3749204371158199</v>
      </c>
      <c r="AW1187">
        <f t="shared" si="861"/>
        <v>2116</v>
      </c>
      <c r="AX1187">
        <f t="shared" si="888"/>
        <v>3.792594964903321E-2</v>
      </c>
      <c r="AY1187">
        <f t="shared" si="889"/>
        <v>3.2278395658822544E-5</v>
      </c>
      <c r="AZ1187">
        <f t="shared" si="862"/>
        <v>2.7215832468636498E-3</v>
      </c>
      <c r="BA1187">
        <f t="shared" si="879"/>
        <v>1.2192360511203218E-4</v>
      </c>
      <c r="BB1187">
        <f t="shared" si="880"/>
        <v>1</v>
      </c>
      <c r="BC1187">
        <f t="shared" si="863"/>
        <v>0.6</v>
      </c>
      <c r="BD1187">
        <f t="shared" si="881"/>
        <v>0</v>
      </c>
      <c r="BE1187">
        <f t="shared" si="864"/>
        <v>24</v>
      </c>
      <c r="BF1187">
        <f t="shared" si="890"/>
        <v>5000</v>
      </c>
      <c r="BU1187"/>
      <c r="DW1187" s="89"/>
      <c r="DX1187" s="89"/>
      <c r="FD1187"/>
      <c r="FE1187"/>
    </row>
    <row r="1188" spans="1:161" x14ac:dyDescent="0.25">
      <c r="A1188" s="7">
        <f t="shared" si="882"/>
        <v>79259</v>
      </c>
      <c r="B1188">
        <f t="shared" si="865"/>
        <v>1177</v>
      </c>
      <c r="C1188">
        <f t="shared" si="846"/>
        <v>98</v>
      </c>
      <c r="D1188">
        <f t="shared" si="847"/>
        <v>1</v>
      </c>
      <c r="E1188">
        <f t="shared" si="866"/>
        <v>150</v>
      </c>
      <c r="F1188">
        <f>IF(C1188&gt;=$T$2,0,VLOOKUP($E1188,EKM_F05!$A$3:$C$128,2,TRUE))</f>
        <v>0</v>
      </c>
      <c r="G1188">
        <f>F1188*'Real assumptions'!$B$3</f>
        <v>0</v>
      </c>
      <c r="H1188">
        <f t="shared" si="891"/>
        <v>0</v>
      </c>
      <c r="I1188">
        <f t="shared" si="849"/>
        <v>0</v>
      </c>
      <c r="J1188">
        <f>IF(B1188&gt;$AJ$2,0,HLOOKUP(C1188,'Real assumptions'!$B$5:$L$8,4,TRUE))</f>
        <v>3.7900000000000003E-2</v>
      </c>
      <c r="K1188">
        <f t="shared" si="855"/>
        <v>1</v>
      </c>
      <c r="L1188">
        <f t="shared" si="883"/>
        <v>8.3333333333333329E-2</v>
      </c>
      <c r="M1188">
        <f t="shared" si="850"/>
        <v>3.2145624959929453E-3</v>
      </c>
      <c r="N1188">
        <f t="shared" si="892"/>
        <v>2.4574344098828571E-8</v>
      </c>
      <c r="O1188" s="8">
        <f t="shared" si="867"/>
        <v>7.6201188698179253E-6</v>
      </c>
      <c r="P1188">
        <f t="shared" si="868"/>
        <v>1.8347263713400209E-4</v>
      </c>
      <c r="Q1188">
        <f t="shared" si="884"/>
        <v>0</v>
      </c>
      <c r="R1188" s="89">
        <f t="shared" si="856"/>
        <v>5000</v>
      </c>
      <c r="S1188">
        <f t="shared" si="857"/>
        <v>0.9166666666666714</v>
      </c>
      <c r="U1188">
        <f>O1187*AV1187*'Real assumptions'!$B$33/12+AX1188*'Real assumptions'!$B$34</f>
        <v>2.6836804908989068E-4</v>
      </c>
      <c r="V1188">
        <f>IF(P1188=0,0,IF(E1188&lt;=$C$7,$AN$5*O1187,0))*'Real assumptions'!$D$28</f>
        <v>0</v>
      </c>
      <c r="X1188" s="94">
        <f t="shared" si="869"/>
        <v>0</v>
      </c>
      <c r="Y1188">
        <f t="shared" si="858"/>
        <v>24</v>
      </c>
      <c r="Z1188">
        <f t="shared" si="885"/>
        <v>1</v>
      </c>
      <c r="AA1188">
        <f t="shared" si="859"/>
        <v>0.9166666666666714</v>
      </c>
      <c r="AB1188">
        <f t="shared" si="870"/>
        <v>50.505050505050505</v>
      </c>
      <c r="AC1188">
        <f t="shared" si="852"/>
        <v>46.296296296296539</v>
      </c>
      <c r="AD1188">
        <f t="shared" si="871"/>
        <v>80.505050505050505</v>
      </c>
      <c r="AE1188">
        <f t="shared" si="872"/>
        <v>3.6898148148148335</v>
      </c>
      <c r="AF1188" s="94">
        <f t="shared" si="873"/>
        <v>4950.0138888888887</v>
      </c>
      <c r="AG1188">
        <f t="shared" si="886"/>
        <v>1.2164334459953612E-4</v>
      </c>
      <c r="AH1188">
        <f t="shared" si="874"/>
        <v>3.7719694240583031E-2</v>
      </c>
      <c r="AI1188">
        <f>HLOOKUP(AW1188,'Real assumptions'!$A$21:$AK$24,2,TRUE)</f>
        <v>0</v>
      </c>
      <c r="AJ1188" s="123">
        <f t="shared" si="853"/>
        <v>0</v>
      </c>
      <c r="AK1188" s="122">
        <f>(1+HLOOKUP(YEAR(A1188),'Real assumptions'!$A$21:$AK$24,2,TRUE)/100)^(1/12)-1</f>
        <v>0</v>
      </c>
      <c r="AL1188">
        <f t="shared" si="887"/>
        <v>2.6836804908989068E-4</v>
      </c>
      <c r="AM1188">
        <f>('Real assumptions'!$B$33/12)*O1187*AV1187</f>
        <v>2.5800231363128274E-4</v>
      </c>
      <c r="AN1188">
        <f t="shared" si="875"/>
        <v>3.7721703220099302E-2</v>
      </c>
      <c r="AO1188">
        <f t="shared" si="854"/>
        <v>0</v>
      </c>
      <c r="AP1188" s="121">
        <f t="shared" si="876"/>
        <v>0</v>
      </c>
      <c r="AQ1188">
        <f t="shared" si="877"/>
        <v>0</v>
      </c>
      <c r="AR1188">
        <v>0</v>
      </c>
      <c r="AS1188">
        <f t="shared" si="860"/>
        <v>0</v>
      </c>
      <c r="AT1188">
        <f t="shared" si="878"/>
        <v>0</v>
      </c>
      <c r="AU1188">
        <f>IFERROR(HLOOKUP(B1188,'Real assumptions'!$B$43:$AL$44,2,TRUE)*($W$3/$U$2),0)</f>
        <v>0</v>
      </c>
      <c r="AV1188">
        <f>AV1187*(1+'Real assumptions'!$B$35)^(1/12)</f>
        <v>3.3784159975084869</v>
      </c>
      <c r="AW1188">
        <f t="shared" si="861"/>
        <v>2116</v>
      </c>
      <c r="AX1188">
        <f t="shared" si="888"/>
        <v>3.7838773266793899E-2</v>
      </c>
      <c r="AY1188">
        <f t="shared" si="889"/>
        <v>3.2174634738706874E-5</v>
      </c>
      <c r="AZ1188">
        <f t="shared" si="862"/>
        <v>2.5150444903082251E-3</v>
      </c>
      <c r="BA1188">
        <f t="shared" si="879"/>
        <v>1.2164334459953612E-4</v>
      </c>
      <c r="BB1188">
        <f t="shared" si="880"/>
        <v>0.9166666666666714</v>
      </c>
      <c r="BC1188">
        <f t="shared" si="863"/>
        <v>0.55000000000000282</v>
      </c>
      <c r="BD1188">
        <f t="shared" si="881"/>
        <v>0</v>
      </c>
      <c r="BE1188">
        <f t="shared" si="864"/>
        <v>24</v>
      </c>
      <c r="BF1188">
        <f t="shared" si="890"/>
        <v>5000</v>
      </c>
      <c r="BU1188"/>
      <c r="DW1188" s="89"/>
      <c r="DX1188" s="89"/>
      <c r="FD1188"/>
      <c r="FE1188"/>
    </row>
    <row r="1189" spans="1:161" x14ac:dyDescent="0.25">
      <c r="A1189" s="7">
        <f t="shared" si="882"/>
        <v>79290</v>
      </c>
      <c r="B1189">
        <f t="shared" si="865"/>
        <v>1178</v>
      </c>
      <c r="C1189">
        <f t="shared" si="846"/>
        <v>98.083333333333329</v>
      </c>
      <c r="D1189">
        <f t="shared" si="847"/>
        <v>0</v>
      </c>
      <c r="E1189">
        <f t="shared" si="866"/>
        <v>150</v>
      </c>
      <c r="F1189">
        <f>IF(C1189&gt;=$T$2,0,VLOOKUP($E1189,EKM_F05!$A$3:$C$128,2,TRUE))</f>
        <v>0</v>
      </c>
      <c r="G1189">
        <f>F1189*'Real assumptions'!$B$3</f>
        <v>0</v>
      </c>
      <c r="H1189">
        <f t="shared" si="891"/>
        <v>0</v>
      </c>
      <c r="I1189">
        <f t="shared" si="849"/>
        <v>0</v>
      </c>
      <c r="J1189">
        <f>IF(B1189&gt;$AJ$2,0,HLOOKUP(C1189,'Real assumptions'!$B$5:$L$8,4,TRUE))</f>
        <v>3.7900000000000003E-2</v>
      </c>
      <c r="K1189">
        <f t="shared" si="855"/>
        <v>1</v>
      </c>
      <c r="L1189">
        <f t="shared" si="883"/>
        <v>8.3333333333333329E-2</v>
      </c>
      <c r="M1189">
        <f t="shared" si="850"/>
        <v>3.2145624959929453E-3</v>
      </c>
      <c r="N1189">
        <f t="shared" si="892"/>
        <v>2.4495348333924853E-8</v>
      </c>
      <c r="O1189" s="8">
        <f t="shared" si="867"/>
        <v>7.5956235214840004E-6</v>
      </c>
      <c r="P1189">
        <f t="shared" si="868"/>
        <v>1.8288285287563022E-4</v>
      </c>
      <c r="Q1189">
        <f t="shared" si="884"/>
        <v>0</v>
      </c>
      <c r="R1189" s="89">
        <f t="shared" si="856"/>
        <v>5000</v>
      </c>
      <c r="S1189">
        <f t="shared" si="857"/>
        <v>0.8333333333333286</v>
      </c>
      <c r="U1189">
        <f>O1188*AV1188*'Real assumptions'!$B$33/12+AX1189*'Real assumptions'!$B$34</f>
        <v>2.6778121504551479E-4</v>
      </c>
      <c r="V1189">
        <f>IF(P1189=0,0,IF(E1189&lt;=$C$7,$AN$5*O1188,0))*'Real assumptions'!$D$28</f>
        <v>0</v>
      </c>
      <c r="X1189" s="94">
        <f t="shared" si="869"/>
        <v>0</v>
      </c>
      <c r="Y1189">
        <f t="shared" si="858"/>
        <v>24</v>
      </c>
      <c r="Z1189">
        <f t="shared" si="885"/>
        <v>0</v>
      </c>
      <c r="AA1189">
        <f t="shared" si="859"/>
        <v>0.8333333333333286</v>
      </c>
      <c r="AB1189">
        <f t="shared" si="870"/>
        <v>50.505050505050505</v>
      </c>
      <c r="AC1189">
        <f t="shared" si="852"/>
        <v>42.087542087541848</v>
      </c>
      <c r="AD1189">
        <f t="shared" si="871"/>
        <v>80.505050505050505</v>
      </c>
      <c r="AE1189">
        <f t="shared" si="872"/>
        <v>3.3543771043770851</v>
      </c>
      <c r="AF1189" s="94">
        <f t="shared" si="873"/>
        <v>4954.5580808080813</v>
      </c>
      <c r="AG1189">
        <f t="shared" si="886"/>
        <v>1.2136362603005615E-4</v>
      </c>
      <c r="AH1189">
        <f t="shared" si="874"/>
        <v>3.7632957897144492E-2</v>
      </c>
      <c r="AI1189">
        <f>HLOOKUP(AW1189,'Real assumptions'!$A$21:$AK$24,2,TRUE)</f>
        <v>0</v>
      </c>
      <c r="AJ1189" s="123">
        <f t="shared" si="853"/>
        <v>0</v>
      </c>
      <c r="AK1189" s="122">
        <f>(1+HLOOKUP(YEAR(A1189),'Real assumptions'!$A$21:$AK$24,2,TRUE)/100)^(1/12)-1</f>
        <v>0</v>
      </c>
      <c r="AL1189">
        <f t="shared" si="887"/>
        <v>2.6778121504551479E-4</v>
      </c>
      <c r="AM1189">
        <f>('Real assumptions'!$B$33/12)*O1188*AV1188</f>
        <v>2.5743931492709171E-4</v>
      </c>
      <c r="AN1189">
        <f t="shared" si="875"/>
        <v>3.7634795878413146E-2</v>
      </c>
      <c r="AO1189">
        <f t="shared" si="854"/>
        <v>0</v>
      </c>
      <c r="AP1189" s="121">
        <f t="shared" si="876"/>
        <v>0</v>
      </c>
      <c r="AQ1189">
        <f t="shared" si="877"/>
        <v>0</v>
      </c>
      <c r="AR1189">
        <v>0</v>
      </c>
      <c r="AS1189">
        <f t="shared" si="860"/>
        <v>0</v>
      </c>
      <c r="AT1189">
        <f t="shared" si="878"/>
        <v>0</v>
      </c>
      <c r="AU1189">
        <f>IFERROR(HLOOKUP(B1189,'Real assumptions'!$B$43:$AL$44,2,TRUE)*($W$3/$U$2),0)</f>
        <v>0</v>
      </c>
      <c r="AV1189">
        <f>AV1188*(1+'Real assumptions'!$B$35)^(1/12)</f>
        <v>3.3819151784138994</v>
      </c>
      <c r="AW1189">
        <f t="shared" si="861"/>
        <v>2117</v>
      </c>
      <c r="AX1189">
        <f t="shared" si="888"/>
        <v>3.7751765447947581E-2</v>
      </c>
      <c r="AY1189">
        <f t="shared" si="889"/>
        <v>3.2071207364553553E-5</v>
      </c>
      <c r="AZ1189">
        <f t="shared" si="862"/>
        <v>2.3087825021082843E-3</v>
      </c>
      <c r="BA1189">
        <f t="shared" si="879"/>
        <v>1.2136362603005615E-4</v>
      </c>
      <c r="BB1189">
        <f t="shared" si="880"/>
        <v>0.8333333333333286</v>
      </c>
      <c r="BC1189">
        <f t="shared" si="863"/>
        <v>0.49999999999999711</v>
      </c>
      <c r="BD1189">
        <f t="shared" si="881"/>
        <v>0</v>
      </c>
      <c r="BE1189">
        <f t="shared" si="864"/>
        <v>24</v>
      </c>
      <c r="BF1189">
        <f t="shared" si="890"/>
        <v>5000</v>
      </c>
      <c r="BU1189"/>
      <c r="DW1189" s="89"/>
      <c r="DX1189" s="89"/>
      <c r="FD1189"/>
      <c r="FE1189"/>
    </row>
    <row r="1190" spans="1:161" x14ac:dyDescent="0.25">
      <c r="A1190" s="7">
        <f t="shared" si="882"/>
        <v>79318</v>
      </c>
      <c r="B1190">
        <f t="shared" si="865"/>
        <v>1179</v>
      </c>
      <c r="C1190">
        <f t="shared" si="846"/>
        <v>98.166666666666671</v>
      </c>
      <c r="D1190">
        <f t="shared" si="847"/>
        <v>0</v>
      </c>
      <c r="E1190">
        <f t="shared" si="866"/>
        <v>150</v>
      </c>
      <c r="F1190">
        <f>IF(C1190&gt;=$T$2,0,VLOOKUP($E1190,EKM_F05!$A$3:$C$128,2,TRUE))</f>
        <v>0</v>
      </c>
      <c r="G1190">
        <f>F1190*'Real assumptions'!$B$3</f>
        <v>0</v>
      </c>
      <c r="H1190">
        <f t="shared" si="891"/>
        <v>0</v>
      </c>
      <c r="I1190">
        <f t="shared" si="849"/>
        <v>0</v>
      </c>
      <c r="J1190">
        <f>IF(B1190&gt;$AJ$2,0,HLOOKUP(C1190,'Real assumptions'!$B$5:$L$8,4,TRUE))</f>
        <v>3.7900000000000003E-2</v>
      </c>
      <c r="K1190">
        <f t="shared" si="855"/>
        <v>1</v>
      </c>
      <c r="L1190">
        <f t="shared" si="883"/>
        <v>8.3333333333333329E-2</v>
      </c>
      <c r="M1190">
        <f t="shared" si="850"/>
        <v>3.2145624959929453E-3</v>
      </c>
      <c r="N1190">
        <f t="shared" si="892"/>
        <v>2.4416606505844334E-8</v>
      </c>
      <c r="O1190" s="8">
        <f t="shared" si="867"/>
        <v>7.5712069149781561E-6</v>
      </c>
      <c r="P1190">
        <f t="shared" si="868"/>
        <v>1.82294964515616E-4</v>
      </c>
      <c r="Q1190">
        <f t="shared" si="884"/>
        <v>0</v>
      </c>
      <c r="R1190" s="89">
        <f t="shared" si="856"/>
        <v>5000</v>
      </c>
      <c r="S1190">
        <f t="shared" si="857"/>
        <v>0.75</v>
      </c>
      <c r="U1190">
        <f>O1189*AV1189*'Real assumptions'!$B$33/12+AX1190*'Real assumptions'!$B$34</f>
        <v>2.6719565567344774E-4</v>
      </c>
      <c r="V1190">
        <f>IF(P1190=0,0,IF(E1190&lt;=$C$7,$AN$5*O1189,0))*'Real assumptions'!$D$28</f>
        <v>0</v>
      </c>
      <c r="X1190" s="94">
        <f t="shared" si="869"/>
        <v>0</v>
      </c>
      <c r="Y1190">
        <f t="shared" si="858"/>
        <v>24</v>
      </c>
      <c r="Z1190">
        <f t="shared" si="885"/>
        <v>0</v>
      </c>
      <c r="AA1190">
        <f t="shared" si="859"/>
        <v>0.75</v>
      </c>
      <c r="AB1190">
        <f t="shared" si="870"/>
        <v>50.505050505050505</v>
      </c>
      <c r="AC1190">
        <f t="shared" si="852"/>
        <v>37.878787878787875</v>
      </c>
      <c r="AD1190">
        <f t="shared" si="871"/>
        <v>80.505050505050505</v>
      </c>
      <c r="AE1190">
        <f t="shared" si="872"/>
        <v>3.0189393939393936</v>
      </c>
      <c r="AF1190" s="94">
        <f t="shared" si="873"/>
        <v>4959.102272727273</v>
      </c>
      <c r="AG1190">
        <f t="shared" si="886"/>
        <v>1.2108444881542015E-4</v>
      </c>
      <c r="AH1190">
        <f t="shared" si="874"/>
        <v>3.7546389419356618E-2</v>
      </c>
      <c r="AI1190">
        <f>HLOOKUP(AW1190,'Real assumptions'!$A$21:$AK$24,2,TRUE)</f>
        <v>0</v>
      </c>
      <c r="AJ1190" s="123">
        <f t="shared" si="853"/>
        <v>0</v>
      </c>
      <c r="AK1190" s="122">
        <f>(1+HLOOKUP(YEAR(A1190),'Real assumptions'!$A$21:$AK$24,2,TRUE)/100)^(1/12)-1</f>
        <v>0</v>
      </c>
      <c r="AL1190">
        <f t="shared" si="887"/>
        <v>2.6719565567344774E-4</v>
      </c>
      <c r="AM1190">
        <f>('Real assumptions'!$B$33/12)*O1189*AV1189</f>
        <v>2.5687754476824373E-4</v>
      </c>
      <c r="AN1190">
        <f t="shared" si="875"/>
        <v>3.7548057205986654E-2</v>
      </c>
      <c r="AO1190">
        <f t="shared" si="854"/>
        <v>0</v>
      </c>
      <c r="AP1190" s="121">
        <f t="shared" si="876"/>
        <v>0</v>
      </c>
      <c r="AQ1190">
        <f t="shared" si="877"/>
        <v>0</v>
      </c>
      <c r="AR1190">
        <v>0</v>
      </c>
      <c r="AS1190">
        <f t="shared" si="860"/>
        <v>0</v>
      </c>
      <c r="AT1190">
        <f t="shared" si="878"/>
        <v>0</v>
      </c>
      <c r="AU1190">
        <f>IFERROR(HLOOKUP(B1190,'Real assumptions'!$B$43:$AL$44,2,TRUE)*($W$3/$U$2),0)</f>
        <v>0</v>
      </c>
      <c r="AV1190">
        <f>AV1189*(1+'Real assumptions'!$B$35)^(1/12)</f>
        <v>3.3854179835819895</v>
      </c>
      <c r="AW1190">
        <f t="shared" si="861"/>
        <v>2117</v>
      </c>
      <c r="AX1190">
        <f t="shared" si="888"/>
        <v>3.7664926009608649E-2</v>
      </c>
      <c r="AY1190">
        <f t="shared" si="889"/>
        <v>3.1968112464158249E-5</v>
      </c>
      <c r="AZ1190">
        <f t="shared" si="862"/>
        <v>2.1027973621350325E-3</v>
      </c>
      <c r="BA1190">
        <f t="shared" si="879"/>
        <v>1.2108444881542015E-4</v>
      </c>
      <c r="BB1190">
        <f t="shared" si="880"/>
        <v>0.75</v>
      </c>
      <c r="BC1190">
        <f t="shared" si="863"/>
        <v>0.44999999999999996</v>
      </c>
      <c r="BD1190">
        <f t="shared" si="881"/>
        <v>0</v>
      </c>
      <c r="BE1190">
        <f t="shared" si="864"/>
        <v>24</v>
      </c>
      <c r="BF1190">
        <f t="shared" si="890"/>
        <v>5000</v>
      </c>
      <c r="BU1190"/>
      <c r="DW1190" s="89"/>
      <c r="DX1190" s="89"/>
      <c r="FD1190"/>
      <c r="FE1190"/>
    </row>
    <row r="1191" spans="1:161" x14ac:dyDescent="0.25">
      <c r="A1191" s="7">
        <f t="shared" si="882"/>
        <v>79349</v>
      </c>
      <c r="B1191">
        <f t="shared" si="865"/>
        <v>1180</v>
      </c>
      <c r="C1191">
        <f t="shared" si="846"/>
        <v>98.25</v>
      </c>
      <c r="D1191">
        <f t="shared" si="847"/>
        <v>0</v>
      </c>
      <c r="E1191">
        <f t="shared" si="866"/>
        <v>150</v>
      </c>
      <c r="F1191">
        <f>IF(C1191&gt;=$T$2,0,VLOOKUP($E1191,EKM_F05!$A$3:$C$128,2,TRUE))</f>
        <v>0</v>
      </c>
      <c r="G1191">
        <f>F1191*'Real assumptions'!$B$3</f>
        <v>0</v>
      </c>
      <c r="H1191">
        <f t="shared" si="891"/>
        <v>0</v>
      </c>
      <c r="I1191">
        <f t="shared" si="849"/>
        <v>0</v>
      </c>
      <c r="J1191">
        <f>IF(B1191&gt;$AJ$2,0,HLOOKUP(C1191,'Real assumptions'!$B$5:$L$8,4,TRUE))</f>
        <v>3.7900000000000003E-2</v>
      </c>
      <c r="K1191">
        <f t="shared" si="855"/>
        <v>1</v>
      </c>
      <c r="L1191">
        <f t="shared" si="883"/>
        <v>8.3333333333333329E-2</v>
      </c>
      <c r="M1191">
        <f t="shared" si="850"/>
        <v>3.2145624959929453E-3</v>
      </c>
      <c r="N1191">
        <f t="shared" si="892"/>
        <v>2.4338117798291227E-8</v>
      </c>
      <c r="O1191" s="8">
        <f t="shared" si="867"/>
        <v>7.5468687971798648E-6</v>
      </c>
      <c r="P1191">
        <f t="shared" si="868"/>
        <v>1.8170896595947575E-4</v>
      </c>
      <c r="Q1191">
        <f t="shared" si="884"/>
        <v>0</v>
      </c>
      <c r="R1191" s="89">
        <f t="shared" si="856"/>
        <v>5000</v>
      </c>
      <c r="S1191">
        <f t="shared" si="857"/>
        <v>0.6666666666666714</v>
      </c>
      <c r="U1191">
        <f>O1190*AV1190*'Real assumptions'!$B$33/12+AX1191*'Real assumptions'!$B$34</f>
        <v>2.6661136824256848E-4</v>
      </c>
      <c r="V1191">
        <f>IF(P1191=0,0,IF(E1191&lt;=$C$7,$AN$5*O1190,0))*'Real assumptions'!$D$28</f>
        <v>0</v>
      </c>
      <c r="X1191" s="94">
        <f t="shared" si="869"/>
        <v>0</v>
      </c>
      <c r="Y1191">
        <f t="shared" si="858"/>
        <v>24</v>
      </c>
      <c r="Z1191">
        <f t="shared" si="885"/>
        <v>0</v>
      </c>
      <c r="AA1191">
        <f t="shared" si="859"/>
        <v>0.6666666666666714</v>
      </c>
      <c r="AB1191">
        <f t="shared" si="870"/>
        <v>50.505050505050505</v>
      </c>
      <c r="AC1191">
        <f t="shared" si="852"/>
        <v>33.670033670033909</v>
      </c>
      <c r="AD1191">
        <f t="shared" si="871"/>
        <v>80.505050505050505</v>
      </c>
      <c r="AE1191">
        <f t="shared" si="872"/>
        <v>2.6835016835017025</v>
      </c>
      <c r="AF1191" s="94">
        <f t="shared" si="873"/>
        <v>4963.6464646464638</v>
      </c>
      <c r="AG1191">
        <f t="shared" si="886"/>
        <v>1.2080581236563743E-4</v>
      </c>
      <c r="AH1191">
        <f t="shared" si="874"/>
        <v>3.7459988624272543E-2</v>
      </c>
      <c r="AI1191">
        <f>HLOOKUP(AW1191,'Real assumptions'!$A$21:$AK$24,2,TRUE)</f>
        <v>0</v>
      </c>
      <c r="AJ1191" s="123">
        <f t="shared" si="853"/>
        <v>0</v>
      </c>
      <c r="AK1191" s="122">
        <f>(1+HLOOKUP(YEAR(A1191),'Real assumptions'!$A$21:$AK$24,2,TRUE)/100)^(1/12)-1</f>
        <v>0</v>
      </c>
      <c r="AL1191">
        <f t="shared" si="887"/>
        <v>2.6661136824256848E-4</v>
      </c>
      <c r="AM1191">
        <f>('Real assumptions'!$B$33/12)*O1190*AV1190</f>
        <v>2.5631700047387365E-4</v>
      </c>
      <c r="AN1191">
        <f t="shared" si="875"/>
        <v>3.7461487017073525E-2</v>
      </c>
      <c r="AO1191">
        <f t="shared" si="854"/>
        <v>0</v>
      </c>
      <c r="AP1191" s="121">
        <f t="shared" si="876"/>
        <v>0</v>
      </c>
      <c r="AQ1191">
        <f t="shared" si="877"/>
        <v>0</v>
      </c>
      <c r="AR1191">
        <v>0</v>
      </c>
      <c r="AS1191">
        <f t="shared" si="860"/>
        <v>0</v>
      </c>
      <c r="AT1191">
        <f t="shared" si="878"/>
        <v>0</v>
      </c>
      <c r="AU1191">
        <f>IFERROR(HLOOKUP(B1191,'Real assumptions'!$B$43:$AL$44,2,TRUE)*($W$3/$U$2),0)</f>
        <v>0</v>
      </c>
      <c r="AV1191">
        <f>AV1190*(1+'Real assumptions'!$B$35)^(1/12)</f>
        <v>3.3889244167665726</v>
      </c>
      <c r="AW1191">
        <f t="shared" si="861"/>
        <v>2117</v>
      </c>
      <c r="AX1191">
        <f t="shared" si="888"/>
        <v>3.7578254768325381E-2</v>
      </c>
      <c r="AY1191">
        <f t="shared" si="889"/>
        <v>3.1865348968763284E-5</v>
      </c>
      <c r="AZ1191">
        <f t="shared" si="862"/>
        <v>1.8970891474863025E-3</v>
      </c>
      <c r="BA1191">
        <f t="shared" si="879"/>
        <v>1.2080581236563743E-4</v>
      </c>
      <c r="BB1191">
        <f t="shared" si="880"/>
        <v>0.6666666666666714</v>
      </c>
      <c r="BC1191">
        <f t="shared" si="863"/>
        <v>0.4000000000000028</v>
      </c>
      <c r="BD1191">
        <f t="shared" si="881"/>
        <v>0</v>
      </c>
      <c r="BE1191">
        <f t="shared" si="864"/>
        <v>24</v>
      </c>
      <c r="BF1191">
        <f t="shared" si="890"/>
        <v>5000</v>
      </c>
      <c r="BU1191"/>
      <c r="DW1191" s="89"/>
      <c r="DX1191" s="89"/>
      <c r="FD1191"/>
      <c r="FE1191"/>
    </row>
    <row r="1192" spans="1:161" x14ac:dyDescent="0.25">
      <c r="A1192" s="7">
        <f t="shared" si="882"/>
        <v>79379</v>
      </c>
      <c r="B1192">
        <f t="shared" si="865"/>
        <v>1181</v>
      </c>
      <c r="C1192">
        <f t="shared" si="846"/>
        <v>98.333333333333329</v>
      </c>
      <c r="D1192">
        <f t="shared" si="847"/>
        <v>0</v>
      </c>
      <c r="E1192">
        <f t="shared" si="866"/>
        <v>150</v>
      </c>
      <c r="F1192">
        <f>IF(C1192&gt;=$T$2,0,VLOOKUP($E1192,EKM_F05!$A$3:$C$128,2,TRUE))</f>
        <v>0</v>
      </c>
      <c r="G1192">
        <f>F1192*'Real assumptions'!$B$3</f>
        <v>0</v>
      </c>
      <c r="H1192">
        <f t="shared" si="891"/>
        <v>0</v>
      </c>
      <c r="I1192">
        <f t="shared" si="849"/>
        <v>0</v>
      </c>
      <c r="J1192">
        <f>IF(B1192&gt;$AJ$2,0,HLOOKUP(C1192,'Real assumptions'!$B$5:$L$8,4,TRUE))</f>
        <v>3.7900000000000003E-2</v>
      </c>
      <c r="K1192">
        <f t="shared" si="855"/>
        <v>1</v>
      </c>
      <c r="L1192">
        <f t="shared" si="883"/>
        <v>8.3333333333333329E-2</v>
      </c>
      <c r="M1192">
        <f t="shared" si="850"/>
        <v>3.2145624959929453E-3</v>
      </c>
      <c r="N1192">
        <f t="shared" si="892"/>
        <v>2.4259881397593783E-8</v>
      </c>
      <c r="O1192" s="8">
        <f t="shared" si="867"/>
        <v>7.5226089157822714E-6</v>
      </c>
      <c r="P1192">
        <f t="shared" si="868"/>
        <v>1.8112485113231676E-4</v>
      </c>
      <c r="Q1192">
        <f t="shared" si="884"/>
        <v>0</v>
      </c>
      <c r="R1192" s="89">
        <f t="shared" si="856"/>
        <v>5000</v>
      </c>
      <c r="S1192">
        <f t="shared" si="857"/>
        <v>0.5833333333333286</v>
      </c>
      <c r="U1192">
        <f>O1191*AV1191*'Real assumptions'!$B$33/12+AX1192*'Real assumptions'!$B$34</f>
        <v>2.6602835002745279E-4</v>
      </c>
      <c r="V1192">
        <f>IF(P1192=0,0,IF(E1192&lt;=$C$7,$AN$5*O1191,0))*'Real assumptions'!$D$28</f>
        <v>0</v>
      </c>
      <c r="X1192" s="94">
        <f t="shared" si="869"/>
        <v>0</v>
      </c>
      <c r="Y1192">
        <f t="shared" si="858"/>
        <v>24</v>
      </c>
      <c r="Z1192">
        <f t="shared" si="885"/>
        <v>0</v>
      </c>
      <c r="AA1192">
        <f t="shared" si="859"/>
        <v>0.5833333333333286</v>
      </c>
      <c r="AB1192">
        <f t="shared" si="870"/>
        <v>50.505050505050505</v>
      </c>
      <c r="AC1192">
        <f t="shared" si="852"/>
        <v>29.461279461279222</v>
      </c>
      <c r="AD1192">
        <f t="shared" si="871"/>
        <v>80.505050505050505</v>
      </c>
      <c r="AE1192">
        <f t="shared" si="872"/>
        <v>2.3480639730639541</v>
      </c>
      <c r="AF1192" s="94">
        <f t="shared" si="873"/>
        <v>4968.1906565656564</v>
      </c>
      <c r="AG1192">
        <f t="shared" si="886"/>
        <v>1.2052771608891641E-4</v>
      </c>
      <c r="AH1192">
        <f t="shared" si="874"/>
        <v>3.7373755328386986E-2</v>
      </c>
      <c r="AI1192">
        <f>HLOOKUP(AW1192,'Real assumptions'!$A$21:$AK$24,2,TRUE)</f>
        <v>0</v>
      </c>
      <c r="AJ1192" s="123">
        <f t="shared" si="853"/>
        <v>0</v>
      </c>
      <c r="AK1192" s="122">
        <f>(1+HLOOKUP(YEAR(A1192),'Real assumptions'!$A$21:$AK$24,2,TRUE)/100)^(1/12)-1</f>
        <v>0</v>
      </c>
      <c r="AL1192">
        <f t="shared" si="887"/>
        <v>2.6602835002745279E-4</v>
      </c>
      <c r="AM1192">
        <f>('Real assumptions'!$B$33/12)*O1191*AV1191</f>
        <v>2.5575767936896621E-4</v>
      </c>
      <c r="AN1192">
        <f t="shared" si="875"/>
        <v>3.7375085125377405E-2</v>
      </c>
      <c r="AO1192">
        <f t="shared" si="854"/>
        <v>0</v>
      </c>
      <c r="AP1192" s="121">
        <f t="shared" si="876"/>
        <v>0</v>
      </c>
      <c r="AQ1192">
        <f t="shared" si="877"/>
        <v>0</v>
      </c>
      <c r="AR1192">
        <v>0</v>
      </c>
      <c r="AS1192">
        <f t="shared" si="860"/>
        <v>0</v>
      </c>
      <c r="AT1192">
        <f t="shared" si="878"/>
        <v>0</v>
      </c>
      <c r="AU1192">
        <f>IFERROR(HLOOKUP(B1192,'Real assumptions'!$B$43:$AL$44,2,TRUE)*($W$3/$U$2),0)</f>
        <v>0</v>
      </c>
      <c r="AV1192">
        <f>AV1191*(1+'Real assumptions'!$B$35)^(1/12)</f>
        <v>3.3924344817253527</v>
      </c>
      <c r="AW1192">
        <f t="shared" si="861"/>
        <v>2117</v>
      </c>
      <c r="AX1192">
        <f t="shared" si="888"/>
        <v>3.7491751540085591E-2</v>
      </c>
      <c r="AY1192">
        <f t="shared" si="889"/>
        <v>3.1762915813046565E-5</v>
      </c>
      <c r="AZ1192">
        <f t="shared" si="862"/>
        <v>1.69165793250225E-3</v>
      </c>
      <c r="BA1192">
        <f t="shared" si="879"/>
        <v>1.2052771608891641E-4</v>
      </c>
      <c r="BB1192">
        <f t="shared" si="880"/>
        <v>0.5833333333333286</v>
      </c>
      <c r="BC1192">
        <f t="shared" si="863"/>
        <v>0.34999999999999715</v>
      </c>
      <c r="BD1192">
        <f t="shared" si="881"/>
        <v>0</v>
      </c>
      <c r="BE1192">
        <f t="shared" si="864"/>
        <v>24</v>
      </c>
      <c r="BF1192">
        <f t="shared" si="890"/>
        <v>5000</v>
      </c>
      <c r="BU1192"/>
      <c r="DW1192" s="89"/>
      <c r="DX1192" s="89"/>
      <c r="FD1192"/>
      <c r="FE1192"/>
    </row>
    <row r="1193" spans="1:161" x14ac:dyDescent="0.25">
      <c r="A1193" s="7">
        <f t="shared" si="882"/>
        <v>79410</v>
      </c>
      <c r="B1193">
        <f t="shared" si="865"/>
        <v>1182</v>
      </c>
      <c r="C1193">
        <f t="shared" si="846"/>
        <v>98.416666666666671</v>
      </c>
      <c r="D1193">
        <f t="shared" si="847"/>
        <v>0</v>
      </c>
      <c r="E1193">
        <f t="shared" si="866"/>
        <v>150</v>
      </c>
      <c r="F1193">
        <f>IF(C1193&gt;=$T$2,0,VLOOKUP($E1193,EKM_F05!$A$3:$C$128,2,TRUE))</f>
        <v>0</v>
      </c>
      <c r="G1193">
        <f>F1193*'Real assumptions'!$B$3</f>
        <v>0</v>
      </c>
      <c r="H1193">
        <f t="shared" si="891"/>
        <v>0</v>
      </c>
      <c r="I1193">
        <f t="shared" si="849"/>
        <v>0</v>
      </c>
      <c r="J1193">
        <f>IF(B1193&gt;$AJ$2,0,HLOOKUP(C1193,'Real assumptions'!$B$5:$L$8,4,TRUE))</f>
        <v>3.7900000000000003E-2</v>
      </c>
      <c r="K1193">
        <f t="shared" si="855"/>
        <v>1</v>
      </c>
      <c r="L1193">
        <f t="shared" si="883"/>
        <v>8.3333333333333329E-2</v>
      </c>
      <c r="M1193">
        <f t="shared" si="850"/>
        <v>3.2145624959929453E-3</v>
      </c>
      <c r="N1193">
        <f t="shared" si="892"/>
        <v>2.4181896492695843E-8</v>
      </c>
      <c r="O1193" s="8">
        <f t="shared" si="867"/>
        <v>7.4984270192895759E-6</v>
      </c>
      <c r="P1193">
        <f t="shared" si="868"/>
        <v>1.8054261397877451E-4</v>
      </c>
      <c r="Q1193">
        <f t="shared" si="884"/>
        <v>0</v>
      </c>
      <c r="R1193" s="89">
        <f t="shared" si="856"/>
        <v>5000</v>
      </c>
      <c r="S1193">
        <f t="shared" si="857"/>
        <v>0.5</v>
      </c>
      <c r="U1193">
        <f>O1192*AV1192*'Real assumptions'!$B$33/12+AX1193*'Real assumptions'!$B$34</f>
        <v>2.6544659830836142E-4</v>
      </c>
      <c r="V1193">
        <f>IF(P1193=0,0,IF(E1193&lt;=$C$7,$AN$5*O1192,0))*'Real assumptions'!$D$28</f>
        <v>0</v>
      </c>
      <c r="X1193" s="94">
        <f t="shared" si="869"/>
        <v>0</v>
      </c>
      <c r="Y1193">
        <f t="shared" si="858"/>
        <v>24</v>
      </c>
      <c r="Z1193">
        <f t="shared" si="885"/>
        <v>0</v>
      </c>
      <c r="AA1193">
        <f t="shared" si="859"/>
        <v>0.5</v>
      </c>
      <c r="AB1193">
        <f t="shared" si="870"/>
        <v>50.505050505050505</v>
      </c>
      <c r="AC1193">
        <f t="shared" si="852"/>
        <v>25.252525252525253</v>
      </c>
      <c r="AD1193">
        <f t="shared" si="871"/>
        <v>80.505050505050505</v>
      </c>
      <c r="AE1193">
        <f t="shared" si="872"/>
        <v>2.0126262626262625</v>
      </c>
      <c r="AF1193" s="94">
        <f t="shared" si="873"/>
        <v>4972.734848484848</v>
      </c>
      <c r="AG1193">
        <f t="shared" si="886"/>
        <v>1.2025015939168214E-4</v>
      </c>
      <c r="AH1193">
        <f t="shared" si="874"/>
        <v>3.7287689347641644E-2</v>
      </c>
      <c r="AI1193">
        <f>HLOOKUP(AW1193,'Real assumptions'!$A$21:$AK$24,2,TRUE)</f>
        <v>0</v>
      </c>
      <c r="AJ1193" s="123">
        <f t="shared" si="853"/>
        <v>0</v>
      </c>
      <c r="AK1193" s="122">
        <f>(1+HLOOKUP(YEAR(A1193),'Real assumptions'!$A$21:$AK$24,2,TRUE)/100)^(1/12)-1</f>
        <v>0</v>
      </c>
      <c r="AL1193">
        <f t="shared" si="887"/>
        <v>2.6544659830836142E-4</v>
      </c>
      <c r="AM1193">
        <f>('Real assumptions'!$B$33/12)*O1192*AV1192</f>
        <v>2.5519957878434348E-4</v>
      </c>
      <c r="AN1193">
        <f t="shared" si="875"/>
        <v>3.7288851344057398E-2</v>
      </c>
      <c r="AO1193">
        <f t="shared" si="854"/>
        <v>0</v>
      </c>
      <c r="AP1193" s="121">
        <f t="shared" si="876"/>
        <v>0</v>
      </c>
      <c r="AQ1193">
        <f t="shared" si="877"/>
        <v>0</v>
      </c>
      <c r="AR1193">
        <v>0</v>
      </c>
      <c r="AS1193">
        <f t="shared" si="860"/>
        <v>0</v>
      </c>
      <c r="AT1193">
        <f t="shared" si="878"/>
        <v>0</v>
      </c>
      <c r="AU1193">
        <f>IFERROR(HLOOKUP(B1193,'Real assumptions'!$B$43:$AL$44,2,TRUE)*($W$3/$U$2),0)</f>
        <v>0</v>
      </c>
      <c r="AV1193">
        <f>AV1192*(1+'Real assumptions'!$B$35)^(1/12)</f>
        <v>3.3959481822199251</v>
      </c>
      <c r="AW1193">
        <f t="shared" si="861"/>
        <v>2117</v>
      </c>
      <c r="AX1193">
        <f t="shared" si="888"/>
        <v>3.7405416140322098E-2</v>
      </c>
      <c r="AY1193">
        <f t="shared" si="889"/>
        <v>3.1660811935110567E-5</v>
      </c>
      <c r="AZ1193">
        <f t="shared" si="862"/>
        <v>1.486503788780981E-3</v>
      </c>
      <c r="BA1193">
        <f t="shared" si="879"/>
        <v>1.2025015939168214E-4</v>
      </c>
      <c r="BB1193">
        <f t="shared" si="880"/>
        <v>0.5</v>
      </c>
      <c r="BC1193">
        <f t="shared" si="863"/>
        <v>0.3</v>
      </c>
      <c r="BD1193">
        <f t="shared" si="881"/>
        <v>0</v>
      </c>
      <c r="BE1193">
        <f t="shared" si="864"/>
        <v>24</v>
      </c>
      <c r="BF1193">
        <f t="shared" si="890"/>
        <v>5000</v>
      </c>
      <c r="BU1193"/>
      <c r="DW1193" s="89"/>
      <c r="DX1193" s="89"/>
      <c r="FD1193"/>
      <c r="FE1193"/>
    </row>
    <row r="1194" spans="1:161" x14ac:dyDescent="0.25">
      <c r="A1194" s="7">
        <f t="shared" si="882"/>
        <v>79440</v>
      </c>
      <c r="B1194">
        <f t="shared" si="865"/>
        <v>1183</v>
      </c>
      <c r="C1194">
        <f t="shared" si="846"/>
        <v>98.5</v>
      </c>
      <c r="D1194">
        <f t="shared" si="847"/>
        <v>0</v>
      </c>
      <c r="E1194">
        <f t="shared" si="866"/>
        <v>150</v>
      </c>
      <c r="F1194">
        <f>IF(C1194&gt;=$T$2,0,VLOOKUP($E1194,EKM_F05!$A$3:$C$128,2,TRUE))</f>
        <v>0</v>
      </c>
      <c r="G1194">
        <f>F1194*'Real assumptions'!$B$3</f>
        <v>0</v>
      </c>
      <c r="H1194">
        <f t="shared" si="891"/>
        <v>0</v>
      </c>
      <c r="I1194">
        <f t="shared" si="849"/>
        <v>0</v>
      </c>
      <c r="J1194">
        <f>IF(B1194&gt;$AJ$2,0,HLOOKUP(C1194,'Real assumptions'!$B$5:$L$8,4,TRUE))</f>
        <v>3.7900000000000003E-2</v>
      </c>
      <c r="K1194">
        <f t="shared" si="855"/>
        <v>1</v>
      </c>
      <c r="L1194">
        <f t="shared" si="883"/>
        <v>8.3333333333333329E-2</v>
      </c>
      <c r="M1194">
        <f t="shared" si="850"/>
        <v>3.2145624959929453E-3</v>
      </c>
      <c r="N1194">
        <f t="shared" si="892"/>
        <v>2.410416227514844E-8</v>
      </c>
      <c r="O1194" s="8">
        <f t="shared" si="867"/>
        <v>7.4743228570144275E-6</v>
      </c>
      <c r="P1194">
        <f t="shared" si="868"/>
        <v>1.7996224846294982E-4</v>
      </c>
      <c r="Q1194">
        <f t="shared" si="884"/>
        <v>0</v>
      </c>
      <c r="R1194" s="89">
        <f t="shared" si="856"/>
        <v>5000</v>
      </c>
      <c r="S1194">
        <f t="shared" si="857"/>
        <v>0.4166666666666714</v>
      </c>
      <c r="U1194">
        <f>O1193*AV1193*'Real assumptions'!$B$33/12+AX1194*'Real assumptions'!$B$34</f>
        <v>2.6486611037122919E-4</v>
      </c>
      <c r="V1194">
        <f>IF(P1194=0,0,IF(E1194&lt;=$C$7,$AN$5*O1193,0))*'Real assumptions'!$D$28</f>
        <v>0</v>
      </c>
      <c r="X1194" s="94">
        <f t="shared" si="869"/>
        <v>0</v>
      </c>
      <c r="Y1194">
        <f t="shared" si="858"/>
        <v>24</v>
      </c>
      <c r="Z1194">
        <f t="shared" si="885"/>
        <v>0</v>
      </c>
      <c r="AA1194">
        <f t="shared" si="859"/>
        <v>0.4166666666666714</v>
      </c>
      <c r="AB1194">
        <f t="shared" si="870"/>
        <v>50.505050505050505</v>
      </c>
      <c r="AC1194">
        <f t="shared" si="852"/>
        <v>21.043771043771283</v>
      </c>
      <c r="AD1194">
        <f t="shared" si="871"/>
        <v>80.505050505050505</v>
      </c>
      <c r="AE1194">
        <f t="shared" si="872"/>
        <v>1.6771885521885712</v>
      </c>
      <c r="AF1194" s="94">
        <f t="shared" si="873"/>
        <v>4977.2790404040406</v>
      </c>
      <c r="AG1194">
        <f t="shared" si="886"/>
        <v>1.1997314167859411E-4</v>
      </c>
      <c r="AH1194">
        <f t="shared" si="874"/>
        <v>3.7201790497430755E-2</v>
      </c>
      <c r="AI1194">
        <f>HLOOKUP(AW1194,'Real assumptions'!$A$21:$AK$24,2,TRUE)</f>
        <v>0</v>
      </c>
      <c r="AJ1194" s="123">
        <f t="shared" si="853"/>
        <v>0</v>
      </c>
      <c r="AK1194" s="122">
        <f>(1+HLOOKUP(YEAR(A1194),'Real assumptions'!$A$21:$AK$24,2,TRUE)/100)^(1/12)-1</f>
        <v>0</v>
      </c>
      <c r="AL1194">
        <f t="shared" si="887"/>
        <v>2.6486611037122919E-4</v>
      </c>
      <c r="AM1194">
        <f>('Real assumptions'!$B$33/12)*O1193*AV1193</f>
        <v>2.5464269605665206E-4</v>
      </c>
      <c r="AN1194">
        <f t="shared" si="875"/>
        <v>3.7202785485733365E-2</v>
      </c>
      <c r="AO1194">
        <f t="shared" si="854"/>
        <v>0</v>
      </c>
      <c r="AP1194" s="121">
        <f t="shared" si="876"/>
        <v>0</v>
      </c>
      <c r="AQ1194">
        <f t="shared" si="877"/>
        <v>0</v>
      </c>
      <c r="AR1194">
        <v>0</v>
      </c>
      <c r="AS1194">
        <f t="shared" si="860"/>
        <v>0</v>
      </c>
      <c r="AT1194">
        <f t="shared" si="878"/>
        <v>0</v>
      </c>
      <c r="AU1194">
        <f>IFERROR(HLOOKUP(B1194,'Real assumptions'!$B$43:$AL$44,2,TRUE)*($W$3/$U$2),0)</f>
        <v>0</v>
      </c>
      <c r="AV1194">
        <f>AV1193*(1+'Real assumptions'!$B$35)^(1/12)</f>
        <v>3.3994655220157814</v>
      </c>
      <c r="AW1194">
        <f t="shared" si="861"/>
        <v>2117</v>
      </c>
      <c r="AX1194">
        <f t="shared" si="888"/>
        <v>3.7319248383918112E-2</v>
      </c>
      <c r="AY1194">
        <f t="shared" si="889"/>
        <v>3.1559036276471275E-5</v>
      </c>
      <c r="AZ1194">
        <f t="shared" si="862"/>
        <v>1.2816267851941073E-3</v>
      </c>
      <c r="BA1194">
        <f t="shared" si="879"/>
        <v>1.1997314167859411E-4</v>
      </c>
      <c r="BB1194">
        <f t="shared" si="880"/>
        <v>0.4166666666666714</v>
      </c>
      <c r="BC1194">
        <f t="shared" si="863"/>
        <v>0.25000000000000283</v>
      </c>
      <c r="BD1194">
        <f t="shared" si="881"/>
        <v>0</v>
      </c>
      <c r="BE1194">
        <f t="shared" si="864"/>
        <v>24</v>
      </c>
      <c r="BF1194">
        <f t="shared" si="890"/>
        <v>5000</v>
      </c>
      <c r="BU1194"/>
      <c r="DW1194" s="89"/>
      <c r="DX1194" s="89"/>
      <c r="FD1194"/>
      <c r="FE1194"/>
    </row>
    <row r="1195" spans="1:161" x14ac:dyDescent="0.25">
      <c r="A1195" s="7">
        <f t="shared" si="882"/>
        <v>79471</v>
      </c>
      <c r="B1195">
        <f t="shared" si="865"/>
        <v>1184</v>
      </c>
      <c r="C1195">
        <f t="shared" si="846"/>
        <v>98.583333333333329</v>
      </c>
      <c r="D1195">
        <f t="shared" si="847"/>
        <v>0</v>
      </c>
      <c r="E1195">
        <f t="shared" si="866"/>
        <v>150</v>
      </c>
      <c r="F1195">
        <f>IF(C1195&gt;=$T$2,0,VLOOKUP($E1195,EKM_F05!$A$3:$C$128,2,TRUE))</f>
        <v>0</v>
      </c>
      <c r="G1195">
        <f>F1195*'Real assumptions'!$B$3</f>
        <v>0</v>
      </c>
      <c r="H1195">
        <f t="shared" si="891"/>
        <v>0</v>
      </c>
      <c r="I1195">
        <f t="shared" si="849"/>
        <v>0</v>
      </c>
      <c r="J1195">
        <f>IF(B1195&gt;$AJ$2,0,HLOOKUP(C1195,'Real assumptions'!$B$5:$L$8,4,TRUE))</f>
        <v>3.7900000000000003E-2</v>
      </c>
      <c r="K1195">
        <f t="shared" si="855"/>
        <v>1</v>
      </c>
      <c r="L1195">
        <f t="shared" si="883"/>
        <v>8.3333333333333329E-2</v>
      </c>
      <c r="M1195">
        <f t="shared" si="850"/>
        <v>3.2145624959929453E-3</v>
      </c>
      <c r="N1195">
        <f t="shared" si="892"/>
        <v>2.4026677939101419E-8</v>
      </c>
      <c r="O1195" s="8">
        <f t="shared" si="867"/>
        <v>7.4502961790753261E-6</v>
      </c>
      <c r="P1195">
        <f t="shared" si="868"/>
        <v>1.7938374856834625E-4</v>
      </c>
      <c r="Q1195">
        <f t="shared" si="884"/>
        <v>0</v>
      </c>
      <c r="R1195" s="89">
        <f t="shared" si="856"/>
        <v>5000</v>
      </c>
      <c r="S1195">
        <f t="shared" si="857"/>
        <v>0.3333333333333286</v>
      </c>
      <c r="U1195">
        <f>O1194*AV1194*'Real assumptions'!$B$33/12+AX1195*'Real assumptions'!$B$34</f>
        <v>2.6428688350765373E-4</v>
      </c>
      <c r="V1195">
        <f>IF(P1195=0,0,IF(E1195&lt;=$C$7,$AN$5*O1194,0))*'Real assumptions'!$D$28</f>
        <v>0</v>
      </c>
      <c r="X1195" s="94">
        <f t="shared" si="869"/>
        <v>0</v>
      </c>
      <c r="Y1195">
        <f t="shared" si="858"/>
        <v>24</v>
      </c>
      <c r="Z1195">
        <f t="shared" si="885"/>
        <v>0</v>
      </c>
      <c r="AA1195">
        <f t="shared" si="859"/>
        <v>0.3333333333333286</v>
      </c>
      <c r="AB1195">
        <f t="shared" si="870"/>
        <v>50.505050505050505</v>
      </c>
      <c r="AC1195">
        <f t="shared" si="852"/>
        <v>16.835016835016596</v>
      </c>
      <c r="AD1195">
        <f t="shared" si="871"/>
        <v>80.505050505050505</v>
      </c>
      <c r="AE1195">
        <f t="shared" si="872"/>
        <v>1.3417508417508226</v>
      </c>
      <c r="AF1195" s="94">
        <f t="shared" si="873"/>
        <v>4981.8232323232332</v>
      </c>
      <c r="AG1195">
        <f t="shared" si="886"/>
        <v>1.1969666235256354E-4</v>
      </c>
      <c r="AH1195">
        <f t="shared" si="874"/>
        <v>3.7116058592606478E-2</v>
      </c>
      <c r="AI1195">
        <f>HLOOKUP(AW1195,'Real assumptions'!$A$21:$AK$24,2,TRUE)</f>
        <v>0</v>
      </c>
      <c r="AJ1195" s="123">
        <f t="shared" si="853"/>
        <v>0</v>
      </c>
      <c r="AK1195" s="122">
        <f>(1+HLOOKUP(YEAR(A1195),'Real assumptions'!$A$21:$AK$24,2,TRUE)/100)^(1/12)-1</f>
        <v>0</v>
      </c>
      <c r="AL1195">
        <f t="shared" si="887"/>
        <v>2.6428688350765373E-4</v>
      </c>
      <c r="AM1195">
        <f>('Real assumptions'!$B$33/12)*O1194*AV1194</f>
        <v>2.5408702852835037E-4</v>
      </c>
      <c r="AN1195">
        <f t="shared" si="875"/>
        <v>3.7116887362491448E-2</v>
      </c>
      <c r="AO1195">
        <f t="shared" si="854"/>
        <v>0</v>
      </c>
      <c r="AP1195" s="121">
        <f t="shared" si="876"/>
        <v>0</v>
      </c>
      <c r="AQ1195">
        <f t="shared" si="877"/>
        <v>0</v>
      </c>
      <c r="AR1195">
        <v>0</v>
      </c>
      <c r="AS1195">
        <f t="shared" si="860"/>
        <v>0</v>
      </c>
      <c r="AT1195">
        <f t="shared" si="878"/>
        <v>0</v>
      </c>
      <c r="AU1195">
        <f>IFERROR(HLOOKUP(B1195,'Real assumptions'!$B$43:$AL$44,2,TRUE)*($W$3/$U$2),0)</f>
        <v>0</v>
      </c>
      <c r="AV1195">
        <f>AV1194*(1+'Real assumptions'!$B$35)^(1/12)</f>
        <v>3.4029865048823136</v>
      </c>
      <c r="AW1195">
        <f t="shared" si="861"/>
        <v>2117</v>
      </c>
      <c r="AX1195">
        <f t="shared" si="888"/>
        <v>3.7233248085212799E-2</v>
      </c>
      <c r="AY1195">
        <f t="shared" si="889"/>
        <v>3.1457587782047251E-5</v>
      </c>
      <c r="AZ1195">
        <f t="shared" si="862"/>
        <v>1.0770269879022362E-3</v>
      </c>
      <c r="BA1195">
        <f t="shared" si="879"/>
        <v>1.1969666235256354E-4</v>
      </c>
      <c r="BB1195">
        <f t="shared" si="880"/>
        <v>0.3333333333333286</v>
      </c>
      <c r="BC1195">
        <f t="shared" si="863"/>
        <v>0.19999999999999715</v>
      </c>
      <c r="BD1195">
        <f t="shared" si="881"/>
        <v>0</v>
      </c>
      <c r="BE1195">
        <f t="shared" si="864"/>
        <v>24</v>
      </c>
      <c r="BF1195">
        <f t="shared" si="890"/>
        <v>5000</v>
      </c>
      <c r="BU1195"/>
      <c r="DW1195" s="89"/>
      <c r="DX1195" s="89"/>
      <c r="FD1195"/>
      <c r="FE1195"/>
    </row>
    <row r="1196" spans="1:161" x14ac:dyDescent="0.25">
      <c r="A1196" s="7">
        <f t="shared" si="882"/>
        <v>79502</v>
      </c>
      <c r="B1196">
        <f t="shared" si="865"/>
        <v>1185</v>
      </c>
      <c r="C1196">
        <f t="shared" si="846"/>
        <v>98.666666666666671</v>
      </c>
      <c r="D1196">
        <f t="shared" si="847"/>
        <v>0</v>
      </c>
      <c r="E1196">
        <f t="shared" si="866"/>
        <v>150</v>
      </c>
      <c r="F1196">
        <f>IF(C1196&gt;=$T$2,0,VLOOKUP($E1196,EKM_F05!$A$3:$C$128,2,TRUE))</f>
        <v>0</v>
      </c>
      <c r="G1196">
        <f>F1196*'Real assumptions'!$B$3</f>
        <v>0</v>
      </c>
      <c r="H1196">
        <f t="shared" si="891"/>
        <v>0</v>
      </c>
      <c r="I1196">
        <f t="shared" si="849"/>
        <v>0</v>
      </c>
      <c r="J1196">
        <f>IF(B1196&gt;$AJ$2,0,HLOOKUP(C1196,'Real assumptions'!$B$5:$L$8,4,TRUE))</f>
        <v>3.7900000000000003E-2</v>
      </c>
      <c r="K1196">
        <f t="shared" si="855"/>
        <v>1</v>
      </c>
      <c r="L1196">
        <f t="shared" si="883"/>
        <v>8.3333333333333329E-2</v>
      </c>
      <c r="M1196">
        <f t="shared" si="850"/>
        <v>3.2145624959929453E-3</v>
      </c>
      <c r="N1196">
        <f t="shared" si="892"/>
        <v>2.3949442681295083E-8</v>
      </c>
      <c r="O1196" s="8">
        <f t="shared" si="867"/>
        <v>7.4263467363940309E-6</v>
      </c>
      <c r="P1196">
        <f t="shared" si="868"/>
        <v>1.7880710829780783E-4</v>
      </c>
      <c r="Q1196">
        <f t="shared" si="884"/>
        <v>0</v>
      </c>
      <c r="R1196" s="89">
        <f t="shared" si="856"/>
        <v>5000</v>
      </c>
      <c r="S1196">
        <f t="shared" si="857"/>
        <v>0.25</v>
      </c>
      <c r="U1196">
        <f>O1195*AV1195*'Real assumptions'!$B$33/12+AX1196*'Real assumptions'!$B$34</f>
        <v>2.637089150148842E-4</v>
      </c>
      <c r="V1196">
        <f>IF(P1196=0,0,IF(E1196&lt;=$C$7,$AN$5*O1195,0))*'Real assumptions'!$D$28</f>
        <v>0</v>
      </c>
      <c r="X1196" s="94">
        <f t="shared" si="869"/>
        <v>0</v>
      </c>
      <c r="Y1196">
        <f t="shared" si="858"/>
        <v>24</v>
      </c>
      <c r="Z1196">
        <f t="shared" si="885"/>
        <v>0</v>
      </c>
      <c r="AA1196">
        <f t="shared" si="859"/>
        <v>0.25</v>
      </c>
      <c r="AB1196">
        <f t="shared" si="870"/>
        <v>50.505050505050505</v>
      </c>
      <c r="AC1196">
        <f t="shared" si="852"/>
        <v>12.626262626262626</v>
      </c>
      <c r="AD1196">
        <f t="shared" si="871"/>
        <v>80.505050505050505</v>
      </c>
      <c r="AE1196">
        <f t="shared" si="872"/>
        <v>1.0063131313131313</v>
      </c>
      <c r="AF1196" s="94">
        <f t="shared" si="873"/>
        <v>4986.3674242424249</v>
      </c>
      <c r="AG1196">
        <f t="shared" si="886"/>
        <v>1.1942072081477095E-4</v>
      </c>
      <c r="AH1196">
        <f t="shared" si="874"/>
        <v>3.7030493447484242E-2</v>
      </c>
      <c r="AI1196">
        <f>HLOOKUP(AW1196,'Real assumptions'!$A$21:$AK$24,2,TRUE)</f>
        <v>0</v>
      </c>
      <c r="AJ1196" s="123">
        <f t="shared" si="853"/>
        <v>0</v>
      </c>
      <c r="AK1196" s="122">
        <f>(1+HLOOKUP(YEAR(A1196),'Real assumptions'!$A$21:$AK$24,2,TRUE)/100)^(1/12)-1</f>
        <v>0</v>
      </c>
      <c r="AL1196">
        <f t="shared" si="887"/>
        <v>2.637089150148842E-4</v>
      </c>
      <c r="AM1196">
        <f>('Real assumptions'!$B$33/12)*O1195*AV1195</f>
        <v>2.5353257354769604E-4</v>
      </c>
      <c r="AN1196">
        <f t="shared" si="875"/>
        <v>3.7031156785889405E-2</v>
      </c>
      <c r="AO1196">
        <f t="shared" si="854"/>
        <v>0</v>
      </c>
      <c r="AP1196" s="121">
        <f t="shared" si="876"/>
        <v>0</v>
      </c>
      <c r="AQ1196">
        <f t="shared" si="877"/>
        <v>0</v>
      </c>
      <c r="AR1196">
        <v>0</v>
      </c>
      <c r="AS1196">
        <f t="shared" si="860"/>
        <v>0</v>
      </c>
      <c r="AT1196">
        <f t="shared" si="878"/>
        <v>0</v>
      </c>
      <c r="AU1196">
        <f>IFERROR(HLOOKUP(B1196,'Real assumptions'!$B$43:$AL$44,2,TRUE)*($W$3/$U$2),0)</f>
        <v>0</v>
      </c>
      <c r="AV1196">
        <f>AV1195*(1+'Real assumptions'!$B$35)^(1/12)</f>
        <v>3.4065111345928178</v>
      </c>
      <c r="AW1196">
        <f t="shared" si="861"/>
        <v>2117</v>
      </c>
      <c r="AX1196">
        <f t="shared" si="888"/>
        <v>3.7147415058006623E-2</v>
      </c>
      <c r="AY1196">
        <f t="shared" si="889"/>
        <v>3.1356465400148679E-5</v>
      </c>
      <c r="AZ1196">
        <f t="shared" si="862"/>
        <v>8.727044603703887E-4</v>
      </c>
      <c r="BA1196">
        <f t="shared" si="879"/>
        <v>1.1942072081477095E-4</v>
      </c>
      <c r="BB1196">
        <f t="shared" si="880"/>
        <v>0.25</v>
      </c>
      <c r="BC1196">
        <f t="shared" si="863"/>
        <v>0.15</v>
      </c>
      <c r="BD1196">
        <f t="shared" si="881"/>
        <v>0</v>
      </c>
      <c r="BE1196">
        <f t="shared" si="864"/>
        <v>24</v>
      </c>
      <c r="BF1196">
        <f t="shared" si="890"/>
        <v>5000</v>
      </c>
      <c r="BU1196"/>
      <c r="DW1196" s="89"/>
      <c r="DX1196" s="89"/>
      <c r="FD1196"/>
      <c r="FE1196"/>
    </row>
    <row r="1197" spans="1:161" x14ac:dyDescent="0.25">
      <c r="A1197" s="7">
        <f t="shared" si="882"/>
        <v>79532</v>
      </c>
      <c r="B1197">
        <f t="shared" si="865"/>
        <v>1186</v>
      </c>
      <c r="C1197">
        <f t="shared" si="846"/>
        <v>98.75</v>
      </c>
      <c r="D1197">
        <f t="shared" si="847"/>
        <v>0</v>
      </c>
      <c r="E1197">
        <f t="shared" si="866"/>
        <v>150</v>
      </c>
      <c r="F1197">
        <f>IF(C1197&gt;=$T$2,0,VLOOKUP($E1197,EKM_F05!$A$3:$C$128,2,TRUE))</f>
        <v>0</v>
      </c>
      <c r="G1197">
        <f>F1197*'Real assumptions'!$B$3</f>
        <v>0</v>
      </c>
      <c r="H1197">
        <f t="shared" si="891"/>
        <v>0</v>
      </c>
      <c r="I1197">
        <f t="shared" si="849"/>
        <v>0</v>
      </c>
      <c r="J1197">
        <f>IF(B1197&gt;$AJ$2,0,HLOOKUP(C1197,'Real assumptions'!$B$5:$L$8,4,TRUE))</f>
        <v>3.7900000000000003E-2</v>
      </c>
      <c r="K1197">
        <f t="shared" si="855"/>
        <v>1</v>
      </c>
      <c r="L1197">
        <f t="shared" si="883"/>
        <v>8.3333333333333329E-2</v>
      </c>
      <c r="M1197">
        <f t="shared" si="850"/>
        <v>3.2145624959929453E-3</v>
      </c>
      <c r="N1197">
        <f t="shared" si="892"/>
        <v>2.3872455701051861E-8</v>
      </c>
      <c r="O1197" s="8">
        <f t="shared" si="867"/>
        <v>7.4024742806929794E-6</v>
      </c>
      <c r="P1197">
        <f t="shared" si="868"/>
        <v>1.7823232167345674E-4</v>
      </c>
      <c r="Q1197">
        <f t="shared" si="884"/>
        <v>0</v>
      </c>
      <c r="R1197" s="89">
        <f t="shared" si="856"/>
        <v>5000</v>
      </c>
      <c r="S1197">
        <f t="shared" si="857"/>
        <v>0.1666666666666714</v>
      </c>
      <c r="U1197">
        <f>O1196*AV1196*'Real assumptions'!$B$33/12+AX1197*'Real assumptions'!$B$34</f>
        <v>2.6313220219581024E-4</v>
      </c>
      <c r="V1197">
        <f>IF(P1197=0,0,IF(E1197&lt;=$C$7,$AN$5*O1196,0))*'Real assumptions'!$D$28</f>
        <v>0</v>
      </c>
      <c r="X1197" s="94">
        <f t="shared" si="869"/>
        <v>0</v>
      </c>
      <c r="Y1197">
        <f t="shared" si="858"/>
        <v>24</v>
      </c>
      <c r="Z1197">
        <f t="shared" si="885"/>
        <v>0</v>
      </c>
      <c r="AA1197">
        <f t="shared" si="859"/>
        <v>0.1666666666666714</v>
      </c>
      <c r="AB1197">
        <f t="shared" si="870"/>
        <v>50.505050505050505</v>
      </c>
      <c r="AC1197">
        <f t="shared" si="852"/>
        <v>8.4175084175086567</v>
      </c>
      <c r="AD1197">
        <f t="shared" si="871"/>
        <v>80.505050505050505</v>
      </c>
      <c r="AE1197">
        <f t="shared" si="872"/>
        <v>0.67087542087543994</v>
      </c>
      <c r="AF1197" s="94">
        <f t="shared" si="873"/>
        <v>4990.9116161616157</v>
      </c>
      <c r="AG1197">
        <f t="shared" si="886"/>
        <v>1.1914531646468331E-4</v>
      </c>
      <c r="AH1197">
        <f t="shared" si="874"/>
        <v>3.694509487584819E-2</v>
      </c>
      <c r="AI1197">
        <f>HLOOKUP(AW1197,'Real assumptions'!$A$21:$AK$24,2,TRUE)</f>
        <v>0</v>
      </c>
      <c r="AJ1197" s="123">
        <f t="shared" si="853"/>
        <v>0</v>
      </c>
      <c r="AK1197" s="122">
        <f>(1+HLOOKUP(YEAR(A1197),'Real assumptions'!$A$21:$AK$24,2,TRUE)/100)^(1/12)-1</f>
        <v>0</v>
      </c>
      <c r="AL1197">
        <f t="shared" si="887"/>
        <v>2.6313220219581024E-4</v>
      </c>
      <c r="AM1197">
        <f>('Real assumptions'!$B$33/12)*O1196*AV1196</f>
        <v>2.5297932846873297E-4</v>
      </c>
      <c r="AN1197">
        <f t="shared" si="875"/>
        <v>3.6945593566961893E-2</v>
      </c>
      <c r="AO1197">
        <f t="shared" si="854"/>
        <v>0</v>
      </c>
      <c r="AP1197" s="121">
        <f t="shared" si="876"/>
        <v>0</v>
      </c>
      <c r="AQ1197">
        <f t="shared" si="877"/>
        <v>0</v>
      </c>
      <c r="AR1197">
        <v>0</v>
      </c>
      <c r="AS1197">
        <f t="shared" si="860"/>
        <v>0</v>
      </c>
      <c r="AT1197">
        <f t="shared" si="878"/>
        <v>0</v>
      </c>
      <c r="AU1197">
        <f>IFERROR(HLOOKUP(B1197,'Real assumptions'!$B$43:$AL$44,2,TRUE)*($W$3/$U$2),0)</f>
        <v>0</v>
      </c>
      <c r="AV1197">
        <f>AV1196*(1+'Real assumptions'!$B$35)^(1/12)</f>
        <v>3.4100394149244981</v>
      </c>
      <c r="AW1197">
        <f t="shared" si="861"/>
        <v>2117</v>
      </c>
      <c r="AX1197">
        <f t="shared" si="888"/>
        <v>3.7061749115566707E-2</v>
      </c>
      <c r="AY1197">
        <f t="shared" si="889"/>
        <v>3.1255668082466456E-5</v>
      </c>
      <c r="AZ1197">
        <f t="shared" si="862"/>
        <v>6.6865926338335185E-4</v>
      </c>
      <c r="BA1197">
        <f t="shared" si="879"/>
        <v>1.1914531646468331E-4</v>
      </c>
      <c r="BB1197">
        <f t="shared" si="880"/>
        <v>0.1666666666666714</v>
      </c>
      <c r="BC1197">
        <f t="shared" si="863"/>
        <v>0.10000000000000284</v>
      </c>
      <c r="BD1197">
        <f t="shared" si="881"/>
        <v>0</v>
      </c>
      <c r="BE1197">
        <f t="shared" si="864"/>
        <v>24</v>
      </c>
      <c r="BF1197">
        <f t="shared" si="890"/>
        <v>5000</v>
      </c>
      <c r="BU1197"/>
      <c r="DW1197" s="89"/>
      <c r="DX1197" s="89"/>
      <c r="FD1197"/>
      <c r="FE1197"/>
    </row>
    <row r="1198" spans="1:161" x14ac:dyDescent="0.25">
      <c r="A1198" s="7">
        <f t="shared" si="882"/>
        <v>79563</v>
      </c>
      <c r="B1198">
        <f t="shared" si="865"/>
        <v>1187</v>
      </c>
      <c r="C1198">
        <f t="shared" si="846"/>
        <v>98.833333333333329</v>
      </c>
      <c r="D1198">
        <f t="shared" si="847"/>
        <v>0</v>
      </c>
      <c r="E1198">
        <f t="shared" si="866"/>
        <v>150</v>
      </c>
      <c r="F1198">
        <f>IF(C1198&gt;=$T$2,0,VLOOKUP($E1198,EKM_F05!$A$3:$C$128,2,TRUE))</f>
        <v>0</v>
      </c>
      <c r="G1198">
        <f>F1198*'Real assumptions'!$B$3</f>
        <v>0</v>
      </c>
      <c r="H1198">
        <f t="shared" si="891"/>
        <v>0</v>
      </c>
      <c r="I1198">
        <f t="shared" si="849"/>
        <v>0</v>
      </c>
      <c r="J1198">
        <f>IF(B1198&gt;$AJ$2,0,HLOOKUP(C1198,'Real assumptions'!$B$5:$L$8,4,TRUE))</f>
        <v>3.7900000000000003E-2</v>
      </c>
      <c r="K1198">
        <f t="shared" si="855"/>
        <v>1</v>
      </c>
      <c r="L1198">
        <f t="shared" si="883"/>
        <v>8.3333333333333329E-2</v>
      </c>
      <c r="M1198">
        <f t="shared" si="850"/>
        <v>3.2145624959929453E-3</v>
      </c>
      <c r="N1198">
        <f t="shared" si="892"/>
        <v>2.3795716200268006E-8</v>
      </c>
      <c r="O1198" s="8">
        <f t="shared" si="867"/>
        <v>7.3786785644927114E-6</v>
      </c>
      <c r="P1198">
        <f t="shared" si="868"/>
        <v>1.7765938273663149E-4</v>
      </c>
      <c r="Q1198">
        <f t="shared" si="884"/>
        <v>0</v>
      </c>
      <c r="R1198" s="89">
        <f t="shared" si="856"/>
        <v>5000</v>
      </c>
      <c r="S1198">
        <f t="shared" si="857"/>
        <v>8.3333333333328596E-2</v>
      </c>
      <c r="U1198">
        <f>O1197*AV1197*'Real assumptions'!$B$33/12+AX1198*'Real assumptions'!$B$34</f>
        <v>2.6255674235895051E-4</v>
      </c>
      <c r="V1198">
        <f>IF(P1198=0,0,IF(E1198&lt;=$C$7,$AN$5*O1197,0))*'Real assumptions'!$D$28</f>
        <v>0</v>
      </c>
      <c r="X1198" s="94">
        <f t="shared" si="869"/>
        <v>0</v>
      </c>
      <c r="Y1198">
        <f t="shared" si="858"/>
        <v>24</v>
      </c>
      <c r="Z1198">
        <f t="shared" si="885"/>
        <v>0</v>
      </c>
      <c r="AA1198">
        <f t="shared" si="859"/>
        <v>8.3333333333328596E-2</v>
      </c>
      <c r="AB1198">
        <f t="shared" si="870"/>
        <v>50.505050505050505</v>
      </c>
      <c r="AC1198">
        <f t="shared" si="852"/>
        <v>4.2087542087539696</v>
      </c>
      <c r="AD1198">
        <f t="shared" si="871"/>
        <v>80.505050505050505</v>
      </c>
      <c r="AE1198">
        <f t="shared" si="872"/>
        <v>0.33543771043769138</v>
      </c>
      <c r="AF1198" s="94">
        <f t="shared" si="873"/>
        <v>4995.4558080808083</v>
      </c>
      <c r="AG1198">
        <f t="shared" si="886"/>
        <v>1.1887044870007139E-4</v>
      </c>
      <c r="AH1198">
        <f t="shared" si="874"/>
        <v>3.6859862690956473E-2</v>
      </c>
      <c r="AI1198">
        <f>HLOOKUP(AW1198,'Real assumptions'!$A$21:$AK$24,2,TRUE)</f>
        <v>0</v>
      </c>
      <c r="AJ1198" s="123">
        <f t="shared" si="853"/>
        <v>0</v>
      </c>
      <c r="AK1198" s="122">
        <f>(1+HLOOKUP(YEAR(A1198),'Real assumptions'!$A$21:$AK$24,2,TRUE)/100)^(1/12)-1</f>
        <v>0</v>
      </c>
      <c r="AL1198">
        <f t="shared" si="887"/>
        <v>2.6255674235895051E-4</v>
      </c>
      <c r="AM1198">
        <f>('Real assumptions'!$B$33/12)*O1197*AV1197</f>
        <v>2.5242729065127936E-4</v>
      </c>
      <c r="AN1198">
        <f t="shared" si="875"/>
        <v>3.6860197516225872E-2</v>
      </c>
      <c r="AO1198">
        <f t="shared" si="854"/>
        <v>0</v>
      </c>
      <c r="AP1198" s="121">
        <f t="shared" si="876"/>
        <v>0</v>
      </c>
      <c r="AQ1198">
        <f t="shared" si="877"/>
        <v>0</v>
      </c>
      <c r="AR1198">
        <v>0</v>
      </c>
      <c r="AS1198">
        <f t="shared" si="860"/>
        <v>0</v>
      </c>
      <c r="AT1198">
        <f t="shared" si="878"/>
        <v>0</v>
      </c>
      <c r="AU1198">
        <f>IFERROR(HLOOKUP(B1198,'Real assumptions'!$B$43:$AL$44,2,TRUE)*($W$3/$U$2),0)</f>
        <v>0</v>
      </c>
      <c r="AV1198">
        <f>AV1197*(1+'Real assumptions'!$B$35)^(1/12)</f>
        <v>3.4135713496584703</v>
      </c>
      <c r="AW1198">
        <f t="shared" si="861"/>
        <v>2117</v>
      </c>
      <c r="AX1198">
        <f t="shared" si="888"/>
        <v>3.6976250070632252E-2</v>
      </c>
      <c r="AY1198">
        <f t="shared" si="889"/>
        <v>3.115519478406136E-5</v>
      </c>
      <c r="AZ1198">
        <f t="shared" si="862"/>
        <v>4.648914550609614E-4</v>
      </c>
      <c r="BA1198">
        <f t="shared" si="879"/>
        <v>1.1887044870007139E-4</v>
      </c>
      <c r="BB1198">
        <f t="shared" si="880"/>
        <v>8.3333333333328596E-2</v>
      </c>
      <c r="BC1198">
        <f t="shared" si="863"/>
        <v>4.9999999999997158E-2</v>
      </c>
      <c r="BD1198">
        <f t="shared" si="881"/>
        <v>0</v>
      </c>
      <c r="BE1198">
        <f t="shared" si="864"/>
        <v>24</v>
      </c>
      <c r="BF1198">
        <f t="shared" si="890"/>
        <v>5000</v>
      </c>
      <c r="BU1198"/>
      <c r="DW1198" s="89"/>
      <c r="DX1198" s="89"/>
      <c r="FD1198"/>
      <c r="FE1198"/>
    </row>
    <row r="1199" spans="1:161" x14ac:dyDescent="0.25">
      <c r="A1199" s="7">
        <f t="shared" si="882"/>
        <v>79593</v>
      </c>
      <c r="B1199">
        <f t="shared" si="865"/>
        <v>1188</v>
      </c>
      <c r="C1199">
        <f t="shared" ref="C1199:C1212" si="893">(B1199+11)/12-1</f>
        <v>98.916666666666671</v>
      </c>
      <c r="D1199">
        <f t="shared" ref="D1199:D1212" si="894">IF(C1199-INT(C1199)=0,1,0)</f>
        <v>0</v>
      </c>
      <c r="E1199">
        <f t="shared" si="866"/>
        <v>150</v>
      </c>
      <c r="F1199">
        <f>IF(C1199&gt;=$T$2,0,VLOOKUP($E1199,EKM_F05!$A$3:$C$128,2,TRUE))</f>
        <v>0</v>
      </c>
      <c r="G1199">
        <f>F1199*'Real assumptions'!$B$3</f>
        <v>0</v>
      </c>
      <c r="H1199">
        <f t="shared" si="891"/>
        <v>0</v>
      </c>
      <c r="I1199">
        <f t="shared" ref="I1199:I1212" si="895">H1199*O1198*(1-M1199/2)</f>
        <v>0</v>
      </c>
      <c r="J1199">
        <f>IF(B1199&gt;$AJ$2,0,HLOOKUP(C1199,'Real assumptions'!$B$5:$L$8,4,TRUE))</f>
        <v>3.7900000000000003E-2</v>
      </c>
      <c r="K1199">
        <f t="shared" si="855"/>
        <v>1</v>
      </c>
      <c r="L1199">
        <f t="shared" si="883"/>
        <v>8.3333333333333329E-2</v>
      </c>
      <c r="M1199">
        <f t="shared" ref="M1199:M1212" si="896">(1-(1-J1199)^L1199)</f>
        <v>3.2145624959929453E-3</v>
      </c>
      <c r="N1199">
        <f t="shared" si="892"/>
        <v>2.3719223383405331E-8</v>
      </c>
      <c r="O1199" s="8">
        <f t="shared" si="867"/>
        <v>7.3549593411093059E-6</v>
      </c>
      <c r="P1199">
        <f t="shared" si="868"/>
        <v>1.7708828554782507E-4</v>
      </c>
      <c r="Q1199">
        <f t="shared" si="884"/>
        <v>0</v>
      </c>
      <c r="R1199" s="89">
        <f t="shared" si="856"/>
        <v>5000</v>
      </c>
      <c r="S1199">
        <f t="shared" si="857"/>
        <v>1</v>
      </c>
      <c r="U1199">
        <f>O1198*AV1198*'Real assumptions'!$B$33/12+AX1199*'Real assumptions'!$B$34</f>
        <v>2.61982532818442E-4</v>
      </c>
      <c r="V1199">
        <f>IF(P1199=0,0,IF(E1199&lt;=$C$7,$AN$5*O1198,0))*'Real assumptions'!$D$28</f>
        <v>0</v>
      </c>
      <c r="X1199" s="94">
        <f t="shared" si="869"/>
        <v>0</v>
      </c>
      <c r="Y1199">
        <f t="shared" si="858"/>
        <v>24</v>
      </c>
      <c r="Z1199">
        <f t="shared" si="885"/>
        <v>0</v>
      </c>
      <c r="AA1199">
        <f t="shared" si="859"/>
        <v>0</v>
      </c>
      <c r="AB1199">
        <f t="shared" si="870"/>
        <v>50.505050505050505</v>
      </c>
      <c r="AC1199">
        <f t="shared" ref="AC1199:AC1212" si="897">AB1199*AA1199</f>
        <v>0</v>
      </c>
      <c r="AD1199">
        <f t="shared" si="871"/>
        <v>80.505050505050505</v>
      </c>
      <c r="AE1199">
        <f t="shared" si="872"/>
        <v>0</v>
      </c>
      <c r="AF1199" s="94">
        <f t="shared" si="873"/>
        <v>5000</v>
      </c>
      <c r="AG1199">
        <f t="shared" si="886"/>
        <v>1.1859611691702665E-4</v>
      </c>
      <c r="AH1199">
        <f t="shared" si="874"/>
        <v>3.6774796705546529E-2</v>
      </c>
      <c r="AI1199">
        <f>HLOOKUP(AW1199,'Real assumptions'!$A$21:$AK$24,2,TRUE)</f>
        <v>0</v>
      </c>
      <c r="AJ1199" s="123">
        <f t="shared" ref="AJ1199:AJ1212" si="898">((1+AI1199/100)^(1/12))-1</f>
        <v>0</v>
      </c>
      <c r="AK1199" s="122">
        <f>(1+HLOOKUP(YEAR(A1199),'Real assumptions'!$A$21:$AK$24,2,TRUE)/100)^(1/12)-1</f>
        <v>0</v>
      </c>
      <c r="AL1199">
        <f t="shared" si="887"/>
        <v>2.61982532818442E-4</v>
      </c>
      <c r="AM1199">
        <f>('Real assumptions'!$B$33/12)*O1198*AV1198</f>
        <v>2.5187645746091409E-4</v>
      </c>
      <c r="AN1199">
        <f t="shared" si="875"/>
        <v>3.6774968443685857E-2</v>
      </c>
      <c r="AO1199">
        <f t="shared" ref="AO1199:AO1212" si="899">AN1199*AJ1199</f>
        <v>0</v>
      </c>
      <c r="AP1199" s="121">
        <f t="shared" si="876"/>
        <v>0</v>
      </c>
      <c r="AQ1199">
        <f t="shared" si="877"/>
        <v>0</v>
      </c>
      <c r="AR1199">
        <v>0</v>
      </c>
      <c r="AS1199">
        <f t="shared" si="860"/>
        <v>0</v>
      </c>
      <c r="AT1199">
        <f t="shared" si="878"/>
        <v>0</v>
      </c>
      <c r="AU1199">
        <f>IFERROR(HLOOKUP(B1199,'Real assumptions'!$B$43:$AL$44,2,TRUE)*($W$3/$U$2),0)</f>
        <v>0</v>
      </c>
      <c r="AV1199">
        <f>AV1198*(1+'Real assumptions'!$B$35)^(1/12)</f>
        <v>3.4171069425797675</v>
      </c>
      <c r="AW1199">
        <f t="shared" si="861"/>
        <v>2117</v>
      </c>
      <c r="AX1199">
        <f t="shared" si="888"/>
        <v>3.6890917735419824E-2</v>
      </c>
      <c r="AY1199">
        <f t="shared" si="889"/>
        <v>3.1055044463353159E-5</v>
      </c>
      <c r="AZ1199">
        <f t="shared" si="862"/>
        <v>2.6140109087331785E-4</v>
      </c>
      <c r="BA1199">
        <f t="shared" si="879"/>
        <v>1.1859611691702665E-4</v>
      </c>
      <c r="BB1199">
        <f t="shared" si="880"/>
        <v>0</v>
      </c>
      <c r="BC1199">
        <f t="shared" si="863"/>
        <v>0</v>
      </c>
      <c r="BD1199">
        <f t="shared" si="881"/>
        <v>0</v>
      </c>
      <c r="BE1199">
        <f t="shared" si="864"/>
        <v>24</v>
      </c>
      <c r="BF1199">
        <f t="shared" si="890"/>
        <v>5000</v>
      </c>
      <c r="BU1199"/>
      <c r="DW1199" s="89"/>
      <c r="DX1199" s="89"/>
      <c r="FD1199"/>
      <c r="FE1199"/>
    </row>
    <row r="1200" spans="1:161" x14ac:dyDescent="0.25">
      <c r="A1200" s="7">
        <f t="shared" si="882"/>
        <v>79624</v>
      </c>
      <c r="B1200">
        <f t="shared" si="865"/>
        <v>1189</v>
      </c>
      <c r="C1200">
        <f t="shared" si="893"/>
        <v>99</v>
      </c>
      <c r="D1200">
        <f t="shared" si="894"/>
        <v>1</v>
      </c>
      <c r="E1200">
        <f t="shared" si="866"/>
        <v>151</v>
      </c>
      <c r="F1200">
        <f>IF(C1200&gt;=$T$2,0,VLOOKUP($E1200,EKM_F05!$A$3:$C$128,2,TRUE))</f>
        <v>0</v>
      </c>
      <c r="G1200">
        <f>F1200*'Real assumptions'!$B$3</f>
        <v>0</v>
      </c>
      <c r="H1200">
        <f t="shared" si="891"/>
        <v>0</v>
      </c>
      <c r="I1200">
        <f t="shared" si="895"/>
        <v>0</v>
      </c>
      <c r="J1200">
        <f>IF(B1200&gt;$AJ$2,0,HLOOKUP(C1200,'Real assumptions'!$B$5:$L$8,4,TRUE))</f>
        <v>0</v>
      </c>
      <c r="K1200">
        <f t="shared" si="855"/>
        <v>0</v>
      </c>
      <c r="L1200">
        <f t="shared" si="883"/>
        <v>0</v>
      </c>
      <c r="M1200">
        <f t="shared" si="896"/>
        <v>0</v>
      </c>
      <c r="N1200">
        <f t="shared" si="892"/>
        <v>0</v>
      </c>
      <c r="O1200" s="8">
        <f t="shared" si="867"/>
        <v>0</v>
      </c>
      <c r="P1200">
        <f t="shared" si="868"/>
        <v>0</v>
      </c>
      <c r="Q1200">
        <f t="shared" si="884"/>
        <v>0</v>
      </c>
      <c r="R1200" s="89">
        <f t="shared" si="856"/>
        <v>5000</v>
      </c>
      <c r="S1200">
        <f t="shared" si="857"/>
        <v>0.9166666666666714</v>
      </c>
      <c r="U1200">
        <f>O1199*AV1199*'Real assumptions'!$B$33/12+AX1200*'Real assumptions'!$B$34</f>
        <v>2.6140109087331785E-4</v>
      </c>
      <c r="V1200">
        <f>IF(P1200=0,0,IF(E1200&lt;=$C$7,$AN$5*O1199,0))*'Real assumptions'!$D$28</f>
        <v>0</v>
      </c>
      <c r="X1200" s="94">
        <f t="shared" si="869"/>
        <v>0</v>
      </c>
      <c r="Y1200">
        <f t="shared" si="858"/>
        <v>0</v>
      </c>
      <c r="Z1200">
        <f t="shared" si="885"/>
        <v>0</v>
      </c>
      <c r="AA1200">
        <f t="shared" si="859"/>
        <v>-8.3333333333328596E-2</v>
      </c>
      <c r="AB1200">
        <f t="shared" si="870"/>
        <v>50.505050505050505</v>
      </c>
      <c r="AC1200">
        <f t="shared" si="897"/>
        <v>-4.2087542087539696</v>
      </c>
      <c r="AD1200">
        <f t="shared" si="871"/>
        <v>80.505050505050505</v>
      </c>
      <c r="AE1200">
        <f t="shared" si="872"/>
        <v>-0.33543771043769138</v>
      </c>
      <c r="AF1200" s="94">
        <f t="shared" si="873"/>
        <v>5004.5441919191917</v>
      </c>
      <c r="AG1200">
        <f t="shared" si="886"/>
        <v>0</v>
      </c>
      <c r="AH1200">
        <f t="shared" si="874"/>
        <v>0</v>
      </c>
      <c r="AI1200">
        <f>HLOOKUP(AW1200,'Real assumptions'!$A$21:$AK$24,2,TRUE)</f>
        <v>0</v>
      </c>
      <c r="AJ1200" s="123">
        <f t="shared" si="898"/>
        <v>0</v>
      </c>
      <c r="AK1200" s="122">
        <f>(1+HLOOKUP(YEAR(A1200),'Real assumptions'!$A$21:$AK$24,2,TRUE)/100)^(1/12)-1</f>
        <v>0</v>
      </c>
      <c r="AL1200">
        <f t="shared" si="887"/>
        <v>2.6140109087331785E-4</v>
      </c>
      <c r="AM1200">
        <f>('Real assumptions'!$B$33/12)*O1199*AV1199</f>
        <v>2.5132682626896521E-4</v>
      </c>
      <c r="AN1200">
        <f t="shared" si="875"/>
        <v>3.6513395614673212E-2</v>
      </c>
      <c r="AO1200">
        <f t="shared" si="899"/>
        <v>0</v>
      </c>
      <c r="AP1200" s="121">
        <f t="shared" si="876"/>
        <v>0</v>
      </c>
      <c r="AQ1200">
        <f t="shared" si="877"/>
        <v>0</v>
      </c>
      <c r="AR1200">
        <v>0</v>
      </c>
      <c r="AS1200">
        <f t="shared" si="860"/>
        <v>0</v>
      </c>
      <c r="AT1200">
        <f t="shared" si="878"/>
        <v>0</v>
      </c>
      <c r="AU1200">
        <f>IFERROR(HLOOKUP(B1200,'Real assumptions'!$B$43:$AL$44,2,TRUE)*($W$3/$U$2),0)</f>
        <v>0</v>
      </c>
      <c r="AV1200">
        <f>AV1199*(1+'Real assumptions'!$B$35)^(1/12)</f>
        <v>3.4206461974773426</v>
      </c>
      <c r="AW1200">
        <f t="shared" si="861"/>
        <v>2117</v>
      </c>
      <c r="AX1200">
        <f t="shared" si="888"/>
        <v>3.6774796705546529E-2</v>
      </c>
      <c r="AY1200">
        <f t="shared" si="889"/>
        <v>0</v>
      </c>
      <c r="AZ1200">
        <f>(AZ1201+BA1201-P1201+U1201+AQ1201)/((1+AJ1201))</f>
        <v>0</v>
      </c>
      <c r="BA1200">
        <f t="shared" si="879"/>
        <v>0</v>
      </c>
      <c r="BB1200">
        <f t="shared" si="880"/>
        <v>-8.3333333333328596E-2</v>
      </c>
      <c r="BC1200">
        <f t="shared" si="863"/>
        <v>-4.9999999999997158E-2</v>
      </c>
      <c r="BD1200">
        <f t="shared" si="881"/>
        <v>0</v>
      </c>
      <c r="BE1200">
        <f t="shared" si="864"/>
        <v>0</v>
      </c>
      <c r="BF1200">
        <f t="shared" si="890"/>
        <v>5000</v>
      </c>
      <c r="BU1200"/>
      <c r="DW1200" s="89"/>
      <c r="DX1200" s="89"/>
      <c r="FD1200"/>
      <c r="FE1200"/>
    </row>
    <row r="1201" spans="1:161" x14ac:dyDescent="0.25">
      <c r="A1201" s="7">
        <f t="shared" si="882"/>
        <v>79655</v>
      </c>
      <c r="B1201">
        <f t="shared" si="865"/>
        <v>1190</v>
      </c>
      <c r="C1201">
        <f t="shared" si="893"/>
        <v>99.083333333333329</v>
      </c>
      <c r="D1201">
        <f t="shared" si="894"/>
        <v>0</v>
      </c>
      <c r="E1201">
        <f t="shared" si="866"/>
        <v>151</v>
      </c>
      <c r="F1201">
        <f>IF(C1201&gt;=$T$2,0,VLOOKUP($E1201,EKM_F05!$A$3:$C$128,2,TRUE))</f>
        <v>0</v>
      </c>
      <c r="G1201">
        <f>F1201*'Real assumptions'!$B$3</f>
        <v>0</v>
      </c>
      <c r="H1201">
        <f t="shared" si="891"/>
        <v>0</v>
      </c>
      <c r="I1201">
        <f t="shared" si="895"/>
        <v>0</v>
      </c>
      <c r="J1201">
        <f>IF(B1201&gt;$AJ$2,0,HLOOKUP(C1201,'Real assumptions'!$B$5:$L$8,4,TRUE))</f>
        <v>0</v>
      </c>
      <c r="K1201">
        <f t="shared" si="855"/>
        <v>0</v>
      </c>
      <c r="L1201">
        <f t="shared" si="883"/>
        <v>0</v>
      </c>
      <c r="M1201">
        <f t="shared" si="896"/>
        <v>0</v>
      </c>
      <c r="N1201">
        <f t="shared" si="892"/>
        <v>0</v>
      </c>
      <c r="O1201" s="8">
        <f t="shared" si="867"/>
        <v>0</v>
      </c>
      <c r="P1201">
        <f t="shared" si="868"/>
        <v>0</v>
      </c>
      <c r="Q1201">
        <f t="shared" si="884"/>
        <v>0</v>
      </c>
      <c r="R1201" s="89">
        <f t="shared" si="856"/>
        <v>5000</v>
      </c>
      <c r="S1201">
        <f t="shared" si="857"/>
        <v>0.8333333333333286</v>
      </c>
      <c r="U1201">
        <f>O1200*AV1200*'Real assumptions'!$B$33/12+AX1201*'Real assumptions'!$B$34</f>
        <v>0</v>
      </c>
      <c r="V1201">
        <f>IF(P1201=0,0,IF(E1201&lt;=$C$7,$AN$5*O1200,0))*'Real assumptions'!$D$28</f>
        <v>0</v>
      </c>
      <c r="X1201" s="94">
        <f t="shared" si="869"/>
        <v>0</v>
      </c>
      <c r="Y1201">
        <f t="shared" si="858"/>
        <v>0</v>
      </c>
      <c r="Z1201">
        <f t="shared" si="885"/>
        <v>-1</v>
      </c>
      <c r="AA1201">
        <f t="shared" si="859"/>
        <v>-0.1666666666666714</v>
      </c>
      <c r="AB1201">
        <f t="shared" si="870"/>
        <v>50.505050505050505</v>
      </c>
      <c r="AC1201">
        <f t="shared" si="897"/>
        <v>-8.4175084175086567</v>
      </c>
      <c r="AD1201">
        <f t="shared" si="871"/>
        <v>80.505050505050505</v>
      </c>
      <c r="AE1201">
        <f t="shared" si="872"/>
        <v>-0.67087542087543994</v>
      </c>
      <c r="AF1201" s="94">
        <f t="shared" si="873"/>
        <v>5009.0883838383843</v>
      </c>
      <c r="AG1201">
        <f t="shared" si="886"/>
        <v>0</v>
      </c>
      <c r="AH1201">
        <f t="shared" si="874"/>
        <v>0</v>
      </c>
      <c r="AI1201">
        <f>HLOOKUP(AW1201,'Real assumptions'!$A$21:$AK$24,2,TRUE)</f>
        <v>0</v>
      </c>
      <c r="AJ1201" s="123">
        <f t="shared" si="898"/>
        <v>0</v>
      </c>
      <c r="AK1201" s="122">
        <f>(1+HLOOKUP(YEAR(A1201),'Real assumptions'!$A$21:$AK$24,2,TRUE)/100)^(1/12)-1</f>
        <v>0</v>
      </c>
      <c r="AL1201">
        <f t="shared" si="887"/>
        <v>0</v>
      </c>
      <c r="AM1201">
        <f>('Real assumptions'!$B$33/12)*O1200*AV1200</f>
        <v>0</v>
      </c>
      <c r="AN1201">
        <f t="shared" si="875"/>
        <v>0</v>
      </c>
      <c r="AO1201">
        <f t="shared" si="899"/>
        <v>0</v>
      </c>
      <c r="AP1201" s="121">
        <f t="shared" si="876"/>
        <v>0</v>
      </c>
      <c r="AQ1201">
        <f t="shared" si="877"/>
        <v>0</v>
      </c>
      <c r="AR1201">
        <v>0</v>
      </c>
      <c r="AS1201">
        <f t="shared" si="860"/>
        <v>0</v>
      </c>
      <c r="AT1201">
        <f t="shared" si="878"/>
        <v>0</v>
      </c>
      <c r="AU1201">
        <f>IFERROR(HLOOKUP(B1201,'Real assumptions'!$B$43:$AL$44,2,TRUE)*($W$3/$U$2),0)</f>
        <v>0</v>
      </c>
      <c r="AV1201">
        <f>AV1200*(1+'Real assumptions'!$B$35)^(1/12)</f>
        <v>3.4241891181440729</v>
      </c>
      <c r="AW1201">
        <f t="shared" si="861"/>
        <v>2118</v>
      </c>
      <c r="AX1201">
        <f t="shared" si="888"/>
        <v>0</v>
      </c>
      <c r="AY1201">
        <f t="shared" si="889"/>
        <v>0</v>
      </c>
      <c r="AZ1201">
        <f t="shared" si="862"/>
        <v>0</v>
      </c>
      <c r="BA1201">
        <f t="shared" si="879"/>
        <v>0</v>
      </c>
      <c r="BB1201">
        <f t="shared" si="880"/>
        <v>-0.1666666666666714</v>
      </c>
      <c r="BC1201">
        <f t="shared" si="863"/>
        <v>-0.10000000000000284</v>
      </c>
      <c r="BD1201">
        <f t="shared" si="881"/>
        <v>0</v>
      </c>
      <c r="BE1201">
        <f t="shared" si="864"/>
        <v>0</v>
      </c>
      <c r="BF1201">
        <f t="shared" si="890"/>
        <v>5000</v>
      </c>
      <c r="BU1201"/>
      <c r="DW1201" s="89"/>
      <c r="DX1201" s="89"/>
      <c r="FD1201"/>
      <c r="FE1201"/>
    </row>
    <row r="1202" spans="1:161" x14ac:dyDescent="0.25">
      <c r="A1202" s="7">
        <f t="shared" si="882"/>
        <v>79683</v>
      </c>
      <c r="B1202">
        <f t="shared" si="865"/>
        <v>1191</v>
      </c>
      <c r="C1202">
        <f t="shared" si="893"/>
        <v>99.166666666666671</v>
      </c>
      <c r="D1202">
        <f t="shared" si="894"/>
        <v>0</v>
      </c>
      <c r="E1202">
        <f t="shared" si="866"/>
        <v>151</v>
      </c>
      <c r="F1202">
        <f>IF(C1202&gt;=$T$2,0,VLOOKUP($E1202,EKM_F05!$A$3:$C$128,2,TRUE))</f>
        <v>0</v>
      </c>
      <c r="G1202">
        <f>F1202*'Real assumptions'!$B$3</f>
        <v>0</v>
      </c>
      <c r="H1202">
        <f t="shared" si="891"/>
        <v>0</v>
      </c>
      <c r="I1202">
        <f t="shared" si="895"/>
        <v>0</v>
      </c>
      <c r="J1202">
        <f>IF(B1202&gt;$AJ$2,0,HLOOKUP(C1202,'Real assumptions'!$B$5:$L$8,4,TRUE))</f>
        <v>0</v>
      </c>
      <c r="K1202">
        <f t="shared" si="855"/>
        <v>0</v>
      </c>
      <c r="L1202">
        <f t="shared" si="883"/>
        <v>0</v>
      </c>
      <c r="M1202">
        <f t="shared" si="896"/>
        <v>0</v>
      </c>
      <c r="N1202">
        <f t="shared" si="892"/>
        <v>0</v>
      </c>
      <c r="O1202" s="8">
        <f t="shared" si="867"/>
        <v>0</v>
      </c>
      <c r="P1202">
        <f t="shared" si="868"/>
        <v>0</v>
      </c>
      <c r="Q1202">
        <f t="shared" si="884"/>
        <v>0</v>
      </c>
      <c r="R1202" s="89">
        <f t="shared" si="856"/>
        <v>5000</v>
      </c>
      <c r="S1202">
        <f t="shared" si="857"/>
        <v>0.75</v>
      </c>
      <c r="U1202">
        <f>O1201*AV1201*'Real assumptions'!$B$33/12+AX1202*'Real assumptions'!$B$34</f>
        <v>0</v>
      </c>
      <c r="V1202">
        <f>IF(P1202=0,0,IF(E1202&lt;=$C$7,$AN$5*O1201,0))*'Real assumptions'!$D$28</f>
        <v>0</v>
      </c>
      <c r="X1202" s="94">
        <f t="shared" si="869"/>
        <v>0</v>
      </c>
      <c r="Y1202">
        <f t="shared" si="858"/>
        <v>0</v>
      </c>
      <c r="Z1202">
        <f t="shared" si="885"/>
        <v>-1</v>
      </c>
      <c r="AA1202">
        <f t="shared" si="859"/>
        <v>-0.25</v>
      </c>
      <c r="AB1202">
        <f t="shared" si="870"/>
        <v>50.505050505050505</v>
      </c>
      <c r="AC1202">
        <f t="shared" si="897"/>
        <v>-12.626262626262626</v>
      </c>
      <c r="AD1202">
        <f t="shared" si="871"/>
        <v>80.505050505050505</v>
      </c>
      <c r="AE1202">
        <f t="shared" si="872"/>
        <v>-1.0063131313131313</v>
      </c>
      <c r="AF1202" s="94">
        <f t="shared" si="873"/>
        <v>5013.6325757575751</v>
      </c>
      <c r="AG1202">
        <f t="shared" si="886"/>
        <v>0</v>
      </c>
      <c r="AH1202">
        <f t="shared" si="874"/>
        <v>0</v>
      </c>
      <c r="AI1202">
        <f>HLOOKUP(AW1202,'Real assumptions'!$A$21:$AK$24,2,TRUE)</f>
        <v>0</v>
      </c>
      <c r="AJ1202" s="123">
        <f t="shared" si="898"/>
        <v>0</v>
      </c>
      <c r="AK1202" s="122">
        <f>(1+HLOOKUP(YEAR(A1202),'Real assumptions'!$A$21:$AK$24,2,TRUE)/100)^(1/12)-1</f>
        <v>0</v>
      </c>
      <c r="AL1202">
        <f t="shared" si="887"/>
        <v>0</v>
      </c>
      <c r="AM1202">
        <f>('Real assumptions'!$B$33/12)*O1201*AV1201</f>
        <v>0</v>
      </c>
      <c r="AN1202">
        <f t="shared" si="875"/>
        <v>0</v>
      </c>
      <c r="AO1202">
        <f t="shared" si="899"/>
        <v>0</v>
      </c>
      <c r="AP1202" s="121">
        <f t="shared" si="876"/>
        <v>0</v>
      </c>
      <c r="AQ1202">
        <f t="shared" si="877"/>
        <v>0</v>
      </c>
      <c r="AR1202">
        <v>0</v>
      </c>
      <c r="AS1202">
        <f t="shared" si="860"/>
        <v>0</v>
      </c>
      <c r="AT1202">
        <f t="shared" si="878"/>
        <v>0</v>
      </c>
      <c r="AU1202">
        <f>IFERROR(HLOOKUP(B1202,'Real assumptions'!$B$43:$AL$44,2,TRUE)*($W$3/$U$2),0)</f>
        <v>0</v>
      </c>
      <c r="AV1202">
        <f>AV1201*(1+'Real assumptions'!$B$35)^(1/12)</f>
        <v>3.4277357083767641</v>
      </c>
      <c r="AW1202">
        <f t="shared" si="861"/>
        <v>2118</v>
      </c>
      <c r="AX1202">
        <f t="shared" si="888"/>
        <v>0</v>
      </c>
      <c r="AY1202">
        <f t="shared" si="889"/>
        <v>0</v>
      </c>
      <c r="AZ1202">
        <f t="shared" si="862"/>
        <v>0</v>
      </c>
      <c r="BA1202">
        <f t="shared" si="879"/>
        <v>0</v>
      </c>
      <c r="BB1202">
        <f t="shared" si="880"/>
        <v>-0.25</v>
      </c>
      <c r="BC1202">
        <f t="shared" si="863"/>
        <v>-0.15</v>
      </c>
      <c r="BD1202">
        <f t="shared" si="881"/>
        <v>0</v>
      </c>
      <c r="BE1202">
        <f t="shared" si="864"/>
        <v>0</v>
      </c>
      <c r="BF1202">
        <f t="shared" si="890"/>
        <v>5000</v>
      </c>
      <c r="BU1202"/>
      <c r="DW1202" s="89"/>
      <c r="DX1202" s="89"/>
      <c r="FD1202"/>
      <c r="FE1202"/>
    </row>
    <row r="1203" spans="1:161" x14ac:dyDescent="0.25">
      <c r="A1203" s="7">
        <f t="shared" si="882"/>
        <v>79714</v>
      </c>
      <c r="B1203">
        <f t="shared" si="865"/>
        <v>1192</v>
      </c>
      <c r="C1203">
        <f t="shared" si="893"/>
        <v>99.25</v>
      </c>
      <c r="D1203">
        <f t="shared" si="894"/>
        <v>0</v>
      </c>
      <c r="E1203">
        <f t="shared" si="866"/>
        <v>151</v>
      </c>
      <c r="F1203">
        <f>IF(C1203&gt;=$T$2,0,VLOOKUP($E1203,EKM_F05!$A$3:$C$128,2,TRUE))</f>
        <v>0</v>
      </c>
      <c r="G1203">
        <f>F1203*'Real assumptions'!$B$3</f>
        <v>0</v>
      </c>
      <c r="H1203">
        <f t="shared" si="891"/>
        <v>0</v>
      </c>
      <c r="I1203">
        <f t="shared" si="895"/>
        <v>0</v>
      </c>
      <c r="J1203">
        <f>IF(B1203&gt;$AJ$2,0,HLOOKUP(C1203,'Real assumptions'!$B$5:$L$8,4,TRUE))</f>
        <v>0</v>
      </c>
      <c r="K1203">
        <f t="shared" si="855"/>
        <v>0</v>
      </c>
      <c r="L1203">
        <f t="shared" si="883"/>
        <v>0</v>
      </c>
      <c r="M1203">
        <f t="shared" si="896"/>
        <v>0</v>
      </c>
      <c r="N1203">
        <f t="shared" si="892"/>
        <v>0</v>
      </c>
      <c r="O1203" s="8">
        <f t="shared" si="867"/>
        <v>0</v>
      </c>
      <c r="P1203">
        <f t="shared" si="868"/>
        <v>0</v>
      </c>
      <c r="Q1203">
        <f t="shared" si="884"/>
        <v>0</v>
      </c>
      <c r="R1203" s="89">
        <f t="shared" si="856"/>
        <v>5000</v>
      </c>
      <c r="S1203">
        <f t="shared" si="857"/>
        <v>0.6666666666666714</v>
      </c>
      <c r="U1203">
        <f>O1202*AV1202*'Real assumptions'!$B$33/12+AX1203*'Real assumptions'!$B$34</f>
        <v>0</v>
      </c>
      <c r="V1203">
        <f>IF(P1203=0,0,IF(E1203&lt;=$C$7,$AN$5*O1202,0))*'Real assumptions'!$D$28</f>
        <v>0</v>
      </c>
      <c r="X1203" s="94">
        <f t="shared" si="869"/>
        <v>0</v>
      </c>
      <c r="Y1203">
        <f t="shared" si="858"/>
        <v>0</v>
      </c>
      <c r="Z1203">
        <f t="shared" si="885"/>
        <v>-1</v>
      </c>
      <c r="AA1203">
        <f t="shared" si="859"/>
        <v>-0.3333333333333286</v>
      </c>
      <c r="AB1203">
        <f t="shared" si="870"/>
        <v>50.505050505050505</v>
      </c>
      <c r="AC1203">
        <f t="shared" si="897"/>
        <v>-16.835016835016596</v>
      </c>
      <c r="AD1203">
        <f t="shared" si="871"/>
        <v>80.505050505050505</v>
      </c>
      <c r="AE1203">
        <f t="shared" si="872"/>
        <v>-1.3417508417508226</v>
      </c>
      <c r="AF1203" s="94">
        <f t="shared" si="873"/>
        <v>5018.1767676767668</v>
      </c>
      <c r="AG1203">
        <f t="shared" si="886"/>
        <v>0</v>
      </c>
      <c r="AH1203">
        <f t="shared" si="874"/>
        <v>0</v>
      </c>
      <c r="AI1203">
        <f>HLOOKUP(AW1203,'Real assumptions'!$A$21:$AK$24,2,TRUE)</f>
        <v>0</v>
      </c>
      <c r="AJ1203" s="123">
        <f t="shared" si="898"/>
        <v>0</v>
      </c>
      <c r="AK1203" s="122">
        <f>(1+HLOOKUP(YEAR(A1203),'Real assumptions'!$A$21:$AK$24,2,TRUE)/100)^(1/12)-1</f>
        <v>0</v>
      </c>
      <c r="AL1203">
        <f t="shared" si="887"/>
        <v>0</v>
      </c>
      <c r="AM1203">
        <f>('Real assumptions'!$B$33/12)*O1202*AV1202</f>
        <v>0</v>
      </c>
      <c r="AN1203">
        <f t="shared" si="875"/>
        <v>0</v>
      </c>
      <c r="AO1203">
        <f t="shared" si="899"/>
        <v>0</v>
      </c>
      <c r="AP1203" s="121">
        <f t="shared" si="876"/>
        <v>0</v>
      </c>
      <c r="AQ1203">
        <f t="shared" si="877"/>
        <v>0</v>
      </c>
      <c r="AR1203">
        <v>0</v>
      </c>
      <c r="AS1203">
        <f t="shared" si="860"/>
        <v>0</v>
      </c>
      <c r="AT1203">
        <f t="shared" si="878"/>
        <v>0</v>
      </c>
      <c r="AU1203">
        <f>IFERROR(HLOOKUP(B1203,'Real assumptions'!$B$43:$AL$44,2,TRUE)*($W$3/$U$2),0)</f>
        <v>0</v>
      </c>
      <c r="AV1203">
        <f>AV1202*(1+'Real assumptions'!$B$35)^(1/12)</f>
        <v>3.4312859719761546</v>
      </c>
      <c r="AW1203">
        <f t="shared" si="861"/>
        <v>2118</v>
      </c>
      <c r="AX1203">
        <f t="shared" si="888"/>
        <v>0</v>
      </c>
      <c r="AY1203">
        <f t="shared" si="889"/>
        <v>0</v>
      </c>
      <c r="AZ1203">
        <f t="shared" si="862"/>
        <v>0</v>
      </c>
      <c r="BA1203">
        <f t="shared" si="879"/>
        <v>0</v>
      </c>
      <c r="BB1203">
        <f t="shared" si="880"/>
        <v>-0.3333333333333286</v>
      </c>
      <c r="BC1203">
        <f t="shared" si="863"/>
        <v>-0.19999999999999715</v>
      </c>
      <c r="BD1203">
        <f t="shared" si="881"/>
        <v>0</v>
      </c>
      <c r="BE1203">
        <f t="shared" si="864"/>
        <v>0</v>
      </c>
      <c r="BF1203">
        <f t="shared" si="890"/>
        <v>5000</v>
      </c>
      <c r="BU1203"/>
      <c r="DW1203" s="89"/>
      <c r="DX1203" s="89"/>
      <c r="FD1203"/>
      <c r="FE1203"/>
    </row>
    <row r="1204" spans="1:161" x14ac:dyDescent="0.25">
      <c r="A1204" s="7">
        <f t="shared" si="882"/>
        <v>79744</v>
      </c>
      <c r="B1204">
        <f t="shared" si="865"/>
        <v>1193</v>
      </c>
      <c r="C1204">
        <f t="shared" si="893"/>
        <v>99.333333333333329</v>
      </c>
      <c r="D1204">
        <f t="shared" si="894"/>
        <v>0</v>
      </c>
      <c r="E1204">
        <f t="shared" si="866"/>
        <v>151</v>
      </c>
      <c r="F1204">
        <f>IF(C1204&gt;=$T$2,0,VLOOKUP($E1204,EKM_F05!$A$3:$C$128,2,TRUE))</f>
        <v>0</v>
      </c>
      <c r="G1204">
        <f>F1204*'Real assumptions'!$B$3</f>
        <v>0</v>
      </c>
      <c r="H1204">
        <f t="shared" si="891"/>
        <v>0</v>
      </c>
      <c r="I1204">
        <f t="shared" si="895"/>
        <v>0</v>
      </c>
      <c r="J1204">
        <f>IF(B1204&gt;$AJ$2,0,HLOOKUP(C1204,'Real assumptions'!$B$5:$L$8,4,TRUE))</f>
        <v>0</v>
      </c>
      <c r="K1204">
        <f t="shared" si="855"/>
        <v>0</v>
      </c>
      <c r="L1204">
        <f t="shared" si="883"/>
        <v>0</v>
      </c>
      <c r="M1204">
        <f t="shared" si="896"/>
        <v>0</v>
      </c>
      <c r="N1204">
        <f t="shared" si="892"/>
        <v>0</v>
      </c>
      <c r="O1204" s="8">
        <f t="shared" si="867"/>
        <v>0</v>
      </c>
      <c r="P1204">
        <f t="shared" si="868"/>
        <v>0</v>
      </c>
      <c r="Q1204">
        <f t="shared" si="884"/>
        <v>0</v>
      </c>
      <c r="R1204" s="89">
        <f t="shared" si="856"/>
        <v>5000</v>
      </c>
      <c r="S1204">
        <f t="shared" si="857"/>
        <v>0.5833333333333286</v>
      </c>
      <c r="U1204">
        <f>O1203*AV1203*'Real assumptions'!$B$33/12+AX1204*'Real assumptions'!$B$34</f>
        <v>0</v>
      </c>
      <c r="V1204">
        <f>IF(P1204=0,0,IF(E1204&lt;=$C$7,$AN$5*O1203,0))*'Real assumptions'!$D$28</f>
        <v>0</v>
      </c>
      <c r="X1204" s="94">
        <f t="shared" si="869"/>
        <v>0</v>
      </c>
      <c r="Y1204">
        <f t="shared" si="858"/>
        <v>0</v>
      </c>
      <c r="Z1204">
        <f t="shared" si="885"/>
        <v>-1</v>
      </c>
      <c r="AA1204">
        <f t="shared" si="859"/>
        <v>-0.4166666666666714</v>
      </c>
      <c r="AB1204">
        <f t="shared" si="870"/>
        <v>50.505050505050505</v>
      </c>
      <c r="AC1204">
        <f t="shared" si="897"/>
        <v>-21.043771043771283</v>
      </c>
      <c r="AD1204">
        <f t="shared" si="871"/>
        <v>80.505050505050505</v>
      </c>
      <c r="AE1204">
        <f t="shared" si="872"/>
        <v>-1.6771885521885712</v>
      </c>
      <c r="AF1204" s="94">
        <f t="shared" si="873"/>
        <v>5022.7209595959594</v>
      </c>
      <c r="AG1204">
        <f t="shared" si="886"/>
        <v>0</v>
      </c>
      <c r="AH1204">
        <f t="shared" si="874"/>
        <v>0</v>
      </c>
      <c r="AI1204">
        <f>HLOOKUP(AW1204,'Real assumptions'!$A$21:$AK$24,2,TRUE)</f>
        <v>0</v>
      </c>
      <c r="AJ1204" s="123">
        <f t="shared" si="898"/>
        <v>0</v>
      </c>
      <c r="AK1204" s="122">
        <f>(1+HLOOKUP(YEAR(A1204),'Real assumptions'!$A$21:$AK$24,2,TRUE)/100)^(1/12)-1</f>
        <v>0</v>
      </c>
      <c r="AL1204">
        <f t="shared" si="887"/>
        <v>0</v>
      </c>
      <c r="AM1204">
        <f>('Real assumptions'!$B$33/12)*O1203*AV1203</f>
        <v>0</v>
      </c>
      <c r="AN1204">
        <f t="shared" si="875"/>
        <v>0</v>
      </c>
      <c r="AO1204">
        <f t="shared" si="899"/>
        <v>0</v>
      </c>
      <c r="AP1204" s="121">
        <f t="shared" si="876"/>
        <v>0</v>
      </c>
      <c r="AQ1204">
        <f t="shared" si="877"/>
        <v>0</v>
      </c>
      <c r="AR1204">
        <v>0</v>
      </c>
      <c r="AS1204">
        <f t="shared" si="860"/>
        <v>0</v>
      </c>
      <c r="AT1204">
        <f t="shared" si="878"/>
        <v>0</v>
      </c>
      <c r="AU1204">
        <f>IFERROR(HLOOKUP(B1204,'Real assumptions'!$B$43:$AL$44,2,TRUE)*($W$3/$U$2),0)</f>
        <v>0</v>
      </c>
      <c r="AV1204">
        <f>AV1203*(1+'Real assumptions'!$B$35)^(1/12)</f>
        <v>3.4348399127469191</v>
      </c>
      <c r="AW1204">
        <f t="shared" si="861"/>
        <v>2118</v>
      </c>
      <c r="AX1204">
        <f t="shared" si="888"/>
        <v>0</v>
      </c>
      <c r="AY1204">
        <f t="shared" si="889"/>
        <v>0</v>
      </c>
      <c r="AZ1204">
        <f t="shared" si="862"/>
        <v>0</v>
      </c>
      <c r="BA1204">
        <f t="shared" si="879"/>
        <v>0</v>
      </c>
      <c r="BB1204">
        <f t="shared" si="880"/>
        <v>-0.4166666666666714</v>
      </c>
      <c r="BC1204">
        <f t="shared" si="863"/>
        <v>-0.25000000000000283</v>
      </c>
      <c r="BD1204">
        <f t="shared" si="881"/>
        <v>0</v>
      </c>
      <c r="BE1204">
        <f t="shared" si="864"/>
        <v>0</v>
      </c>
      <c r="BF1204">
        <f t="shared" si="890"/>
        <v>5000</v>
      </c>
      <c r="BU1204"/>
      <c r="DW1204" s="89"/>
      <c r="DX1204" s="89"/>
      <c r="FD1204"/>
      <c r="FE1204"/>
    </row>
    <row r="1205" spans="1:161" x14ac:dyDescent="0.25">
      <c r="A1205" s="7">
        <f t="shared" si="882"/>
        <v>79775</v>
      </c>
      <c r="B1205">
        <f t="shared" si="865"/>
        <v>1194</v>
      </c>
      <c r="C1205">
        <f t="shared" si="893"/>
        <v>99.416666666666671</v>
      </c>
      <c r="D1205">
        <f t="shared" si="894"/>
        <v>0</v>
      </c>
      <c r="E1205">
        <f t="shared" si="866"/>
        <v>151</v>
      </c>
      <c r="F1205">
        <f>IF(C1205&gt;=$T$2,0,VLOOKUP($E1205,EKM_F05!$A$3:$C$128,2,TRUE))</f>
        <v>0</v>
      </c>
      <c r="G1205">
        <f>F1205*'Real assumptions'!$B$3</f>
        <v>0</v>
      </c>
      <c r="H1205">
        <f t="shared" si="891"/>
        <v>0</v>
      </c>
      <c r="I1205">
        <f t="shared" si="895"/>
        <v>0</v>
      </c>
      <c r="J1205">
        <f>IF(B1205&gt;$AJ$2,0,HLOOKUP(C1205,'Real assumptions'!$B$5:$L$8,4,TRUE))</f>
        <v>0</v>
      </c>
      <c r="K1205">
        <f t="shared" si="855"/>
        <v>0</v>
      </c>
      <c r="L1205">
        <f t="shared" si="883"/>
        <v>0</v>
      </c>
      <c r="M1205">
        <f t="shared" si="896"/>
        <v>0</v>
      </c>
      <c r="N1205">
        <f t="shared" si="892"/>
        <v>0</v>
      </c>
      <c r="O1205" s="8">
        <f t="shared" si="867"/>
        <v>0</v>
      </c>
      <c r="P1205">
        <f t="shared" si="868"/>
        <v>0</v>
      </c>
      <c r="Q1205">
        <f t="shared" si="884"/>
        <v>0</v>
      </c>
      <c r="R1205" s="89">
        <f t="shared" si="856"/>
        <v>5000</v>
      </c>
      <c r="S1205">
        <f t="shared" si="857"/>
        <v>0.5</v>
      </c>
      <c r="U1205">
        <f>O1204*AV1204*'Real assumptions'!$B$33/12+AX1205*'Real assumptions'!$B$34</f>
        <v>0</v>
      </c>
      <c r="V1205">
        <f>IF(P1205=0,0,IF(E1205&lt;=$C$7,$AN$5*O1204,0))*'Real assumptions'!$D$28</f>
        <v>0</v>
      </c>
      <c r="X1205" s="94">
        <f t="shared" si="869"/>
        <v>0</v>
      </c>
      <c r="Y1205">
        <f t="shared" si="858"/>
        <v>0</v>
      </c>
      <c r="Z1205">
        <f t="shared" si="885"/>
        <v>-1</v>
      </c>
      <c r="AA1205">
        <f t="shared" si="859"/>
        <v>-0.5</v>
      </c>
      <c r="AB1205">
        <f t="shared" si="870"/>
        <v>50.505050505050505</v>
      </c>
      <c r="AC1205">
        <f t="shared" si="897"/>
        <v>-25.252525252525253</v>
      </c>
      <c r="AD1205">
        <f t="shared" si="871"/>
        <v>80.505050505050505</v>
      </c>
      <c r="AE1205">
        <f t="shared" si="872"/>
        <v>-2.0126262626262625</v>
      </c>
      <c r="AF1205" s="94">
        <f t="shared" si="873"/>
        <v>5027.265151515152</v>
      </c>
      <c r="AG1205">
        <f t="shared" si="886"/>
        <v>0</v>
      </c>
      <c r="AH1205">
        <f t="shared" si="874"/>
        <v>0</v>
      </c>
      <c r="AI1205">
        <f>HLOOKUP(AW1205,'Real assumptions'!$A$21:$AK$24,2,TRUE)</f>
        <v>0</v>
      </c>
      <c r="AJ1205" s="123">
        <f t="shared" si="898"/>
        <v>0</v>
      </c>
      <c r="AK1205" s="122">
        <f>(1+HLOOKUP(YEAR(A1205),'Real assumptions'!$A$21:$AK$24,2,TRUE)/100)^(1/12)-1</f>
        <v>0</v>
      </c>
      <c r="AL1205">
        <f t="shared" si="887"/>
        <v>0</v>
      </c>
      <c r="AM1205">
        <f>('Real assumptions'!$B$33/12)*O1204*AV1204</f>
        <v>0</v>
      </c>
      <c r="AN1205">
        <f t="shared" si="875"/>
        <v>0</v>
      </c>
      <c r="AO1205">
        <f t="shared" si="899"/>
        <v>0</v>
      </c>
      <c r="AP1205" s="121">
        <f t="shared" si="876"/>
        <v>0</v>
      </c>
      <c r="AQ1205">
        <f t="shared" si="877"/>
        <v>0</v>
      </c>
      <c r="AR1205">
        <v>0</v>
      </c>
      <c r="AS1205">
        <f t="shared" si="860"/>
        <v>0</v>
      </c>
      <c r="AT1205">
        <f t="shared" si="878"/>
        <v>0</v>
      </c>
      <c r="AU1205">
        <f>IFERROR(HLOOKUP(B1205,'Real assumptions'!$B$43:$AL$44,2,TRUE)*($W$3/$U$2),0)</f>
        <v>0</v>
      </c>
      <c r="AV1205">
        <f>AV1204*(1+'Real assumptions'!$B$35)^(1/12)</f>
        <v>3.4383975344976738</v>
      </c>
      <c r="AW1205">
        <f t="shared" si="861"/>
        <v>2118</v>
      </c>
      <c r="AX1205">
        <f t="shared" si="888"/>
        <v>0</v>
      </c>
      <c r="AY1205">
        <f t="shared" si="889"/>
        <v>0</v>
      </c>
      <c r="AZ1205">
        <f t="shared" si="862"/>
        <v>0</v>
      </c>
      <c r="BA1205">
        <f t="shared" si="879"/>
        <v>0</v>
      </c>
      <c r="BB1205">
        <f t="shared" si="880"/>
        <v>-0.5</v>
      </c>
      <c r="BC1205">
        <f t="shared" si="863"/>
        <v>-0.3</v>
      </c>
      <c r="BD1205">
        <f t="shared" si="881"/>
        <v>0</v>
      </c>
      <c r="BE1205">
        <f t="shared" si="864"/>
        <v>0</v>
      </c>
      <c r="BF1205">
        <f t="shared" si="890"/>
        <v>5000</v>
      </c>
      <c r="BU1205"/>
      <c r="DW1205" s="89"/>
      <c r="DX1205" s="89"/>
      <c r="FD1205"/>
      <c r="FE1205"/>
    </row>
    <row r="1206" spans="1:161" x14ac:dyDescent="0.25">
      <c r="A1206" s="7">
        <f t="shared" si="882"/>
        <v>79805</v>
      </c>
      <c r="B1206">
        <f t="shared" si="865"/>
        <v>1195</v>
      </c>
      <c r="C1206">
        <f t="shared" si="893"/>
        <v>99.5</v>
      </c>
      <c r="D1206">
        <f t="shared" si="894"/>
        <v>0</v>
      </c>
      <c r="E1206">
        <f t="shared" si="866"/>
        <v>151</v>
      </c>
      <c r="F1206">
        <f>IF(C1206&gt;=$T$2,0,VLOOKUP($E1206,EKM_F05!$A$3:$C$128,2,TRUE))</f>
        <v>0</v>
      </c>
      <c r="G1206">
        <f>F1206*'Real assumptions'!$B$3</f>
        <v>0</v>
      </c>
      <c r="H1206">
        <f t="shared" si="891"/>
        <v>0</v>
      </c>
      <c r="I1206">
        <f t="shared" si="895"/>
        <v>0</v>
      </c>
      <c r="J1206">
        <f>IF(B1206&gt;$AJ$2,0,HLOOKUP(C1206,'Real assumptions'!$B$5:$L$8,4,TRUE))</f>
        <v>0</v>
      </c>
      <c r="K1206">
        <f t="shared" si="855"/>
        <v>0</v>
      </c>
      <c r="L1206">
        <f t="shared" si="883"/>
        <v>0</v>
      </c>
      <c r="M1206">
        <f t="shared" si="896"/>
        <v>0</v>
      </c>
      <c r="N1206">
        <f t="shared" si="892"/>
        <v>0</v>
      </c>
      <c r="O1206" s="8">
        <f t="shared" si="867"/>
        <v>0</v>
      </c>
      <c r="P1206">
        <f t="shared" si="868"/>
        <v>0</v>
      </c>
      <c r="Q1206">
        <f t="shared" si="884"/>
        <v>0</v>
      </c>
      <c r="R1206" s="89">
        <f t="shared" si="856"/>
        <v>5000</v>
      </c>
      <c r="S1206">
        <f t="shared" si="857"/>
        <v>0.4166666666666714</v>
      </c>
      <c r="U1206">
        <f>O1205*AV1205*'Real assumptions'!$B$33/12+AX1206*'Real assumptions'!$B$34</f>
        <v>0</v>
      </c>
      <c r="V1206">
        <f>IF(P1206=0,0,IF(E1206&lt;=$C$7,$AN$5*O1205,0))*'Real assumptions'!$D$28</f>
        <v>0</v>
      </c>
      <c r="X1206" s="94">
        <f t="shared" si="869"/>
        <v>0</v>
      </c>
      <c r="Y1206">
        <f t="shared" si="858"/>
        <v>0</v>
      </c>
      <c r="Z1206">
        <f t="shared" si="885"/>
        <v>-1</v>
      </c>
      <c r="AA1206">
        <f t="shared" si="859"/>
        <v>-0.5833333333333286</v>
      </c>
      <c r="AB1206">
        <f t="shared" si="870"/>
        <v>50.505050505050505</v>
      </c>
      <c r="AC1206">
        <f t="shared" si="897"/>
        <v>-29.461279461279222</v>
      </c>
      <c r="AD1206">
        <f t="shared" si="871"/>
        <v>80.505050505050505</v>
      </c>
      <c r="AE1206">
        <f t="shared" si="872"/>
        <v>-2.3480639730639541</v>
      </c>
      <c r="AF1206" s="94">
        <f t="shared" si="873"/>
        <v>5031.8093434343436</v>
      </c>
      <c r="AG1206">
        <f t="shared" si="886"/>
        <v>0</v>
      </c>
      <c r="AH1206">
        <f t="shared" si="874"/>
        <v>0</v>
      </c>
      <c r="AI1206">
        <f>HLOOKUP(AW1206,'Real assumptions'!$A$21:$AK$24,2,TRUE)</f>
        <v>0</v>
      </c>
      <c r="AJ1206" s="123">
        <f t="shared" si="898"/>
        <v>0</v>
      </c>
      <c r="AK1206" s="122">
        <f>(1+HLOOKUP(YEAR(A1206),'Real assumptions'!$A$21:$AK$24,2,TRUE)/100)^(1/12)-1</f>
        <v>0</v>
      </c>
      <c r="AL1206">
        <f t="shared" si="887"/>
        <v>0</v>
      </c>
      <c r="AM1206">
        <f>('Real assumptions'!$B$33/12)*O1205*AV1205</f>
        <v>0</v>
      </c>
      <c r="AN1206">
        <f t="shared" si="875"/>
        <v>0</v>
      </c>
      <c r="AO1206">
        <f t="shared" si="899"/>
        <v>0</v>
      </c>
      <c r="AP1206" s="121">
        <f t="shared" si="876"/>
        <v>0</v>
      </c>
      <c r="AQ1206">
        <f t="shared" si="877"/>
        <v>0</v>
      </c>
      <c r="AR1206">
        <v>0</v>
      </c>
      <c r="AS1206">
        <f t="shared" si="860"/>
        <v>0</v>
      </c>
      <c r="AT1206">
        <f t="shared" si="878"/>
        <v>0</v>
      </c>
      <c r="AU1206">
        <f>IFERROR(HLOOKUP(B1206,'Real assumptions'!$B$43:$AL$44,2,TRUE)*($W$3/$U$2),0)</f>
        <v>0</v>
      </c>
      <c r="AV1206">
        <f>AV1205*(1+'Real assumptions'!$B$35)^(1/12)</f>
        <v>3.4419588410409783</v>
      </c>
      <c r="AW1206">
        <f t="shared" si="861"/>
        <v>2118</v>
      </c>
      <c r="AX1206">
        <f t="shared" si="888"/>
        <v>0</v>
      </c>
      <c r="AY1206">
        <f t="shared" si="889"/>
        <v>0</v>
      </c>
      <c r="AZ1206">
        <f t="shared" si="862"/>
        <v>0</v>
      </c>
      <c r="BA1206">
        <f t="shared" si="879"/>
        <v>0</v>
      </c>
      <c r="BB1206">
        <f t="shared" si="880"/>
        <v>-0.5833333333333286</v>
      </c>
      <c r="BC1206">
        <f t="shared" si="863"/>
        <v>-0.34999999999999715</v>
      </c>
      <c r="BD1206">
        <f t="shared" si="881"/>
        <v>0</v>
      </c>
      <c r="BE1206">
        <f t="shared" si="864"/>
        <v>0</v>
      </c>
      <c r="BF1206">
        <f t="shared" si="890"/>
        <v>5000</v>
      </c>
      <c r="BU1206"/>
      <c r="DW1206" s="89"/>
      <c r="DX1206" s="89"/>
      <c r="FD1206"/>
      <c r="FE1206"/>
    </row>
    <row r="1207" spans="1:161" x14ac:dyDescent="0.25">
      <c r="A1207" s="7">
        <f t="shared" si="882"/>
        <v>79836</v>
      </c>
      <c r="B1207">
        <f t="shared" si="865"/>
        <v>1196</v>
      </c>
      <c r="C1207">
        <f t="shared" si="893"/>
        <v>99.583333333333329</v>
      </c>
      <c r="D1207">
        <f t="shared" si="894"/>
        <v>0</v>
      </c>
      <c r="E1207">
        <f t="shared" si="866"/>
        <v>151</v>
      </c>
      <c r="F1207">
        <f>IF(C1207&gt;=$T$2,0,VLOOKUP($E1207,EKM_F05!$A$3:$C$128,2,TRUE))</f>
        <v>0</v>
      </c>
      <c r="G1207">
        <f>F1207*'Real assumptions'!$B$3</f>
        <v>0</v>
      </c>
      <c r="H1207">
        <f t="shared" si="891"/>
        <v>0</v>
      </c>
      <c r="I1207">
        <f t="shared" si="895"/>
        <v>0</v>
      </c>
      <c r="J1207">
        <f>IF(B1207&gt;$AJ$2,0,HLOOKUP(C1207,'Real assumptions'!$B$5:$L$8,4,TRUE))</f>
        <v>0</v>
      </c>
      <c r="K1207">
        <f t="shared" si="855"/>
        <v>0</v>
      </c>
      <c r="L1207">
        <f t="shared" si="883"/>
        <v>0</v>
      </c>
      <c r="M1207">
        <f t="shared" si="896"/>
        <v>0</v>
      </c>
      <c r="N1207">
        <f t="shared" si="892"/>
        <v>0</v>
      </c>
      <c r="O1207" s="8">
        <f t="shared" si="867"/>
        <v>0</v>
      </c>
      <c r="P1207">
        <f t="shared" si="868"/>
        <v>0</v>
      </c>
      <c r="Q1207">
        <f t="shared" si="884"/>
        <v>0</v>
      </c>
      <c r="R1207" s="89">
        <f t="shared" si="856"/>
        <v>5000</v>
      </c>
      <c r="S1207">
        <f t="shared" si="857"/>
        <v>0.3333333333333286</v>
      </c>
      <c r="U1207">
        <f>O1206*AV1206*'Real assumptions'!$B$33/12+AX1207*'Real assumptions'!$B$34</f>
        <v>0</v>
      </c>
      <c r="V1207">
        <f>IF(P1207=0,0,IF(E1207&lt;=$C$7,$AN$5*O1206,0))*'Real assumptions'!$D$28</f>
        <v>0</v>
      </c>
      <c r="X1207" s="94">
        <f t="shared" si="869"/>
        <v>0</v>
      </c>
      <c r="Y1207">
        <f t="shared" si="858"/>
        <v>0</v>
      </c>
      <c r="Z1207">
        <f t="shared" si="885"/>
        <v>-1</v>
      </c>
      <c r="AA1207">
        <f t="shared" si="859"/>
        <v>-0.6666666666666714</v>
      </c>
      <c r="AB1207">
        <f t="shared" si="870"/>
        <v>50.505050505050505</v>
      </c>
      <c r="AC1207">
        <f t="shared" si="897"/>
        <v>-33.670033670033909</v>
      </c>
      <c r="AD1207">
        <f t="shared" si="871"/>
        <v>80.505050505050505</v>
      </c>
      <c r="AE1207">
        <f t="shared" si="872"/>
        <v>-2.6835016835017025</v>
      </c>
      <c r="AF1207" s="94">
        <f t="shared" si="873"/>
        <v>5036.3535353535362</v>
      </c>
      <c r="AG1207">
        <f t="shared" si="886"/>
        <v>0</v>
      </c>
      <c r="AH1207">
        <f t="shared" si="874"/>
        <v>0</v>
      </c>
      <c r="AI1207">
        <f>HLOOKUP(AW1207,'Real assumptions'!$A$21:$AK$24,2,TRUE)</f>
        <v>0</v>
      </c>
      <c r="AJ1207" s="123">
        <f t="shared" si="898"/>
        <v>0</v>
      </c>
      <c r="AK1207" s="122">
        <f>(1+HLOOKUP(YEAR(A1207),'Real assumptions'!$A$21:$AK$24,2,TRUE)/100)^(1/12)-1</f>
        <v>0</v>
      </c>
      <c r="AL1207">
        <f t="shared" si="887"/>
        <v>0</v>
      </c>
      <c r="AM1207">
        <f>('Real assumptions'!$B$33/12)*O1206*AV1206</f>
        <v>0</v>
      </c>
      <c r="AN1207">
        <f t="shared" si="875"/>
        <v>0</v>
      </c>
      <c r="AO1207">
        <f t="shared" si="899"/>
        <v>0</v>
      </c>
      <c r="AP1207" s="121">
        <f t="shared" si="876"/>
        <v>0</v>
      </c>
      <c r="AQ1207">
        <f t="shared" si="877"/>
        <v>0</v>
      </c>
      <c r="AR1207">
        <v>0</v>
      </c>
      <c r="AS1207">
        <f t="shared" si="860"/>
        <v>0</v>
      </c>
      <c r="AT1207">
        <f t="shared" si="878"/>
        <v>0</v>
      </c>
      <c r="AU1207">
        <f>IFERROR(HLOOKUP(B1207,'Real assumptions'!$B$43:$AL$44,2,TRUE)*($W$3/$U$2),0)</f>
        <v>0</v>
      </c>
      <c r="AV1207">
        <f>AV1206*(1+'Real assumptions'!$B$35)^(1/12)</f>
        <v>3.4455238361933422</v>
      </c>
      <c r="AW1207">
        <f t="shared" si="861"/>
        <v>2118</v>
      </c>
      <c r="AX1207">
        <f t="shared" si="888"/>
        <v>0</v>
      </c>
      <c r="AY1207">
        <f t="shared" si="889"/>
        <v>0</v>
      </c>
      <c r="AZ1207">
        <f t="shared" si="862"/>
        <v>0</v>
      </c>
      <c r="BA1207">
        <f t="shared" si="879"/>
        <v>0</v>
      </c>
      <c r="BB1207">
        <f t="shared" si="880"/>
        <v>-0.6666666666666714</v>
      </c>
      <c r="BC1207">
        <f t="shared" si="863"/>
        <v>-0.4000000000000028</v>
      </c>
      <c r="BD1207">
        <f t="shared" si="881"/>
        <v>0</v>
      </c>
      <c r="BE1207">
        <f t="shared" si="864"/>
        <v>0</v>
      </c>
      <c r="BF1207">
        <f t="shared" si="890"/>
        <v>5000</v>
      </c>
      <c r="BU1207"/>
      <c r="DW1207" s="89"/>
      <c r="DX1207" s="89"/>
      <c r="FD1207"/>
      <c r="FE1207"/>
    </row>
    <row r="1208" spans="1:161" x14ac:dyDescent="0.25">
      <c r="A1208" s="7">
        <f t="shared" si="882"/>
        <v>79867</v>
      </c>
      <c r="B1208">
        <f t="shared" si="865"/>
        <v>1197</v>
      </c>
      <c r="C1208">
        <f t="shared" si="893"/>
        <v>99.666666666666671</v>
      </c>
      <c r="D1208">
        <f t="shared" si="894"/>
        <v>0</v>
      </c>
      <c r="E1208">
        <f t="shared" si="866"/>
        <v>151</v>
      </c>
      <c r="F1208">
        <f>IF(C1208&gt;=$T$2,0,VLOOKUP($E1208,EKM_F05!$A$3:$C$128,2,TRUE))</f>
        <v>0</v>
      </c>
      <c r="G1208">
        <f>F1208*'Real assumptions'!$B$3</f>
        <v>0</v>
      </c>
      <c r="H1208">
        <f t="shared" si="891"/>
        <v>0</v>
      </c>
      <c r="I1208">
        <f t="shared" si="895"/>
        <v>0</v>
      </c>
      <c r="J1208">
        <f>IF(B1208&gt;$AJ$2,0,HLOOKUP(C1208,'Real assumptions'!$B$5:$L$8,4,TRUE))</f>
        <v>0</v>
      </c>
      <c r="K1208">
        <f t="shared" si="855"/>
        <v>0</v>
      </c>
      <c r="L1208">
        <f t="shared" si="883"/>
        <v>0</v>
      </c>
      <c r="M1208">
        <f t="shared" si="896"/>
        <v>0</v>
      </c>
      <c r="N1208">
        <f t="shared" si="892"/>
        <v>0</v>
      </c>
      <c r="O1208" s="8">
        <f t="shared" si="867"/>
        <v>0</v>
      </c>
      <c r="P1208">
        <f t="shared" si="868"/>
        <v>0</v>
      </c>
      <c r="Q1208">
        <f t="shared" si="884"/>
        <v>0</v>
      </c>
      <c r="R1208" s="89">
        <f t="shared" si="856"/>
        <v>5000</v>
      </c>
      <c r="S1208">
        <f t="shared" si="857"/>
        <v>0.25</v>
      </c>
      <c r="U1208">
        <f>O1207*AV1207*'Real assumptions'!$B$33/12+AX1208*'Real assumptions'!$B$34</f>
        <v>0</v>
      </c>
      <c r="V1208">
        <f>IF(P1208=0,0,IF(E1208&lt;=$C$7,$AN$5*O1207,0))*'Real assumptions'!$D$28</f>
        <v>0</v>
      </c>
      <c r="X1208" s="94">
        <f t="shared" si="869"/>
        <v>0</v>
      </c>
      <c r="Y1208">
        <f t="shared" si="858"/>
        <v>0</v>
      </c>
      <c r="Z1208">
        <f t="shared" si="885"/>
        <v>-1</v>
      </c>
      <c r="AA1208">
        <f t="shared" si="859"/>
        <v>-0.75</v>
      </c>
      <c r="AB1208">
        <f t="shared" si="870"/>
        <v>50.505050505050505</v>
      </c>
      <c r="AC1208">
        <f t="shared" si="897"/>
        <v>-37.878787878787875</v>
      </c>
      <c r="AD1208">
        <f t="shared" si="871"/>
        <v>80.505050505050505</v>
      </c>
      <c r="AE1208">
        <f t="shared" si="872"/>
        <v>-3.0189393939393936</v>
      </c>
      <c r="AF1208" s="94">
        <f t="shared" si="873"/>
        <v>5040.897727272727</v>
      </c>
      <c r="AG1208">
        <f t="shared" si="886"/>
        <v>0</v>
      </c>
      <c r="AH1208">
        <f t="shared" si="874"/>
        <v>0</v>
      </c>
      <c r="AI1208">
        <f>HLOOKUP(AW1208,'Real assumptions'!$A$21:$AK$24,2,TRUE)</f>
        <v>0</v>
      </c>
      <c r="AJ1208" s="123">
        <f t="shared" si="898"/>
        <v>0</v>
      </c>
      <c r="AK1208" s="122">
        <f>(1+HLOOKUP(YEAR(A1208),'Real assumptions'!$A$21:$AK$24,2,TRUE)/100)^(1/12)-1</f>
        <v>0</v>
      </c>
      <c r="AL1208">
        <f t="shared" si="887"/>
        <v>0</v>
      </c>
      <c r="AM1208">
        <f>('Real assumptions'!$B$33/12)*O1207*AV1207</f>
        <v>0</v>
      </c>
      <c r="AN1208">
        <f t="shared" si="875"/>
        <v>0</v>
      </c>
      <c r="AO1208">
        <f t="shared" si="899"/>
        <v>0</v>
      </c>
      <c r="AP1208" s="121">
        <f t="shared" si="876"/>
        <v>0</v>
      </c>
      <c r="AQ1208">
        <f t="shared" si="877"/>
        <v>0</v>
      </c>
      <c r="AR1208">
        <v>0</v>
      </c>
      <c r="AS1208">
        <f t="shared" si="860"/>
        <v>0</v>
      </c>
      <c r="AT1208">
        <f t="shared" si="878"/>
        <v>0</v>
      </c>
      <c r="AU1208">
        <f>IFERROR(HLOOKUP(B1208,'Real assumptions'!$B$43:$AL$44,2,TRUE)*($W$3/$U$2),0)</f>
        <v>0</v>
      </c>
      <c r="AV1208">
        <f>AV1207*(1+'Real assumptions'!$B$35)^(1/12)</f>
        <v>3.4490925237752279</v>
      </c>
      <c r="AW1208">
        <f t="shared" si="861"/>
        <v>2118</v>
      </c>
      <c r="AX1208">
        <f t="shared" si="888"/>
        <v>0</v>
      </c>
      <c r="AY1208">
        <f t="shared" si="889"/>
        <v>0</v>
      </c>
      <c r="AZ1208">
        <f t="shared" si="862"/>
        <v>0</v>
      </c>
      <c r="BA1208">
        <f t="shared" si="879"/>
        <v>0</v>
      </c>
      <c r="BB1208">
        <f t="shared" si="880"/>
        <v>-0.75</v>
      </c>
      <c r="BC1208">
        <f t="shared" si="863"/>
        <v>-0.44999999999999996</v>
      </c>
      <c r="BD1208">
        <f t="shared" si="881"/>
        <v>0</v>
      </c>
      <c r="BE1208">
        <f t="shared" si="864"/>
        <v>0</v>
      </c>
      <c r="BF1208">
        <f t="shared" si="890"/>
        <v>5000</v>
      </c>
      <c r="BU1208"/>
      <c r="DW1208" s="89"/>
      <c r="DX1208" s="89"/>
      <c r="FD1208"/>
      <c r="FE1208"/>
    </row>
    <row r="1209" spans="1:161" x14ac:dyDescent="0.25">
      <c r="A1209" s="7">
        <f t="shared" si="882"/>
        <v>79897</v>
      </c>
      <c r="B1209">
        <f t="shared" si="865"/>
        <v>1198</v>
      </c>
      <c r="C1209">
        <f t="shared" si="893"/>
        <v>99.75</v>
      </c>
      <c r="D1209">
        <f t="shared" si="894"/>
        <v>0</v>
      </c>
      <c r="E1209">
        <f t="shared" si="866"/>
        <v>151</v>
      </c>
      <c r="F1209">
        <f>IF(C1209&gt;=$T$2,0,VLOOKUP($E1209,EKM_F05!$A$3:$C$128,2,TRUE))</f>
        <v>0</v>
      </c>
      <c r="G1209">
        <f>F1209*'Real assumptions'!$B$3</f>
        <v>0</v>
      </c>
      <c r="H1209">
        <f t="shared" si="891"/>
        <v>0</v>
      </c>
      <c r="I1209">
        <f t="shared" si="895"/>
        <v>0</v>
      </c>
      <c r="J1209">
        <f>IF(B1209&gt;$AJ$2,0,HLOOKUP(C1209,'Real assumptions'!$B$5:$L$8,4,TRUE))</f>
        <v>0</v>
      </c>
      <c r="K1209">
        <f t="shared" si="855"/>
        <v>0</v>
      </c>
      <c r="L1209">
        <f t="shared" si="883"/>
        <v>0</v>
      </c>
      <c r="M1209">
        <f t="shared" si="896"/>
        <v>0</v>
      </c>
      <c r="N1209">
        <f t="shared" si="892"/>
        <v>0</v>
      </c>
      <c r="O1209" s="8">
        <f t="shared" si="867"/>
        <v>0</v>
      </c>
      <c r="P1209">
        <f t="shared" si="868"/>
        <v>0</v>
      </c>
      <c r="Q1209">
        <f t="shared" si="884"/>
        <v>0</v>
      </c>
      <c r="R1209" s="89">
        <f t="shared" si="856"/>
        <v>5000</v>
      </c>
      <c r="S1209">
        <f t="shared" si="857"/>
        <v>0.1666666666666714</v>
      </c>
      <c r="U1209">
        <f>O1208*AV1208*'Real assumptions'!$B$33/12+AX1209*'Real assumptions'!$B$34</f>
        <v>0</v>
      </c>
      <c r="V1209">
        <f>IF(P1209=0,0,IF(E1209&lt;=$C$7,$AN$5*O1208,0))*'Real assumptions'!$D$28</f>
        <v>0</v>
      </c>
      <c r="X1209" s="94">
        <f t="shared" si="869"/>
        <v>0</v>
      </c>
      <c r="Y1209">
        <f t="shared" si="858"/>
        <v>0</v>
      </c>
      <c r="Z1209">
        <f t="shared" si="885"/>
        <v>-1</v>
      </c>
      <c r="AA1209">
        <f t="shared" si="859"/>
        <v>-0.8333333333333286</v>
      </c>
      <c r="AB1209">
        <f t="shared" si="870"/>
        <v>50.505050505050505</v>
      </c>
      <c r="AC1209">
        <f t="shared" si="897"/>
        <v>-42.087542087541848</v>
      </c>
      <c r="AD1209">
        <f t="shared" si="871"/>
        <v>80.505050505050505</v>
      </c>
      <c r="AE1209">
        <f t="shared" si="872"/>
        <v>-3.3543771043770851</v>
      </c>
      <c r="AF1209" s="94">
        <f t="shared" si="873"/>
        <v>5045.4419191919187</v>
      </c>
      <c r="AG1209">
        <f t="shared" si="886"/>
        <v>0</v>
      </c>
      <c r="AH1209">
        <f t="shared" si="874"/>
        <v>0</v>
      </c>
      <c r="AI1209">
        <f>HLOOKUP(AW1209,'Real assumptions'!$A$21:$AK$24,2,TRUE)</f>
        <v>0</v>
      </c>
      <c r="AJ1209" s="123">
        <f t="shared" si="898"/>
        <v>0</v>
      </c>
      <c r="AK1209" s="122">
        <f>(1+HLOOKUP(YEAR(A1209),'Real assumptions'!$A$21:$AK$24,2,TRUE)/100)^(1/12)-1</f>
        <v>0</v>
      </c>
      <c r="AL1209">
        <f t="shared" si="887"/>
        <v>0</v>
      </c>
      <c r="AM1209">
        <f>('Real assumptions'!$B$33/12)*O1208*AV1208</f>
        <v>0</v>
      </c>
      <c r="AN1209">
        <f t="shared" si="875"/>
        <v>0</v>
      </c>
      <c r="AO1209">
        <f t="shared" si="899"/>
        <v>0</v>
      </c>
      <c r="AP1209" s="121">
        <f t="shared" si="876"/>
        <v>0</v>
      </c>
      <c r="AQ1209">
        <f t="shared" si="877"/>
        <v>0</v>
      </c>
      <c r="AR1209">
        <v>0</v>
      </c>
      <c r="AS1209">
        <f t="shared" si="860"/>
        <v>0</v>
      </c>
      <c r="AT1209">
        <f t="shared" si="878"/>
        <v>0</v>
      </c>
      <c r="AU1209">
        <f>IFERROR(HLOOKUP(B1209,'Real assumptions'!$B$43:$AL$44,2,TRUE)*($W$3/$U$2),0)</f>
        <v>0</v>
      </c>
      <c r="AV1209">
        <f>AV1208*(1+'Real assumptions'!$B$35)^(1/12)</f>
        <v>3.4526649076110538</v>
      </c>
      <c r="AW1209">
        <f t="shared" si="861"/>
        <v>2118</v>
      </c>
      <c r="AX1209">
        <f t="shared" si="888"/>
        <v>0</v>
      </c>
      <c r="AY1209">
        <f t="shared" si="889"/>
        <v>0</v>
      </c>
      <c r="AZ1209">
        <f t="shared" si="862"/>
        <v>0</v>
      </c>
      <c r="BA1209">
        <f t="shared" si="879"/>
        <v>0</v>
      </c>
      <c r="BB1209">
        <f t="shared" si="880"/>
        <v>-0.8333333333333286</v>
      </c>
      <c r="BC1209">
        <f t="shared" si="863"/>
        <v>-0.49999999999999711</v>
      </c>
      <c r="BD1209">
        <f t="shared" si="881"/>
        <v>0</v>
      </c>
      <c r="BE1209">
        <f t="shared" si="864"/>
        <v>0</v>
      </c>
      <c r="BF1209">
        <f t="shared" si="890"/>
        <v>5000</v>
      </c>
      <c r="BU1209"/>
      <c r="DW1209" s="89"/>
      <c r="DX1209" s="89"/>
      <c r="FD1209"/>
      <c r="FE1209"/>
    </row>
    <row r="1210" spans="1:161" x14ac:dyDescent="0.25">
      <c r="A1210" s="7">
        <f t="shared" si="882"/>
        <v>79928</v>
      </c>
      <c r="B1210">
        <f t="shared" si="865"/>
        <v>1199</v>
      </c>
      <c r="C1210">
        <f t="shared" si="893"/>
        <v>99.833333333333329</v>
      </c>
      <c r="D1210">
        <f t="shared" si="894"/>
        <v>0</v>
      </c>
      <c r="E1210">
        <f t="shared" si="866"/>
        <v>151</v>
      </c>
      <c r="F1210">
        <f>IF(C1210&gt;=$T$2,0,VLOOKUP($E1210,EKM_F05!$A$3:$C$128,2,TRUE))</f>
        <v>0</v>
      </c>
      <c r="G1210">
        <f>F1210*'Real assumptions'!$B$3</f>
        <v>0</v>
      </c>
      <c r="H1210">
        <f t="shared" si="891"/>
        <v>0</v>
      </c>
      <c r="I1210">
        <f t="shared" si="895"/>
        <v>0</v>
      </c>
      <c r="J1210">
        <f>IF(B1210&gt;$AJ$2,0,HLOOKUP(C1210,'Real assumptions'!$B$5:$L$8,4,TRUE))</f>
        <v>0</v>
      </c>
      <c r="K1210">
        <f t="shared" si="855"/>
        <v>0</v>
      </c>
      <c r="L1210">
        <f t="shared" si="883"/>
        <v>0</v>
      </c>
      <c r="M1210">
        <f t="shared" si="896"/>
        <v>0</v>
      </c>
      <c r="N1210">
        <f t="shared" si="892"/>
        <v>0</v>
      </c>
      <c r="O1210" s="8">
        <f t="shared" si="867"/>
        <v>0</v>
      </c>
      <c r="P1210">
        <f t="shared" si="868"/>
        <v>0</v>
      </c>
      <c r="Q1210">
        <f t="shared" si="884"/>
        <v>0</v>
      </c>
      <c r="R1210" s="89">
        <f t="shared" si="856"/>
        <v>5000</v>
      </c>
      <c r="S1210">
        <f t="shared" si="857"/>
        <v>8.3333333333328596E-2</v>
      </c>
      <c r="U1210">
        <f>O1209*AV1209*'Real assumptions'!$B$33/12+AX1210*'Real assumptions'!$B$34</f>
        <v>0</v>
      </c>
      <c r="V1210">
        <f>IF(P1210=0,0,IF(E1210&lt;=$C$7,$AN$5*O1209,0))*'Real assumptions'!$D$28</f>
        <v>0</v>
      </c>
      <c r="X1210" s="94">
        <f t="shared" si="869"/>
        <v>0</v>
      </c>
      <c r="Y1210">
        <f t="shared" si="858"/>
        <v>0</v>
      </c>
      <c r="Z1210">
        <f t="shared" si="885"/>
        <v>-1</v>
      </c>
      <c r="AA1210">
        <f t="shared" si="859"/>
        <v>-0.9166666666666714</v>
      </c>
      <c r="AB1210">
        <f t="shared" si="870"/>
        <v>50.505050505050505</v>
      </c>
      <c r="AC1210">
        <f t="shared" si="897"/>
        <v>-46.296296296296539</v>
      </c>
      <c r="AD1210">
        <f t="shared" si="871"/>
        <v>80.505050505050505</v>
      </c>
      <c r="AE1210">
        <f t="shared" si="872"/>
        <v>-3.6898148148148335</v>
      </c>
      <c r="AF1210" s="94">
        <f t="shared" si="873"/>
        <v>5049.9861111111113</v>
      </c>
      <c r="AG1210">
        <f t="shared" si="886"/>
        <v>0</v>
      </c>
      <c r="AH1210">
        <f t="shared" si="874"/>
        <v>0</v>
      </c>
      <c r="AI1210">
        <f>HLOOKUP(AW1210,'Real assumptions'!$A$21:$AK$24,2,TRUE)</f>
        <v>0</v>
      </c>
      <c r="AJ1210" s="123">
        <f t="shared" si="898"/>
        <v>0</v>
      </c>
      <c r="AK1210" s="122">
        <f>(1+HLOOKUP(YEAR(A1210),'Real assumptions'!$A$21:$AK$24,2,TRUE)/100)^(1/12)-1</f>
        <v>0</v>
      </c>
      <c r="AL1210">
        <f t="shared" si="887"/>
        <v>0</v>
      </c>
      <c r="AM1210">
        <f>('Real assumptions'!$B$33/12)*O1209*AV1209</f>
        <v>0</v>
      </c>
      <c r="AN1210">
        <f t="shared" si="875"/>
        <v>0</v>
      </c>
      <c r="AO1210">
        <f t="shared" si="899"/>
        <v>0</v>
      </c>
      <c r="AP1210" s="121">
        <f t="shared" si="876"/>
        <v>0</v>
      </c>
      <c r="AQ1210">
        <f t="shared" si="877"/>
        <v>0</v>
      </c>
      <c r="AR1210">
        <v>0</v>
      </c>
      <c r="AS1210">
        <f t="shared" si="860"/>
        <v>0</v>
      </c>
      <c r="AT1210">
        <f t="shared" si="878"/>
        <v>0</v>
      </c>
      <c r="AU1210">
        <f>IFERROR(HLOOKUP(B1210,'Real assumptions'!$B$43:$AL$44,2,TRUE)*($W$3/$U$2),0)</f>
        <v>0</v>
      </c>
      <c r="AV1210">
        <f>AV1209*(1+'Real assumptions'!$B$35)^(1/12)</f>
        <v>3.4562409915292007</v>
      </c>
      <c r="AW1210">
        <f t="shared" si="861"/>
        <v>2118</v>
      </c>
      <c r="AX1210">
        <f t="shared" si="888"/>
        <v>0</v>
      </c>
      <c r="AY1210">
        <f t="shared" si="889"/>
        <v>0</v>
      </c>
      <c r="AZ1210">
        <f t="shared" si="862"/>
        <v>0</v>
      </c>
      <c r="BA1210">
        <f t="shared" si="879"/>
        <v>0</v>
      </c>
      <c r="BB1210">
        <f t="shared" si="880"/>
        <v>-0.9166666666666714</v>
      </c>
      <c r="BC1210">
        <f t="shared" si="863"/>
        <v>-0.55000000000000282</v>
      </c>
      <c r="BD1210">
        <f t="shared" si="881"/>
        <v>0</v>
      </c>
      <c r="BE1210">
        <f t="shared" si="864"/>
        <v>0</v>
      </c>
      <c r="BF1210">
        <f t="shared" si="890"/>
        <v>5000</v>
      </c>
      <c r="BU1210"/>
      <c r="DW1210" s="89"/>
      <c r="DX1210" s="89"/>
      <c r="FD1210"/>
      <c r="FE1210"/>
    </row>
    <row r="1211" spans="1:161" x14ac:dyDescent="0.25">
      <c r="A1211" s="7">
        <f t="shared" si="882"/>
        <v>79958</v>
      </c>
      <c r="B1211">
        <f t="shared" si="865"/>
        <v>1200</v>
      </c>
      <c r="C1211">
        <f t="shared" si="893"/>
        <v>99.916666666666671</v>
      </c>
      <c r="D1211">
        <f t="shared" si="894"/>
        <v>0</v>
      </c>
      <c r="E1211">
        <f t="shared" si="866"/>
        <v>151</v>
      </c>
      <c r="F1211">
        <f>IF(C1211&gt;=$T$2,0,VLOOKUP($E1211,EKM_F05!$A$3:$C$128,2,TRUE))</f>
        <v>0</v>
      </c>
      <c r="G1211">
        <f>F1211*'Real assumptions'!$B$3</f>
        <v>0</v>
      </c>
      <c r="H1211">
        <f t="shared" si="891"/>
        <v>0</v>
      </c>
      <c r="I1211">
        <f t="shared" si="895"/>
        <v>0</v>
      </c>
      <c r="J1211">
        <f>IF(B1211&gt;$AJ$2,0,HLOOKUP(C1211,'Real assumptions'!$B$5:$L$8,4,TRUE))</f>
        <v>0</v>
      </c>
      <c r="K1211">
        <f t="shared" si="855"/>
        <v>0</v>
      </c>
      <c r="L1211">
        <f t="shared" si="883"/>
        <v>0</v>
      </c>
      <c r="M1211">
        <f t="shared" si="896"/>
        <v>0</v>
      </c>
      <c r="N1211">
        <f t="shared" si="892"/>
        <v>0</v>
      </c>
      <c r="O1211" s="8">
        <f t="shared" si="867"/>
        <v>0</v>
      </c>
      <c r="P1211">
        <f t="shared" si="868"/>
        <v>0</v>
      </c>
      <c r="Q1211">
        <f t="shared" si="884"/>
        <v>0</v>
      </c>
      <c r="R1211" s="89">
        <f t="shared" si="856"/>
        <v>5000</v>
      </c>
      <c r="S1211">
        <f t="shared" si="857"/>
        <v>1</v>
      </c>
      <c r="U1211">
        <f>O1210*AV1210*'Real assumptions'!$B$33/12+AX1211*'Real assumptions'!$B$34</f>
        <v>0</v>
      </c>
      <c r="V1211">
        <f>IF(P1211=0,0,IF(E1211&lt;=$C$7,$AN$5*O1210,0))*'Real assumptions'!$D$28</f>
        <v>0</v>
      </c>
      <c r="X1211" s="94">
        <f t="shared" si="869"/>
        <v>0</v>
      </c>
      <c r="Y1211">
        <f t="shared" si="858"/>
        <v>0</v>
      </c>
      <c r="Z1211">
        <f t="shared" si="885"/>
        <v>-1</v>
      </c>
      <c r="AA1211">
        <f t="shared" si="859"/>
        <v>-1</v>
      </c>
      <c r="AB1211">
        <f t="shared" si="870"/>
        <v>50.505050505050505</v>
      </c>
      <c r="AC1211">
        <f t="shared" si="897"/>
        <v>-50.505050505050505</v>
      </c>
      <c r="AD1211">
        <f t="shared" si="871"/>
        <v>80.505050505050505</v>
      </c>
      <c r="AE1211">
        <f t="shared" si="872"/>
        <v>-4.0252525252525251</v>
      </c>
      <c r="AF1211" s="94">
        <f t="shared" si="873"/>
        <v>5054.530303030303</v>
      </c>
      <c r="AG1211">
        <f t="shared" si="886"/>
        <v>0</v>
      </c>
      <c r="AH1211">
        <f t="shared" si="874"/>
        <v>0</v>
      </c>
      <c r="AI1211">
        <f>HLOOKUP(AW1211,'Real assumptions'!$A$21:$AK$24,2,TRUE)</f>
        <v>0</v>
      </c>
      <c r="AJ1211" s="123">
        <f t="shared" si="898"/>
        <v>0</v>
      </c>
      <c r="AK1211" s="122">
        <f>(1+HLOOKUP(YEAR(A1211),'Real assumptions'!$A$21:$AK$24,2,TRUE)/100)^(1/12)-1</f>
        <v>0</v>
      </c>
      <c r="AL1211">
        <f t="shared" si="887"/>
        <v>0</v>
      </c>
      <c r="AM1211">
        <f>('Real assumptions'!$B$33/12)*O1210*AV1210</f>
        <v>0</v>
      </c>
      <c r="AN1211">
        <f t="shared" si="875"/>
        <v>0</v>
      </c>
      <c r="AO1211">
        <f t="shared" si="899"/>
        <v>0</v>
      </c>
      <c r="AP1211" s="121">
        <f t="shared" si="876"/>
        <v>0</v>
      </c>
      <c r="AQ1211">
        <f t="shared" si="877"/>
        <v>0</v>
      </c>
      <c r="AR1211">
        <v>0</v>
      </c>
      <c r="AS1211">
        <f t="shared" si="860"/>
        <v>0</v>
      </c>
      <c r="AT1211">
        <f t="shared" si="878"/>
        <v>0</v>
      </c>
      <c r="AU1211">
        <f>IFERROR(HLOOKUP(B1211,'Real assumptions'!$B$43:$AL$44,2,TRUE)*($W$3/$U$2),0)</f>
        <v>0</v>
      </c>
      <c r="AV1211">
        <f>AV1210*(1+'Real assumptions'!$B$35)^(1/12)</f>
        <v>3.4598207793620142</v>
      </c>
      <c r="AW1211">
        <f t="shared" si="861"/>
        <v>2118</v>
      </c>
      <c r="AX1211">
        <f t="shared" si="888"/>
        <v>0</v>
      </c>
      <c r="AY1211">
        <f t="shared" si="889"/>
        <v>0</v>
      </c>
      <c r="AZ1211">
        <f t="shared" si="862"/>
        <v>0</v>
      </c>
      <c r="BA1211">
        <f t="shared" si="879"/>
        <v>0</v>
      </c>
      <c r="BB1211">
        <f t="shared" si="880"/>
        <v>-1</v>
      </c>
      <c r="BC1211">
        <f t="shared" si="863"/>
        <v>-0.6</v>
      </c>
      <c r="BD1211">
        <f t="shared" si="881"/>
        <v>0</v>
      </c>
      <c r="BE1211">
        <f t="shared" si="864"/>
        <v>0</v>
      </c>
      <c r="BF1211">
        <f t="shared" si="890"/>
        <v>5000</v>
      </c>
      <c r="BU1211"/>
      <c r="DW1211" s="89"/>
      <c r="DX1211" s="89"/>
      <c r="FD1211"/>
      <c r="FE1211"/>
    </row>
    <row r="1212" spans="1:161" x14ac:dyDescent="0.25">
      <c r="A1212" s="7">
        <f t="shared" si="882"/>
        <v>79989</v>
      </c>
      <c r="B1212">
        <f t="shared" si="865"/>
        <v>1201</v>
      </c>
      <c r="C1212">
        <f t="shared" si="893"/>
        <v>100</v>
      </c>
      <c r="D1212">
        <f t="shared" si="894"/>
        <v>1</v>
      </c>
      <c r="E1212">
        <f t="shared" si="866"/>
        <v>152</v>
      </c>
      <c r="F1212">
        <f>IF(C1212&gt;=$T$2,0,VLOOKUP($E1212,EKM_F05!$A$3:$C$128,2,TRUE))</f>
        <v>0</v>
      </c>
      <c r="G1212">
        <f>F1212*'Real assumptions'!$B$3</f>
        <v>0</v>
      </c>
      <c r="H1212">
        <f>(1-(1-G1212)^(1/12))</f>
        <v>0</v>
      </c>
      <c r="I1212">
        <f t="shared" si="895"/>
        <v>0</v>
      </c>
      <c r="J1212">
        <f>IF(B1212&gt;$AJ$2,0,HLOOKUP(C1212,'Real assumptions'!$B$5:$L$8,4,TRUE))</f>
        <v>0</v>
      </c>
      <c r="K1212">
        <f t="shared" si="855"/>
        <v>0</v>
      </c>
      <c r="L1212">
        <f t="shared" si="883"/>
        <v>0</v>
      </c>
      <c r="M1212">
        <f t="shared" si="896"/>
        <v>0</v>
      </c>
      <c r="N1212">
        <f>M1212*O1211*(1-H1212/2)</f>
        <v>0</v>
      </c>
      <c r="O1212" s="8">
        <f t="shared" si="867"/>
        <v>0</v>
      </c>
      <c r="P1212">
        <f t="shared" si="868"/>
        <v>0</v>
      </c>
      <c r="Q1212">
        <f t="shared" si="884"/>
        <v>0</v>
      </c>
      <c r="R1212" s="89">
        <f t="shared" si="856"/>
        <v>5000</v>
      </c>
      <c r="S1212">
        <f t="shared" si="857"/>
        <v>0.9166666666666714</v>
      </c>
      <c r="U1212">
        <f>O1211*AV1211*'Real assumptions'!$B$33/12+AX1212*'Real assumptions'!$B$34</f>
        <v>0</v>
      </c>
      <c r="V1212">
        <f>IF(P1212=0,0,IF(E1212&lt;=$C$7,$AN$5*O1211,0))*'Real assumptions'!$D$28</f>
        <v>0</v>
      </c>
      <c r="X1212" s="94">
        <f t="shared" si="869"/>
        <v>0</v>
      </c>
      <c r="Y1212">
        <f t="shared" si="858"/>
        <v>0</v>
      </c>
      <c r="Z1212">
        <f t="shared" si="885"/>
        <v>-1</v>
      </c>
      <c r="AA1212">
        <f t="shared" si="859"/>
        <v>-1.0833333333333286</v>
      </c>
      <c r="AB1212">
        <f t="shared" si="870"/>
        <v>50.505050505050505</v>
      </c>
      <c r="AC1212">
        <f t="shared" si="897"/>
        <v>-54.713804713804471</v>
      </c>
      <c r="AD1212">
        <f t="shared" si="871"/>
        <v>80.505050505050505</v>
      </c>
      <c r="AE1212">
        <f t="shared" si="872"/>
        <v>-4.3606902356902166</v>
      </c>
      <c r="AF1212" s="94">
        <f t="shared" si="873"/>
        <v>5084.0744949494947</v>
      </c>
      <c r="AG1212">
        <f t="shared" si="886"/>
        <v>0</v>
      </c>
      <c r="AH1212">
        <f t="shared" si="874"/>
        <v>0</v>
      </c>
      <c r="AI1212">
        <f>HLOOKUP(AW1212,'Real assumptions'!$A$21:$AK$24,2,TRUE)</f>
        <v>0</v>
      </c>
      <c r="AJ1212" s="123">
        <f t="shared" si="898"/>
        <v>0</v>
      </c>
      <c r="AK1212" s="122">
        <f>(1+HLOOKUP(YEAR(A1212),'Real assumptions'!$A$21:$AK$24,2,TRUE)/100)^(1/12)-1</f>
        <v>0</v>
      </c>
      <c r="AL1212">
        <f t="shared" si="887"/>
        <v>0</v>
      </c>
      <c r="AM1212">
        <f>('Real assumptions'!$B$33/12)*O1211*AV1211</f>
        <v>0</v>
      </c>
      <c r="AN1212">
        <f t="shared" si="875"/>
        <v>0</v>
      </c>
      <c r="AO1212">
        <f t="shared" si="899"/>
        <v>0</v>
      </c>
      <c r="AP1212" s="121">
        <f t="shared" si="876"/>
        <v>0</v>
      </c>
      <c r="AQ1212">
        <f t="shared" si="877"/>
        <v>0</v>
      </c>
      <c r="AR1212">
        <v>0</v>
      </c>
      <c r="AS1212">
        <f t="shared" si="860"/>
        <v>0</v>
      </c>
      <c r="AT1212">
        <f t="shared" si="878"/>
        <v>0</v>
      </c>
      <c r="AU1212">
        <f>IFERROR(HLOOKUP(B1212,'Real assumptions'!$B$43:$AL$44,2,TRUE)*($W$3/$U$2),0)</f>
        <v>0</v>
      </c>
      <c r="AV1212">
        <f>AV1211*(1+'Real assumptions'!$B$35)^(1/12)</f>
        <v>3.4634042749458089</v>
      </c>
      <c r="AW1212">
        <f t="shared" si="861"/>
        <v>2118</v>
      </c>
      <c r="AX1212">
        <f t="shared" si="888"/>
        <v>0</v>
      </c>
      <c r="AY1212">
        <f t="shared" si="889"/>
        <v>0</v>
      </c>
      <c r="AZ1212">
        <f>(CQ1213+CR1213-S1213+AN1213+CL1213)/((1+CE1213))</f>
        <v>0</v>
      </c>
      <c r="BA1212">
        <f t="shared" si="879"/>
        <v>0</v>
      </c>
      <c r="BB1212">
        <f t="shared" si="880"/>
        <v>0.9166666666666714</v>
      </c>
      <c r="BC1212">
        <f t="shared" si="863"/>
        <v>-0.14999999999999714</v>
      </c>
      <c r="BD1212">
        <f t="shared" si="881"/>
        <v>25</v>
      </c>
      <c r="BE1212">
        <f t="shared" si="864"/>
        <v>0</v>
      </c>
      <c r="BF1212">
        <f t="shared" si="890"/>
        <v>5000</v>
      </c>
      <c r="BU1212"/>
      <c r="DW1212" s="89"/>
      <c r="DX1212" s="89"/>
      <c r="FD1212"/>
      <c r="FE1212"/>
    </row>
    <row r="1213" spans="1:161" x14ac:dyDescent="0.25">
      <c r="A1213" s="7"/>
      <c r="O1213" s="8"/>
      <c r="V1213" s="92"/>
      <c r="W1213" s="90"/>
      <c r="Z1213" s="89"/>
      <c r="AA1213" s="94"/>
      <c r="AB1213" s="89"/>
      <c r="AC1213" s="90"/>
      <c r="AH1213" s="90"/>
      <c r="AI1213" s="88"/>
      <c r="AY1213" s="95"/>
      <c r="AZ1213" s="94"/>
      <c r="BA1213" s="94"/>
      <c r="BB1213" s="94"/>
      <c r="BC1213" s="94"/>
      <c r="BD1213" s="94"/>
      <c r="BE1213" s="94"/>
      <c r="BF1213" s="94"/>
      <c r="BG1213" s="94"/>
      <c r="BH1213" s="94"/>
      <c r="BI1213" s="94"/>
      <c r="BJ1213" s="94"/>
      <c r="BK1213" s="94"/>
      <c r="BL1213" s="94"/>
      <c r="BM1213" s="94"/>
      <c r="BN1213" s="94"/>
      <c r="BT1213" s="94"/>
      <c r="CE1213" s="123"/>
      <c r="CF1213" s="122"/>
      <c r="CK1213" s="121"/>
    </row>
    <row r="1214" spans="1:161" x14ac:dyDescent="0.25">
      <c r="A1214" s="7"/>
      <c r="O1214" s="8"/>
      <c r="V1214" s="92"/>
      <c r="W1214" s="90"/>
      <c r="Z1214" s="89"/>
      <c r="AA1214" s="94"/>
      <c r="AB1214" s="89"/>
      <c r="AC1214" s="90"/>
      <c r="AH1214" s="90"/>
      <c r="AI1214" s="88"/>
      <c r="AY1214" s="95"/>
      <c r="AZ1214" s="94"/>
      <c r="BA1214" s="94"/>
      <c r="BB1214" s="94"/>
      <c r="BC1214" s="94"/>
      <c r="BD1214" s="94"/>
      <c r="BE1214" s="94"/>
      <c r="BF1214" s="94"/>
      <c r="BG1214" s="94"/>
      <c r="BH1214" s="94"/>
      <c r="BI1214" s="94"/>
      <c r="BJ1214" s="94"/>
      <c r="BK1214" s="94"/>
      <c r="BL1214" s="94"/>
      <c r="BM1214" s="94"/>
      <c r="BN1214" s="94"/>
      <c r="BT1214" s="94"/>
      <c r="CE1214" s="123"/>
      <c r="CF1214" s="122"/>
      <c r="CK1214" s="121"/>
    </row>
    <row r="1215" spans="1:161" x14ac:dyDescent="0.25">
      <c r="A1215" s="7"/>
      <c r="O1215" s="8"/>
      <c r="V1215" s="92"/>
      <c r="W1215" s="90"/>
      <c r="Z1215" s="89"/>
      <c r="AA1215" s="94"/>
      <c r="AB1215" s="89"/>
      <c r="AC1215" s="90"/>
      <c r="AH1215" s="90"/>
      <c r="AI1215" s="88"/>
      <c r="AY1215" s="95"/>
      <c r="AZ1215" s="94"/>
      <c r="BA1215" s="94"/>
      <c r="BB1215" s="94"/>
      <c r="BC1215" s="94"/>
      <c r="BD1215" s="94"/>
      <c r="BE1215" s="94"/>
      <c r="BF1215" s="94"/>
      <c r="BG1215" s="94"/>
      <c r="BH1215" s="94"/>
      <c r="BI1215" s="94"/>
      <c r="BJ1215" s="94"/>
      <c r="BK1215" s="94"/>
      <c r="BL1215" s="94"/>
      <c r="BM1215" s="94"/>
      <c r="BN1215" s="94"/>
      <c r="BT1215" s="94"/>
      <c r="CE1215" s="123"/>
      <c r="CF1215" s="122"/>
      <c r="CK1215" s="121"/>
    </row>
    <row r="1216" spans="1:161" x14ac:dyDescent="0.25">
      <c r="A1216" s="7"/>
      <c r="O1216" s="8"/>
      <c r="V1216" s="92"/>
      <c r="W1216" s="90"/>
      <c r="Z1216" s="89"/>
      <c r="AA1216" s="94"/>
      <c r="AB1216" s="89"/>
      <c r="AC1216" s="90"/>
      <c r="AH1216" s="90"/>
      <c r="AI1216" s="88"/>
      <c r="AY1216" s="95"/>
      <c r="AZ1216" s="94"/>
      <c r="BA1216" s="94"/>
      <c r="BB1216" s="94"/>
      <c r="BC1216" s="94"/>
      <c r="BD1216" s="94"/>
      <c r="BE1216" s="94"/>
      <c r="BF1216" s="94"/>
      <c r="BG1216" s="94"/>
      <c r="BH1216" s="94"/>
      <c r="BI1216" s="94"/>
      <c r="BJ1216" s="94"/>
      <c r="BK1216" s="94"/>
      <c r="BL1216" s="94"/>
      <c r="BM1216" s="94"/>
      <c r="BN1216" s="94"/>
      <c r="BT1216" s="94"/>
      <c r="CE1216" s="123"/>
      <c r="CF1216" s="122"/>
      <c r="CK1216" s="121"/>
    </row>
    <row r="1217" spans="1:89" x14ac:dyDescent="0.25">
      <c r="A1217" s="7"/>
      <c r="O1217" s="8"/>
      <c r="V1217" s="92"/>
      <c r="W1217" s="90"/>
      <c r="Z1217" s="89"/>
      <c r="AA1217" s="94"/>
      <c r="AB1217" s="89"/>
      <c r="AC1217" s="90"/>
      <c r="AH1217" s="90"/>
      <c r="AI1217" s="88"/>
      <c r="AY1217" s="95"/>
      <c r="AZ1217" s="94"/>
      <c r="BA1217" s="94"/>
      <c r="BB1217" s="94"/>
      <c r="BC1217" s="94"/>
      <c r="BD1217" s="94"/>
      <c r="BE1217" s="94"/>
      <c r="BF1217" s="94"/>
      <c r="BG1217" s="94"/>
      <c r="BH1217" s="94"/>
      <c r="BI1217" s="94"/>
      <c r="BJ1217" s="94"/>
      <c r="BK1217" s="94"/>
      <c r="BL1217" s="94"/>
      <c r="BM1217" s="94"/>
      <c r="BN1217" s="94"/>
      <c r="BT1217" s="94"/>
      <c r="CE1217" s="123"/>
      <c r="CF1217" s="122"/>
      <c r="CK1217" s="121"/>
    </row>
    <row r="1218" spans="1:89" x14ac:dyDescent="0.25">
      <c r="A1218" s="7"/>
      <c r="O1218" s="8"/>
      <c r="V1218" s="92"/>
      <c r="W1218" s="90"/>
      <c r="Z1218" s="89"/>
      <c r="AA1218" s="94"/>
      <c r="AB1218" s="89"/>
      <c r="AC1218" s="90"/>
      <c r="AH1218" s="90"/>
      <c r="AI1218" s="88"/>
      <c r="AY1218" s="95"/>
      <c r="AZ1218" s="94"/>
      <c r="BA1218" s="94"/>
      <c r="BB1218" s="94"/>
      <c r="BC1218" s="94"/>
      <c r="BD1218" s="94"/>
      <c r="BE1218" s="94"/>
      <c r="BF1218" s="94"/>
      <c r="BG1218" s="94"/>
      <c r="BH1218" s="94"/>
      <c r="BI1218" s="94"/>
      <c r="BJ1218" s="94"/>
      <c r="BK1218" s="94"/>
      <c r="BL1218" s="94"/>
      <c r="BM1218" s="94"/>
      <c r="BN1218" s="94"/>
      <c r="BT1218" s="94"/>
      <c r="CE1218" s="123"/>
      <c r="CF1218" s="122"/>
      <c r="CK1218" s="121"/>
    </row>
    <row r="1219" spans="1:89" x14ac:dyDescent="0.25">
      <c r="A1219" s="7"/>
      <c r="O1219" s="8"/>
      <c r="V1219" s="92"/>
      <c r="W1219" s="90"/>
      <c r="Z1219" s="89"/>
      <c r="AA1219" s="94"/>
      <c r="AB1219" s="89"/>
      <c r="AC1219" s="90"/>
      <c r="AH1219" s="90"/>
      <c r="AI1219" s="88"/>
      <c r="AY1219" s="95"/>
      <c r="AZ1219" s="94"/>
      <c r="BA1219" s="94"/>
      <c r="BB1219" s="94"/>
      <c r="BC1219" s="94"/>
      <c r="BD1219" s="94"/>
      <c r="BE1219" s="94"/>
      <c r="BF1219" s="94"/>
      <c r="BG1219" s="94"/>
      <c r="BH1219" s="94"/>
      <c r="BI1219" s="94"/>
      <c r="BJ1219" s="94"/>
      <c r="BK1219" s="94"/>
      <c r="BL1219" s="94"/>
      <c r="BM1219" s="94"/>
      <c r="BN1219" s="94"/>
      <c r="BT1219" s="94"/>
      <c r="CE1219" s="123"/>
      <c r="CF1219" s="122"/>
      <c r="CK1219" s="121"/>
    </row>
    <row r="1220" spans="1:89" x14ac:dyDescent="0.25">
      <c r="A1220" s="7"/>
      <c r="O1220" s="8"/>
      <c r="V1220" s="92"/>
      <c r="W1220" s="90"/>
      <c r="Z1220" s="89"/>
      <c r="AA1220" s="94"/>
      <c r="AB1220" s="89"/>
      <c r="AC1220" s="90"/>
      <c r="AH1220" s="90"/>
      <c r="AI1220" s="88"/>
      <c r="AY1220" s="95"/>
      <c r="AZ1220" s="94"/>
      <c r="BA1220" s="94"/>
      <c r="BB1220" s="94"/>
      <c r="BC1220" s="94"/>
      <c r="BD1220" s="94"/>
      <c r="BE1220" s="94"/>
      <c r="BF1220" s="94"/>
      <c r="BG1220" s="94"/>
      <c r="BH1220" s="94"/>
      <c r="BI1220" s="94"/>
      <c r="BJ1220" s="94"/>
      <c r="BK1220" s="94"/>
      <c r="BL1220" s="94"/>
      <c r="BM1220" s="94"/>
      <c r="BN1220" s="94"/>
      <c r="BT1220" s="94"/>
      <c r="CE1220" s="123"/>
      <c r="CF1220" s="122"/>
      <c r="CK1220" s="121"/>
    </row>
    <row r="1221" spans="1:89" x14ac:dyDescent="0.25">
      <c r="A1221" s="7"/>
      <c r="O1221" s="8"/>
      <c r="V1221" s="92"/>
      <c r="W1221" s="90"/>
      <c r="Z1221" s="89"/>
      <c r="AA1221" s="94"/>
      <c r="AB1221" s="89"/>
      <c r="AC1221" s="90"/>
      <c r="AH1221" s="90"/>
      <c r="AI1221" s="88"/>
      <c r="AY1221" s="95"/>
      <c r="AZ1221" s="94"/>
      <c r="BA1221" s="94"/>
      <c r="BB1221" s="94"/>
      <c r="BC1221" s="94"/>
      <c r="BD1221" s="94"/>
      <c r="BE1221" s="94"/>
      <c r="BF1221" s="94"/>
      <c r="BG1221" s="94"/>
      <c r="BH1221" s="94"/>
      <c r="BI1221" s="94"/>
      <c r="BJ1221" s="94"/>
      <c r="BK1221" s="94"/>
      <c r="BL1221" s="94"/>
      <c r="BM1221" s="94"/>
      <c r="BN1221" s="94"/>
      <c r="BT1221" s="94"/>
      <c r="CE1221" s="123"/>
      <c r="CF1221" s="122"/>
      <c r="CK1221" s="12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6BBEE-A8EA-468E-B7E4-A286BF1233FC}">
  <sheetPr codeName="Feuil7"/>
  <dimension ref="A1:CR161"/>
  <sheetViews>
    <sheetView topLeftCell="W1" workbookViewId="0">
      <pane ySplit="2" topLeftCell="A3" activePane="bottomLeft" state="frozen"/>
      <selection pane="bottomLeft" activeCell="AM79" sqref="AM79"/>
    </sheetView>
  </sheetViews>
  <sheetFormatPr baseColWidth="10" defaultColWidth="11.42578125" defaultRowHeight="15" x14ac:dyDescent="0.25"/>
  <cols>
    <col min="1" max="1" width="11.42578125" style="11"/>
    <col min="2" max="2" width="16.140625" style="11" bestFit="1" customWidth="1"/>
    <col min="3" max="3" width="14.28515625" style="11" bestFit="1" customWidth="1"/>
    <col min="4" max="6" width="16.7109375" style="11" bestFit="1" customWidth="1"/>
    <col min="7" max="7" width="31.42578125" style="11" bestFit="1" customWidth="1"/>
    <col min="8" max="8" width="13.28515625" style="11" bestFit="1" customWidth="1"/>
    <col min="9" max="9" width="19.5703125" style="11" bestFit="1" customWidth="1"/>
    <col min="10" max="15" width="14.42578125" style="11" bestFit="1" customWidth="1"/>
    <col min="16" max="16" width="14.7109375" style="11" bestFit="1" customWidth="1"/>
    <col min="17" max="18" width="14.42578125" style="11" bestFit="1" customWidth="1"/>
    <col min="19" max="19" width="16.85546875" style="11" bestFit="1" customWidth="1"/>
    <col min="20" max="20" width="21.85546875" style="11" bestFit="1" customWidth="1"/>
    <col min="21" max="21" width="20.140625" style="11" bestFit="1" customWidth="1"/>
    <col min="22" max="22" width="21.28515625" style="11" bestFit="1" customWidth="1"/>
    <col min="23" max="23" width="20.140625" style="11" bestFit="1" customWidth="1"/>
    <col min="24" max="24" width="15.28515625" style="11" bestFit="1" customWidth="1"/>
    <col min="25" max="25" width="12.42578125" style="11" bestFit="1" customWidth="1"/>
    <col min="26" max="26" width="11.7109375" style="11" bestFit="1" customWidth="1"/>
    <col min="27" max="27" width="15.28515625" style="11" bestFit="1" customWidth="1"/>
    <col min="28" max="30" width="15.5703125" style="11" bestFit="1" customWidth="1"/>
    <col min="31" max="31" width="18" style="11" bestFit="1" customWidth="1"/>
    <col min="32" max="32" width="7" style="11" bestFit="1" customWidth="1"/>
    <col min="33" max="33" width="7.85546875" style="11" bestFit="1" customWidth="1"/>
    <col min="34" max="34" width="13.7109375" style="11" bestFit="1" customWidth="1"/>
    <col min="35" max="35" width="16.140625" style="11" bestFit="1" customWidth="1"/>
    <col min="36" max="36" width="15.85546875" style="11" bestFit="1" customWidth="1"/>
    <col min="37" max="37" width="16.140625" bestFit="1" customWidth="1"/>
    <col min="38" max="38" width="15" style="11" bestFit="1" customWidth="1"/>
    <col min="39" max="39" width="20" style="11" bestFit="1" customWidth="1"/>
    <col min="40" max="41" width="12.7109375" style="11" bestFit="1" customWidth="1"/>
    <col min="42" max="42" width="16" style="11" bestFit="1" customWidth="1"/>
    <col min="43" max="46" width="12.7109375" bestFit="1" customWidth="1"/>
    <col min="47" max="47" width="13" style="11" bestFit="1" customWidth="1"/>
    <col min="48" max="48" width="14.42578125" style="11" bestFit="1" customWidth="1"/>
    <col min="49" max="49" width="17.7109375" bestFit="1" customWidth="1"/>
    <col min="50" max="50" width="20.7109375" style="11" bestFit="1" customWidth="1"/>
    <col min="51" max="51" width="18" style="11" bestFit="1" customWidth="1"/>
    <col min="52" max="52" width="13.140625" style="11" bestFit="1" customWidth="1"/>
    <col min="53" max="53" width="17.5703125" style="11" bestFit="1" customWidth="1"/>
    <col min="54" max="54" width="18.7109375" style="11" bestFit="1" customWidth="1"/>
    <col min="55" max="55" width="19.7109375" bestFit="1" customWidth="1"/>
    <col min="56" max="56" width="20.5703125" style="11" bestFit="1" customWidth="1"/>
    <col min="57" max="57" width="17.5703125" style="11" bestFit="1" customWidth="1"/>
    <col min="58" max="58" width="21.5703125" style="11" bestFit="1" customWidth="1"/>
    <col min="59" max="59" width="20.42578125" style="11" bestFit="1" customWidth="1"/>
    <col min="60" max="60" width="18.85546875" style="11" bestFit="1" customWidth="1"/>
    <col min="61" max="61" width="15.7109375" style="11" bestFit="1" customWidth="1"/>
    <col min="62" max="62" width="15" style="11" bestFit="1" customWidth="1"/>
    <col min="63" max="63" width="14.28515625" style="11" bestFit="1" customWidth="1"/>
    <col min="64" max="64" width="11.140625" style="11" bestFit="1" customWidth="1"/>
    <col min="65" max="65" width="14.85546875" style="11" bestFit="1" customWidth="1"/>
    <col min="66" max="66" width="11.28515625" style="11" bestFit="1" customWidth="1"/>
    <col min="67" max="67" width="22.140625" style="11" bestFit="1" customWidth="1"/>
    <col min="68" max="68" width="16" style="11" bestFit="1" customWidth="1"/>
    <col min="69" max="69" width="10.140625" style="11" bestFit="1" customWidth="1"/>
    <col min="71" max="71" width="10.140625" style="11" bestFit="1" customWidth="1"/>
    <col min="73" max="73" width="11.140625" bestFit="1" customWidth="1"/>
    <col min="74" max="74" width="14.85546875" style="11" bestFit="1" customWidth="1"/>
    <col min="75" max="75" width="11.28515625" style="11" bestFit="1" customWidth="1"/>
    <col min="76" max="76" width="22.140625" style="11" bestFit="1" customWidth="1"/>
    <col min="77" max="77" width="16" style="11" bestFit="1" customWidth="1"/>
    <col min="78" max="78" width="10.140625" style="11" bestFit="1" customWidth="1"/>
    <col min="79" max="79" width="11.5703125"/>
    <col min="80" max="81" width="16" style="11" bestFit="1" customWidth="1"/>
    <col min="82" max="82" width="11.5703125"/>
    <col min="83" max="83" width="22.140625" style="11" bestFit="1" customWidth="1"/>
    <col min="84" max="84" width="11.42578125" style="11"/>
    <col min="85" max="85" width="10.140625" style="11" bestFit="1" customWidth="1"/>
    <col min="86" max="86" width="14.85546875" style="11" bestFit="1" customWidth="1"/>
    <col min="87" max="87" width="12.42578125" style="11" bestFit="1" customWidth="1"/>
    <col min="88" max="88" width="20.5703125" style="11" bestFit="1" customWidth="1"/>
    <col min="89" max="89" width="11.140625" style="11" bestFit="1" customWidth="1"/>
    <col min="90" max="90" width="14.85546875" style="11" bestFit="1" customWidth="1"/>
    <col min="91" max="91" width="12.42578125" style="11" bestFit="1" customWidth="1"/>
    <col min="92" max="92" width="18.42578125" style="11" bestFit="1" customWidth="1"/>
    <col min="93" max="93" width="13.42578125" style="11" bestFit="1" customWidth="1"/>
    <col min="94" max="94" width="11.42578125" style="11"/>
    <col min="95" max="95" width="17.5703125" style="11" bestFit="1" customWidth="1"/>
    <col min="96" max="96" width="21.5703125" style="11" bestFit="1" customWidth="1"/>
    <col min="97" max="98" width="20.140625" style="11" bestFit="1" customWidth="1"/>
    <col min="99" max="99" width="19.5703125" style="11" bestFit="1" customWidth="1"/>
    <col min="100" max="100" width="20.42578125" style="11" bestFit="1" customWidth="1"/>
    <col min="101" max="101" width="18.85546875" style="11" bestFit="1" customWidth="1"/>
    <col min="102" max="102" width="11.42578125" style="11"/>
    <col min="103" max="103" width="15.7109375" style="11" bestFit="1" customWidth="1"/>
    <col min="104" max="104" width="14.28515625" style="11" bestFit="1" customWidth="1"/>
    <col min="105" max="105" width="11.140625" style="11" bestFit="1" customWidth="1"/>
    <col min="106" max="106" width="14.85546875" style="11" bestFit="1" customWidth="1"/>
    <col min="107" max="107" width="12.42578125" style="11" bestFit="1" customWidth="1"/>
    <col min="108" max="16384" width="11.42578125" style="11"/>
  </cols>
  <sheetData>
    <row r="1" spans="1:96" s="79" customFormat="1" ht="12.75" x14ac:dyDescent="0.2">
      <c r="A1" s="79">
        <v>1</v>
      </c>
      <c r="B1" s="79">
        <v>2</v>
      </c>
      <c r="C1" s="79">
        <v>3</v>
      </c>
      <c r="D1" s="79">
        <v>4</v>
      </c>
      <c r="E1" s="79">
        <v>5</v>
      </c>
      <c r="F1" s="79">
        <v>6</v>
      </c>
      <c r="G1" s="79">
        <v>7</v>
      </c>
      <c r="H1" s="79">
        <v>8</v>
      </c>
      <c r="I1" s="79">
        <v>9</v>
      </c>
      <c r="J1" s="79">
        <v>10</v>
      </c>
      <c r="K1" s="79">
        <v>11</v>
      </c>
      <c r="L1" s="79">
        <v>12</v>
      </c>
      <c r="M1" s="79">
        <v>13</v>
      </c>
      <c r="N1" s="79">
        <v>14</v>
      </c>
      <c r="O1" s="79">
        <v>15</v>
      </c>
      <c r="P1" s="79">
        <v>16</v>
      </c>
      <c r="Q1" s="79">
        <v>17</v>
      </c>
      <c r="R1" s="79">
        <v>18</v>
      </c>
      <c r="S1" s="79">
        <v>19</v>
      </c>
      <c r="T1" s="79">
        <v>20</v>
      </c>
      <c r="U1" s="79">
        <v>21</v>
      </c>
      <c r="V1" s="79">
        <v>22</v>
      </c>
      <c r="W1" s="79">
        <v>23</v>
      </c>
      <c r="X1" s="79">
        <v>24</v>
      </c>
      <c r="Y1" s="79">
        <v>25</v>
      </c>
      <c r="Z1" s="79">
        <v>26</v>
      </c>
      <c r="AA1" s="79">
        <v>27</v>
      </c>
      <c r="AB1" s="79">
        <v>28</v>
      </c>
      <c r="AC1" s="79">
        <v>29</v>
      </c>
      <c r="AD1" s="79">
        <v>30</v>
      </c>
      <c r="AE1" s="79">
        <v>31</v>
      </c>
      <c r="AF1" s="79">
        <v>32</v>
      </c>
      <c r="AG1" s="79">
        <v>33</v>
      </c>
      <c r="AH1" s="79">
        <v>34</v>
      </c>
      <c r="AI1" s="79">
        <v>35</v>
      </c>
      <c r="AJ1" s="79">
        <v>36</v>
      </c>
      <c r="AK1" s="79">
        <v>37</v>
      </c>
      <c r="AL1" s="79">
        <v>38</v>
      </c>
      <c r="AM1" s="79">
        <v>39</v>
      </c>
      <c r="AN1" s="79">
        <v>40</v>
      </c>
      <c r="AO1" s="79">
        <v>41</v>
      </c>
      <c r="AP1" s="79">
        <v>42</v>
      </c>
      <c r="AQ1" s="79">
        <v>43</v>
      </c>
      <c r="AR1" s="79">
        <v>44</v>
      </c>
      <c r="AS1" s="79">
        <v>45</v>
      </c>
      <c r="AT1" s="79">
        <v>46</v>
      </c>
      <c r="AU1" s="79">
        <v>47</v>
      </c>
      <c r="AV1" s="79">
        <v>48</v>
      </c>
      <c r="AW1" s="79">
        <v>49</v>
      </c>
      <c r="AX1" s="79">
        <v>50</v>
      </c>
      <c r="AY1" s="79">
        <v>51</v>
      </c>
      <c r="AZ1" s="79">
        <v>52</v>
      </c>
      <c r="BA1" s="79">
        <v>53</v>
      </c>
      <c r="BB1" s="79">
        <v>54</v>
      </c>
      <c r="BC1" s="79">
        <v>55</v>
      </c>
      <c r="BD1" s="79">
        <v>56</v>
      </c>
      <c r="BE1" s="79">
        <v>57</v>
      </c>
      <c r="BF1" s="79">
        <v>58</v>
      </c>
      <c r="BG1" s="79">
        <v>59</v>
      </c>
      <c r="BH1" s="79">
        <v>60</v>
      </c>
      <c r="BI1" s="79">
        <v>61</v>
      </c>
      <c r="BJ1" s="79">
        <v>62</v>
      </c>
      <c r="BK1" s="79">
        <v>63</v>
      </c>
      <c r="BL1" s="79">
        <v>64</v>
      </c>
      <c r="BM1" s="79">
        <v>65</v>
      </c>
      <c r="BN1" s="79">
        <v>66</v>
      </c>
      <c r="BO1" s="79">
        <v>67</v>
      </c>
      <c r="BP1" s="79">
        <v>68</v>
      </c>
      <c r="BQ1" s="79">
        <v>69</v>
      </c>
      <c r="BR1" s="79">
        <v>70</v>
      </c>
      <c r="BS1" s="79">
        <v>71</v>
      </c>
      <c r="BT1" s="79">
        <v>72</v>
      </c>
      <c r="BU1" s="79">
        <v>73</v>
      </c>
      <c r="BV1" s="79">
        <v>74</v>
      </c>
      <c r="BW1" s="79">
        <v>75</v>
      </c>
      <c r="BX1" s="79">
        <v>76</v>
      </c>
      <c r="BY1" s="79">
        <v>77</v>
      </c>
      <c r="BZ1" s="79">
        <v>78</v>
      </c>
      <c r="CA1" s="79">
        <v>79</v>
      </c>
      <c r="CB1" s="79">
        <v>80</v>
      </c>
      <c r="CC1" s="79">
        <v>81</v>
      </c>
      <c r="CD1" s="79">
        <v>82</v>
      </c>
      <c r="CE1" s="79">
        <v>83</v>
      </c>
      <c r="CF1" s="79">
        <v>84</v>
      </c>
      <c r="CG1" s="79">
        <v>85</v>
      </c>
      <c r="CH1" s="79">
        <v>86</v>
      </c>
      <c r="CI1" s="79">
        <v>87</v>
      </c>
      <c r="CJ1" s="79">
        <v>88</v>
      </c>
      <c r="CK1" s="79">
        <v>89</v>
      </c>
      <c r="CL1" s="79">
        <v>90</v>
      </c>
      <c r="CM1" s="79">
        <v>91</v>
      </c>
      <c r="CN1" s="79">
        <v>92</v>
      </c>
      <c r="CO1" s="79">
        <v>93</v>
      </c>
      <c r="CP1" s="79">
        <v>94</v>
      </c>
      <c r="CQ1" s="79">
        <v>95</v>
      </c>
      <c r="CR1" s="79">
        <v>96</v>
      </c>
    </row>
    <row r="2" spans="1:96" ht="12.75" x14ac:dyDescent="0.2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166</v>
      </c>
      <c r="AJ2" s="2" t="s">
        <v>35</v>
      </c>
      <c r="AK2" s="2" t="s">
        <v>142</v>
      </c>
      <c r="AL2" s="2" t="s">
        <v>206</v>
      </c>
      <c r="AM2" s="2" t="s">
        <v>259</v>
      </c>
      <c r="AP2" s="2" t="s">
        <v>34</v>
      </c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L2" s="2"/>
      <c r="BR2" s="11"/>
      <c r="BT2" s="11"/>
      <c r="BU2" s="11"/>
      <c r="CA2" s="11"/>
      <c r="CD2" s="11"/>
    </row>
    <row r="3" spans="1:96" ht="12.75" x14ac:dyDescent="0.2">
      <c r="B3" s="11" t="s">
        <v>37</v>
      </c>
      <c r="C3" s="11" t="s">
        <v>2</v>
      </c>
      <c r="D3" s="11" t="s">
        <v>3</v>
      </c>
      <c r="E3" s="11" t="s">
        <v>4</v>
      </c>
      <c r="F3" s="11" t="s">
        <v>5</v>
      </c>
      <c r="G3" s="11" t="s">
        <v>6</v>
      </c>
      <c r="H3" s="11" t="s">
        <v>85</v>
      </c>
      <c r="I3" s="11" t="s">
        <v>70</v>
      </c>
      <c r="J3" s="11" t="s">
        <v>49</v>
      </c>
      <c r="K3" s="11" t="s">
        <v>50</v>
      </c>
      <c r="L3" s="11" t="s">
        <v>51</v>
      </c>
      <c r="M3" s="11" t="s">
        <v>52</v>
      </c>
      <c r="N3" s="11" t="s">
        <v>53</v>
      </c>
      <c r="O3" s="11" t="s">
        <v>54</v>
      </c>
      <c r="P3" s="11" t="s">
        <v>58</v>
      </c>
      <c r="Q3" s="11" t="s">
        <v>56</v>
      </c>
      <c r="R3" s="11" t="s">
        <v>57</v>
      </c>
      <c r="S3" s="11" t="s">
        <v>143</v>
      </c>
      <c r="T3" s="11" t="s">
        <v>48</v>
      </c>
      <c r="U3" s="11" t="s">
        <v>67</v>
      </c>
      <c r="V3" s="11" t="s">
        <v>38</v>
      </c>
      <c r="W3" s="11" t="s">
        <v>69</v>
      </c>
      <c r="X3" s="11" t="s">
        <v>68</v>
      </c>
      <c r="Y3" s="11" t="s">
        <v>76</v>
      </c>
      <c r="Z3" s="11" t="s">
        <v>144</v>
      </c>
      <c r="AA3" s="11" t="s">
        <v>26</v>
      </c>
      <c r="AB3" s="11" t="s">
        <v>27</v>
      </c>
      <c r="AC3" s="11" t="s">
        <v>28</v>
      </c>
      <c r="AD3" s="11" t="s">
        <v>29</v>
      </c>
      <c r="AE3" s="11" t="s">
        <v>30</v>
      </c>
      <c r="AF3" s="11" t="s">
        <v>31</v>
      </c>
      <c r="AG3" s="11" t="s">
        <v>145</v>
      </c>
      <c r="AH3" s="11" t="s">
        <v>146</v>
      </c>
      <c r="AI3" s="11" t="s">
        <v>39</v>
      </c>
      <c r="AJ3" s="11" t="s">
        <v>147</v>
      </c>
      <c r="AK3" s="11" t="s">
        <v>187</v>
      </c>
      <c r="AL3" s="11" t="s">
        <v>205</v>
      </c>
      <c r="AM3" s="11" t="s">
        <v>258</v>
      </c>
      <c r="AN3" s="11" t="s">
        <v>41</v>
      </c>
      <c r="AO3" s="11" t="s">
        <v>42</v>
      </c>
      <c r="AP3" s="11" t="s">
        <v>148</v>
      </c>
      <c r="AQ3" s="11" t="s">
        <v>43</v>
      </c>
      <c r="AR3" s="11" t="s">
        <v>44</v>
      </c>
      <c r="AS3" s="11" t="s">
        <v>45</v>
      </c>
      <c r="AT3" s="11" t="s">
        <v>46</v>
      </c>
      <c r="AU3" s="11" t="s">
        <v>47</v>
      </c>
      <c r="AV3" s="11" t="s">
        <v>55</v>
      </c>
      <c r="AW3" s="11" t="s">
        <v>59</v>
      </c>
      <c r="AX3" s="11" t="s">
        <v>60</v>
      </c>
      <c r="AY3" s="11" t="s">
        <v>61</v>
      </c>
      <c r="AZ3" s="11" t="s">
        <v>149</v>
      </c>
      <c r="BA3" s="11" t="s">
        <v>62</v>
      </c>
      <c r="BB3" s="11" t="s">
        <v>150</v>
      </c>
      <c r="BC3" s="11" t="s">
        <v>63</v>
      </c>
      <c r="BD3" s="11" t="s">
        <v>64</v>
      </c>
      <c r="BE3" s="11" t="s">
        <v>65</v>
      </c>
      <c r="BF3" s="11" t="s">
        <v>66</v>
      </c>
      <c r="BG3" s="11" t="s">
        <v>71</v>
      </c>
      <c r="BH3" s="11" t="s">
        <v>72</v>
      </c>
      <c r="BI3" s="11" t="s">
        <v>151</v>
      </c>
      <c r="BJ3" s="11" t="s">
        <v>40</v>
      </c>
      <c r="BK3" s="11" t="s">
        <v>73</v>
      </c>
      <c r="BL3" s="11" t="s">
        <v>74</v>
      </c>
      <c r="BM3" s="11" t="s">
        <v>75</v>
      </c>
      <c r="BN3" s="11" t="s">
        <v>77</v>
      </c>
      <c r="BO3" s="11" t="s">
        <v>78</v>
      </c>
      <c r="BP3" s="11" t="s">
        <v>170</v>
      </c>
      <c r="BQ3" s="11" t="s">
        <v>196</v>
      </c>
      <c r="BR3" s="11"/>
      <c r="BT3" s="11"/>
      <c r="BU3" s="11"/>
      <c r="CA3" s="11"/>
      <c r="CD3" s="11"/>
    </row>
    <row r="4" spans="1:96" ht="12.75" x14ac:dyDescent="0.2">
      <c r="B4" s="11">
        <v>1304</v>
      </c>
      <c r="C4" s="11">
        <f>ROUND(DAYS360(Tableau_Lancer_la_requête_à_partir_de_AS4003[[#This Row],[Date naissance 1]],Tableau_Lancer_la_requête_à_partir_de_AS4003[[#This Row],[Date début]])/360,0)</f>
        <v>55</v>
      </c>
      <c r="D4" s="11">
        <v>0</v>
      </c>
      <c r="E4" s="11">
        <v>0</v>
      </c>
      <c r="F4" s="11">
        <v>0</v>
      </c>
      <c r="G4" s="11">
        <v>12</v>
      </c>
      <c r="H4" s="11">
        <f>ROUND(DAYS360(Tableau_Lancer_la_requête_à_partir_de_AS4003[[#This Row],[Date début]],'Cash flows par police'!$C$4)/30,0)</f>
        <v>3</v>
      </c>
      <c r="I4" s="11">
        <v>0</v>
      </c>
      <c r="J4" s="11">
        <v>0</v>
      </c>
      <c r="K4" s="11">
        <v>0</v>
      </c>
      <c r="L4" s="11">
        <v>31.1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f>SUM(Tableau_Lancer_la_requête_à_partir_de_AS4003[[#This Row],[POLPRCPL2]:[POLPRCPL9]])</f>
        <v>31.1</v>
      </c>
      <c r="T4" s="11">
        <v>99</v>
      </c>
      <c r="U4" s="11">
        <v>12</v>
      </c>
      <c r="V4" s="11">
        <v>0</v>
      </c>
      <c r="W4" s="11">
        <v>510</v>
      </c>
      <c r="X4" s="11">
        <v>26.2</v>
      </c>
      <c r="Y4" s="11">
        <v>0</v>
      </c>
      <c r="Z4" s="11">
        <v>1</v>
      </c>
      <c r="AA4" s="11">
        <v>0</v>
      </c>
      <c r="AB4" s="11">
        <v>0</v>
      </c>
      <c r="AC4" s="11">
        <v>0</v>
      </c>
      <c r="AD4" s="11">
        <v>0</v>
      </c>
      <c r="AE4" s="11">
        <v>0</v>
      </c>
      <c r="AF4" s="11">
        <f>IF(Tableau_Lancer_la_requête_à_partir_de_AS4003[[#This Row],[POL_SEX_ASSURE]]="M",0,1)</f>
        <v>1</v>
      </c>
      <c r="AG4" s="11" t="str">
        <f>IF(Tableau_Lancer_la_requête_à_partir_de_AS4003[[#This Row],[POL_SEX_ASSURE2]]="","",IF(Tableau_Lancer_la_requête_à_partir_de_AS4003[[#This Row],[POL_SEX_ASSURE2]]="M",0,1))</f>
        <v/>
      </c>
      <c r="AH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4" s="11">
        <v>8000</v>
      </c>
      <c r="AJ4" s="11">
        <f>Tableau_Lancer_la_requête_à_partir_de_AS4003[[#This Row],[POL_DUREE_ASSUR]]*12</f>
        <v>1188</v>
      </c>
      <c r="AK4" s="11">
        <v>266.7</v>
      </c>
      <c r="AL4" s="11">
        <v>26.2</v>
      </c>
      <c r="AM4" s="11">
        <v>0</v>
      </c>
      <c r="AN4" s="11" t="s">
        <v>36</v>
      </c>
      <c r="AO4" s="11" t="s">
        <v>80</v>
      </c>
      <c r="AP4" s="11">
        <f>Tableau_Lancer_la_requête_à_partir_de_AS4003[[#This Row],[POL_TERM_M]]-Tableau_Lancer_la_requête_à_partir_de_AS4003[[#This Row],[Duration IF]]</f>
        <v>1185</v>
      </c>
      <c r="AQ4" s="11" t="s">
        <v>36</v>
      </c>
      <c r="AR4" s="11" t="s">
        <v>36</v>
      </c>
      <c r="AS4" s="11" t="s">
        <v>36</v>
      </c>
      <c r="AT4" s="11" t="s">
        <v>36</v>
      </c>
      <c r="AU4" s="11" t="s">
        <v>36</v>
      </c>
      <c r="AV4" s="11">
        <v>0</v>
      </c>
      <c r="AW4" s="11">
        <v>11</v>
      </c>
      <c r="AX4" s="11">
        <v>1</v>
      </c>
      <c r="AY4" s="11">
        <v>20181001</v>
      </c>
      <c r="AZ4" s="80">
        <f t="shared" ref="AZ4:AZ35" si="0">DATE(VALUE(LEFT(AY4,4)),VALUE(MID(AY4,5,2)),VALUE(RIGHT(AY4,2)))</f>
        <v>43374</v>
      </c>
      <c r="BA4" s="11">
        <v>19631227</v>
      </c>
      <c r="BB4" s="80">
        <f t="shared" ref="BB4:BB35" si="1">DATE(VALUE(LEFT(BA4,4)),VALUE(MID(BA4,5,2)),VALUE(RIGHT(BA4,2)))</f>
        <v>23372</v>
      </c>
      <c r="BC4" s="11">
        <v>0</v>
      </c>
      <c r="BD4" s="11" t="s">
        <v>81</v>
      </c>
      <c r="BE4" s="11">
        <v>1</v>
      </c>
      <c r="BF4" s="11" t="s">
        <v>36</v>
      </c>
      <c r="BG4" s="11">
        <v>478.9</v>
      </c>
      <c r="BH4" s="11">
        <v>363.8</v>
      </c>
      <c r="BI4" s="11">
        <v>0</v>
      </c>
      <c r="BJ4" s="11" t="s">
        <v>79</v>
      </c>
      <c r="BK4" s="11">
        <v>1</v>
      </c>
      <c r="BL4" s="11">
        <v>0</v>
      </c>
      <c r="BM4" s="11">
        <v>0</v>
      </c>
      <c r="BN4" s="11">
        <v>1304</v>
      </c>
      <c r="BO4" s="11">
        <v>0</v>
      </c>
      <c r="BP4" s="11" t="s">
        <v>79</v>
      </c>
      <c r="BQ4" s="11">
        <v>0</v>
      </c>
      <c r="BR4" s="11"/>
      <c r="BT4" s="11"/>
      <c r="BU4" s="11"/>
      <c r="CA4" s="11"/>
      <c r="CD4" s="11"/>
    </row>
    <row r="5" spans="1:96" ht="12.75" x14ac:dyDescent="0.2">
      <c r="B5" s="11">
        <v>18108</v>
      </c>
      <c r="C5" s="11">
        <f>ROUND(DAYS360(Tableau_Lancer_la_requête_à_partir_de_AS4003[[#This Row],[Date naissance 1]],Tableau_Lancer_la_requête_à_partir_de_AS4003[[#This Row],[Date début]])/360,0)</f>
        <v>54</v>
      </c>
      <c r="D5" s="11">
        <v>0</v>
      </c>
      <c r="E5" s="11">
        <v>0</v>
      </c>
      <c r="F5" s="11">
        <v>0</v>
      </c>
      <c r="G5" s="11">
        <v>12</v>
      </c>
      <c r="H5" s="11">
        <f>ROUND(DAYS360(Tableau_Lancer_la_requête_à_partir_de_AS4003[[#This Row],[Date début]],'Cash flows par police'!$C$4)/30,0)</f>
        <v>1</v>
      </c>
      <c r="I5" s="11">
        <v>0</v>
      </c>
      <c r="J5" s="11">
        <v>0</v>
      </c>
      <c r="K5" s="11">
        <v>0</v>
      </c>
      <c r="L5" s="11">
        <v>13.4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f>SUM(Tableau_Lancer_la_requête_à_partir_de_AS4003[[#This Row],[POLPRCPL2]:[POLPRCPL9]])</f>
        <v>13.4</v>
      </c>
      <c r="T5" s="11">
        <v>99</v>
      </c>
      <c r="U5" s="11">
        <v>12</v>
      </c>
      <c r="V5" s="11">
        <v>0</v>
      </c>
      <c r="W5" s="11">
        <v>216</v>
      </c>
      <c r="X5" s="11">
        <v>0</v>
      </c>
      <c r="Y5" s="11">
        <v>0</v>
      </c>
      <c r="Z5" s="11">
        <v>1</v>
      </c>
      <c r="AA5" s="11">
        <v>0</v>
      </c>
      <c r="AB5" s="11">
        <v>0</v>
      </c>
      <c r="AC5" s="11">
        <v>0</v>
      </c>
      <c r="AD5" s="11">
        <v>0</v>
      </c>
      <c r="AE5" s="11">
        <v>0</v>
      </c>
      <c r="AF5" s="11">
        <f>IF(Tableau_Lancer_la_requête_à_partir_de_AS4003[[#This Row],[POL_SEX_ASSURE]]="M",0,1)</f>
        <v>1</v>
      </c>
      <c r="AG5" s="11" t="str">
        <f>IF(Tableau_Lancer_la_requête_à_partir_de_AS4003[[#This Row],[POL_SEX_ASSURE2]]="","",IF(Tableau_Lancer_la_requête_à_partir_de_AS4003[[#This Row],[POL_SEX_ASSURE2]]="M",0,1))</f>
        <v/>
      </c>
      <c r="AH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5" s="11">
        <v>3453.6</v>
      </c>
      <c r="AJ5" s="11">
        <f>Tableau_Lancer_la_requête_à_partir_de_AS4003[[#This Row],[POL_DUREE_ASSUR]]*12</f>
        <v>1188</v>
      </c>
      <c r="AK5" s="11">
        <v>111.4</v>
      </c>
      <c r="AL5" s="11">
        <v>0</v>
      </c>
      <c r="AM5" s="11">
        <v>0</v>
      </c>
      <c r="AN5" s="11" t="s">
        <v>36</v>
      </c>
      <c r="AO5" s="11" t="s">
        <v>80</v>
      </c>
      <c r="AP5" s="11">
        <f>Tableau_Lancer_la_requête_à_partir_de_AS4003[[#This Row],[POL_TERM_M]]-Tableau_Lancer_la_requête_à_partir_de_AS4003[[#This Row],[Duration IF]]</f>
        <v>1187</v>
      </c>
      <c r="AQ5" s="11" t="s">
        <v>36</v>
      </c>
      <c r="AR5" s="11" t="s">
        <v>36</v>
      </c>
      <c r="AS5" s="11" t="s">
        <v>36</v>
      </c>
      <c r="AT5" s="11" t="s">
        <v>36</v>
      </c>
      <c r="AU5" s="11" t="s">
        <v>36</v>
      </c>
      <c r="AV5" s="11">
        <v>0</v>
      </c>
      <c r="AW5" s="11">
        <v>11</v>
      </c>
      <c r="AX5" s="11">
        <v>1</v>
      </c>
      <c r="AY5" s="11">
        <v>20181201</v>
      </c>
      <c r="AZ5" s="80">
        <f t="shared" si="0"/>
        <v>43435</v>
      </c>
      <c r="BA5" s="11">
        <v>19640715</v>
      </c>
      <c r="BB5" s="80">
        <f t="shared" si="1"/>
        <v>23573</v>
      </c>
      <c r="BC5" s="11">
        <v>0</v>
      </c>
      <c r="BD5" s="11" t="s">
        <v>81</v>
      </c>
      <c r="BE5" s="11">
        <v>1</v>
      </c>
      <c r="BF5" s="11" t="s">
        <v>36</v>
      </c>
      <c r="BG5" s="11">
        <v>202.6</v>
      </c>
      <c r="BH5" s="11">
        <v>153.80000000000001</v>
      </c>
      <c r="BI5" s="11">
        <v>0</v>
      </c>
      <c r="BJ5" s="11" t="s">
        <v>79</v>
      </c>
      <c r="BK5" s="11">
        <v>1</v>
      </c>
      <c r="BL5" s="11">
        <v>0</v>
      </c>
      <c r="BM5" s="11">
        <v>0</v>
      </c>
      <c r="BN5" s="11">
        <v>18108</v>
      </c>
      <c r="BO5" s="11">
        <v>0</v>
      </c>
      <c r="BP5" s="11" t="s">
        <v>79</v>
      </c>
      <c r="BQ5" s="11">
        <v>0</v>
      </c>
      <c r="BR5" s="11"/>
      <c r="BT5" s="11"/>
      <c r="BU5" s="11"/>
      <c r="CA5" s="11"/>
      <c r="CD5" s="11"/>
    </row>
    <row r="6" spans="1:96" ht="12.75" x14ac:dyDescent="0.2">
      <c r="B6" s="11">
        <v>20604</v>
      </c>
      <c r="C6" s="11">
        <f>ROUND(DAYS360(Tableau_Lancer_la_requête_à_partir_de_AS4003[[#This Row],[Date naissance 1]],Tableau_Lancer_la_requête_à_partir_de_AS4003[[#This Row],[Date début]])/360,0)</f>
        <v>57</v>
      </c>
      <c r="D6" s="11">
        <v>0</v>
      </c>
      <c r="E6" s="11">
        <v>0</v>
      </c>
      <c r="F6" s="11">
        <v>0</v>
      </c>
      <c r="G6" s="11">
        <v>12</v>
      </c>
      <c r="H6" s="11">
        <f>ROUND(DAYS360(Tableau_Lancer_la_requête_à_partir_de_AS4003[[#This Row],[Date début]],'Cash flows par police'!$C$4)/30,0)</f>
        <v>3</v>
      </c>
      <c r="I6" s="11">
        <v>0</v>
      </c>
      <c r="J6" s="11">
        <v>0</v>
      </c>
      <c r="K6" s="11">
        <v>0</v>
      </c>
      <c r="L6" s="11">
        <v>19.399999999999999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f>SUM(Tableau_Lancer_la_requête_à_partir_de_AS4003[[#This Row],[POLPRCPL2]:[POLPRCPL9]])</f>
        <v>19.399999999999999</v>
      </c>
      <c r="T6" s="11">
        <v>99</v>
      </c>
      <c r="U6" s="11">
        <v>12</v>
      </c>
      <c r="V6" s="11">
        <v>0</v>
      </c>
      <c r="W6" s="11">
        <v>332.4</v>
      </c>
      <c r="X6" s="11">
        <v>17.100000000000001</v>
      </c>
      <c r="Y6" s="11">
        <v>0</v>
      </c>
      <c r="Z6" s="11">
        <v>1</v>
      </c>
      <c r="AA6" s="11">
        <v>0</v>
      </c>
      <c r="AB6" s="11">
        <v>0</v>
      </c>
      <c r="AC6" s="11">
        <v>0</v>
      </c>
      <c r="AD6" s="11">
        <v>0</v>
      </c>
      <c r="AE6" s="11">
        <v>0</v>
      </c>
      <c r="AF6" s="11">
        <f>IF(Tableau_Lancer_la_requête_à_partir_de_AS4003[[#This Row],[POL_SEX_ASSURE]]="M",0,1)</f>
        <v>1</v>
      </c>
      <c r="AG6" s="11" t="str">
        <f>IF(Tableau_Lancer_la_requête_à_partir_de_AS4003[[#This Row],[POL_SEX_ASSURE2]]="","",IF(Tableau_Lancer_la_requête_à_partir_de_AS4003[[#This Row],[POL_SEX_ASSURE2]]="M",0,1))</f>
        <v/>
      </c>
      <c r="AH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6" s="11">
        <v>5000</v>
      </c>
      <c r="AJ6" s="11">
        <f>Tableau_Lancer_la_requête_à_partir_de_AS4003[[#This Row],[POL_DUREE_ASSUR]]*12</f>
        <v>1188</v>
      </c>
      <c r="AK6" s="11">
        <v>178.6</v>
      </c>
      <c r="AL6" s="11">
        <v>17.100000000000001</v>
      </c>
      <c r="AM6" s="11">
        <v>0</v>
      </c>
      <c r="AN6" s="11" t="s">
        <v>36</v>
      </c>
      <c r="AO6" s="11" t="s">
        <v>80</v>
      </c>
      <c r="AP6" s="11">
        <f>Tableau_Lancer_la_requête_à_partir_de_AS4003[[#This Row],[POL_TERM_M]]-Tableau_Lancer_la_requête_à_partir_de_AS4003[[#This Row],[Duration IF]]</f>
        <v>1185</v>
      </c>
      <c r="AQ6" s="11" t="s">
        <v>36</v>
      </c>
      <c r="AR6" s="11" t="s">
        <v>36</v>
      </c>
      <c r="AS6" s="11" t="s">
        <v>36</v>
      </c>
      <c r="AT6" s="11" t="s">
        <v>36</v>
      </c>
      <c r="AU6" s="11" t="s">
        <v>36</v>
      </c>
      <c r="AV6" s="11">
        <v>0</v>
      </c>
      <c r="AW6" s="11">
        <v>11</v>
      </c>
      <c r="AX6" s="11">
        <v>1</v>
      </c>
      <c r="AY6" s="11">
        <v>20181001</v>
      </c>
      <c r="AZ6" s="80">
        <f t="shared" si="0"/>
        <v>43374</v>
      </c>
      <c r="BA6" s="11">
        <v>19610417</v>
      </c>
      <c r="BB6" s="80">
        <f t="shared" si="1"/>
        <v>22388</v>
      </c>
      <c r="BC6" s="11">
        <v>0</v>
      </c>
      <c r="BD6" s="11" t="s">
        <v>81</v>
      </c>
      <c r="BE6" s="11">
        <v>1</v>
      </c>
      <c r="BF6" s="11" t="s">
        <v>36</v>
      </c>
      <c r="BG6" s="11">
        <v>313</v>
      </c>
      <c r="BH6" s="11">
        <v>237.5</v>
      </c>
      <c r="BI6" s="11">
        <v>0</v>
      </c>
      <c r="BJ6" s="11" t="s">
        <v>79</v>
      </c>
      <c r="BK6" s="11">
        <v>1</v>
      </c>
      <c r="BL6" s="11">
        <v>0</v>
      </c>
      <c r="BM6" s="11">
        <v>0</v>
      </c>
      <c r="BN6" s="11">
        <v>20604</v>
      </c>
      <c r="BO6" s="11">
        <v>0</v>
      </c>
      <c r="BP6" s="11" t="s">
        <v>79</v>
      </c>
      <c r="BQ6" s="11">
        <v>0</v>
      </c>
      <c r="BR6" s="11"/>
      <c r="BT6" s="11"/>
      <c r="BU6" s="11"/>
      <c r="CA6" s="11"/>
      <c r="CD6" s="11"/>
    </row>
    <row r="7" spans="1:96" ht="12.75" x14ac:dyDescent="0.2">
      <c r="B7" s="11">
        <v>24603</v>
      </c>
      <c r="C7" s="11">
        <f>ROUND(DAYS360(Tableau_Lancer_la_requête_à_partir_de_AS4003[[#This Row],[Date naissance 1]],Tableau_Lancer_la_requête_à_partir_de_AS4003[[#This Row],[Date début]])/360,0)</f>
        <v>59</v>
      </c>
      <c r="D7" s="11">
        <v>0</v>
      </c>
      <c r="E7" s="11">
        <v>0</v>
      </c>
      <c r="F7" s="11">
        <v>0</v>
      </c>
      <c r="G7" s="11">
        <v>12</v>
      </c>
      <c r="H7" s="11">
        <f>ROUND(DAYS360(Tableau_Lancer_la_requête_à_partir_de_AS4003[[#This Row],[Date début]],'Cash flows par police'!$C$4)/30,0)</f>
        <v>4</v>
      </c>
      <c r="I7" s="11">
        <v>0</v>
      </c>
      <c r="J7" s="11">
        <v>0</v>
      </c>
      <c r="K7" s="11">
        <v>0</v>
      </c>
      <c r="L7" s="11">
        <v>18.899999999999999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f>SUM(Tableau_Lancer_la_requête_à_partir_de_AS4003[[#This Row],[POLPRCPL2]:[POLPRCPL9]])</f>
        <v>18.899999999999999</v>
      </c>
      <c r="T7" s="11">
        <v>99</v>
      </c>
      <c r="U7" s="11">
        <v>4</v>
      </c>
      <c r="V7" s="11">
        <v>0</v>
      </c>
      <c r="W7" s="11">
        <v>337.6</v>
      </c>
      <c r="X7" s="11">
        <v>27.1</v>
      </c>
      <c r="Y7" s="11">
        <v>0</v>
      </c>
      <c r="Z7" s="11">
        <v>1</v>
      </c>
      <c r="AA7" s="11">
        <v>0</v>
      </c>
      <c r="AB7" s="11">
        <v>0</v>
      </c>
      <c r="AC7" s="11">
        <v>0</v>
      </c>
      <c r="AD7" s="11">
        <v>0</v>
      </c>
      <c r="AE7" s="11">
        <v>0</v>
      </c>
      <c r="AF7" s="11">
        <f>IF(Tableau_Lancer_la_requête_à_partir_de_AS4003[[#This Row],[POL_SEX_ASSURE]]="M",0,1)</f>
        <v>1</v>
      </c>
      <c r="AG7" s="11" t="str">
        <f>IF(Tableau_Lancer_la_requête_à_partir_de_AS4003[[#This Row],[POL_SEX_ASSURE2]]="","",IF(Tableau_Lancer_la_requête_à_partir_de_AS4003[[#This Row],[POL_SEX_ASSURE2]]="M",0,1))</f>
        <v/>
      </c>
      <c r="AH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7" s="11">
        <v>5000</v>
      </c>
      <c r="AJ7" s="11">
        <f>Tableau_Lancer_la_requête_à_partir_de_AS4003[[#This Row],[POL_DUREE_ASSUR]]*12</f>
        <v>1188</v>
      </c>
      <c r="AK7" s="11">
        <v>192.3</v>
      </c>
      <c r="AL7" s="11">
        <v>27.1</v>
      </c>
      <c r="AM7" s="11">
        <v>0</v>
      </c>
      <c r="AN7" s="11" t="s">
        <v>36</v>
      </c>
      <c r="AO7" s="11" t="s">
        <v>80</v>
      </c>
      <c r="AP7" s="11">
        <f>Tableau_Lancer_la_requête_à_partir_de_AS4003[[#This Row],[POL_TERM_M]]-Tableau_Lancer_la_requête_à_partir_de_AS4003[[#This Row],[Duration IF]]</f>
        <v>1184</v>
      </c>
      <c r="AQ7" s="11" t="s">
        <v>36</v>
      </c>
      <c r="AR7" s="11" t="s">
        <v>36</v>
      </c>
      <c r="AS7" s="11" t="s">
        <v>36</v>
      </c>
      <c r="AT7" s="11" t="s">
        <v>36</v>
      </c>
      <c r="AU7" s="11" t="s">
        <v>36</v>
      </c>
      <c r="AV7" s="11">
        <v>0</v>
      </c>
      <c r="AW7" s="11">
        <v>11</v>
      </c>
      <c r="AX7" s="11">
        <v>1</v>
      </c>
      <c r="AY7" s="11">
        <v>20180901</v>
      </c>
      <c r="AZ7" s="80">
        <f t="shared" si="0"/>
        <v>43344</v>
      </c>
      <c r="BA7" s="11">
        <v>19590605</v>
      </c>
      <c r="BB7" s="80">
        <f t="shared" si="1"/>
        <v>21706</v>
      </c>
      <c r="BC7" s="11">
        <v>0</v>
      </c>
      <c r="BD7" s="11" t="s">
        <v>81</v>
      </c>
      <c r="BE7" s="11">
        <v>1</v>
      </c>
      <c r="BF7" s="11" t="s">
        <v>36</v>
      </c>
      <c r="BG7" s="11">
        <v>318.7</v>
      </c>
      <c r="BH7" s="11">
        <v>248.8</v>
      </c>
      <c r="BI7" s="11">
        <v>0</v>
      </c>
      <c r="BJ7" s="11" t="s">
        <v>79</v>
      </c>
      <c r="BK7" s="11">
        <v>1</v>
      </c>
      <c r="BL7" s="11">
        <v>40.299999999999997</v>
      </c>
      <c r="BM7" s="11">
        <v>2.5</v>
      </c>
      <c r="BN7" s="11">
        <v>24603</v>
      </c>
      <c r="BO7" s="11">
        <v>0</v>
      </c>
      <c r="BP7" s="11" t="s">
        <v>79</v>
      </c>
      <c r="BQ7" s="11">
        <v>0</v>
      </c>
      <c r="BR7" s="11"/>
      <c r="BT7" s="11"/>
      <c r="BU7" s="11"/>
      <c r="CA7" s="11"/>
      <c r="CD7" s="11"/>
    </row>
    <row r="8" spans="1:96" ht="12.75" x14ac:dyDescent="0.2">
      <c r="B8" s="11">
        <v>27402</v>
      </c>
      <c r="C8" s="11">
        <f>ROUND(DAYS360(Tableau_Lancer_la_requête_à_partir_de_AS4003[[#This Row],[Date naissance 1]],Tableau_Lancer_la_requête_à_partir_de_AS4003[[#This Row],[Date début]])/360,0)</f>
        <v>59</v>
      </c>
      <c r="D8" s="11">
        <v>0</v>
      </c>
      <c r="E8" s="11">
        <v>0</v>
      </c>
      <c r="F8" s="11">
        <v>0</v>
      </c>
      <c r="G8" s="11">
        <v>12</v>
      </c>
      <c r="H8" s="11">
        <f>ROUND(DAYS360(Tableau_Lancer_la_requête_à_partir_de_AS4003[[#This Row],[Date début]],'Cash flows par police'!$C$4)/30,0)</f>
        <v>2</v>
      </c>
      <c r="I8" s="11">
        <v>0</v>
      </c>
      <c r="J8" s="11">
        <v>0</v>
      </c>
      <c r="K8" s="11">
        <v>0</v>
      </c>
      <c r="L8" s="11">
        <v>11.6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f>SUM(Tableau_Lancer_la_requête_à_partir_de_AS4003[[#This Row],[POLPRCPL2]:[POLPRCPL9]])</f>
        <v>11.6</v>
      </c>
      <c r="T8" s="11">
        <v>99</v>
      </c>
      <c r="U8" s="11">
        <v>2</v>
      </c>
      <c r="V8" s="11">
        <v>0</v>
      </c>
      <c r="W8" s="11">
        <v>208</v>
      </c>
      <c r="X8" s="11">
        <v>5.6</v>
      </c>
      <c r="Y8" s="11">
        <v>0</v>
      </c>
      <c r="Z8" s="11">
        <v>1</v>
      </c>
      <c r="AA8" s="11">
        <v>0</v>
      </c>
      <c r="AB8" s="11">
        <v>0</v>
      </c>
      <c r="AC8" s="11">
        <v>0</v>
      </c>
      <c r="AD8" s="11">
        <v>0</v>
      </c>
      <c r="AE8" s="11">
        <v>0</v>
      </c>
      <c r="AF8" s="11">
        <f>IF(Tableau_Lancer_la_requête_à_partir_de_AS4003[[#This Row],[POL_SEX_ASSURE]]="M",0,1)</f>
        <v>1</v>
      </c>
      <c r="AG8" s="11" t="str">
        <f>IF(Tableau_Lancer_la_requête_à_partir_de_AS4003[[#This Row],[POL_SEX_ASSURE2]]="","",IF(Tableau_Lancer_la_requête_à_partir_de_AS4003[[#This Row],[POL_SEX_ASSURE2]]="M",0,1))</f>
        <v/>
      </c>
      <c r="AH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8" s="11">
        <v>3110.9</v>
      </c>
      <c r="AJ8" s="11">
        <f>Tableau_Lancer_la_requête_à_partir_de_AS4003[[#This Row],[POL_DUREE_ASSUR]]*12</f>
        <v>1188</v>
      </c>
      <c r="AK8" s="11">
        <v>119.7</v>
      </c>
      <c r="AL8" s="11">
        <v>5.6</v>
      </c>
      <c r="AM8" s="11">
        <v>0</v>
      </c>
      <c r="AN8" s="11" t="s">
        <v>36</v>
      </c>
      <c r="AO8" s="11" t="s">
        <v>80</v>
      </c>
      <c r="AP8" s="11">
        <f>Tableau_Lancer_la_requête_à_partir_de_AS4003[[#This Row],[POL_TERM_M]]-Tableau_Lancer_la_requête_à_partir_de_AS4003[[#This Row],[Duration IF]]</f>
        <v>1186</v>
      </c>
      <c r="AQ8" s="11" t="s">
        <v>36</v>
      </c>
      <c r="AR8" s="11" t="s">
        <v>36</v>
      </c>
      <c r="AS8" s="11" t="s">
        <v>36</v>
      </c>
      <c r="AT8" s="11" t="s">
        <v>36</v>
      </c>
      <c r="AU8" s="11" t="s">
        <v>36</v>
      </c>
      <c r="AV8" s="11">
        <v>0</v>
      </c>
      <c r="AW8" s="11">
        <v>11</v>
      </c>
      <c r="AX8" s="11">
        <v>1</v>
      </c>
      <c r="AY8" s="11">
        <v>20181101</v>
      </c>
      <c r="AZ8" s="80">
        <f t="shared" si="0"/>
        <v>43405</v>
      </c>
      <c r="BA8" s="11">
        <v>19591113</v>
      </c>
      <c r="BB8" s="80">
        <f t="shared" si="1"/>
        <v>21867</v>
      </c>
      <c r="BC8" s="11">
        <v>0</v>
      </c>
      <c r="BD8" s="11" t="s">
        <v>81</v>
      </c>
      <c r="BE8" s="11">
        <v>1</v>
      </c>
      <c r="BF8" s="11" t="s">
        <v>36</v>
      </c>
      <c r="BG8" s="11">
        <v>196.4</v>
      </c>
      <c r="BH8" s="11">
        <v>154.80000000000001</v>
      </c>
      <c r="BI8" s="11">
        <v>0</v>
      </c>
      <c r="BJ8" s="11" t="s">
        <v>79</v>
      </c>
      <c r="BK8" s="11">
        <v>1</v>
      </c>
      <c r="BL8" s="11">
        <v>51</v>
      </c>
      <c r="BM8" s="11">
        <v>3.1</v>
      </c>
      <c r="BN8" s="11">
        <v>27402</v>
      </c>
      <c r="BO8" s="11">
        <v>0</v>
      </c>
      <c r="BP8" s="11" t="s">
        <v>79</v>
      </c>
      <c r="BQ8" s="11">
        <v>0</v>
      </c>
      <c r="BR8" s="11"/>
      <c r="BT8" s="11"/>
      <c r="BU8" s="11"/>
      <c r="CA8" s="11"/>
      <c r="CD8" s="11"/>
    </row>
    <row r="9" spans="1:96" ht="12.75" x14ac:dyDescent="0.2">
      <c r="B9" s="11">
        <v>47903</v>
      </c>
      <c r="C9" s="11">
        <f>ROUND(DAYS360(Tableau_Lancer_la_requête_à_partir_de_AS4003[[#This Row],[Date naissance 1]],Tableau_Lancer_la_requête_à_partir_de_AS4003[[#This Row],[Date début]])/360,0)</f>
        <v>53</v>
      </c>
      <c r="D9" s="11">
        <v>0</v>
      </c>
      <c r="E9" s="11">
        <v>0</v>
      </c>
      <c r="F9" s="11">
        <v>0</v>
      </c>
      <c r="G9" s="11">
        <v>12</v>
      </c>
      <c r="H9" s="11">
        <f>ROUND(DAYS360(Tableau_Lancer_la_requête_à_partir_de_AS4003[[#This Row],[Date début]],'Cash flows par police'!$C$4)/30,0)</f>
        <v>3</v>
      </c>
      <c r="I9" s="11">
        <v>0</v>
      </c>
      <c r="J9" s="11">
        <v>0</v>
      </c>
      <c r="K9" s="11">
        <v>0</v>
      </c>
      <c r="L9" s="11">
        <v>19.399999999999999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f>SUM(Tableau_Lancer_la_requête_à_partir_de_AS4003[[#This Row],[POLPRCPL2]:[POLPRCPL9]])</f>
        <v>19.399999999999999</v>
      </c>
      <c r="T9" s="11">
        <v>99</v>
      </c>
      <c r="U9" s="11">
        <v>12</v>
      </c>
      <c r="V9" s="11">
        <v>0</v>
      </c>
      <c r="W9" s="11">
        <v>265.2</v>
      </c>
      <c r="X9" s="11">
        <v>0</v>
      </c>
      <c r="Y9" s="11">
        <v>0</v>
      </c>
      <c r="Z9" s="11">
        <v>1</v>
      </c>
      <c r="AA9" s="11">
        <v>0</v>
      </c>
      <c r="AB9" s="11">
        <v>0</v>
      </c>
      <c r="AC9" s="11">
        <v>0</v>
      </c>
      <c r="AD9" s="11">
        <v>0</v>
      </c>
      <c r="AE9" s="11">
        <v>0</v>
      </c>
      <c r="AF9" s="11">
        <f>IF(Tableau_Lancer_la_requête_à_partir_de_AS4003[[#This Row],[POL_SEX_ASSURE]]="M",0,1)</f>
        <v>1</v>
      </c>
      <c r="AG9" s="11" t="str">
        <f>IF(Tableau_Lancer_la_requête_à_partir_de_AS4003[[#This Row],[POL_SEX_ASSURE2]]="","",IF(Tableau_Lancer_la_requête_à_partir_de_AS4003[[#This Row],[POL_SEX_ASSURE2]]="M",0,1))</f>
        <v/>
      </c>
      <c r="AH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9" s="11">
        <v>5000</v>
      </c>
      <c r="AJ9" s="11">
        <f>Tableau_Lancer_la_requête_à_partir_de_AS4003[[#This Row],[POL_DUREE_ASSUR]]*12</f>
        <v>1188</v>
      </c>
      <c r="AK9" s="11">
        <v>151.5</v>
      </c>
      <c r="AL9" s="11">
        <v>0</v>
      </c>
      <c r="AM9" s="11">
        <v>0</v>
      </c>
      <c r="AN9" s="11" t="s">
        <v>36</v>
      </c>
      <c r="AO9" s="11" t="s">
        <v>80</v>
      </c>
      <c r="AP9" s="11">
        <f>Tableau_Lancer_la_requête_à_partir_de_AS4003[[#This Row],[POL_TERM_M]]-Tableau_Lancer_la_requête_à_partir_de_AS4003[[#This Row],[Duration IF]]</f>
        <v>1185</v>
      </c>
      <c r="AQ9" s="11" t="s">
        <v>36</v>
      </c>
      <c r="AR9" s="11" t="s">
        <v>36</v>
      </c>
      <c r="AS9" s="11" t="s">
        <v>36</v>
      </c>
      <c r="AT9" s="11" t="s">
        <v>36</v>
      </c>
      <c r="AU9" s="11" t="s">
        <v>36</v>
      </c>
      <c r="AV9" s="11">
        <v>0</v>
      </c>
      <c r="AW9" s="11">
        <v>11</v>
      </c>
      <c r="AX9" s="11">
        <v>1</v>
      </c>
      <c r="AY9" s="11">
        <v>20181001</v>
      </c>
      <c r="AZ9" s="80">
        <f t="shared" si="0"/>
        <v>43374</v>
      </c>
      <c r="BA9" s="11">
        <v>19660312</v>
      </c>
      <c r="BB9" s="80">
        <f t="shared" si="1"/>
        <v>24178</v>
      </c>
      <c r="BC9" s="11">
        <v>0</v>
      </c>
      <c r="BD9" s="11" t="s">
        <v>81</v>
      </c>
      <c r="BE9" s="11">
        <v>1</v>
      </c>
      <c r="BF9" s="11" t="s">
        <v>36</v>
      </c>
      <c r="BG9" s="11">
        <v>245.8</v>
      </c>
      <c r="BH9" s="11">
        <v>187</v>
      </c>
      <c r="BI9" s="11">
        <v>0</v>
      </c>
      <c r="BJ9" s="11" t="s">
        <v>79</v>
      </c>
      <c r="BK9" s="11">
        <v>1</v>
      </c>
      <c r="BL9" s="11">
        <v>0</v>
      </c>
      <c r="BM9" s="11">
        <v>0</v>
      </c>
      <c r="BN9" s="11">
        <v>47903</v>
      </c>
      <c r="BO9" s="11">
        <v>0</v>
      </c>
      <c r="BP9" s="11" t="s">
        <v>79</v>
      </c>
      <c r="BQ9" s="11">
        <v>0</v>
      </c>
      <c r="BR9" s="11"/>
      <c r="BT9" s="11"/>
      <c r="BU9" s="11"/>
      <c r="CA9" s="11"/>
      <c r="CD9" s="11"/>
    </row>
    <row r="10" spans="1:96" ht="12.75" x14ac:dyDescent="0.2">
      <c r="B10" s="11">
        <v>50804</v>
      </c>
      <c r="C10" s="11">
        <f>ROUND(DAYS360(Tableau_Lancer_la_requête_à_partir_de_AS4003[[#This Row],[Date naissance 1]],Tableau_Lancer_la_requête_à_partir_de_AS4003[[#This Row],[Date début]])/360,0)</f>
        <v>59</v>
      </c>
      <c r="D10" s="11">
        <v>0</v>
      </c>
      <c r="E10" s="11">
        <v>0</v>
      </c>
      <c r="F10" s="11">
        <v>0</v>
      </c>
      <c r="G10" s="11">
        <v>12</v>
      </c>
      <c r="H10" s="11">
        <f>ROUND(DAYS360(Tableau_Lancer_la_requête_à_partir_de_AS4003[[#This Row],[Date début]],'Cash flows par police'!$C$4)/30,0)</f>
        <v>3</v>
      </c>
      <c r="I10" s="11">
        <v>0</v>
      </c>
      <c r="J10" s="11">
        <v>0</v>
      </c>
      <c r="K10" s="11">
        <v>0</v>
      </c>
      <c r="L10" s="11">
        <v>19.399999999999999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f>SUM(Tableau_Lancer_la_requête_à_partir_de_AS4003[[#This Row],[POLPRCPL2]:[POLPRCPL9]])</f>
        <v>19.399999999999999</v>
      </c>
      <c r="T10" s="11">
        <v>99</v>
      </c>
      <c r="U10" s="11">
        <v>12</v>
      </c>
      <c r="V10" s="11">
        <v>0</v>
      </c>
      <c r="W10" s="11">
        <v>346.8</v>
      </c>
      <c r="X10" s="11">
        <v>18</v>
      </c>
      <c r="Y10" s="11">
        <v>0</v>
      </c>
      <c r="Z10" s="11">
        <v>1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f>IF(Tableau_Lancer_la_requête_à_partir_de_AS4003[[#This Row],[POL_SEX_ASSURE]]="M",0,1)</f>
        <v>1</v>
      </c>
      <c r="AG10" s="11" t="str">
        <f>IF(Tableau_Lancer_la_requête_à_partir_de_AS4003[[#This Row],[POL_SEX_ASSURE2]]="","",IF(Tableau_Lancer_la_requête_à_partir_de_AS4003[[#This Row],[POL_SEX_ASSURE2]]="M",0,1))</f>
        <v/>
      </c>
      <c r="AH1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0" s="11">
        <v>5000</v>
      </c>
      <c r="AJ10" s="11">
        <f>Tableau_Lancer_la_requête_à_partir_de_AS4003[[#This Row],[POL_DUREE_ASSUR]]*12</f>
        <v>1188</v>
      </c>
      <c r="AK10" s="11">
        <v>192.3</v>
      </c>
      <c r="AL10" s="11">
        <v>18</v>
      </c>
      <c r="AM10" s="11">
        <v>0</v>
      </c>
      <c r="AN10" s="11" t="s">
        <v>36</v>
      </c>
      <c r="AO10" s="11" t="s">
        <v>80</v>
      </c>
      <c r="AP10" s="11">
        <f>Tableau_Lancer_la_requête_à_partir_de_AS4003[[#This Row],[POL_TERM_M]]-Tableau_Lancer_la_requête_à_partir_de_AS4003[[#This Row],[Duration IF]]</f>
        <v>1185</v>
      </c>
      <c r="AQ10" s="11" t="s">
        <v>36</v>
      </c>
      <c r="AR10" s="11" t="s">
        <v>36</v>
      </c>
      <c r="AS10" s="11" t="s">
        <v>36</v>
      </c>
      <c r="AT10" s="11" t="s">
        <v>36</v>
      </c>
      <c r="AU10" s="11" t="s">
        <v>36</v>
      </c>
      <c r="AV10" s="11">
        <v>0</v>
      </c>
      <c r="AW10" s="11">
        <v>11</v>
      </c>
      <c r="AX10" s="11">
        <v>1</v>
      </c>
      <c r="AY10" s="11">
        <v>20181001</v>
      </c>
      <c r="AZ10" s="80">
        <f t="shared" si="0"/>
        <v>43374</v>
      </c>
      <c r="BA10" s="11">
        <v>19591230</v>
      </c>
      <c r="BB10" s="80">
        <f t="shared" si="1"/>
        <v>21914</v>
      </c>
      <c r="BC10" s="11">
        <v>0</v>
      </c>
      <c r="BD10" s="11" t="s">
        <v>81</v>
      </c>
      <c r="BE10" s="11">
        <v>1</v>
      </c>
      <c r="BF10" s="11" t="s">
        <v>36</v>
      </c>
      <c r="BG10" s="11">
        <v>327.39999999999998</v>
      </c>
      <c r="BH10" s="11">
        <v>248.8</v>
      </c>
      <c r="BI10" s="11">
        <v>0</v>
      </c>
      <c r="BJ10" s="11" t="s">
        <v>79</v>
      </c>
      <c r="BK10" s="11">
        <v>1</v>
      </c>
      <c r="BL10" s="11">
        <v>0</v>
      </c>
      <c r="BM10" s="11">
        <v>0</v>
      </c>
      <c r="BN10" s="11">
        <v>50804</v>
      </c>
      <c r="BO10" s="11">
        <v>0</v>
      </c>
      <c r="BP10" s="11" t="s">
        <v>79</v>
      </c>
      <c r="BQ10" s="11">
        <v>0</v>
      </c>
      <c r="BR10" s="11"/>
      <c r="BT10" s="11"/>
      <c r="BU10" s="11"/>
      <c r="CA10" s="11"/>
      <c r="CD10" s="11"/>
    </row>
    <row r="11" spans="1:96" ht="12.75" x14ac:dyDescent="0.2">
      <c r="B11" s="11">
        <v>66102</v>
      </c>
      <c r="C11" s="11">
        <f>ROUND(DAYS360(Tableau_Lancer_la_requête_à_partir_de_AS4003[[#This Row],[Date naissance 1]],Tableau_Lancer_la_requête_à_partir_de_AS4003[[#This Row],[Date début]])/360,0)</f>
        <v>51</v>
      </c>
      <c r="D11" s="11">
        <v>0</v>
      </c>
      <c r="E11" s="11">
        <v>0</v>
      </c>
      <c r="F11" s="11">
        <v>0</v>
      </c>
      <c r="G11" s="11">
        <v>12</v>
      </c>
      <c r="H11" s="11">
        <f>ROUND(DAYS360(Tableau_Lancer_la_requête_à_partir_de_AS4003[[#This Row],[Date début]],'Cash flows par police'!$C$4)/30,0)</f>
        <v>1</v>
      </c>
      <c r="I11" s="11">
        <v>0</v>
      </c>
      <c r="J11" s="11">
        <v>0</v>
      </c>
      <c r="K11" s="11">
        <v>0</v>
      </c>
      <c r="L11" s="11">
        <v>29.9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f>SUM(Tableau_Lancer_la_requête_à_partir_de_AS4003[[#This Row],[POLPRCPL2]:[POLPRCPL9]])</f>
        <v>29.9</v>
      </c>
      <c r="T11" s="11">
        <v>99</v>
      </c>
      <c r="U11" s="11">
        <v>1</v>
      </c>
      <c r="V11" s="11">
        <v>0</v>
      </c>
      <c r="W11" s="11">
        <v>400</v>
      </c>
      <c r="X11" s="11">
        <v>0</v>
      </c>
      <c r="Y11" s="11">
        <v>0</v>
      </c>
      <c r="Z11" s="11">
        <v>1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f>IF(Tableau_Lancer_la_requête_à_partir_de_AS4003[[#This Row],[POL_SEX_ASSURE]]="M",0,1)</f>
        <v>1</v>
      </c>
      <c r="AG11" s="11" t="str">
        <f>IF(Tableau_Lancer_la_requête_à_partir_de_AS4003[[#This Row],[POL_SEX_ASSURE2]]="","",IF(Tableau_Lancer_la_requête_à_partir_de_AS4003[[#This Row],[POL_SEX_ASSURE2]]="M",0,1))</f>
        <v/>
      </c>
      <c r="AH1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1" s="11">
        <v>8296</v>
      </c>
      <c r="AJ11" s="11">
        <f>Tableau_Lancer_la_requête_à_partir_de_AS4003[[#This Row],[POL_DUREE_ASSUR]]*12</f>
        <v>1188</v>
      </c>
      <c r="AK11" s="11">
        <v>244</v>
      </c>
      <c r="AL11" s="11">
        <v>0</v>
      </c>
      <c r="AM11" s="11">
        <v>0</v>
      </c>
      <c r="AN11" s="11" t="s">
        <v>36</v>
      </c>
      <c r="AO11" s="11" t="s">
        <v>80</v>
      </c>
      <c r="AP11" s="11">
        <f>Tableau_Lancer_la_requête_à_partir_de_AS4003[[#This Row],[POL_TERM_M]]-Tableau_Lancer_la_requête_à_partir_de_AS4003[[#This Row],[Duration IF]]</f>
        <v>1187</v>
      </c>
      <c r="AQ11" s="11" t="s">
        <v>36</v>
      </c>
      <c r="AR11" s="11" t="s">
        <v>36</v>
      </c>
      <c r="AS11" s="11" t="s">
        <v>36</v>
      </c>
      <c r="AT11" s="11" t="s">
        <v>36</v>
      </c>
      <c r="AU11" s="11" t="s">
        <v>36</v>
      </c>
      <c r="AV11" s="11">
        <v>0</v>
      </c>
      <c r="AW11" s="11">
        <v>11</v>
      </c>
      <c r="AX11" s="11">
        <v>1</v>
      </c>
      <c r="AY11" s="11">
        <v>20181201</v>
      </c>
      <c r="AZ11" s="80">
        <f t="shared" si="0"/>
        <v>43435</v>
      </c>
      <c r="BA11" s="11">
        <v>19670618</v>
      </c>
      <c r="BB11" s="80">
        <f t="shared" si="1"/>
        <v>24641</v>
      </c>
      <c r="BC11" s="11">
        <v>0</v>
      </c>
      <c r="BD11" s="11" t="s">
        <v>81</v>
      </c>
      <c r="BE11" s="11">
        <v>1</v>
      </c>
      <c r="BF11" s="11" t="s">
        <v>36</v>
      </c>
      <c r="BG11" s="11">
        <v>370.1</v>
      </c>
      <c r="BH11" s="11">
        <v>303.5</v>
      </c>
      <c r="BI11" s="11">
        <v>0</v>
      </c>
      <c r="BJ11" s="11" t="s">
        <v>79</v>
      </c>
      <c r="BK11" s="11">
        <v>1</v>
      </c>
      <c r="BL11" s="11">
        <v>277</v>
      </c>
      <c r="BM11" s="11">
        <v>22.4</v>
      </c>
      <c r="BN11" s="11">
        <v>66102</v>
      </c>
      <c r="BO11" s="11">
        <v>0</v>
      </c>
      <c r="BP11" s="11" t="s">
        <v>79</v>
      </c>
      <c r="BQ11" s="11">
        <v>0</v>
      </c>
      <c r="BR11" s="11"/>
      <c r="BT11" s="11"/>
      <c r="BU11" s="11"/>
      <c r="CA11" s="11"/>
      <c r="CD11" s="11"/>
    </row>
    <row r="12" spans="1:96" ht="12.75" x14ac:dyDescent="0.2">
      <c r="B12" s="11">
        <v>69405</v>
      </c>
      <c r="C12" s="11">
        <f>ROUND(DAYS360(Tableau_Lancer_la_requête_à_partir_de_AS4003[[#This Row],[Date naissance 1]],Tableau_Lancer_la_requête_à_partir_de_AS4003[[#This Row],[Date début]])/360,0)</f>
        <v>58</v>
      </c>
      <c r="D12" s="11">
        <v>0</v>
      </c>
      <c r="E12" s="11">
        <v>0</v>
      </c>
      <c r="F12" s="11">
        <v>0</v>
      </c>
      <c r="G12" s="11">
        <v>12</v>
      </c>
      <c r="H12" s="11">
        <f>ROUND(DAYS360(Tableau_Lancer_la_requête_à_partir_de_AS4003[[#This Row],[Date début]],'Cash flows par police'!$C$4)/30,0)</f>
        <v>9</v>
      </c>
      <c r="I12" s="11">
        <v>0</v>
      </c>
      <c r="J12" s="11">
        <v>0</v>
      </c>
      <c r="K12" s="11">
        <v>0</v>
      </c>
      <c r="L12" s="11">
        <v>29.2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f>SUM(Tableau_Lancer_la_requête_à_partir_de_AS4003[[#This Row],[POLPRCPL2]:[POLPRCPL9]])</f>
        <v>29.2</v>
      </c>
      <c r="T12" s="11">
        <v>99</v>
      </c>
      <c r="U12" s="11">
        <v>12</v>
      </c>
      <c r="V12" s="11">
        <v>0</v>
      </c>
      <c r="W12" s="11">
        <v>508.8</v>
      </c>
      <c r="X12" s="11">
        <v>105.3</v>
      </c>
      <c r="Y12" s="11">
        <v>0</v>
      </c>
      <c r="Z12" s="11">
        <v>1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f>IF(Tableau_Lancer_la_requête_à_partir_de_AS4003[[#This Row],[POL_SEX_ASSURE]]="M",0,1)</f>
        <v>1</v>
      </c>
      <c r="AG12" s="11" t="str">
        <f>IF(Tableau_Lancer_la_requête_à_partir_de_AS4003[[#This Row],[POL_SEX_ASSURE2]]="","",IF(Tableau_Lancer_la_requête_à_partir_de_AS4003[[#This Row],[POL_SEX_ASSURE2]]="M",0,1))</f>
        <v/>
      </c>
      <c r="AH1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2" s="11">
        <v>7500</v>
      </c>
      <c r="AJ12" s="11">
        <f>Tableau_Lancer_la_requête_à_partir_de_AS4003[[#This Row],[POL_DUREE_ASSUR]]*12</f>
        <v>1188</v>
      </c>
      <c r="AK12" s="11">
        <v>277.8</v>
      </c>
      <c r="AL12" s="11">
        <v>105.3</v>
      </c>
      <c r="AM12" s="11">
        <v>0</v>
      </c>
      <c r="AN12" s="11" t="s">
        <v>36</v>
      </c>
      <c r="AO12" s="11" t="s">
        <v>80</v>
      </c>
      <c r="AP12" s="11">
        <f>Tableau_Lancer_la_requête_à_partir_de_AS4003[[#This Row],[POL_TERM_M]]-Tableau_Lancer_la_requête_à_partir_de_AS4003[[#This Row],[Duration IF]]</f>
        <v>1179</v>
      </c>
      <c r="AQ12" s="11" t="s">
        <v>36</v>
      </c>
      <c r="AR12" s="11" t="s">
        <v>36</v>
      </c>
      <c r="AS12" s="11" t="s">
        <v>36</v>
      </c>
      <c r="AT12" s="11" t="s">
        <v>36</v>
      </c>
      <c r="AU12" s="11" t="s">
        <v>36</v>
      </c>
      <c r="AV12" s="11">
        <v>0</v>
      </c>
      <c r="AW12" s="11">
        <v>11</v>
      </c>
      <c r="AX12" s="11">
        <v>1</v>
      </c>
      <c r="AY12" s="11">
        <v>20180401</v>
      </c>
      <c r="AZ12" s="80">
        <f t="shared" si="0"/>
        <v>43191</v>
      </c>
      <c r="BA12" s="11">
        <v>19600407</v>
      </c>
      <c r="BB12" s="80">
        <f t="shared" si="1"/>
        <v>22013</v>
      </c>
      <c r="BC12" s="11">
        <v>0</v>
      </c>
      <c r="BD12" s="11" t="s">
        <v>81</v>
      </c>
      <c r="BE12" s="11">
        <v>1</v>
      </c>
      <c r="BF12" s="11" t="s">
        <v>36</v>
      </c>
      <c r="BG12" s="11">
        <v>479.6</v>
      </c>
      <c r="BH12" s="11">
        <v>364.5</v>
      </c>
      <c r="BI12" s="11">
        <v>0</v>
      </c>
      <c r="BJ12" s="11" t="s">
        <v>79</v>
      </c>
      <c r="BK12" s="11">
        <v>1</v>
      </c>
      <c r="BL12" s="11">
        <v>0</v>
      </c>
      <c r="BM12" s="11">
        <v>0</v>
      </c>
      <c r="BN12" s="11">
        <v>69405</v>
      </c>
      <c r="BO12" s="11">
        <v>0</v>
      </c>
      <c r="BP12" s="11" t="s">
        <v>79</v>
      </c>
      <c r="BQ12" s="11">
        <v>0</v>
      </c>
      <c r="BR12" s="11"/>
      <c r="BT12" s="11"/>
      <c r="BU12" s="11"/>
      <c r="CA12" s="11"/>
      <c r="CD12" s="11"/>
    </row>
    <row r="13" spans="1:96" ht="12.75" x14ac:dyDescent="0.2">
      <c r="B13" s="11">
        <v>84603</v>
      </c>
      <c r="C13" s="11">
        <f>ROUND(DAYS360(Tableau_Lancer_la_requête_à_partir_de_AS4003[[#This Row],[Date naissance 1]],Tableau_Lancer_la_requête_à_partir_de_AS4003[[#This Row],[Date début]])/360,0)</f>
        <v>60</v>
      </c>
      <c r="D13" s="11">
        <v>0</v>
      </c>
      <c r="E13" s="11">
        <v>0</v>
      </c>
      <c r="F13" s="11">
        <v>0</v>
      </c>
      <c r="G13" s="11">
        <v>12</v>
      </c>
      <c r="H13" s="11">
        <f>ROUND(DAYS360(Tableau_Lancer_la_requête_à_partir_de_AS4003[[#This Row],[Date début]],'Cash flows par police'!$C$4)/30,0)</f>
        <v>2</v>
      </c>
      <c r="I13" s="11">
        <v>0</v>
      </c>
      <c r="J13" s="11">
        <v>0</v>
      </c>
      <c r="K13" s="11">
        <v>0</v>
      </c>
      <c r="L13" s="11">
        <v>23.6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f>SUM(Tableau_Lancer_la_requête_à_partir_de_AS4003[[#This Row],[POLPRCPL2]:[POLPRCPL9]])</f>
        <v>23.6</v>
      </c>
      <c r="T13" s="11">
        <v>99</v>
      </c>
      <c r="U13" s="11">
        <v>12</v>
      </c>
      <c r="V13" s="11">
        <v>0</v>
      </c>
      <c r="W13" s="11">
        <v>432</v>
      </c>
      <c r="X13" s="11">
        <v>0</v>
      </c>
      <c r="Y13" s="11">
        <v>0</v>
      </c>
      <c r="Z13" s="11">
        <v>1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f>IF(Tableau_Lancer_la_requête_à_partir_de_AS4003[[#This Row],[POL_SEX_ASSURE]]="M",0,1)</f>
        <v>1</v>
      </c>
      <c r="AG13" s="11" t="str">
        <f>IF(Tableau_Lancer_la_requête_à_partir_de_AS4003[[#This Row],[POL_SEX_ASSURE2]]="","",IF(Tableau_Lancer_la_requête_à_partir_de_AS4003[[#This Row],[POL_SEX_ASSURE2]]="M",0,1))</f>
        <v/>
      </c>
      <c r="AH1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3" s="11">
        <v>6079.1</v>
      </c>
      <c r="AJ13" s="11">
        <f>Tableau_Lancer_la_requête_à_partir_de_AS4003[[#This Row],[POL_DUREE_ASSUR]]*12</f>
        <v>1188</v>
      </c>
      <c r="AK13" s="11">
        <v>243.2</v>
      </c>
      <c r="AL13" s="11">
        <v>0</v>
      </c>
      <c r="AM13" s="11">
        <v>0</v>
      </c>
      <c r="AN13" s="11" t="s">
        <v>36</v>
      </c>
      <c r="AO13" s="11" t="s">
        <v>80</v>
      </c>
      <c r="AP13" s="11">
        <f>Tableau_Lancer_la_requête_à_partir_de_AS4003[[#This Row],[POL_TERM_M]]-Tableau_Lancer_la_requête_à_partir_de_AS4003[[#This Row],[Duration IF]]</f>
        <v>1186</v>
      </c>
      <c r="AQ13" s="11" t="s">
        <v>36</v>
      </c>
      <c r="AR13" s="11" t="s">
        <v>36</v>
      </c>
      <c r="AS13" s="11" t="s">
        <v>36</v>
      </c>
      <c r="AT13" s="11" t="s">
        <v>36</v>
      </c>
      <c r="AU13" s="11" t="s">
        <v>36</v>
      </c>
      <c r="AV13" s="11">
        <v>0</v>
      </c>
      <c r="AW13" s="11">
        <v>11</v>
      </c>
      <c r="AX13" s="11">
        <v>1</v>
      </c>
      <c r="AY13" s="11">
        <v>20181101</v>
      </c>
      <c r="AZ13" s="80">
        <f t="shared" si="0"/>
        <v>43405</v>
      </c>
      <c r="BA13" s="11">
        <v>19580907</v>
      </c>
      <c r="BB13" s="80">
        <f t="shared" si="1"/>
        <v>21435</v>
      </c>
      <c r="BC13" s="11">
        <v>0</v>
      </c>
      <c r="BD13" s="11" t="s">
        <v>81</v>
      </c>
      <c r="BE13" s="11">
        <v>1</v>
      </c>
      <c r="BF13" s="11" t="s">
        <v>36</v>
      </c>
      <c r="BG13" s="11">
        <v>408.4</v>
      </c>
      <c r="BH13" s="11">
        <v>310.10000000000002</v>
      </c>
      <c r="BI13" s="11">
        <v>0</v>
      </c>
      <c r="BJ13" s="11" t="s">
        <v>79</v>
      </c>
      <c r="BK13" s="11">
        <v>1</v>
      </c>
      <c r="BL13" s="11">
        <v>0</v>
      </c>
      <c r="BM13" s="11">
        <v>0</v>
      </c>
      <c r="BN13" s="11">
        <v>84603</v>
      </c>
      <c r="BO13" s="11">
        <v>0</v>
      </c>
      <c r="BP13" s="11" t="s">
        <v>79</v>
      </c>
      <c r="BQ13" s="11">
        <v>0</v>
      </c>
      <c r="BR13" s="11"/>
      <c r="BT13" s="11"/>
      <c r="BU13" s="11"/>
      <c r="CA13" s="11"/>
      <c r="CD13" s="11"/>
    </row>
    <row r="14" spans="1:96" ht="12.75" x14ac:dyDescent="0.2">
      <c r="B14" s="11">
        <v>110705</v>
      </c>
      <c r="C14" s="11">
        <f>ROUND(DAYS360(Tableau_Lancer_la_requête_à_partir_de_AS4003[[#This Row],[Date naissance 1]],Tableau_Lancer_la_requête_à_partir_de_AS4003[[#This Row],[Date début]])/360,0)</f>
        <v>50</v>
      </c>
      <c r="D14" s="11">
        <v>0</v>
      </c>
      <c r="E14" s="11">
        <v>0</v>
      </c>
      <c r="F14" s="11">
        <v>0</v>
      </c>
      <c r="G14" s="11">
        <v>12</v>
      </c>
      <c r="H14" s="11">
        <f>ROUND(DAYS360(Tableau_Lancer_la_requête_à_partir_de_AS4003[[#This Row],[Date début]],'Cash flows par police'!$C$4)/30,0)</f>
        <v>21</v>
      </c>
      <c r="I14" s="11">
        <v>0</v>
      </c>
      <c r="J14" s="11">
        <v>0</v>
      </c>
      <c r="K14" s="11">
        <v>0</v>
      </c>
      <c r="L14" s="11">
        <v>37.799999999999997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f>SUM(Tableau_Lancer_la_requête_à_partir_de_AS4003[[#This Row],[POLPRCPL2]:[POLPRCPL9]])</f>
        <v>37.799999999999997</v>
      </c>
      <c r="T14" s="11">
        <v>99</v>
      </c>
      <c r="U14" s="11">
        <v>4</v>
      </c>
      <c r="V14" s="11">
        <v>0</v>
      </c>
      <c r="W14" s="11">
        <v>506.4</v>
      </c>
      <c r="X14" s="11">
        <v>299.60000000000002</v>
      </c>
      <c r="Y14" s="11">
        <v>0</v>
      </c>
      <c r="Z14" s="11">
        <v>1</v>
      </c>
      <c r="AA14" s="11">
        <v>0</v>
      </c>
      <c r="AB14" s="11">
        <v>0</v>
      </c>
      <c r="AC14" s="11">
        <v>0</v>
      </c>
      <c r="AD14" s="11">
        <v>0</v>
      </c>
      <c r="AE14" s="11">
        <v>0</v>
      </c>
      <c r="AF14" s="11">
        <f>IF(Tableau_Lancer_la_requête_à_partir_de_AS4003[[#This Row],[POL_SEX_ASSURE]]="M",0,1)</f>
        <v>1</v>
      </c>
      <c r="AG14" s="11" t="str">
        <f>IF(Tableau_Lancer_la_requête_à_partir_de_AS4003[[#This Row],[POL_SEX_ASSURE2]]="","",IF(Tableau_Lancer_la_requête_à_partir_de_AS4003[[#This Row],[POL_SEX_ASSURE2]]="M",0,1))</f>
        <v/>
      </c>
      <c r="AH1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4" s="11">
        <v>10000</v>
      </c>
      <c r="AJ14" s="11">
        <f>Tableau_Lancer_la_requête_à_partir_de_AS4003[[#This Row],[POL_DUREE_ASSUR]]*12</f>
        <v>1188</v>
      </c>
      <c r="AK14" s="11">
        <v>294.10000000000002</v>
      </c>
      <c r="AL14" s="11">
        <v>299.60000000000002</v>
      </c>
      <c r="AM14" s="11">
        <v>0</v>
      </c>
      <c r="AN14" s="11" t="s">
        <v>36</v>
      </c>
      <c r="AO14" s="11" t="s">
        <v>80</v>
      </c>
      <c r="AP14" s="11">
        <f>Tableau_Lancer_la_requête_à_partir_de_AS4003[[#This Row],[POL_TERM_M]]-Tableau_Lancer_la_requête_à_partir_de_AS4003[[#This Row],[Duration IF]]</f>
        <v>1167</v>
      </c>
      <c r="AQ14" s="11" t="s">
        <v>36</v>
      </c>
      <c r="AR14" s="11" t="s">
        <v>36</v>
      </c>
      <c r="AS14" s="11" t="s">
        <v>36</v>
      </c>
      <c r="AT14" s="11" t="s">
        <v>36</v>
      </c>
      <c r="AU14" s="11" t="s">
        <v>36</v>
      </c>
      <c r="AV14" s="11">
        <v>0</v>
      </c>
      <c r="AW14" s="11">
        <v>11</v>
      </c>
      <c r="AX14" s="11">
        <v>1</v>
      </c>
      <c r="AY14" s="11">
        <v>20170401</v>
      </c>
      <c r="AZ14" s="80">
        <f t="shared" si="0"/>
        <v>42826</v>
      </c>
      <c r="BA14" s="11">
        <v>19661119</v>
      </c>
      <c r="BB14" s="80">
        <f t="shared" si="1"/>
        <v>24430</v>
      </c>
      <c r="BC14" s="11">
        <v>0</v>
      </c>
      <c r="BD14" s="11" t="s">
        <v>81</v>
      </c>
      <c r="BE14" s="11">
        <v>1</v>
      </c>
      <c r="BF14" s="11" t="s">
        <v>36</v>
      </c>
      <c r="BG14" s="11">
        <v>468.6</v>
      </c>
      <c r="BH14" s="11">
        <v>365.9</v>
      </c>
      <c r="BI14" s="11">
        <v>0</v>
      </c>
      <c r="BJ14" s="11" t="s">
        <v>79</v>
      </c>
      <c r="BK14" s="11">
        <v>1</v>
      </c>
      <c r="BL14" s="11">
        <v>0</v>
      </c>
      <c r="BM14" s="11">
        <v>0</v>
      </c>
      <c r="BN14" s="11">
        <v>110705</v>
      </c>
      <c r="BO14" s="11">
        <v>0</v>
      </c>
      <c r="BP14" s="11" t="s">
        <v>79</v>
      </c>
      <c r="BQ14" s="11">
        <v>0</v>
      </c>
      <c r="BR14" s="11"/>
      <c r="BT14" s="11"/>
      <c r="BU14" s="11"/>
      <c r="CA14" s="11"/>
      <c r="CD14" s="11"/>
    </row>
    <row r="15" spans="1:96" ht="12.75" x14ac:dyDescent="0.2">
      <c r="B15" s="11">
        <v>117203</v>
      </c>
      <c r="C15" s="11">
        <f>ROUND(DAYS360(Tableau_Lancer_la_requête_à_partir_de_AS4003[[#This Row],[Date naissance 1]],Tableau_Lancer_la_requête_à_partir_de_AS4003[[#This Row],[Date début]])/360,0)</f>
        <v>55</v>
      </c>
      <c r="D15" s="11">
        <v>0</v>
      </c>
      <c r="E15" s="11">
        <v>0</v>
      </c>
      <c r="F15" s="11">
        <v>0</v>
      </c>
      <c r="G15" s="11">
        <v>12</v>
      </c>
      <c r="H15" s="11">
        <f>ROUND(DAYS360(Tableau_Lancer_la_requête_à_partir_de_AS4003[[#This Row],[Date début]],'Cash flows par police'!$C$4)/30,0)</f>
        <v>1</v>
      </c>
      <c r="I15" s="11">
        <v>0</v>
      </c>
      <c r="J15" s="11">
        <v>0</v>
      </c>
      <c r="K15" s="11">
        <v>0</v>
      </c>
      <c r="L15" s="11">
        <v>19.399999999999999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f>SUM(Tableau_Lancer_la_requête_à_partir_de_AS4003[[#This Row],[POLPRCPL2]:[POLPRCPL9]])</f>
        <v>19.399999999999999</v>
      </c>
      <c r="T15" s="11">
        <v>99</v>
      </c>
      <c r="U15" s="11">
        <v>12</v>
      </c>
      <c r="V15" s="11">
        <v>0</v>
      </c>
      <c r="W15" s="11">
        <v>319.2</v>
      </c>
      <c r="X15" s="11">
        <v>0</v>
      </c>
      <c r="Y15" s="11">
        <v>0</v>
      </c>
      <c r="Z15" s="11">
        <v>1</v>
      </c>
      <c r="AA15" s="11">
        <v>0</v>
      </c>
      <c r="AB15" s="11">
        <v>0</v>
      </c>
      <c r="AC15" s="11">
        <v>0</v>
      </c>
      <c r="AD15" s="11">
        <v>0</v>
      </c>
      <c r="AE15" s="11">
        <v>0</v>
      </c>
      <c r="AF15" s="11">
        <f>IF(Tableau_Lancer_la_requête_à_partir_de_AS4003[[#This Row],[POL_SEX_ASSURE]]="M",0,1)</f>
        <v>1</v>
      </c>
      <c r="AG15" s="11" t="str">
        <f>IF(Tableau_Lancer_la_requête_à_partir_de_AS4003[[#This Row],[POL_SEX_ASSURE2]]="","",IF(Tableau_Lancer_la_requête_à_partir_de_AS4003[[#This Row],[POL_SEX_ASSURE2]]="M",0,1))</f>
        <v/>
      </c>
      <c r="AH1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5" s="11">
        <v>5000</v>
      </c>
      <c r="AJ15" s="11">
        <f>Tableau_Lancer_la_requête_à_partir_de_AS4003[[#This Row],[POL_DUREE_ASSUR]]*12</f>
        <v>1188</v>
      </c>
      <c r="AK15" s="11">
        <v>166.7</v>
      </c>
      <c r="AL15" s="11">
        <v>0</v>
      </c>
      <c r="AM15" s="11">
        <v>0</v>
      </c>
      <c r="AN15" s="11" t="s">
        <v>36</v>
      </c>
      <c r="AO15" s="11" t="s">
        <v>80</v>
      </c>
      <c r="AP15" s="11">
        <f>Tableau_Lancer_la_requête_à_partir_de_AS4003[[#This Row],[POL_TERM_M]]-Tableau_Lancer_la_requête_à_partir_de_AS4003[[#This Row],[Duration IF]]</f>
        <v>1187</v>
      </c>
      <c r="AQ15" s="11" t="s">
        <v>36</v>
      </c>
      <c r="AR15" s="11" t="s">
        <v>36</v>
      </c>
      <c r="AS15" s="11" t="s">
        <v>36</v>
      </c>
      <c r="AT15" s="11" t="s">
        <v>36</v>
      </c>
      <c r="AU15" s="11" t="s">
        <v>36</v>
      </c>
      <c r="AV15" s="11">
        <v>0</v>
      </c>
      <c r="AW15" s="11">
        <v>11</v>
      </c>
      <c r="AX15" s="11">
        <v>1</v>
      </c>
      <c r="AY15" s="11">
        <v>20181201</v>
      </c>
      <c r="AZ15" s="80">
        <f t="shared" si="0"/>
        <v>43435</v>
      </c>
      <c r="BA15" s="11">
        <v>19631220</v>
      </c>
      <c r="BB15" s="80">
        <f t="shared" si="1"/>
        <v>23365</v>
      </c>
      <c r="BC15" s="11">
        <v>0</v>
      </c>
      <c r="BD15" s="11" t="s">
        <v>81</v>
      </c>
      <c r="BE15" s="11">
        <v>1</v>
      </c>
      <c r="BF15" s="11" t="s">
        <v>36</v>
      </c>
      <c r="BG15" s="11">
        <v>299.8</v>
      </c>
      <c r="BH15" s="11">
        <v>227.4</v>
      </c>
      <c r="BI15" s="11">
        <v>0</v>
      </c>
      <c r="BJ15" s="11" t="s">
        <v>79</v>
      </c>
      <c r="BK15" s="11">
        <v>1</v>
      </c>
      <c r="BL15" s="11">
        <v>0</v>
      </c>
      <c r="BM15" s="11">
        <v>0</v>
      </c>
      <c r="BN15" s="11">
        <v>117203</v>
      </c>
      <c r="BO15" s="11">
        <v>0</v>
      </c>
      <c r="BP15" s="11" t="s">
        <v>79</v>
      </c>
      <c r="BQ15" s="11">
        <v>0</v>
      </c>
      <c r="BR15" s="11"/>
      <c r="BT15" s="11"/>
      <c r="BU15" s="11"/>
      <c r="CA15" s="11"/>
      <c r="CD15" s="11"/>
    </row>
    <row r="16" spans="1:96" ht="12.75" x14ac:dyDescent="0.2">
      <c r="B16" s="11">
        <v>124703</v>
      </c>
      <c r="C16" s="11">
        <f>ROUND(DAYS360(Tableau_Lancer_la_requête_à_partir_de_AS4003[[#This Row],[Date naissance 1]],Tableau_Lancer_la_requête_à_partir_de_AS4003[[#This Row],[Date début]])/360,0)</f>
        <v>60</v>
      </c>
      <c r="D16" s="11">
        <v>0</v>
      </c>
      <c r="E16" s="11">
        <v>0</v>
      </c>
      <c r="F16" s="11">
        <v>0</v>
      </c>
      <c r="G16" s="11">
        <v>12</v>
      </c>
      <c r="H16" s="11">
        <f>ROUND(DAYS360(Tableau_Lancer_la_requête_à_partir_de_AS4003[[#This Row],[Date début]],'Cash flows par police'!$C$4)/30,0)</f>
        <v>2</v>
      </c>
      <c r="I16" s="11">
        <v>0</v>
      </c>
      <c r="J16" s="11">
        <v>0</v>
      </c>
      <c r="K16" s="11">
        <v>0</v>
      </c>
      <c r="L16" s="11">
        <v>36.299999999999997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f>SUM(Tableau_Lancer_la_requête_à_partir_de_AS4003[[#This Row],[POLPRCPL2]:[POLPRCPL9]])</f>
        <v>36.299999999999997</v>
      </c>
      <c r="T16" s="11">
        <v>99</v>
      </c>
      <c r="U16" s="11">
        <v>12</v>
      </c>
      <c r="V16" s="11">
        <v>0</v>
      </c>
      <c r="W16" s="11">
        <v>648</v>
      </c>
      <c r="X16" s="11">
        <v>16.8</v>
      </c>
      <c r="Y16" s="11">
        <v>0</v>
      </c>
      <c r="Z16" s="11">
        <v>1</v>
      </c>
      <c r="AA16" s="11">
        <v>0</v>
      </c>
      <c r="AB16" s="11">
        <v>0</v>
      </c>
      <c r="AC16" s="11">
        <v>0</v>
      </c>
      <c r="AD16" s="11">
        <v>0</v>
      </c>
      <c r="AE16" s="11">
        <v>0</v>
      </c>
      <c r="AF16" s="11">
        <f>IF(Tableau_Lancer_la_requête_à_partir_de_AS4003[[#This Row],[POL_SEX_ASSURE]]="M",0,1)</f>
        <v>1</v>
      </c>
      <c r="AG16" s="11" t="str">
        <f>IF(Tableau_Lancer_la_requête_à_partir_de_AS4003[[#This Row],[POL_SEX_ASSURE2]]="","",IF(Tableau_Lancer_la_requête_à_partir_de_AS4003[[#This Row],[POL_SEX_ASSURE2]]="M",0,1))</f>
        <v/>
      </c>
      <c r="AH1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6" s="11">
        <v>9332.6</v>
      </c>
      <c r="AJ16" s="11">
        <f>Tableau_Lancer_la_requête_à_partir_de_AS4003[[#This Row],[POL_DUREE_ASSUR]]*12</f>
        <v>1188</v>
      </c>
      <c r="AK16" s="11">
        <v>359</v>
      </c>
      <c r="AL16" s="11">
        <v>16.8</v>
      </c>
      <c r="AM16" s="11">
        <v>0</v>
      </c>
      <c r="AN16" s="11" t="s">
        <v>36</v>
      </c>
      <c r="AO16" s="11" t="s">
        <v>80</v>
      </c>
      <c r="AP16" s="11">
        <f>Tableau_Lancer_la_requête_à_partir_de_AS4003[[#This Row],[POL_TERM_M]]-Tableau_Lancer_la_requête_à_partir_de_AS4003[[#This Row],[Duration IF]]</f>
        <v>1186</v>
      </c>
      <c r="AQ16" s="11" t="s">
        <v>36</v>
      </c>
      <c r="AR16" s="11" t="s">
        <v>36</v>
      </c>
      <c r="AS16" s="11" t="s">
        <v>36</v>
      </c>
      <c r="AT16" s="11" t="s">
        <v>36</v>
      </c>
      <c r="AU16" s="11" t="s">
        <v>36</v>
      </c>
      <c r="AV16" s="11">
        <v>0</v>
      </c>
      <c r="AW16" s="11">
        <v>11</v>
      </c>
      <c r="AX16" s="11">
        <v>1</v>
      </c>
      <c r="AY16" s="11">
        <v>20181101</v>
      </c>
      <c r="AZ16" s="80">
        <f t="shared" si="0"/>
        <v>43405</v>
      </c>
      <c r="BA16" s="11">
        <v>19590415</v>
      </c>
      <c r="BB16" s="80">
        <f t="shared" si="1"/>
        <v>21655</v>
      </c>
      <c r="BC16" s="11">
        <v>0</v>
      </c>
      <c r="BD16" s="11" t="s">
        <v>81</v>
      </c>
      <c r="BE16" s="11">
        <v>1</v>
      </c>
      <c r="BF16" s="11" t="s">
        <v>36</v>
      </c>
      <c r="BG16" s="11">
        <v>611.70000000000005</v>
      </c>
      <c r="BH16" s="11">
        <v>464.5</v>
      </c>
      <c r="BI16" s="11">
        <v>0</v>
      </c>
      <c r="BJ16" s="11" t="s">
        <v>79</v>
      </c>
      <c r="BK16" s="11">
        <v>1</v>
      </c>
      <c r="BL16" s="11">
        <v>0</v>
      </c>
      <c r="BM16" s="11">
        <v>0</v>
      </c>
      <c r="BN16" s="11">
        <v>124703</v>
      </c>
      <c r="BO16" s="11">
        <v>0</v>
      </c>
      <c r="BP16" s="11" t="s">
        <v>79</v>
      </c>
      <c r="BQ16" s="11">
        <v>0</v>
      </c>
      <c r="BR16" s="11"/>
      <c r="BT16" s="11"/>
      <c r="BU16" s="11"/>
      <c r="CA16" s="11"/>
      <c r="CD16" s="11"/>
    </row>
    <row r="17" spans="2:82" ht="12.75" x14ac:dyDescent="0.2">
      <c r="B17" s="11">
        <v>159509</v>
      </c>
      <c r="C17" s="11">
        <f>ROUND(DAYS360(Tableau_Lancer_la_requête_à_partir_de_AS4003[[#This Row],[Date naissance 1]],Tableau_Lancer_la_requête_à_partir_de_AS4003[[#This Row],[Date début]])/360,0)</f>
        <v>50</v>
      </c>
      <c r="D17" s="11">
        <v>0</v>
      </c>
      <c r="E17" s="11">
        <v>0</v>
      </c>
      <c r="F17" s="11">
        <v>0</v>
      </c>
      <c r="G17" s="11">
        <v>12</v>
      </c>
      <c r="H17" s="11">
        <f>ROUND(DAYS360(Tableau_Lancer_la_requête_à_partir_de_AS4003[[#This Row],[Date début]],'Cash flows par police'!$C$4)/30,0)</f>
        <v>2</v>
      </c>
      <c r="I17" s="11">
        <v>0</v>
      </c>
      <c r="J17" s="11">
        <v>0</v>
      </c>
      <c r="K17" s="11">
        <v>0</v>
      </c>
      <c r="L17" s="11">
        <v>19.399999999999999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1">
        <v>0</v>
      </c>
      <c r="S17" s="11">
        <f>SUM(Tableau_Lancer_la_requête_à_partir_de_AS4003[[#This Row],[POLPRCPL2]:[POLPRCPL9]])</f>
        <v>19.399999999999999</v>
      </c>
      <c r="T17" s="11">
        <v>99</v>
      </c>
      <c r="U17" s="11">
        <v>12</v>
      </c>
      <c r="V17" s="11">
        <v>0</v>
      </c>
      <c r="W17" s="11">
        <v>255.6</v>
      </c>
      <c r="X17" s="11">
        <v>7.4</v>
      </c>
      <c r="Y17" s="11">
        <v>0</v>
      </c>
      <c r="Z17" s="11">
        <v>1</v>
      </c>
      <c r="AA17" s="11">
        <v>0</v>
      </c>
      <c r="AB17" s="11">
        <v>0</v>
      </c>
      <c r="AC17" s="11">
        <v>0</v>
      </c>
      <c r="AD17" s="11">
        <v>0</v>
      </c>
      <c r="AE17" s="11">
        <v>0</v>
      </c>
      <c r="AF17" s="11">
        <f>IF(Tableau_Lancer_la_requête_à_partir_de_AS4003[[#This Row],[POL_SEX_ASSURE]]="M",0,1)</f>
        <v>1</v>
      </c>
      <c r="AG17" s="11" t="str">
        <f>IF(Tableau_Lancer_la_requête_à_partir_de_AS4003[[#This Row],[POL_SEX_ASSURE2]]="","",IF(Tableau_Lancer_la_requête_à_partir_de_AS4003[[#This Row],[POL_SEX_ASSURE2]]="M",0,1))</f>
        <v/>
      </c>
      <c r="AH1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7" s="11">
        <v>5000</v>
      </c>
      <c r="AJ17" s="11">
        <f>Tableau_Lancer_la_requête_à_partir_de_AS4003[[#This Row],[POL_DUREE_ASSUR]]*12</f>
        <v>1188</v>
      </c>
      <c r="AK17" s="11">
        <v>142.9</v>
      </c>
      <c r="AL17" s="11">
        <v>7.4</v>
      </c>
      <c r="AM17" s="11">
        <v>0</v>
      </c>
      <c r="AN17" s="11" t="s">
        <v>36</v>
      </c>
      <c r="AO17" s="11" t="s">
        <v>80</v>
      </c>
      <c r="AP17" s="11">
        <f>Tableau_Lancer_la_requête_à_partir_de_AS4003[[#This Row],[POL_TERM_M]]-Tableau_Lancer_la_requête_à_partir_de_AS4003[[#This Row],[Duration IF]]</f>
        <v>1186</v>
      </c>
      <c r="AQ17" s="11" t="s">
        <v>36</v>
      </c>
      <c r="AR17" s="11" t="s">
        <v>36</v>
      </c>
      <c r="AS17" s="11" t="s">
        <v>36</v>
      </c>
      <c r="AT17" s="11" t="s">
        <v>36</v>
      </c>
      <c r="AU17" s="11" t="s">
        <v>36</v>
      </c>
      <c r="AV17" s="11">
        <v>0</v>
      </c>
      <c r="AW17" s="11">
        <v>11</v>
      </c>
      <c r="AX17" s="11">
        <v>1</v>
      </c>
      <c r="AY17" s="11">
        <v>20181101</v>
      </c>
      <c r="AZ17" s="80">
        <f t="shared" si="0"/>
        <v>43405</v>
      </c>
      <c r="BA17" s="11">
        <v>19680606</v>
      </c>
      <c r="BB17" s="80">
        <f t="shared" si="1"/>
        <v>24995</v>
      </c>
      <c r="BC17" s="11">
        <v>0</v>
      </c>
      <c r="BD17" s="11" t="s">
        <v>81</v>
      </c>
      <c r="BE17" s="11">
        <v>1</v>
      </c>
      <c r="BF17" s="11" t="s">
        <v>36</v>
      </c>
      <c r="BG17" s="11">
        <v>236.2</v>
      </c>
      <c r="BH17" s="11">
        <v>179.1</v>
      </c>
      <c r="BI17" s="11">
        <v>0</v>
      </c>
      <c r="BJ17" s="11" t="s">
        <v>79</v>
      </c>
      <c r="BK17" s="11">
        <v>1</v>
      </c>
      <c r="BL17" s="11">
        <v>0</v>
      </c>
      <c r="BM17" s="11">
        <v>0</v>
      </c>
      <c r="BN17" s="11">
        <v>159509</v>
      </c>
      <c r="BO17" s="11">
        <v>0</v>
      </c>
      <c r="BP17" s="11" t="s">
        <v>79</v>
      </c>
      <c r="BQ17" s="11">
        <v>0</v>
      </c>
      <c r="BR17" s="11"/>
      <c r="BT17" s="11"/>
      <c r="BU17" s="11"/>
      <c r="CA17" s="11"/>
      <c r="CD17" s="11"/>
    </row>
    <row r="18" spans="2:82" ht="12.75" x14ac:dyDescent="0.2">
      <c r="B18" s="11">
        <v>172604</v>
      </c>
      <c r="C18" s="11">
        <f>ROUND(DAYS360(Tableau_Lancer_la_requête_à_partir_de_AS4003[[#This Row],[Date naissance 1]],Tableau_Lancer_la_requête_à_partir_de_AS4003[[#This Row],[Date début]])/360,0)</f>
        <v>64</v>
      </c>
      <c r="D18" s="11">
        <v>0</v>
      </c>
      <c r="E18" s="11">
        <v>0</v>
      </c>
      <c r="F18" s="11">
        <v>0</v>
      </c>
      <c r="G18" s="11">
        <v>12</v>
      </c>
      <c r="H18" s="11">
        <f>ROUND(DAYS360(Tableau_Lancer_la_requête_à_partir_de_AS4003[[#This Row],[Date début]],'Cash flows par police'!$C$4)/30,0)</f>
        <v>4</v>
      </c>
      <c r="I18" s="11">
        <v>0</v>
      </c>
      <c r="J18" s="11">
        <v>0</v>
      </c>
      <c r="K18" s="11">
        <v>0</v>
      </c>
      <c r="L18" s="11">
        <v>38.9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f>SUM(Tableau_Lancer_la_requête_à_partir_de_AS4003[[#This Row],[POLPRCPL2]:[POLPRCPL9]])</f>
        <v>38.9</v>
      </c>
      <c r="T18" s="11">
        <v>99</v>
      </c>
      <c r="U18" s="11">
        <v>12</v>
      </c>
      <c r="V18" s="11">
        <v>0</v>
      </c>
      <c r="W18" s="11">
        <v>831.6</v>
      </c>
      <c r="X18" s="11">
        <v>63.5</v>
      </c>
      <c r="Y18" s="11">
        <v>0</v>
      </c>
      <c r="Z18" s="11">
        <v>1</v>
      </c>
      <c r="AA18" s="11">
        <v>0</v>
      </c>
      <c r="AB18" s="11">
        <v>0</v>
      </c>
      <c r="AC18" s="11">
        <v>0</v>
      </c>
      <c r="AD18" s="11">
        <v>0</v>
      </c>
      <c r="AE18" s="11">
        <v>0</v>
      </c>
      <c r="AF18" s="11">
        <f>IF(Tableau_Lancer_la_requête_à_partir_de_AS4003[[#This Row],[POL_SEX_ASSURE]]="M",0,1)</f>
        <v>1</v>
      </c>
      <c r="AG18" s="11" t="str">
        <f>IF(Tableau_Lancer_la_requête_à_partir_de_AS4003[[#This Row],[POL_SEX_ASSURE2]]="","",IF(Tableau_Lancer_la_requête_à_partir_de_AS4003[[#This Row],[POL_SEX_ASSURE2]]="M",0,1))</f>
        <v/>
      </c>
      <c r="AH1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8" s="11">
        <v>10000</v>
      </c>
      <c r="AJ18" s="11">
        <f>Tableau_Lancer_la_requête_à_partir_de_AS4003[[#This Row],[POL_DUREE_ASSUR]]*12</f>
        <v>1188</v>
      </c>
      <c r="AK18" s="11">
        <v>476.2</v>
      </c>
      <c r="AL18" s="11">
        <v>63.5</v>
      </c>
      <c r="AM18" s="11">
        <v>0</v>
      </c>
      <c r="AN18" s="11" t="s">
        <v>36</v>
      </c>
      <c r="AO18" s="11" t="s">
        <v>80</v>
      </c>
      <c r="AP18" s="11">
        <f>Tableau_Lancer_la_requête_à_partir_de_AS4003[[#This Row],[POL_TERM_M]]-Tableau_Lancer_la_requête_à_partir_de_AS4003[[#This Row],[Duration IF]]</f>
        <v>1184</v>
      </c>
      <c r="AQ18" s="11" t="s">
        <v>36</v>
      </c>
      <c r="AR18" s="11" t="s">
        <v>36</v>
      </c>
      <c r="AS18" s="11" t="s">
        <v>36</v>
      </c>
      <c r="AT18" s="11" t="s">
        <v>36</v>
      </c>
      <c r="AU18" s="11" t="s">
        <v>36</v>
      </c>
      <c r="AV18" s="11">
        <v>0</v>
      </c>
      <c r="AW18" s="11">
        <v>11</v>
      </c>
      <c r="AX18" s="11">
        <v>1</v>
      </c>
      <c r="AY18" s="11">
        <v>20180901</v>
      </c>
      <c r="AZ18" s="80">
        <f t="shared" si="0"/>
        <v>43344</v>
      </c>
      <c r="BA18" s="11">
        <v>19541007</v>
      </c>
      <c r="BB18" s="80">
        <f t="shared" si="1"/>
        <v>20004</v>
      </c>
      <c r="BC18" s="11">
        <v>0</v>
      </c>
      <c r="BD18" s="11" t="s">
        <v>81</v>
      </c>
      <c r="BE18" s="11">
        <v>1</v>
      </c>
      <c r="BF18" s="11" t="s">
        <v>36</v>
      </c>
      <c r="BG18" s="11">
        <v>792.7</v>
      </c>
      <c r="BH18" s="11">
        <v>601.5</v>
      </c>
      <c r="BI18" s="11">
        <v>0</v>
      </c>
      <c r="BJ18" s="11" t="s">
        <v>79</v>
      </c>
      <c r="BK18" s="11">
        <v>1</v>
      </c>
      <c r="BL18" s="11">
        <v>0</v>
      </c>
      <c r="BM18" s="11">
        <v>0</v>
      </c>
      <c r="BN18" s="11">
        <v>172604</v>
      </c>
      <c r="BO18" s="11">
        <v>0</v>
      </c>
      <c r="BP18" s="11" t="s">
        <v>79</v>
      </c>
      <c r="BQ18" s="11">
        <v>0</v>
      </c>
      <c r="BR18" s="11"/>
      <c r="BT18" s="11"/>
      <c r="BU18" s="11"/>
      <c r="CA18" s="11"/>
      <c r="CD18" s="11"/>
    </row>
    <row r="19" spans="2:82" ht="12.75" x14ac:dyDescent="0.2">
      <c r="B19" s="11">
        <v>195502</v>
      </c>
      <c r="C19" s="11">
        <f>ROUND(DAYS360(Tableau_Lancer_la_requête_à_partir_de_AS4003[[#This Row],[Date naissance 1]],Tableau_Lancer_la_requête_à_partir_de_AS4003[[#This Row],[Date début]])/360,0)</f>
        <v>54</v>
      </c>
      <c r="D19" s="11">
        <v>0</v>
      </c>
      <c r="E19" s="11">
        <v>0</v>
      </c>
      <c r="F19" s="11">
        <v>0</v>
      </c>
      <c r="G19" s="11">
        <v>12</v>
      </c>
      <c r="H19" s="11">
        <f>ROUND(DAYS360(Tableau_Lancer_la_requête_à_partir_de_AS4003[[#This Row],[Date début]],'Cash flows par police'!$C$4)/30,0)</f>
        <v>2</v>
      </c>
      <c r="I19" s="11">
        <v>0</v>
      </c>
      <c r="J19" s="11">
        <v>0</v>
      </c>
      <c r="K19" s="11">
        <v>0</v>
      </c>
      <c r="L19" s="11">
        <v>19.399999999999999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f>SUM(Tableau_Lancer_la_requête_à_partir_de_AS4003[[#This Row],[POLPRCPL2]:[POLPRCPL9]])</f>
        <v>19.399999999999999</v>
      </c>
      <c r="T19" s="11">
        <v>99</v>
      </c>
      <c r="U19" s="11">
        <v>12</v>
      </c>
      <c r="V19" s="11">
        <v>0</v>
      </c>
      <c r="W19" s="11">
        <v>307.2</v>
      </c>
      <c r="X19" s="11">
        <v>7.8</v>
      </c>
      <c r="Y19" s="11">
        <v>0</v>
      </c>
      <c r="Z19" s="11">
        <v>1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f>IF(Tableau_Lancer_la_requête_à_partir_de_AS4003[[#This Row],[POL_SEX_ASSURE]]="M",0,1)</f>
        <v>1</v>
      </c>
      <c r="AG19" s="11" t="str">
        <f>IF(Tableau_Lancer_la_requête_à_partir_de_AS4003[[#This Row],[POL_SEX_ASSURE2]]="","",IF(Tableau_Lancer_la_requête_à_partir_de_AS4003[[#This Row],[POL_SEX_ASSURE2]]="M",0,1))</f>
        <v/>
      </c>
      <c r="AH1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9" s="11">
        <v>5000</v>
      </c>
      <c r="AJ19" s="11">
        <f>Tableau_Lancer_la_requête_à_partir_de_AS4003[[#This Row],[POL_DUREE_ASSUR]]*12</f>
        <v>1188</v>
      </c>
      <c r="AK19" s="11">
        <v>156.30000000000001</v>
      </c>
      <c r="AL19" s="11">
        <v>7.8</v>
      </c>
      <c r="AM19" s="11">
        <v>0</v>
      </c>
      <c r="AN19" s="11" t="s">
        <v>36</v>
      </c>
      <c r="AO19" s="11" t="s">
        <v>80</v>
      </c>
      <c r="AP19" s="11">
        <f>Tableau_Lancer_la_requête_à_partir_de_AS4003[[#This Row],[POL_TERM_M]]-Tableau_Lancer_la_requête_à_partir_de_AS4003[[#This Row],[Duration IF]]</f>
        <v>1186</v>
      </c>
      <c r="AQ19" s="11" t="s">
        <v>36</v>
      </c>
      <c r="AR19" s="11" t="s">
        <v>36</v>
      </c>
      <c r="AS19" s="11" t="s">
        <v>36</v>
      </c>
      <c r="AT19" s="11" t="s">
        <v>36</v>
      </c>
      <c r="AU19" s="11" t="s">
        <v>36</v>
      </c>
      <c r="AV19" s="11">
        <v>0</v>
      </c>
      <c r="AW19" s="11">
        <v>11</v>
      </c>
      <c r="AX19" s="11">
        <v>1</v>
      </c>
      <c r="AY19" s="11">
        <v>20181101</v>
      </c>
      <c r="AZ19" s="80">
        <f t="shared" si="0"/>
        <v>43405</v>
      </c>
      <c r="BA19" s="11">
        <v>19650314</v>
      </c>
      <c r="BB19" s="80">
        <f t="shared" si="1"/>
        <v>23815</v>
      </c>
      <c r="BC19" s="11">
        <v>0</v>
      </c>
      <c r="BD19" s="11" t="s">
        <v>81</v>
      </c>
      <c r="BE19" s="11">
        <v>1</v>
      </c>
      <c r="BF19" s="11" t="s">
        <v>36</v>
      </c>
      <c r="BG19" s="11">
        <v>287.8</v>
      </c>
      <c r="BH19" s="11">
        <v>218.2</v>
      </c>
      <c r="BI19" s="11">
        <v>0</v>
      </c>
      <c r="BJ19" s="11" t="s">
        <v>79</v>
      </c>
      <c r="BK19" s="11">
        <v>1</v>
      </c>
      <c r="BL19" s="11">
        <v>0</v>
      </c>
      <c r="BM19" s="11">
        <v>0</v>
      </c>
      <c r="BN19" s="11">
        <v>195502</v>
      </c>
      <c r="BO19" s="11">
        <v>0</v>
      </c>
      <c r="BP19" s="11" t="s">
        <v>79</v>
      </c>
      <c r="BQ19" s="11">
        <v>0</v>
      </c>
      <c r="BR19" s="11"/>
      <c r="BT19" s="11"/>
      <c r="BU19" s="11"/>
      <c r="CA19" s="11"/>
      <c r="CD19" s="11"/>
    </row>
    <row r="20" spans="2:82" ht="12.75" x14ac:dyDescent="0.2">
      <c r="B20" s="11">
        <v>203307</v>
      </c>
      <c r="C20" s="11">
        <f>ROUND(DAYS360(Tableau_Lancer_la_requête_à_partir_de_AS4003[[#This Row],[Date naissance 1]],Tableau_Lancer_la_requête_à_partir_de_AS4003[[#This Row],[Date début]])/360,0)</f>
        <v>56</v>
      </c>
      <c r="D20" s="11">
        <v>0</v>
      </c>
      <c r="E20" s="11">
        <v>0</v>
      </c>
      <c r="F20" s="11">
        <v>0</v>
      </c>
      <c r="G20" s="11">
        <v>12</v>
      </c>
      <c r="H20" s="11">
        <f>ROUND(DAYS360(Tableau_Lancer_la_requête_à_partir_de_AS4003[[#This Row],[Date début]],'Cash flows par police'!$C$4)/30,0)</f>
        <v>3</v>
      </c>
      <c r="I20" s="11">
        <v>0</v>
      </c>
      <c r="J20" s="11">
        <v>0</v>
      </c>
      <c r="K20" s="11">
        <v>0</v>
      </c>
      <c r="L20" s="11">
        <v>25.8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f>SUM(Tableau_Lancer_la_requête_à_partir_de_AS4003[[#This Row],[POLPRCPL2]:[POLPRCPL9]])</f>
        <v>25.8</v>
      </c>
      <c r="T20" s="11">
        <v>99</v>
      </c>
      <c r="U20" s="11">
        <v>12</v>
      </c>
      <c r="V20" s="11">
        <v>0</v>
      </c>
      <c r="W20" s="11">
        <v>432</v>
      </c>
      <c r="X20" s="11">
        <v>0</v>
      </c>
      <c r="Y20" s="11">
        <v>0</v>
      </c>
      <c r="Z20" s="11">
        <v>1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f>IF(Tableau_Lancer_la_requête_à_partir_de_AS4003[[#This Row],[POL_SEX_ASSURE]]="M",0,1)</f>
        <v>1</v>
      </c>
      <c r="AG20" s="11" t="str">
        <f>IF(Tableau_Lancer_la_requête_à_partir_de_AS4003[[#This Row],[POL_SEX_ASSURE2]]="","",IF(Tableau_Lancer_la_requête_à_partir_de_AS4003[[#This Row],[POL_SEX_ASSURE2]]="M",0,1))</f>
        <v/>
      </c>
      <c r="AH2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20" s="11">
        <v>6638</v>
      </c>
      <c r="AJ20" s="11">
        <f>Tableau_Lancer_la_requête_à_partir_de_AS4003[[#This Row],[POL_DUREE_ASSUR]]*12</f>
        <v>1188</v>
      </c>
      <c r="AK20" s="11">
        <v>228.9</v>
      </c>
      <c r="AL20" s="11">
        <v>0</v>
      </c>
      <c r="AM20" s="11">
        <v>0</v>
      </c>
      <c r="AN20" s="11" t="s">
        <v>36</v>
      </c>
      <c r="AO20" s="11" t="s">
        <v>80</v>
      </c>
      <c r="AP20" s="11">
        <f>Tableau_Lancer_la_requête_à_partir_de_AS4003[[#This Row],[POL_TERM_M]]-Tableau_Lancer_la_requête_à_partir_de_AS4003[[#This Row],[Duration IF]]</f>
        <v>1185</v>
      </c>
      <c r="AQ20" s="11" t="s">
        <v>36</v>
      </c>
      <c r="AR20" s="11" t="s">
        <v>36</v>
      </c>
      <c r="AS20" s="11" t="s">
        <v>36</v>
      </c>
      <c r="AT20" s="11" t="s">
        <v>36</v>
      </c>
      <c r="AU20" s="11" t="s">
        <v>36</v>
      </c>
      <c r="AV20" s="11">
        <v>0</v>
      </c>
      <c r="AW20" s="11">
        <v>11</v>
      </c>
      <c r="AX20" s="11">
        <v>1</v>
      </c>
      <c r="AY20" s="11">
        <v>20181001</v>
      </c>
      <c r="AZ20" s="80">
        <f t="shared" si="0"/>
        <v>43374</v>
      </c>
      <c r="BA20" s="11">
        <v>19620406</v>
      </c>
      <c r="BB20" s="80">
        <f t="shared" si="1"/>
        <v>22742</v>
      </c>
      <c r="BC20" s="11">
        <v>0</v>
      </c>
      <c r="BD20" s="11" t="s">
        <v>81</v>
      </c>
      <c r="BE20" s="11">
        <v>1</v>
      </c>
      <c r="BF20" s="11" t="s">
        <v>36</v>
      </c>
      <c r="BG20" s="11">
        <v>406.2</v>
      </c>
      <c r="BH20" s="11">
        <v>308.39999999999998</v>
      </c>
      <c r="BI20" s="11">
        <v>0</v>
      </c>
      <c r="BJ20" s="11" t="s">
        <v>79</v>
      </c>
      <c r="BK20" s="11">
        <v>1</v>
      </c>
      <c r="BL20" s="11">
        <v>0</v>
      </c>
      <c r="BM20" s="11">
        <v>0</v>
      </c>
      <c r="BN20" s="11">
        <v>203307</v>
      </c>
      <c r="BO20" s="11">
        <v>0</v>
      </c>
      <c r="BP20" s="11" t="s">
        <v>79</v>
      </c>
      <c r="BQ20" s="11">
        <v>0</v>
      </c>
      <c r="BR20" s="11"/>
      <c r="BT20" s="11"/>
      <c r="BU20" s="11"/>
      <c r="CA20" s="11"/>
      <c r="CD20" s="11"/>
    </row>
    <row r="21" spans="2:82" ht="12.75" x14ac:dyDescent="0.2">
      <c r="B21" s="11">
        <v>236306</v>
      </c>
      <c r="C21" s="11">
        <f>ROUND(DAYS360(Tableau_Lancer_la_requête_à_partir_de_AS4003[[#This Row],[Date naissance 1]],Tableau_Lancer_la_requête_à_partir_de_AS4003[[#This Row],[Date début]])/360,0)</f>
        <v>57</v>
      </c>
      <c r="D21" s="11">
        <v>0</v>
      </c>
      <c r="E21" s="11">
        <v>0</v>
      </c>
      <c r="F21" s="11">
        <v>0</v>
      </c>
      <c r="G21" s="11">
        <v>12</v>
      </c>
      <c r="H21" s="11">
        <f>ROUND(DAYS360(Tableau_Lancer_la_requête_à_partir_de_AS4003[[#This Row],[Date début]],'Cash flows par police'!$C$4)/30,0)</f>
        <v>5</v>
      </c>
      <c r="I21" s="11">
        <v>0</v>
      </c>
      <c r="J21" s="11">
        <v>0</v>
      </c>
      <c r="K21" s="11">
        <v>0</v>
      </c>
      <c r="L21" s="11">
        <v>50.6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f>SUM(Tableau_Lancer_la_requête_à_partir_de_AS4003[[#This Row],[POLPRCPL2]:[POLPRCPL9]])</f>
        <v>50.6</v>
      </c>
      <c r="T21" s="11">
        <v>99</v>
      </c>
      <c r="U21" s="11">
        <v>12</v>
      </c>
      <c r="V21" s="11">
        <v>0</v>
      </c>
      <c r="W21" s="11">
        <v>864</v>
      </c>
      <c r="X21" s="11">
        <v>89</v>
      </c>
      <c r="Y21" s="11">
        <v>0</v>
      </c>
      <c r="Z21" s="11">
        <v>1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f>IF(Tableau_Lancer_la_requête_à_partir_de_AS4003[[#This Row],[POL_SEX_ASSURE]]="M",0,1)</f>
        <v>1</v>
      </c>
      <c r="AG21" s="11" t="str">
        <f>IF(Tableau_Lancer_la_requête_à_partir_de_AS4003[[#This Row],[POL_SEX_ASSURE2]]="","",IF(Tableau_Lancer_la_requête_à_partir_de_AS4003[[#This Row],[POL_SEX_ASSURE2]]="M",0,1))</f>
        <v/>
      </c>
      <c r="AH2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21" s="11">
        <v>13002</v>
      </c>
      <c r="AJ21" s="11">
        <f>Tableau_Lancer_la_requête_à_partir_de_AS4003[[#This Row],[POL_DUREE_ASSUR]]*12</f>
        <v>1188</v>
      </c>
      <c r="AK21" s="11">
        <v>464.4</v>
      </c>
      <c r="AL21" s="11">
        <v>89</v>
      </c>
      <c r="AM21" s="11">
        <v>0</v>
      </c>
      <c r="AN21" s="11" t="s">
        <v>36</v>
      </c>
      <c r="AO21" s="11" t="s">
        <v>80</v>
      </c>
      <c r="AP21" s="11">
        <f>Tableau_Lancer_la_requête_à_partir_de_AS4003[[#This Row],[POL_TERM_M]]-Tableau_Lancer_la_requête_à_partir_de_AS4003[[#This Row],[Duration IF]]</f>
        <v>1183</v>
      </c>
      <c r="AQ21" s="11" t="s">
        <v>36</v>
      </c>
      <c r="AR21" s="11" t="s">
        <v>36</v>
      </c>
      <c r="AS21" s="11" t="s">
        <v>36</v>
      </c>
      <c r="AT21" s="11" t="s">
        <v>36</v>
      </c>
      <c r="AU21" s="11" t="s">
        <v>36</v>
      </c>
      <c r="AV21" s="11">
        <v>0</v>
      </c>
      <c r="AW21" s="11">
        <v>11</v>
      </c>
      <c r="AX21" s="11">
        <v>1</v>
      </c>
      <c r="AY21" s="11">
        <v>20180801</v>
      </c>
      <c r="AZ21" s="80">
        <f t="shared" si="0"/>
        <v>43313</v>
      </c>
      <c r="BA21" s="11">
        <v>19611023</v>
      </c>
      <c r="BB21" s="80">
        <f t="shared" si="1"/>
        <v>22577</v>
      </c>
      <c r="BC21" s="11">
        <v>0</v>
      </c>
      <c r="BD21" s="11" t="s">
        <v>81</v>
      </c>
      <c r="BE21" s="11">
        <v>1</v>
      </c>
      <c r="BF21" s="11" t="s">
        <v>36</v>
      </c>
      <c r="BG21" s="11">
        <v>813.4</v>
      </c>
      <c r="BH21" s="11">
        <v>617.6</v>
      </c>
      <c r="BI21" s="11">
        <v>0</v>
      </c>
      <c r="BJ21" s="11" t="s">
        <v>79</v>
      </c>
      <c r="BK21" s="11">
        <v>1</v>
      </c>
      <c r="BL21" s="11">
        <v>0</v>
      </c>
      <c r="BM21" s="11">
        <v>0</v>
      </c>
      <c r="BN21" s="11">
        <v>236306</v>
      </c>
      <c r="BO21" s="11">
        <v>0</v>
      </c>
      <c r="BP21" s="11" t="s">
        <v>79</v>
      </c>
      <c r="BQ21" s="11">
        <v>0</v>
      </c>
      <c r="BR21" s="11"/>
      <c r="BT21" s="11"/>
      <c r="BU21" s="11"/>
      <c r="CA21" s="11"/>
      <c r="CD21" s="11"/>
    </row>
    <row r="22" spans="2:82" ht="12.75" x14ac:dyDescent="0.2">
      <c r="B22" s="11">
        <v>236403</v>
      </c>
      <c r="C22" s="11">
        <f>ROUND(DAYS360(Tableau_Lancer_la_requête_à_partir_de_AS4003[[#This Row],[Date naissance 1]],Tableau_Lancer_la_requête_à_partir_de_AS4003[[#This Row],[Date début]])/360,0)</f>
        <v>63</v>
      </c>
      <c r="D22" s="11">
        <v>0</v>
      </c>
      <c r="E22" s="11">
        <v>0</v>
      </c>
      <c r="F22" s="11">
        <v>0</v>
      </c>
      <c r="G22" s="11">
        <v>12</v>
      </c>
      <c r="H22" s="11">
        <f>ROUND(DAYS360(Tableau_Lancer_la_requête_à_partir_de_AS4003[[#This Row],[Date début]],'Cash flows par police'!$C$4)/30,0)</f>
        <v>4</v>
      </c>
      <c r="I22" s="11">
        <v>0</v>
      </c>
      <c r="J22" s="11">
        <v>0</v>
      </c>
      <c r="K22" s="11">
        <v>0</v>
      </c>
      <c r="L22" s="11">
        <v>18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f>SUM(Tableau_Lancer_la_requête_à_partir_de_AS4003[[#This Row],[POLPRCPL2]:[POLPRCPL9]])</f>
        <v>18</v>
      </c>
      <c r="T22" s="11">
        <v>99</v>
      </c>
      <c r="U22" s="11">
        <v>1</v>
      </c>
      <c r="V22" s="11">
        <v>0</v>
      </c>
      <c r="W22" s="11">
        <v>374.9</v>
      </c>
      <c r="X22" s="11">
        <v>30.7</v>
      </c>
      <c r="Y22" s="11">
        <v>0</v>
      </c>
      <c r="Z22" s="11">
        <v>1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f>IF(Tableau_Lancer_la_requête_à_partir_de_AS4003[[#This Row],[POL_SEX_ASSURE]]="M",0,1)</f>
        <v>1</v>
      </c>
      <c r="AG22" s="11" t="str">
        <f>IF(Tableau_Lancer_la_requête_à_partir_de_AS4003[[#This Row],[POL_SEX_ASSURE2]]="","",IF(Tableau_Lancer_la_requête_à_partir_de_AS4003[[#This Row],[POL_SEX_ASSURE2]]="M",0,1))</f>
        <v/>
      </c>
      <c r="AH2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22" s="11">
        <v>5000</v>
      </c>
      <c r="AJ22" s="11">
        <f>Tableau_Lancer_la_requête_à_partir_de_AS4003[[#This Row],[POL_DUREE_ASSUR]]*12</f>
        <v>1188</v>
      </c>
      <c r="AK22" s="11">
        <v>227.3</v>
      </c>
      <c r="AL22" s="11">
        <v>30.7</v>
      </c>
      <c r="AM22" s="11">
        <v>0</v>
      </c>
      <c r="AN22" s="11" t="s">
        <v>36</v>
      </c>
      <c r="AO22" s="11" t="s">
        <v>80</v>
      </c>
      <c r="AP22" s="11">
        <f>Tableau_Lancer_la_requête_à_partir_de_AS4003[[#This Row],[POL_TERM_M]]-Tableau_Lancer_la_requête_à_partir_de_AS4003[[#This Row],[Duration IF]]</f>
        <v>1184</v>
      </c>
      <c r="AQ22" s="11" t="s">
        <v>36</v>
      </c>
      <c r="AR22" s="11" t="s">
        <v>36</v>
      </c>
      <c r="AS22" s="11" t="s">
        <v>36</v>
      </c>
      <c r="AT22" s="11" t="s">
        <v>36</v>
      </c>
      <c r="AU22" s="11" t="s">
        <v>36</v>
      </c>
      <c r="AV22" s="11">
        <v>0</v>
      </c>
      <c r="AW22" s="11">
        <v>11</v>
      </c>
      <c r="AX22" s="11">
        <v>1</v>
      </c>
      <c r="AY22" s="11">
        <v>20180901</v>
      </c>
      <c r="AZ22" s="80">
        <f t="shared" si="0"/>
        <v>43344</v>
      </c>
      <c r="BA22" s="11">
        <v>19551113</v>
      </c>
      <c r="BB22" s="80">
        <f t="shared" si="1"/>
        <v>20406</v>
      </c>
      <c r="BC22" s="11">
        <v>0</v>
      </c>
      <c r="BD22" s="11" t="s">
        <v>81</v>
      </c>
      <c r="BE22" s="11">
        <v>1</v>
      </c>
      <c r="BF22" s="11" t="s">
        <v>36</v>
      </c>
      <c r="BG22" s="11">
        <v>356.9</v>
      </c>
      <c r="BH22" s="11">
        <v>292.7</v>
      </c>
      <c r="BI22" s="11">
        <v>0</v>
      </c>
      <c r="BJ22" s="11" t="s">
        <v>79</v>
      </c>
      <c r="BK22" s="11">
        <v>1</v>
      </c>
      <c r="BL22" s="11">
        <v>194.3</v>
      </c>
      <c r="BM22" s="11">
        <v>9.8000000000000007</v>
      </c>
      <c r="BN22" s="11">
        <v>236403</v>
      </c>
      <c r="BO22" s="11">
        <v>0</v>
      </c>
      <c r="BP22" s="11" t="s">
        <v>79</v>
      </c>
      <c r="BQ22" s="11">
        <v>0</v>
      </c>
      <c r="BR22" s="11"/>
      <c r="BT22" s="11"/>
      <c r="BU22" s="11"/>
      <c r="CA22" s="11"/>
      <c r="CD22" s="11"/>
    </row>
    <row r="23" spans="2:82" ht="12.75" x14ac:dyDescent="0.2">
      <c r="B23" s="11">
        <v>244803</v>
      </c>
      <c r="C23" s="11">
        <f>ROUND(DAYS360(Tableau_Lancer_la_requête_à_partir_de_AS4003[[#This Row],[Date naissance 1]],Tableau_Lancer_la_requête_à_partir_de_AS4003[[#This Row],[Date début]])/360,0)</f>
        <v>67</v>
      </c>
      <c r="D23" s="11">
        <v>0</v>
      </c>
      <c r="E23" s="11">
        <v>0</v>
      </c>
      <c r="F23" s="11">
        <v>0</v>
      </c>
      <c r="G23" s="11">
        <v>12</v>
      </c>
      <c r="H23" s="11">
        <f>ROUND(DAYS360(Tableau_Lancer_la_requête_à_partir_de_AS4003[[#This Row],[Date début]],'Cash flows par police'!$C$4)/30,0)</f>
        <v>2</v>
      </c>
      <c r="I23" s="11">
        <v>0</v>
      </c>
      <c r="J23" s="11">
        <v>0</v>
      </c>
      <c r="K23" s="11">
        <v>0</v>
      </c>
      <c r="L23" s="11">
        <v>29.2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f>SUM(Tableau_Lancer_la_requête_à_partir_de_AS4003[[#This Row],[POLPRCPL2]:[POLPRCPL9]])</f>
        <v>29.2</v>
      </c>
      <c r="T23" s="11">
        <v>99</v>
      </c>
      <c r="U23" s="11">
        <v>12</v>
      </c>
      <c r="V23" s="11">
        <v>0</v>
      </c>
      <c r="W23" s="11">
        <v>705.6</v>
      </c>
      <c r="X23" s="11">
        <v>17.7</v>
      </c>
      <c r="Y23" s="11">
        <v>0</v>
      </c>
      <c r="Z23" s="11">
        <v>1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f>IF(Tableau_Lancer_la_requête_à_partir_de_AS4003[[#This Row],[POL_SEX_ASSURE]]="M",0,1)</f>
        <v>1</v>
      </c>
      <c r="AG23" s="11" t="str">
        <f>IF(Tableau_Lancer_la_requête_à_partir_de_AS4003[[#This Row],[POL_SEX_ASSURE2]]="","",IF(Tableau_Lancer_la_requête_à_partir_de_AS4003[[#This Row],[POL_SEX_ASSURE2]]="M",0,1))</f>
        <v/>
      </c>
      <c r="AH2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23" s="11">
        <v>7500</v>
      </c>
      <c r="AJ23" s="11">
        <f>Tableau_Lancer_la_requête_à_partir_de_AS4003[[#This Row],[POL_DUREE_ASSUR]]*12</f>
        <v>1188</v>
      </c>
      <c r="AK23" s="11">
        <v>416.7</v>
      </c>
      <c r="AL23" s="11">
        <v>17.7</v>
      </c>
      <c r="AM23" s="11">
        <v>0</v>
      </c>
      <c r="AN23" s="11" t="s">
        <v>36</v>
      </c>
      <c r="AO23" s="11" t="s">
        <v>80</v>
      </c>
      <c r="AP23" s="11">
        <f>Tableau_Lancer_la_requête_à_partir_de_AS4003[[#This Row],[POL_TERM_M]]-Tableau_Lancer_la_requête_à_partir_de_AS4003[[#This Row],[Duration IF]]</f>
        <v>1186</v>
      </c>
      <c r="AQ23" s="11" t="s">
        <v>36</v>
      </c>
      <c r="AR23" s="11" t="s">
        <v>36</v>
      </c>
      <c r="AS23" s="11" t="s">
        <v>36</v>
      </c>
      <c r="AT23" s="11" t="s">
        <v>36</v>
      </c>
      <c r="AU23" s="11" t="s">
        <v>36</v>
      </c>
      <c r="AV23" s="11">
        <v>0</v>
      </c>
      <c r="AW23" s="11">
        <v>11</v>
      </c>
      <c r="AX23" s="11">
        <v>1</v>
      </c>
      <c r="AY23" s="11">
        <v>20181101</v>
      </c>
      <c r="AZ23" s="80">
        <f t="shared" si="0"/>
        <v>43405</v>
      </c>
      <c r="BA23" s="11">
        <v>19510729</v>
      </c>
      <c r="BB23" s="80">
        <f t="shared" si="1"/>
        <v>18838</v>
      </c>
      <c r="BC23" s="11">
        <v>0</v>
      </c>
      <c r="BD23" s="11" t="s">
        <v>81</v>
      </c>
      <c r="BE23" s="11">
        <v>1</v>
      </c>
      <c r="BF23" s="11" t="s">
        <v>36</v>
      </c>
      <c r="BG23" s="11">
        <v>676.4</v>
      </c>
      <c r="BH23" s="11">
        <v>513.79999999999995</v>
      </c>
      <c r="BI23" s="11">
        <v>0</v>
      </c>
      <c r="BJ23" s="11" t="s">
        <v>79</v>
      </c>
      <c r="BK23" s="11">
        <v>1</v>
      </c>
      <c r="BL23" s="11">
        <v>0</v>
      </c>
      <c r="BM23" s="11">
        <v>0</v>
      </c>
      <c r="BN23" s="11">
        <v>244803</v>
      </c>
      <c r="BO23" s="11">
        <v>0</v>
      </c>
      <c r="BP23" s="11" t="s">
        <v>79</v>
      </c>
      <c r="BQ23" s="11">
        <v>0</v>
      </c>
      <c r="BR23" s="11"/>
      <c r="BT23" s="11"/>
      <c r="BU23" s="11"/>
      <c r="CA23" s="11"/>
      <c r="CD23" s="11"/>
    </row>
    <row r="24" spans="2:82" ht="12.75" x14ac:dyDescent="0.2">
      <c r="B24" s="11">
        <v>246103</v>
      </c>
      <c r="C24" s="11">
        <f>ROUND(DAYS360(Tableau_Lancer_la_requête_à_partir_de_AS4003[[#This Row],[Date naissance 1]],Tableau_Lancer_la_requête_à_partir_de_AS4003[[#This Row],[Date début]])/360,0)</f>
        <v>53</v>
      </c>
      <c r="D24" s="11">
        <v>0</v>
      </c>
      <c r="E24" s="11">
        <v>0</v>
      </c>
      <c r="F24" s="11">
        <v>0</v>
      </c>
      <c r="G24" s="11">
        <v>12</v>
      </c>
      <c r="H24" s="11">
        <f>ROUND(DAYS360(Tableau_Lancer_la_requête_à_partir_de_AS4003[[#This Row],[Date début]],'Cash flows par police'!$C$4)/30,0)</f>
        <v>3</v>
      </c>
      <c r="I24" s="11">
        <v>0</v>
      </c>
      <c r="J24" s="11">
        <v>0</v>
      </c>
      <c r="K24" s="11">
        <v>0</v>
      </c>
      <c r="L24" s="11">
        <v>38.9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f>SUM(Tableau_Lancer_la_requête_à_partir_de_AS4003[[#This Row],[POLPRCPL2]:[POLPRCPL9]])</f>
        <v>38.9</v>
      </c>
      <c r="T24" s="11">
        <v>99</v>
      </c>
      <c r="U24" s="11">
        <v>12</v>
      </c>
      <c r="V24" s="11">
        <v>0</v>
      </c>
      <c r="W24" s="11">
        <v>531.6</v>
      </c>
      <c r="X24" s="11">
        <v>0</v>
      </c>
      <c r="Y24" s="11">
        <v>0</v>
      </c>
      <c r="Z24" s="11">
        <v>1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f>IF(Tableau_Lancer_la_requête_à_partir_de_AS4003[[#This Row],[POL_SEX_ASSURE]]="M",0,1)</f>
        <v>1</v>
      </c>
      <c r="AG24" s="11" t="str">
        <f>IF(Tableau_Lancer_la_requête_à_partir_de_AS4003[[#This Row],[POL_SEX_ASSURE2]]="","",IF(Tableau_Lancer_la_requête_à_partir_de_AS4003[[#This Row],[POL_SEX_ASSURE2]]="M",0,1))</f>
        <v/>
      </c>
      <c r="AH2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24" s="11">
        <v>10000</v>
      </c>
      <c r="AJ24" s="11">
        <f>Tableau_Lancer_la_requête_à_partir_de_AS4003[[#This Row],[POL_DUREE_ASSUR]]*12</f>
        <v>1188</v>
      </c>
      <c r="AK24" s="11">
        <v>303</v>
      </c>
      <c r="AL24" s="11">
        <v>0</v>
      </c>
      <c r="AM24" s="11">
        <v>0</v>
      </c>
      <c r="AN24" s="11" t="s">
        <v>36</v>
      </c>
      <c r="AO24" s="11" t="s">
        <v>80</v>
      </c>
      <c r="AP24" s="11">
        <f>Tableau_Lancer_la_requête_à_partir_de_AS4003[[#This Row],[POL_TERM_M]]-Tableau_Lancer_la_requête_à_partir_de_AS4003[[#This Row],[Duration IF]]</f>
        <v>1185</v>
      </c>
      <c r="AQ24" s="11" t="s">
        <v>36</v>
      </c>
      <c r="AR24" s="11" t="s">
        <v>36</v>
      </c>
      <c r="AS24" s="11" t="s">
        <v>36</v>
      </c>
      <c r="AT24" s="11" t="s">
        <v>36</v>
      </c>
      <c r="AU24" s="11" t="s">
        <v>36</v>
      </c>
      <c r="AV24" s="11">
        <v>0</v>
      </c>
      <c r="AW24" s="11">
        <v>11</v>
      </c>
      <c r="AX24" s="11">
        <v>1</v>
      </c>
      <c r="AY24" s="11">
        <v>20181001</v>
      </c>
      <c r="AZ24" s="80">
        <f t="shared" si="0"/>
        <v>43374</v>
      </c>
      <c r="BA24" s="11">
        <v>19660401</v>
      </c>
      <c r="BB24" s="80">
        <f t="shared" si="1"/>
        <v>24198</v>
      </c>
      <c r="BC24" s="11">
        <v>0</v>
      </c>
      <c r="BD24" s="11" t="s">
        <v>81</v>
      </c>
      <c r="BE24" s="11">
        <v>1</v>
      </c>
      <c r="BF24" s="11" t="s">
        <v>36</v>
      </c>
      <c r="BG24" s="11">
        <v>492.7</v>
      </c>
      <c r="BH24" s="11">
        <v>373.9</v>
      </c>
      <c r="BI24" s="11">
        <v>0</v>
      </c>
      <c r="BJ24" s="11" t="s">
        <v>79</v>
      </c>
      <c r="BK24" s="11">
        <v>1</v>
      </c>
      <c r="BL24" s="11">
        <v>0</v>
      </c>
      <c r="BM24" s="11">
        <v>0</v>
      </c>
      <c r="BN24" s="11">
        <v>246103</v>
      </c>
      <c r="BO24" s="11">
        <v>0</v>
      </c>
      <c r="BP24" s="11" t="s">
        <v>79</v>
      </c>
      <c r="BQ24" s="11">
        <v>0</v>
      </c>
      <c r="BR24" s="11"/>
      <c r="BT24" s="11"/>
      <c r="BU24" s="11"/>
      <c r="CA24" s="11"/>
      <c r="CD24" s="11"/>
    </row>
    <row r="25" spans="2:82" ht="12.75" x14ac:dyDescent="0.2">
      <c r="B25" s="11">
        <v>262405</v>
      </c>
      <c r="C25" s="11">
        <f>ROUND(DAYS360(Tableau_Lancer_la_requête_à_partir_de_AS4003[[#This Row],[Date naissance 1]],Tableau_Lancer_la_requête_à_partir_de_AS4003[[#This Row],[Date début]])/360,0)</f>
        <v>55</v>
      </c>
      <c r="D25" s="11">
        <v>0</v>
      </c>
      <c r="E25" s="11">
        <v>0</v>
      </c>
      <c r="F25" s="11">
        <v>0</v>
      </c>
      <c r="G25" s="11">
        <v>12</v>
      </c>
      <c r="H25" s="11">
        <f>ROUND(DAYS360(Tableau_Lancer_la_requête_à_partir_de_AS4003[[#This Row],[Date début]],'Cash flows par police'!$C$4)/30,0)</f>
        <v>2</v>
      </c>
      <c r="I25" s="11">
        <v>0</v>
      </c>
      <c r="J25" s="11">
        <v>0</v>
      </c>
      <c r="K25" s="11">
        <v>0</v>
      </c>
      <c r="L25" s="11">
        <v>39.5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f>SUM(Tableau_Lancer_la_requête_à_partir_de_AS4003[[#This Row],[POLPRCPL2]:[POLPRCPL9]])</f>
        <v>39.5</v>
      </c>
      <c r="T25" s="11">
        <v>99</v>
      </c>
      <c r="U25" s="11">
        <v>12</v>
      </c>
      <c r="V25" s="11">
        <v>0</v>
      </c>
      <c r="W25" s="11">
        <v>648</v>
      </c>
      <c r="X25" s="11">
        <v>16.600000000000001</v>
      </c>
      <c r="Y25" s="11">
        <v>0</v>
      </c>
      <c r="Z25" s="11">
        <v>1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>
        <f>IF(Tableau_Lancer_la_requête_à_partir_de_AS4003[[#This Row],[POL_SEX_ASSURE]]="M",0,1)</f>
        <v>1</v>
      </c>
      <c r="AG25" s="11" t="str">
        <f>IF(Tableau_Lancer_la_requête_à_partir_de_AS4003[[#This Row],[POL_SEX_ASSURE2]]="","",IF(Tableau_Lancer_la_requête_à_partir_de_AS4003[[#This Row],[POL_SEX_ASSURE2]]="M",0,1))</f>
        <v/>
      </c>
      <c r="AH2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25" s="11">
        <v>10160.200000000001</v>
      </c>
      <c r="AJ25" s="11">
        <f>Tableau_Lancer_la_requête_à_partir_de_AS4003[[#This Row],[POL_DUREE_ASSUR]]*12</f>
        <v>1188</v>
      </c>
      <c r="AK25" s="11">
        <v>338.7</v>
      </c>
      <c r="AL25" s="11">
        <v>16.600000000000001</v>
      </c>
      <c r="AM25" s="11">
        <v>0</v>
      </c>
      <c r="AN25" s="11" t="s">
        <v>36</v>
      </c>
      <c r="AO25" s="11" t="s">
        <v>80</v>
      </c>
      <c r="AP25" s="11">
        <f>Tableau_Lancer_la_requête_à_partir_de_AS4003[[#This Row],[POL_TERM_M]]-Tableau_Lancer_la_requête_à_partir_de_AS4003[[#This Row],[Duration IF]]</f>
        <v>1186</v>
      </c>
      <c r="AQ25" s="11" t="s">
        <v>36</v>
      </c>
      <c r="AR25" s="11" t="s">
        <v>36</v>
      </c>
      <c r="AS25" s="11" t="s">
        <v>36</v>
      </c>
      <c r="AT25" s="11" t="s">
        <v>36</v>
      </c>
      <c r="AU25" s="11" t="s">
        <v>36</v>
      </c>
      <c r="AV25" s="11">
        <v>0</v>
      </c>
      <c r="AW25" s="11">
        <v>11</v>
      </c>
      <c r="AX25" s="11">
        <v>1</v>
      </c>
      <c r="AY25" s="11">
        <v>20181101</v>
      </c>
      <c r="AZ25" s="80">
        <f t="shared" si="0"/>
        <v>43405</v>
      </c>
      <c r="BA25" s="11">
        <v>19631225</v>
      </c>
      <c r="BB25" s="80">
        <f t="shared" si="1"/>
        <v>23370</v>
      </c>
      <c r="BC25" s="11">
        <v>0</v>
      </c>
      <c r="BD25" s="11" t="s">
        <v>81</v>
      </c>
      <c r="BE25" s="11">
        <v>1</v>
      </c>
      <c r="BF25" s="11" t="s">
        <v>36</v>
      </c>
      <c r="BG25" s="11">
        <v>608.5</v>
      </c>
      <c r="BH25" s="11">
        <v>462</v>
      </c>
      <c r="BI25" s="11">
        <v>0</v>
      </c>
      <c r="BJ25" s="11" t="s">
        <v>79</v>
      </c>
      <c r="BK25" s="11">
        <v>1</v>
      </c>
      <c r="BL25" s="11">
        <v>0</v>
      </c>
      <c r="BM25" s="11">
        <v>0</v>
      </c>
      <c r="BN25" s="11">
        <v>262405</v>
      </c>
      <c r="BO25" s="11">
        <v>0</v>
      </c>
      <c r="BP25" s="11" t="s">
        <v>79</v>
      </c>
      <c r="BQ25" s="11">
        <v>0</v>
      </c>
      <c r="BR25" s="11"/>
      <c r="BT25" s="11"/>
      <c r="BU25" s="11"/>
      <c r="CA25" s="11"/>
      <c r="CD25" s="11"/>
    </row>
    <row r="26" spans="2:82" ht="12.75" x14ac:dyDescent="0.2">
      <c r="B26" s="11">
        <v>284004</v>
      </c>
      <c r="C26" s="11">
        <f>ROUND(DAYS360(Tableau_Lancer_la_requête_à_partir_de_AS4003[[#This Row],[Date naissance 1]],Tableau_Lancer_la_requête_à_partir_de_AS4003[[#This Row],[Date début]])/360,0)</f>
        <v>62</v>
      </c>
      <c r="D26" s="11">
        <v>0</v>
      </c>
      <c r="E26" s="11">
        <v>0</v>
      </c>
      <c r="F26" s="11">
        <v>0</v>
      </c>
      <c r="G26" s="11">
        <v>12</v>
      </c>
      <c r="H26" s="11">
        <f>ROUND(DAYS360(Tableau_Lancer_la_requête_à_partir_de_AS4003[[#This Row],[Date début]],'Cash flows par police'!$C$4)/30,0)</f>
        <v>3</v>
      </c>
      <c r="I26" s="11">
        <v>0</v>
      </c>
      <c r="J26" s="11">
        <v>0</v>
      </c>
      <c r="K26" s="11">
        <v>0</v>
      </c>
      <c r="L26" s="11">
        <v>21.3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f>SUM(Tableau_Lancer_la_requête_à_partir_de_AS4003[[#This Row],[POLPRCPL2]:[POLPRCPL9]])</f>
        <v>21.3</v>
      </c>
      <c r="T26" s="11">
        <v>99</v>
      </c>
      <c r="U26" s="11">
        <v>12</v>
      </c>
      <c r="V26" s="11">
        <v>0</v>
      </c>
      <c r="W26" s="11">
        <v>432</v>
      </c>
      <c r="X26" s="11">
        <v>21.6</v>
      </c>
      <c r="Y26" s="11">
        <v>0</v>
      </c>
      <c r="Z26" s="11">
        <v>1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f>IF(Tableau_Lancer_la_requête_à_partir_de_AS4003[[#This Row],[POL_SEX_ASSURE]]="M",0,1)</f>
        <v>1</v>
      </c>
      <c r="AG26" s="11" t="str">
        <f>IF(Tableau_Lancer_la_requête_à_partir_de_AS4003[[#This Row],[POL_SEX_ASSURE2]]="","",IF(Tableau_Lancer_la_requête_à_partir_de_AS4003[[#This Row],[POL_SEX_ASSURE2]]="M",0,1))</f>
        <v/>
      </c>
      <c r="AH2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26" s="11">
        <v>5468.6</v>
      </c>
      <c r="AJ26" s="11">
        <f>Tableau_Lancer_la_requête_à_partir_de_AS4003[[#This Row],[POL_DUREE_ASSUR]]*12</f>
        <v>1188</v>
      </c>
      <c r="AK26" s="11">
        <v>237.8</v>
      </c>
      <c r="AL26" s="11">
        <v>21.6</v>
      </c>
      <c r="AM26" s="11">
        <v>0</v>
      </c>
      <c r="AN26" s="11" t="s">
        <v>36</v>
      </c>
      <c r="AO26" s="11" t="s">
        <v>80</v>
      </c>
      <c r="AP26" s="11">
        <f>Tableau_Lancer_la_requête_à_partir_de_AS4003[[#This Row],[POL_TERM_M]]-Tableau_Lancer_la_requête_à_partir_de_AS4003[[#This Row],[Duration IF]]</f>
        <v>1185</v>
      </c>
      <c r="AQ26" s="11" t="s">
        <v>36</v>
      </c>
      <c r="AR26" s="11" t="s">
        <v>36</v>
      </c>
      <c r="AS26" s="11" t="s">
        <v>36</v>
      </c>
      <c r="AT26" s="11" t="s">
        <v>36</v>
      </c>
      <c r="AU26" s="11" t="s">
        <v>36</v>
      </c>
      <c r="AV26" s="11">
        <v>0</v>
      </c>
      <c r="AW26" s="11">
        <v>11</v>
      </c>
      <c r="AX26" s="11">
        <v>1</v>
      </c>
      <c r="AY26" s="11">
        <v>20181001</v>
      </c>
      <c r="AZ26" s="80">
        <f t="shared" si="0"/>
        <v>43374</v>
      </c>
      <c r="BA26" s="11">
        <v>19561002</v>
      </c>
      <c r="BB26" s="80">
        <f t="shared" si="1"/>
        <v>20730</v>
      </c>
      <c r="BC26" s="11">
        <v>0</v>
      </c>
      <c r="BD26" s="11" t="s">
        <v>81</v>
      </c>
      <c r="BE26" s="11">
        <v>1</v>
      </c>
      <c r="BF26" s="11" t="s">
        <v>36</v>
      </c>
      <c r="BG26" s="11">
        <v>410.7</v>
      </c>
      <c r="BH26" s="11">
        <v>311.89999999999998</v>
      </c>
      <c r="BI26" s="11">
        <v>0</v>
      </c>
      <c r="BJ26" s="11" t="s">
        <v>79</v>
      </c>
      <c r="BK26" s="11">
        <v>1</v>
      </c>
      <c r="BL26" s="11">
        <v>0</v>
      </c>
      <c r="BM26" s="11">
        <v>0</v>
      </c>
      <c r="BN26" s="11">
        <v>284004</v>
      </c>
      <c r="BO26" s="11">
        <v>0</v>
      </c>
      <c r="BP26" s="11" t="s">
        <v>79</v>
      </c>
      <c r="BQ26" s="11">
        <v>0</v>
      </c>
      <c r="BR26" s="11"/>
      <c r="BT26" s="11"/>
      <c r="BU26" s="11"/>
      <c r="CA26" s="11"/>
      <c r="CD26" s="11"/>
    </row>
    <row r="27" spans="2:82" ht="12.75" x14ac:dyDescent="0.2">
      <c r="B27" s="11">
        <v>287808</v>
      </c>
      <c r="C27" s="11">
        <f>ROUND(DAYS360(Tableau_Lancer_la_requête_à_partir_de_AS4003[[#This Row],[Date naissance 1]],Tableau_Lancer_la_requête_à_partir_de_AS4003[[#This Row],[Date début]])/360,0)</f>
        <v>57</v>
      </c>
      <c r="D27" s="11">
        <v>0</v>
      </c>
      <c r="E27" s="11">
        <v>0</v>
      </c>
      <c r="F27" s="11">
        <v>0</v>
      </c>
      <c r="G27" s="11">
        <v>12</v>
      </c>
      <c r="H27" s="11">
        <f>ROUND(DAYS360(Tableau_Lancer_la_requête_à_partir_de_AS4003[[#This Row],[Date début]],'Cash flows par police'!$C$4)/30,0)</f>
        <v>1</v>
      </c>
      <c r="I27" s="11">
        <v>0</v>
      </c>
      <c r="J27" s="11">
        <v>0</v>
      </c>
      <c r="K27" s="11">
        <v>0</v>
      </c>
      <c r="L27" s="11">
        <v>12.6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f>SUM(Tableau_Lancer_la_requête_à_partir_de_AS4003[[#This Row],[POLPRCPL2]:[POLPRCPL9]])</f>
        <v>12.6</v>
      </c>
      <c r="T27" s="11">
        <v>99</v>
      </c>
      <c r="U27" s="11">
        <v>12</v>
      </c>
      <c r="V27" s="11">
        <v>0</v>
      </c>
      <c r="W27" s="11">
        <v>216</v>
      </c>
      <c r="X27" s="11">
        <v>0</v>
      </c>
      <c r="Y27" s="11">
        <v>0</v>
      </c>
      <c r="Z27" s="11">
        <v>1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 s="11">
        <f>IF(Tableau_Lancer_la_requête_à_partir_de_AS4003[[#This Row],[POL_SEX_ASSURE]]="M",0,1)</f>
        <v>1</v>
      </c>
      <c r="AG27" s="11" t="str">
        <f>IF(Tableau_Lancer_la_requête_à_partir_de_AS4003[[#This Row],[POL_SEX_ASSURE2]]="","",IF(Tableau_Lancer_la_requête_à_partir_de_AS4003[[#This Row],[POL_SEX_ASSURE2]]="M",0,1))</f>
        <v/>
      </c>
      <c r="AH2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27" s="11">
        <v>3250.5</v>
      </c>
      <c r="AJ27" s="11">
        <f>Tableau_Lancer_la_requête_à_partir_de_AS4003[[#This Row],[POL_DUREE_ASSUR]]*12</f>
        <v>1188</v>
      </c>
      <c r="AK27" s="11">
        <v>116.1</v>
      </c>
      <c r="AL27" s="11">
        <v>0</v>
      </c>
      <c r="AM27" s="11">
        <v>0</v>
      </c>
      <c r="AN27" s="11" t="s">
        <v>36</v>
      </c>
      <c r="AO27" s="11" t="s">
        <v>80</v>
      </c>
      <c r="AP27" s="11">
        <f>Tableau_Lancer_la_requête_à_partir_de_AS4003[[#This Row],[POL_TERM_M]]-Tableau_Lancer_la_requête_à_partir_de_AS4003[[#This Row],[Duration IF]]</f>
        <v>1187</v>
      </c>
      <c r="AQ27" s="11" t="s">
        <v>36</v>
      </c>
      <c r="AR27" s="11" t="s">
        <v>36</v>
      </c>
      <c r="AS27" s="11" t="s">
        <v>36</v>
      </c>
      <c r="AT27" s="11" t="s">
        <v>36</v>
      </c>
      <c r="AU27" s="11" t="s">
        <v>36</v>
      </c>
      <c r="AV27" s="11">
        <v>0</v>
      </c>
      <c r="AW27" s="11">
        <v>11</v>
      </c>
      <c r="AX27" s="11">
        <v>1</v>
      </c>
      <c r="AY27" s="11">
        <v>20181201</v>
      </c>
      <c r="AZ27" s="80">
        <f t="shared" si="0"/>
        <v>43435</v>
      </c>
      <c r="BA27" s="11">
        <v>19610725</v>
      </c>
      <c r="BB27" s="80">
        <f t="shared" si="1"/>
        <v>22487</v>
      </c>
      <c r="BC27" s="11">
        <v>0</v>
      </c>
      <c r="BD27" s="11" t="s">
        <v>81</v>
      </c>
      <c r="BE27" s="11">
        <v>1</v>
      </c>
      <c r="BF27" s="11" t="s">
        <v>36</v>
      </c>
      <c r="BG27" s="11">
        <v>203.4</v>
      </c>
      <c r="BH27" s="11">
        <v>154.4</v>
      </c>
      <c r="BI27" s="11">
        <v>0</v>
      </c>
      <c r="BJ27" s="11" t="s">
        <v>79</v>
      </c>
      <c r="BK27" s="11">
        <v>0</v>
      </c>
      <c r="BL27" s="11">
        <v>0</v>
      </c>
      <c r="BM27" s="11">
        <v>0</v>
      </c>
      <c r="BN27" s="11">
        <v>287808</v>
      </c>
      <c r="BO27" s="11">
        <v>0</v>
      </c>
      <c r="BP27" s="11" t="s">
        <v>79</v>
      </c>
      <c r="BQ27" s="11">
        <v>0</v>
      </c>
      <c r="BR27" s="11"/>
      <c r="BT27" s="11"/>
      <c r="BU27" s="11"/>
      <c r="CA27" s="11"/>
      <c r="CD27" s="11"/>
    </row>
    <row r="28" spans="2:82" ht="12.75" x14ac:dyDescent="0.2">
      <c r="B28" s="11">
        <v>297007</v>
      </c>
      <c r="C28" s="11">
        <f>ROUND(DAYS360(Tableau_Lancer_la_requête_à_partir_de_AS4003[[#This Row],[Date naissance 1]],Tableau_Lancer_la_requête_à_partir_de_AS4003[[#This Row],[Date début]])/360,0)</f>
        <v>46</v>
      </c>
      <c r="D28" s="11">
        <v>0</v>
      </c>
      <c r="E28" s="11">
        <v>0</v>
      </c>
      <c r="F28" s="11">
        <v>0</v>
      </c>
      <c r="G28" s="11">
        <v>12</v>
      </c>
      <c r="H28" s="11">
        <f>ROUND(DAYS360(Tableau_Lancer_la_requête_à_partir_de_AS4003[[#This Row],[Date début]],'Cash flows par police'!$C$4)/30,0)</f>
        <v>17</v>
      </c>
      <c r="I28" s="11">
        <v>0</v>
      </c>
      <c r="J28" s="11">
        <v>0</v>
      </c>
      <c r="K28" s="11">
        <v>0</v>
      </c>
      <c r="L28" s="11">
        <v>50.5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f>SUM(Tableau_Lancer_la_requête_à_partir_de_AS4003[[#This Row],[POLPRCPL2]:[POLPRCPL9]])</f>
        <v>50.5</v>
      </c>
      <c r="T28" s="11">
        <v>99</v>
      </c>
      <c r="U28" s="11">
        <v>12</v>
      </c>
      <c r="V28" s="11">
        <v>0</v>
      </c>
      <c r="W28" s="11">
        <v>616.79999999999995</v>
      </c>
      <c r="X28" s="11">
        <v>280.3</v>
      </c>
      <c r="Y28" s="11">
        <v>2.1</v>
      </c>
      <c r="Z28" s="11">
        <v>1</v>
      </c>
      <c r="AA28" s="11">
        <v>0</v>
      </c>
      <c r="AB28" s="11">
        <v>0</v>
      </c>
      <c r="AC28" s="11">
        <v>0</v>
      </c>
      <c r="AD28" s="11">
        <v>0</v>
      </c>
      <c r="AE28" s="11">
        <v>0</v>
      </c>
      <c r="AF28" s="11">
        <f>IF(Tableau_Lancer_la_requête_à_partir_de_AS4003[[#This Row],[POL_SEX_ASSURE]]="M",0,1)</f>
        <v>1</v>
      </c>
      <c r="AG28" s="11" t="str">
        <f>IF(Tableau_Lancer_la_requête_à_partir_de_AS4003[[#This Row],[POL_SEX_ASSURE2]]="","",IF(Tableau_Lancer_la_requête_à_partir_de_AS4003[[#This Row],[POL_SEX_ASSURE2]]="M",0,1))</f>
        <v/>
      </c>
      <c r="AH2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28" s="11">
        <v>13000</v>
      </c>
      <c r="AJ28" s="11">
        <f>Tableau_Lancer_la_requête_à_partir_de_AS4003[[#This Row],[POL_DUREE_ASSUR]]*12</f>
        <v>1188</v>
      </c>
      <c r="AK28" s="11">
        <v>333.3</v>
      </c>
      <c r="AL28" s="11">
        <v>280.3</v>
      </c>
      <c r="AM28" s="11">
        <v>0</v>
      </c>
      <c r="AN28" s="11" t="s">
        <v>36</v>
      </c>
      <c r="AO28" s="11" t="s">
        <v>80</v>
      </c>
      <c r="AP28" s="11">
        <f>Tableau_Lancer_la_requête_à_partir_de_AS4003[[#This Row],[POL_TERM_M]]-Tableau_Lancer_la_requête_à_partir_de_AS4003[[#This Row],[Duration IF]]</f>
        <v>1171</v>
      </c>
      <c r="AQ28" s="11" t="s">
        <v>36</v>
      </c>
      <c r="AR28" s="11" t="s">
        <v>36</v>
      </c>
      <c r="AS28" s="11" t="s">
        <v>36</v>
      </c>
      <c r="AT28" s="11" t="s">
        <v>36</v>
      </c>
      <c r="AU28" s="11" t="s">
        <v>36</v>
      </c>
      <c r="AV28" s="11">
        <v>0</v>
      </c>
      <c r="AW28" s="11">
        <v>11</v>
      </c>
      <c r="AX28" s="11">
        <v>1</v>
      </c>
      <c r="AY28" s="11">
        <v>20170801</v>
      </c>
      <c r="AZ28" s="80">
        <f t="shared" si="0"/>
        <v>42948</v>
      </c>
      <c r="BA28" s="11">
        <v>19711031</v>
      </c>
      <c r="BB28" s="80">
        <f t="shared" si="1"/>
        <v>26237</v>
      </c>
      <c r="BC28" s="11">
        <v>0</v>
      </c>
      <c r="BD28" s="11" t="s">
        <v>81</v>
      </c>
      <c r="BE28" s="11">
        <v>1</v>
      </c>
      <c r="BF28" s="11" t="s">
        <v>36</v>
      </c>
      <c r="BG28" s="11">
        <v>566.29999999999995</v>
      </c>
      <c r="BH28" s="11">
        <v>430.1</v>
      </c>
      <c r="BI28" s="11">
        <v>0</v>
      </c>
      <c r="BJ28" s="11" t="s">
        <v>79</v>
      </c>
      <c r="BK28" s="11">
        <v>1</v>
      </c>
      <c r="BL28" s="11">
        <v>0</v>
      </c>
      <c r="BM28" s="11">
        <v>0</v>
      </c>
      <c r="BN28" s="11">
        <v>297007</v>
      </c>
      <c r="BO28" s="11">
        <v>0</v>
      </c>
      <c r="BP28" s="11" t="s">
        <v>79</v>
      </c>
      <c r="BQ28" s="11">
        <v>0</v>
      </c>
      <c r="BR28" s="11"/>
      <c r="BT28" s="11"/>
      <c r="BU28" s="11"/>
      <c r="CA28" s="11"/>
      <c r="CD28" s="11"/>
    </row>
    <row r="29" spans="2:82" ht="12.75" x14ac:dyDescent="0.2">
      <c r="B29" s="11">
        <v>320005</v>
      </c>
      <c r="C29" s="11">
        <f>ROUND(DAYS360(Tableau_Lancer_la_requête_à_partir_de_AS4003[[#This Row],[Date naissance 1]],Tableau_Lancer_la_requête_à_partir_de_AS4003[[#This Row],[Date début]])/360,0)</f>
        <v>56</v>
      </c>
      <c r="D29" s="11">
        <v>0</v>
      </c>
      <c r="E29" s="11">
        <v>0</v>
      </c>
      <c r="F29" s="11">
        <v>0</v>
      </c>
      <c r="G29" s="11">
        <v>12</v>
      </c>
      <c r="H29" s="11">
        <f>ROUND(DAYS360(Tableau_Lancer_la_requête_à_partir_de_AS4003[[#This Row],[Date début]],'Cash flows par police'!$C$4)/30,0)</f>
        <v>4</v>
      </c>
      <c r="I29" s="11">
        <v>0</v>
      </c>
      <c r="J29" s="11">
        <v>0</v>
      </c>
      <c r="K29" s="11">
        <v>0</v>
      </c>
      <c r="L29" s="11">
        <v>23.3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f>SUM(Tableau_Lancer_la_requête_à_partir_de_AS4003[[#This Row],[POLPRCPL2]:[POLPRCPL9]])</f>
        <v>23.3</v>
      </c>
      <c r="T29" s="11">
        <v>99</v>
      </c>
      <c r="U29" s="11">
        <v>12</v>
      </c>
      <c r="V29" s="11">
        <v>0</v>
      </c>
      <c r="W29" s="11">
        <v>382.8</v>
      </c>
      <c r="X29" s="11">
        <v>29.4</v>
      </c>
      <c r="Y29" s="11">
        <v>0</v>
      </c>
      <c r="Z29" s="11">
        <v>1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f>IF(Tableau_Lancer_la_requête_à_partir_de_AS4003[[#This Row],[POL_SEX_ASSURE]]="M",0,1)</f>
        <v>1</v>
      </c>
      <c r="AG29" s="11" t="str">
        <f>IF(Tableau_Lancer_la_requête_à_partir_de_AS4003[[#This Row],[POL_SEX_ASSURE2]]="","",IF(Tableau_Lancer_la_requête_à_partir_de_AS4003[[#This Row],[POL_SEX_ASSURE2]]="M",0,1))</f>
        <v/>
      </c>
      <c r="AH2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29" s="11">
        <v>6000</v>
      </c>
      <c r="AJ29" s="11">
        <f>Tableau_Lancer_la_requête_à_partir_de_AS4003[[#This Row],[POL_DUREE_ASSUR]]*12</f>
        <v>1188</v>
      </c>
      <c r="AK29" s="11">
        <v>200</v>
      </c>
      <c r="AL29" s="11">
        <v>29.4</v>
      </c>
      <c r="AM29" s="11">
        <v>0</v>
      </c>
      <c r="AN29" s="11" t="s">
        <v>36</v>
      </c>
      <c r="AO29" s="11" t="s">
        <v>80</v>
      </c>
      <c r="AP29" s="11">
        <f>Tableau_Lancer_la_requête_à_partir_de_AS4003[[#This Row],[POL_TERM_M]]-Tableau_Lancer_la_requête_à_partir_de_AS4003[[#This Row],[Duration IF]]</f>
        <v>1184</v>
      </c>
      <c r="AQ29" s="11" t="s">
        <v>36</v>
      </c>
      <c r="AR29" s="11" t="s">
        <v>36</v>
      </c>
      <c r="AS29" s="11" t="s">
        <v>36</v>
      </c>
      <c r="AT29" s="11" t="s">
        <v>36</v>
      </c>
      <c r="AU29" s="11" t="s">
        <v>36</v>
      </c>
      <c r="AV29" s="11">
        <v>0</v>
      </c>
      <c r="AW29" s="11">
        <v>11</v>
      </c>
      <c r="AX29" s="11">
        <v>1</v>
      </c>
      <c r="AY29" s="11">
        <v>20180901</v>
      </c>
      <c r="AZ29" s="80">
        <f t="shared" si="0"/>
        <v>43344</v>
      </c>
      <c r="BA29" s="11">
        <v>19630216</v>
      </c>
      <c r="BB29" s="80">
        <f t="shared" si="1"/>
        <v>23058</v>
      </c>
      <c r="BC29" s="11">
        <v>0</v>
      </c>
      <c r="BD29" s="11" t="s">
        <v>81</v>
      </c>
      <c r="BE29" s="11">
        <v>1</v>
      </c>
      <c r="BF29" s="11" t="s">
        <v>36</v>
      </c>
      <c r="BG29" s="11">
        <v>359.5</v>
      </c>
      <c r="BH29" s="11">
        <v>272.8</v>
      </c>
      <c r="BI29" s="11">
        <v>0</v>
      </c>
      <c r="BJ29" s="11" t="s">
        <v>79</v>
      </c>
      <c r="BK29" s="11">
        <v>1</v>
      </c>
      <c r="BL29" s="11">
        <v>0</v>
      </c>
      <c r="BM29" s="11">
        <v>0</v>
      </c>
      <c r="BN29" s="11">
        <v>320005</v>
      </c>
      <c r="BO29" s="11">
        <v>0</v>
      </c>
      <c r="BP29" s="11" t="s">
        <v>79</v>
      </c>
      <c r="BQ29" s="11">
        <v>0</v>
      </c>
      <c r="BR29" s="11"/>
      <c r="BT29" s="11"/>
      <c r="BU29" s="11"/>
      <c r="CA29" s="11"/>
      <c r="CD29" s="11"/>
    </row>
    <row r="30" spans="2:82" ht="12.75" x14ac:dyDescent="0.2">
      <c r="B30" s="11">
        <v>333302</v>
      </c>
      <c r="C30" s="11">
        <f>ROUND(DAYS360(Tableau_Lancer_la_requête_à_partir_de_AS4003[[#This Row],[Date naissance 1]],Tableau_Lancer_la_requête_à_partir_de_AS4003[[#This Row],[Date début]])/360,0)</f>
        <v>62</v>
      </c>
      <c r="D30" s="11">
        <v>0</v>
      </c>
      <c r="E30" s="11">
        <v>0</v>
      </c>
      <c r="F30" s="11">
        <v>0</v>
      </c>
      <c r="G30" s="11">
        <v>12</v>
      </c>
      <c r="H30" s="11">
        <f>ROUND(DAYS360(Tableau_Lancer_la_requête_à_partir_de_AS4003[[#This Row],[Date début]],'Cash flows par police'!$C$4)/30,0)</f>
        <v>20</v>
      </c>
      <c r="I30" s="11">
        <v>0</v>
      </c>
      <c r="J30" s="11">
        <v>0</v>
      </c>
      <c r="K30" s="11">
        <v>0</v>
      </c>
      <c r="L30" s="11">
        <v>41.5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f>SUM(Tableau_Lancer_la_requête_à_partir_de_AS4003[[#This Row],[POLPRCPL2]:[POLPRCPL9]])</f>
        <v>41.5</v>
      </c>
      <c r="T30" s="11">
        <v>99</v>
      </c>
      <c r="U30" s="11">
        <v>12</v>
      </c>
      <c r="V30" s="11">
        <v>0</v>
      </c>
      <c r="W30" s="11">
        <v>864</v>
      </c>
      <c r="X30" s="11">
        <v>414.2</v>
      </c>
      <c r="Y30" s="11">
        <v>4.5</v>
      </c>
      <c r="Z30" s="11">
        <v>1</v>
      </c>
      <c r="AA30" s="11">
        <v>0</v>
      </c>
      <c r="AB30" s="11">
        <v>0</v>
      </c>
      <c r="AC30" s="11">
        <v>0</v>
      </c>
      <c r="AD30" s="11">
        <v>0</v>
      </c>
      <c r="AE30" s="11">
        <v>0</v>
      </c>
      <c r="AF30" s="11">
        <f>IF(Tableau_Lancer_la_requête_à_partir_de_AS4003[[#This Row],[POL_SEX_ASSURE]]="M",0,1)</f>
        <v>1</v>
      </c>
      <c r="AG30" s="11" t="str">
        <f>IF(Tableau_Lancer_la_requête_à_partir_de_AS4003[[#This Row],[POL_SEX_ASSURE2]]="","",IF(Tableau_Lancer_la_requête_à_partir_de_AS4003[[#This Row],[POL_SEX_ASSURE2]]="M",0,1))</f>
        <v/>
      </c>
      <c r="AH3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30" s="11">
        <v>10669.1</v>
      </c>
      <c r="AJ30" s="11">
        <f>Tableau_Lancer_la_requête_à_partir_de_AS4003[[#This Row],[POL_DUREE_ASSUR]]*12</f>
        <v>1188</v>
      </c>
      <c r="AK30" s="11">
        <v>485</v>
      </c>
      <c r="AL30" s="11">
        <v>414.2</v>
      </c>
      <c r="AM30" s="11">
        <v>0</v>
      </c>
      <c r="AN30" s="11" t="s">
        <v>36</v>
      </c>
      <c r="AO30" s="11" t="s">
        <v>80</v>
      </c>
      <c r="AP30" s="11">
        <f>Tableau_Lancer_la_requête_à_partir_de_AS4003[[#This Row],[POL_TERM_M]]-Tableau_Lancer_la_requête_à_partir_de_AS4003[[#This Row],[Duration IF]]</f>
        <v>1168</v>
      </c>
      <c r="AQ30" s="11" t="s">
        <v>36</v>
      </c>
      <c r="AR30" s="11" t="s">
        <v>36</v>
      </c>
      <c r="AS30" s="11" t="s">
        <v>36</v>
      </c>
      <c r="AT30" s="11" t="s">
        <v>36</v>
      </c>
      <c r="AU30" s="11" t="s">
        <v>36</v>
      </c>
      <c r="AV30" s="11">
        <v>0</v>
      </c>
      <c r="AW30" s="11">
        <v>11</v>
      </c>
      <c r="AX30" s="11">
        <v>1</v>
      </c>
      <c r="AY30" s="11">
        <v>20170501</v>
      </c>
      <c r="AZ30" s="80">
        <f t="shared" si="0"/>
        <v>42856</v>
      </c>
      <c r="BA30" s="11">
        <v>19541106</v>
      </c>
      <c r="BB30" s="80">
        <f t="shared" si="1"/>
        <v>20034</v>
      </c>
      <c r="BC30" s="11">
        <v>0</v>
      </c>
      <c r="BD30" s="11" t="s">
        <v>81</v>
      </c>
      <c r="BE30" s="11">
        <v>1</v>
      </c>
      <c r="BF30" s="11" t="s">
        <v>36</v>
      </c>
      <c r="BG30" s="11">
        <v>822.5</v>
      </c>
      <c r="BH30" s="11">
        <v>624.5</v>
      </c>
      <c r="BI30" s="11">
        <v>0</v>
      </c>
      <c r="BJ30" s="11" t="s">
        <v>79</v>
      </c>
      <c r="BK30" s="11">
        <v>1</v>
      </c>
      <c r="BL30" s="11">
        <v>0</v>
      </c>
      <c r="BM30" s="11">
        <v>0</v>
      </c>
      <c r="BN30" s="11">
        <v>333302</v>
      </c>
      <c r="BO30" s="11">
        <v>0</v>
      </c>
      <c r="BP30" s="11" t="s">
        <v>79</v>
      </c>
      <c r="BQ30" s="11">
        <v>0</v>
      </c>
      <c r="BR30" s="11"/>
      <c r="BT30" s="11"/>
      <c r="BU30" s="11"/>
      <c r="CA30" s="11"/>
      <c r="CD30" s="11"/>
    </row>
    <row r="31" spans="2:82" ht="12.75" x14ac:dyDescent="0.2">
      <c r="B31" s="11">
        <v>346507</v>
      </c>
      <c r="C31" s="11">
        <f>ROUND(DAYS360(Tableau_Lancer_la_requête_à_partir_de_AS4003[[#This Row],[Date naissance 1]],Tableau_Lancer_la_requête_à_partir_de_AS4003[[#This Row],[Date début]])/360,0)</f>
        <v>55</v>
      </c>
      <c r="D31" s="11">
        <v>0</v>
      </c>
      <c r="E31" s="11">
        <v>0</v>
      </c>
      <c r="F31" s="11">
        <v>0</v>
      </c>
      <c r="G31" s="11">
        <v>12</v>
      </c>
      <c r="H31" s="11">
        <f>ROUND(DAYS360(Tableau_Lancer_la_requête_à_partir_de_AS4003[[#This Row],[Date début]],'Cash flows par police'!$C$4)/30,0)</f>
        <v>1</v>
      </c>
      <c r="I31" s="11">
        <v>0</v>
      </c>
      <c r="J31" s="11">
        <v>0</v>
      </c>
      <c r="K31" s="11">
        <v>0</v>
      </c>
      <c r="L31" s="11">
        <v>19.399999999999999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f>SUM(Tableau_Lancer_la_requête_à_partir_de_AS4003[[#This Row],[POLPRCPL2]:[POLPRCPL9]])</f>
        <v>19.399999999999999</v>
      </c>
      <c r="T31" s="11">
        <v>99</v>
      </c>
      <c r="U31" s="11">
        <v>12</v>
      </c>
      <c r="V31" s="11">
        <v>0</v>
      </c>
      <c r="W31" s="11">
        <v>313.2</v>
      </c>
      <c r="X31" s="11">
        <v>0</v>
      </c>
      <c r="Y31" s="11">
        <v>0</v>
      </c>
      <c r="Z31" s="11">
        <v>1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f>IF(Tableau_Lancer_la_requête_à_partir_de_AS4003[[#This Row],[POL_SEX_ASSURE]]="M",0,1)</f>
        <v>1</v>
      </c>
      <c r="AG31" s="11" t="str">
        <f>IF(Tableau_Lancer_la_requête_à_partir_de_AS4003[[#This Row],[POL_SEX_ASSURE2]]="","",IF(Tableau_Lancer_la_requête_à_partir_de_AS4003[[#This Row],[POL_SEX_ASSURE2]]="M",0,1))</f>
        <v/>
      </c>
      <c r="AH3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31" s="11">
        <v>5000</v>
      </c>
      <c r="AJ31" s="11">
        <f>Tableau_Lancer_la_requête_à_partir_de_AS4003[[#This Row],[POL_DUREE_ASSUR]]*12</f>
        <v>1188</v>
      </c>
      <c r="AK31" s="11">
        <v>161.30000000000001</v>
      </c>
      <c r="AL31" s="11">
        <v>0</v>
      </c>
      <c r="AM31" s="11">
        <v>0</v>
      </c>
      <c r="AN31" s="11" t="s">
        <v>36</v>
      </c>
      <c r="AO31" s="11" t="s">
        <v>80</v>
      </c>
      <c r="AP31" s="11">
        <f>Tableau_Lancer_la_requête_à_partir_de_AS4003[[#This Row],[POL_TERM_M]]-Tableau_Lancer_la_requête_à_partir_de_AS4003[[#This Row],[Duration IF]]</f>
        <v>1187</v>
      </c>
      <c r="AQ31" s="11" t="s">
        <v>36</v>
      </c>
      <c r="AR31" s="11" t="s">
        <v>36</v>
      </c>
      <c r="AS31" s="11" t="s">
        <v>36</v>
      </c>
      <c r="AT31" s="11" t="s">
        <v>36</v>
      </c>
      <c r="AU31" s="11" t="s">
        <v>36</v>
      </c>
      <c r="AV31" s="11">
        <v>0</v>
      </c>
      <c r="AW31" s="11">
        <v>11</v>
      </c>
      <c r="AX31" s="11">
        <v>1</v>
      </c>
      <c r="AY31" s="11">
        <v>20181201</v>
      </c>
      <c r="AZ31" s="80">
        <f t="shared" si="0"/>
        <v>43435</v>
      </c>
      <c r="BA31" s="11">
        <v>19640507</v>
      </c>
      <c r="BB31" s="80">
        <f t="shared" si="1"/>
        <v>23504</v>
      </c>
      <c r="BC31" s="11">
        <v>0</v>
      </c>
      <c r="BD31" s="11" t="s">
        <v>81</v>
      </c>
      <c r="BE31" s="11">
        <v>1</v>
      </c>
      <c r="BF31" s="11" t="s">
        <v>36</v>
      </c>
      <c r="BG31" s="11">
        <v>293.8</v>
      </c>
      <c r="BH31" s="11">
        <v>222.7</v>
      </c>
      <c r="BI31" s="11">
        <v>0</v>
      </c>
      <c r="BJ31" s="11" t="s">
        <v>79</v>
      </c>
      <c r="BK31" s="11">
        <v>1</v>
      </c>
      <c r="BL31" s="11">
        <v>0</v>
      </c>
      <c r="BM31" s="11">
        <v>0</v>
      </c>
      <c r="BN31" s="11">
        <v>346507</v>
      </c>
      <c r="BO31" s="11">
        <v>0</v>
      </c>
      <c r="BP31" s="11" t="s">
        <v>79</v>
      </c>
      <c r="BQ31" s="11">
        <v>0</v>
      </c>
      <c r="BR31" s="11"/>
      <c r="BT31" s="11"/>
      <c r="BU31" s="11"/>
      <c r="CA31" s="11"/>
      <c r="CD31" s="11"/>
    </row>
    <row r="32" spans="2:82" ht="12.75" x14ac:dyDescent="0.2">
      <c r="B32" s="11">
        <v>391704</v>
      </c>
      <c r="C32" s="11">
        <f>ROUND(DAYS360(Tableau_Lancer_la_requête_à_partir_de_AS4003[[#This Row],[Date naissance 1]],Tableau_Lancer_la_requête_à_partir_de_AS4003[[#This Row],[Date début]])/360,0)</f>
        <v>52</v>
      </c>
      <c r="D32" s="11">
        <v>0</v>
      </c>
      <c r="E32" s="11">
        <v>0</v>
      </c>
      <c r="F32" s="11">
        <v>0</v>
      </c>
      <c r="G32" s="11">
        <v>12</v>
      </c>
      <c r="H32" s="11">
        <f>ROUND(DAYS360(Tableau_Lancer_la_requête_à_partir_de_AS4003[[#This Row],[Date début]],'Cash flows par police'!$C$4)/30,0)</f>
        <v>1</v>
      </c>
      <c r="I32" s="11">
        <v>0</v>
      </c>
      <c r="J32" s="11">
        <v>0</v>
      </c>
      <c r="K32" s="11">
        <v>0</v>
      </c>
      <c r="L32" s="11">
        <v>29.2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f>SUM(Tableau_Lancer_la_requête_à_partir_de_AS4003[[#This Row],[POLPRCPL2]:[POLPRCPL9]])</f>
        <v>29.2</v>
      </c>
      <c r="T32" s="11">
        <v>99</v>
      </c>
      <c r="U32" s="11">
        <v>12</v>
      </c>
      <c r="V32" s="11">
        <v>0</v>
      </c>
      <c r="W32" s="11">
        <v>398.4</v>
      </c>
      <c r="X32" s="11">
        <v>0</v>
      </c>
      <c r="Y32" s="11">
        <v>0</v>
      </c>
      <c r="Z32" s="11">
        <v>1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f>IF(Tableau_Lancer_la_requête_à_partir_de_AS4003[[#This Row],[POL_SEX_ASSURE]]="M",0,1)</f>
        <v>1</v>
      </c>
      <c r="AG32" s="11" t="str">
        <f>IF(Tableau_Lancer_la_requête_à_partir_de_AS4003[[#This Row],[POL_SEX_ASSURE2]]="","",IF(Tableau_Lancer_la_requête_à_partir_de_AS4003[[#This Row],[POL_SEX_ASSURE2]]="M",0,1))</f>
        <v/>
      </c>
      <c r="AH3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32" s="11">
        <v>7500</v>
      </c>
      <c r="AJ32" s="11">
        <f>Tableau_Lancer_la_requête_à_partir_de_AS4003[[#This Row],[POL_DUREE_ASSUR]]*12</f>
        <v>1188</v>
      </c>
      <c r="AK32" s="11">
        <v>227.3</v>
      </c>
      <c r="AL32" s="11">
        <v>0</v>
      </c>
      <c r="AM32" s="11">
        <v>0</v>
      </c>
      <c r="AN32" s="11" t="s">
        <v>36</v>
      </c>
      <c r="AO32" s="11" t="s">
        <v>80</v>
      </c>
      <c r="AP32" s="11">
        <f>Tableau_Lancer_la_requête_à_partir_de_AS4003[[#This Row],[POL_TERM_M]]-Tableau_Lancer_la_requête_à_partir_de_AS4003[[#This Row],[Duration IF]]</f>
        <v>1187</v>
      </c>
      <c r="AQ32" s="11" t="s">
        <v>36</v>
      </c>
      <c r="AR32" s="11" t="s">
        <v>36</v>
      </c>
      <c r="AS32" s="11" t="s">
        <v>36</v>
      </c>
      <c r="AT32" s="11" t="s">
        <v>36</v>
      </c>
      <c r="AU32" s="11" t="s">
        <v>36</v>
      </c>
      <c r="AV32" s="11">
        <v>0</v>
      </c>
      <c r="AW32" s="11">
        <v>11</v>
      </c>
      <c r="AX32" s="11">
        <v>1</v>
      </c>
      <c r="AY32" s="11">
        <v>20181201</v>
      </c>
      <c r="AZ32" s="80">
        <f t="shared" si="0"/>
        <v>43435</v>
      </c>
      <c r="BA32" s="11">
        <v>19661027</v>
      </c>
      <c r="BB32" s="80">
        <f t="shared" si="1"/>
        <v>24407</v>
      </c>
      <c r="BC32" s="11">
        <v>0</v>
      </c>
      <c r="BD32" s="11" t="s">
        <v>81</v>
      </c>
      <c r="BE32" s="11">
        <v>1</v>
      </c>
      <c r="BF32" s="11" t="s">
        <v>36</v>
      </c>
      <c r="BG32" s="11">
        <v>369.2</v>
      </c>
      <c r="BH32" s="11">
        <v>280.5</v>
      </c>
      <c r="BI32" s="11">
        <v>0</v>
      </c>
      <c r="BJ32" s="11" t="s">
        <v>79</v>
      </c>
      <c r="BK32" s="11">
        <v>1</v>
      </c>
      <c r="BL32" s="11">
        <v>0</v>
      </c>
      <c r="BM32" s="11">
        <v>0</v>
      </c>
      <c r="BN32" s="11">
        <v>391704</v>
      </c>
      <c r="BO32" s="11">
        <v>0</v>
      </c>
      <c r="BP32" s="11" t="s">
        <v>79</v>
      </c>
      <c r="BQ32" s="11">
        <v>0</v>
      </c>
      <c r="BR32" s="11"/>
      <c r="BT32" s="11"/>
      <c r="BU32" s="11"/>
      <c r="CA32" s="11"/>
      <c r="CD32" s="11"/>
    </row>
    <row r="33" spans="2:82" ht="12.75" x14ac:dyDescent="0.2">
      <c r="B33" s="11">
        <v>413109</v>
      </c>
      <c r="C33" s="11">
        <f>ROUND(DAYS360(Tableau_Lancer_la_requête_à_partir_de_AS4003[[#This Row],[Date naissance 1]],Tableau_Lancer_la_requête_à_partir_de_AS4003[[#This Row],[Date début]])/360,0)</f>
        <v>54</v>
      </c>
      <c r="D33" s="11">
        <v>0</v>
      </c>
      <c r="E33" s="11">
        <v>0</v>
      </c>
      <c r="F33" s="11">
        <v>0</v>
      </c>
      <c r="G33" s="11">
        <v>12</v>
      </c>
      <c r="H33" s="11">
        <f>ROUND(DAYS360(Tableau_Lancer_la_requête_à_partir_de_AS4003[[#This Row],[Date début]],'Cash flows par police'!$C$4)/30,0)</f>
        <v>2</v>
      </c>
      <c r="I33" s="11">
        <v>0</v>
      </c>
      <c r="J33" s="11">
        <v>0</v>
      </c>
      <c r="K33" s="11">
        <v>0</v>
      </c>
      <c r="L33" s="11">
        <v>19.399999999999999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f>SUM(Tableau_Lancer_la_requête_à_partir_de_AS4003[[#This Row],[POLPRCPL2]:[POLPRCPL9]])</f>
        <v>19.399999999999999</v>
      </c>
      <c r="T33" s="11">
        <v>99</v>
      </c>
      <c r="U33" s="11">
        <v>12</v>
      </c>
      <c r="V33" s="11">
        <v>0</v>
      </c>
      <c r="W33" s="11">
        <v>313.2</v>
      </c>
      <c r="X33" s="11">
        <v>8</v>
      </c>
      <c r="Y33" s="11">
        <v>0</v>
      </c>
      <c r="Z33" s="11">
        <v>1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 s="11">
        <f>IF(Tableau_Lancer_la_requête_à_partir_de_AS4003[[#This Row],[POL_SEX_ASSURE]]="M",0,1)</f>
        <v>1</v>
      </c>
      <c r="AG33" s="11" t="str">
        <f>IF(Tableau_Lancer_la_requête_à_partir_de_AS4003[[#This Row],[POL_SEX_ASSURE2]]="","",IF(Tableau_Lancer_la_requête_à_partir_de_AS4003[[#This Row],[POL_SEX_ASSURE2]]="M",0,1))</f>
        <v/>
      </c>
      <c r="AH3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33" s="11">
        <v>5000</v>
      </c>
      <c r="AJ33" s="11">
        <f>Tableau_Lancer_la_requête_à_partir_de_AS4003[[#This Row],[POL_DUREE_ASSUR]]*12</f>
        <v>1188</v>
      </c>
      <c r="AK33" s="11">
        <v>161.30000000000001</v>
      </c>
      <c r="AL33" s="11">
        <v>8</v>
      </c>
      <c r="AM33" s="11">
        <v>0</v>
      </c>
      <c r="AN33" s="11" t="s">
        <v>36</v>
      </c>
      <c r="AO33" s="11" t="s">
        <v>80</v>
      </c>
      <c r="AP33" s="11">
        <f>Tableau_Lancer_la_requête_à_partir_de_AS4003[[#This Row],[POL_TERM_M]]-Tableau_Lancer_la_requête_à_partir_de_AS4003[[#This Row],[Duration IF]]</f>
        <v>1186</v>
      </c>
      <c r="AQ33" s="11" t="s">
        <v>36</v>
      </c>
      <c r="AR33" s="11" t="s">
        <v>36</v>
      </c>
      <c r="AS33" s="11" t="s">
        <v>36</v>
      </c>
      <c r="AT33" s="11" t="s">
        <v>36</v>
      </c>
      <c r="AU33" s="11" t="s">
        <v>36</v>
      </c>
      <c r="AV33" s="11">
        <v>0</v>
      </c>
      <c r="AW33" s="11">
        <v>11</v>
      </c>
      <c r="AX33" s="11">
        <v>1</v>
      </c>
      <c r="AY33" s="11">
        <v>20181101</v>
      </c>
      <c r="AZ33" s="80">
        <f t="shared" si="0"/>
        <v>43405</v>
      </c>
      <c r="BA33" s="11">
        <v>19640812</v>
      </c>
      <c r="BB33" s="80">
        <f t="shared" si="1"/>
        <v>23601</v>
      </c>
      <c r="BC33" s="11">
        <v>0</v>
      </c>
      <c r="BD33" s="11" t="s">
        <v>81</v>
      </c>
      <c r="BE33" s="11">
        <v>1</v>
      </c>
      <c r="BF33" s="11" t="s">
        <v>36</v>
      </c>
      <c r="BG33" s="11">
        <v>293.8</v>
      </c>
      <c r="BH33" s="11">
        <v>222.7</v>
      </c>
      <c r="BI33" s="11">
        <v>0</v>
      </c>
      <c r="BJ33" s="11" t="s">
        <v>79</v>
      </c>
      <c r="BK33" s="11">
        <v>1</v>
      </c>
      <c r="BL33" s="11">
        <v>0</v>
      </c>
      <c r="BM33" s="11">
        <v>0</v>
      </c>
      <c r="BN33" s="11">
        <v>413109</v>
      </c>
      <c r="BO33" s="11">
        <v>0</v>
      </c>
      <c r="BP33" s="11" t="s">
        <v>79</v>
      </c>
      <c r="BQ33" s="11">
        <v>0</v>
      </c>
      <c r="BR33" s="11"/>
      <c r="BT33" s="11"/>
      <c r="BU33" s="11"/>
      <c r="CA33" s="11"/>
      <c r="CD33" s="11"/>
    </row>
    <row r="34" spans="2:82" ht="12.75" x14ac:dyDescent="0.2">
      <c r="B34" s="11">
        <v>423101</v>
      </c>
      <c r="C34" s="11">
        <f>ROUND(DAYS360(Tableau_Lancer_la_requête_à_partir_de_AS4003[[#This Row],[Date naissance 1]],Tableau_Lancer_la_requête_à_partir_de_AS4003[[#This Row],[Date début]])/360,0)</f>
        <v>44</v>
      </c>
      <c r="D34" s="11">
        <v>0</v>
      </c>
      <c r="E34" s="11">
        <v>0</v>
      </c>
      <c r="F34" s="11">
        <v>0</v>
      </c>
      <c r="G34" s="11">
        <v>12</v>
      </c>
      <c r="H34" s="11">
        <f>ROUND(DAYS360(Tableau_Lancer_la_requête_à_partir_de_AS4003[[#This Row],[Date début]],'Cash flows par police'!$C$4)/30,0)</f>
        <v>21</v>
      </c>
      <c r="I34" s="11">
        <v>0</v>
      </c>
      <c r="J34" s="11">
        <v>0</v>
      </c>
      <c r="K34" s="11">
        <v>0</v>
      </c>
      <c r="L34" s="11">
        <v>18.7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f>SUM(Tableau_Lancer_la_requête_à_partir_de_AS4003[[#This Row],[POLPRCPL2]:[POLPRCPL9]])</f>
        <v>18.7</v>
      </c>
      <c r="T34" s="11">
        <v>99</v>
      </c>
      <c r="U34" s="11">
        <v>2</v>
      </c>
      <c r="V34" s="11">
        <v>0</v>
      </c>
      <c r="W34" s="11">
        <v>221</v>
      </c>
      <c r="X34" s="11">
        <v>129.19999999999999</v>
      </c>
      <c r="Y34" s="11">
        <v>0</v>
      </c>
      <c r="Z34" s="11">
        <v>1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f>IF(Tableau_Lancer_la_requête_à_partir_de_AS4003[[#This Row],[POL_SEX_ASSURE]]="M",0,1)</f>
        <v>1</v>
      </c>
      <c r="AG34" s="11" t="str">
        <f>IF(Tableau_Lancer_la_requête_à_partir_de_AS4003[[#This Row],[POL_SEX_ASSURE2]]="","",IF(Tableau_Lancer_la_requête_à_partir_de_AS4003[[#This Row],[POL_SEX_ASSURE2]]="M",0,1))</f>
        <v/>
      </c>
      <c r="AH3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34" s="11">
        <v>5000</v>
      </c>
      <c r="AJ34" s="11">
        <f>Tableau_Lancer_la_requête_à_partir_de_AS4003[[#This Row],[POL_DUREE_ASSUR]]*12</f>
        <v>1188</v>
      </c>
      <c r="AK34" s="11">
        <v>122</v>
      </c>
      <c r="AL34" s="11">
        <v>129.19999999999999</v>
      </c>
      <c r="AM34" s="11">
        <v>0</v>
      </c>
      <c r="AN34" s="11" t="s">
        <v>36</v>
      </c>
      <c r="AO34" s="11" t="s">
        <v>80</v>
      </c>
      <c r="AP34" s="11">
        <f>Tableau_Lancer_la_requête_à_partir_de_AS4003[[#This Row],[POL_TERM_M]]-Tableau_Lancer_la_requête_à_partir_de_AS4003[[#This Row],[Duration IF]]</f>
        <v>1167</v>
      </c>
      <c r="AQ34" s="11" t="s">
        <v>36</v>
      </c>
      <c r="AR34" s="11" t="s">
        <v>36</v>
      </c>
      <c r="AS34" s="11" t="s">
        <v>36</v>
      </c>
      <c r="AT34" s="11" t="s">
        <v>36</v>
      </c>
      <c r="AU34" s="11" t="s">
        <v>36</v>
      </c>
      <c r="AV34" s="11">
        <v>0</v>
      </c>
      <c r="AW34" s="11">
        <v>11</v>
      </c>
      <c r="AX34" s="11">
        <v>1</v>
      </c>
      <c r="AY34" s="11">
        <v>20170401</v>
      </c>
      <c r="AZ34" s="80">
        <f t="shared" si="0"/>
        <v>42826</v>
      </c>
      <c r="BA34" s="11">
        <v>19730302</v>
      </c>
      <c r="BB34" s="80">
        <f t="shared" si="1"/>
        <v>26725</v>
      </c>
      <c r="BC34" s="11">
        <v>0</v>
      </c>
      <c r="BD34" s="11" t="s">
        <v>81</v>
      </c>
      <c r="BE34" s="11">
        <v>1</v>
      </c>
      <c r="BF34" s="11" t="s">
        <v>36</v>
      </c>
      <c r="BG34" s="11">
        <v>202.3</v>
      </c>
      <c r="BH34" s="11">
        <v>159.5</v>
      </c>
      <c r="BI34" s="11">
        <v>0</v>
      </c>
      <c r="BJ34" s="11" t="s">
        <v>79</v>
      </c>
      <c r="BK34" s="11">
        <v>1</v>
      </c>
      <c r="BL34" s="11">
        <v>39.200000000000003</v>
      </c>
      <c r="BM34" s="11">
        <v>3.8</v>
      </c>
      <c r="BN34" s="11">
        <v>423101</v>
      </c>
      <c r="BO34" s="11">
        <v>0</v>
      </c>
      <c r="BP34" s="11" t="s">
        <v>79</v>
      </c>
      <c r="BQ34" s="11">
        <v>0</v>
      </c>
      <c r="BR34" s="11"/>
      <c r="BT34" s="11"/>
      <c r="BU34" s="11"/>
      <c r="CA34" s="11"/>
      <c r="CD34" s="11"/>
    </row>
    <row r="35" spans="2:82" ht="12.75" x14ac:dyDescent="0.2">
      <c r="B35" s="11">
        <v>434803</v>
      </c>
      <c r="C35" s="11">
        <f>ROUND(DAYS360(Tableau_Lancer_la_requête_à_partir_de_AS4003[[#This Row],[Date naissance 1]],Tableau_Lancer_la_requête_à_partir_de_AS4003[[#This Row],[Date début]])/360,0)</f>
        <v>62</v>
      </c>
      <c r="D35" s="11">
        <v>0</v>
      </c>
      <c r="E35" s="11">
        <v>0</v>
      </c>
      <c r="F35" s="11">
        <v>0</v>
      </c>
      <c r="G35" s="11">
        <v>12</v>
      </c>
      <c r="H35" s="11">
        <f>ROUND(DAYS360(Tableau_Lancer_la_requête_à_partir_de_AS4003[[#This Row],[Date début]],'Cash flows par police'!$C$4)/30,0)</f>
        <v>1</v>
      </c>
      <c r="I35" s="11">
        <v>0</v>
      </c>
      <c r="J35" s="11">
        <v>0</v>
      </c>
      <c r="K35" s="11">
        <v>0</v>
      </c>
      <c r="L35" s="11">
        <v>21.8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f>SUM(Tableau_Lancer_la_requête_à_partir_de_AS4003[[#This Row],[POLPRCPL2]:[POLPRCPL9]])</f>
        <v>21.8</v>
      </c>
      <c r="T35" s="11">
        <v>99</v>
      </c>
      <c r="U35" s="11">
        <v>12</v>
      </c>
      <c r="V35" s="11">
        <v>0</v>
      </c>
      <c r="W35" s="11">
        <v>432</v>
      </c>
      <c r="X35" s="11">
        <v>0</v>
      </c>
      <c r="Y35" s="11">
        <v>0</v>
      </c>
      <c r="Z35" s="11">
        <v>1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f>IF(Tableau_Lancer_la_requête_à_partir_de_AS4003[[#This Row],[POL_SEX_ASSURE]]="M",0,1)</f>
        <v>1</v>
      </c>
      <c r="AG35" s="11" t="str">
        <f>IF(Tableau_Lancer_la_requête_à_partir_de_AS4003[[#This Row],[POL_SEX_ASSURE2]]="","",IF(Tableau_Lancer_la_requête_à_partir_de_AS4003[[#This Row],[POL_SEX_ASSURE2]]="M",0,1))</f>
        <v/>
      </c>
      <c r="AH3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35" s="11">
        <v>5599.9</v>
      </c>
      <c r="AJ35" s="11">
        <f>Tableau_Lancer_la_requête_à_partir_de_AS4003[[#This Row],[POL_DUREE_ASSUR]]*12</f>
        <v>1188</v>
      </c>
      <c r="AK35" s="11">
        <v>233.3</v>
      </c>
      <c r="AL35" s="11">
        <v>0</v>
      </c>
      <c r="AM35" s="11">
        <v>0</v>
      </c>
      <c r="AN35" s="11" t="s">
        <v>36</v>
      </c>
      <c r="AO35" s="11" t="s">
        <v>80</v>
      </c>
      <c r="AP35" s="11">
        <f>Tableau_Lancer_la_requête_à_partir_de_AS4003[[#This Row],[POL_TERM_M]]-Tableau_Lancer_la_requête_à_partir_de_AS4003[[#This Row],[Duration IF]]</f>
        <v>1187</v>
      </c>
      <c r="AQ35" s="11" t="s">
        <v>36</v>
      </c>
      <c r="AR35" s="11" t="s">
        <v>36</v>
      </c>
      <c r="AS35" s="11" t="s">
        <v>36</v>
      </c>
      <c r="AT35" s="11" t="s">
        <v>36</v>
      </c>
      <c r="AU35" s="11" t="s">
        <v>36</v>
      </c>
      <c r="AV35" s="11">
        <v>0</v>
      </c>
      <c r="AW35" s="11">
        <v>11</v>
      </c>
      <c r="AX35" s="11">
        <v>1</v>
      </c>
      <c r="AY35" s="11">
        <v>20181201</v>
      </c>
      <c r="AZ35" s="80">
        <f t="shared" si="0"/>
        <v>43435</v>
      </c>
      <c r="BA35" s="11">
        <v>19570530</v>
      </c>
      <c r="BB35" s="80">
        <f t="shared" si="1"/>
        <v>20970</v>
      </c>
      <c r="BC35" s="11">
        <v>0</v>
      </c>
      <c r="BD35" s="11" t="s">
        <v>81</v>
      </c>
      <c r="BE35" s="11">
        <v>1</v>
      </c>
      <c r="BF35" s="11" t="s">
        <v>36</v>
      </c>
      <c r="BG35" s="11">
        <v>410.2</v>
      </c>
      <c r="BH35" s="11">
        <v>311.5</v>
      </c>
      <c r="BI35" s="11">
        <v>0</v>
      </c>
      <c r="BJ35" s="11" t="s">
        <v>79</v>
      </c>
      <c r="BK35" s="11">
        <v>1</v>
      </c>
      <c r="BL35" s="11">
        <v>0</v>
      </c>
      <c r="BM35" s="11">
        <v>0</v>
      </c>
      <c r="BN35" s="11">
        <v>434803</v>
      </c>
      <c r="BO35" s="11">
        <v>0</v>
      </c>
      <c r="BP35" s="11" t="s">
        <v>79</v>
      </c>
      <c r="BQ35" s="11">
        <v>0</v>
      </c>
      <c r="BR35" s="11"/>
      <c r="BT35" s="11"/>
      <c r="BU35" s="11"/>
      <c r="CA35" s="11"/>
      <c r="CD35" s="11"/>
    </row>
    <row r="36" spans="2:82" ht="12.75" x14ac:dyDescent="0.2">
      <c r="B36" s="11">
        <v>441501</v>
      </c>
      <c r="C36" s="11">
        <f>ROUND(DAYS360(Tableau_Lancer_la_requête_à_partir_de_AS4003[[#This Row],[Date naissance 1]],Tableau_Lancer_la_requête_à_partir_de_AS4003[[#This Row],[Date début]])/360,0)</f>
        <v>59</v>
      </c>
      <c r="D36" s="11">
        <v>0</v>
      </c>
      <c r="E36" s="11">
        <v>0</v>
      </c>
      <c r="F36" s="11">
        <v>0</v>
      </c>
      <c r="G36" s="11">
        <v>12</v>
      </c>
      <c r="H36" s="11">
        <f>ROUND(DAYS360(Tableau_Lancer_la_requête_à_partir_de_AS4003[[#This Row],[Date début]],'Cash flows par police'!$C$4)/30,0)</f>
        <v>2</v>
      </c>
      <c r="I36" s="11">
        <v>0</v>
      </c>
      <c r="J36" s="11">
        <v>0</v>
      </c>
      <c r="K36" s="11">
        <v>0</v>
      </c>
      <c r="L36" s="11">
        <v>19.399999999999999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f>SUM(Tableau_Lancer_la_requête_à_partir_de_AS4003[[#This Row],[POLPRCPL2]:[POLPRCPL9]])</f>
        <v>19.399999999999999</v>
      </c>
      <c r="T36" s="11">
        <v>99</v>
      </c>
      <c r="U36" s="11">
        <v>12</v>
      </c>
      <c r="V36" s="11">
        <v>0</v>
      </c>
      <c r="W36" s="11">
        <v>339.6</v>
      </c>
      <c r="X36" s="11">
        <v>8.8000000000000007</v>
      </c>
      <c r="Y36" s="11">
        <v>0</v>
      </c>
      <c r="Z36" s="11">
        <v>1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f>IF(Tableau_Lancer_la_requête_à_partir_de_AS4003[[#This Row],[POL_SEX_ASSURE]]="M",0,1)</f>
        <v>1</v>
      </c>
      <c r="AG36" s="11" t="str">
        <f>IF(Tableau_Lancer_la_requête_à_partir_de_AS4003[[#This Row],[POL_SEX_ASSURE2]]="","",IF(Tableau_Lancer_la_requête_à_partir_de_AS4003[[#This Row],[POL_SEX_ASSURE2]]="M",0,1))</f>
        <v/>
      </c>
      <c r="AH3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36" s="11">
        <v>5000</v>
      </c>
      <c r="AJ36" s="11">
        <f>Tableau_Lancer_la_requête_à_partir_de_AS4003[[#This Row],[POL_DUREE_ASSUR]]*12</f>
        <v>1188</v>
      </c>
      <c r="AK36" s="11">
        <v>185.2</v>
      </c>
      <c r="AL36" s="11">
        <v>8.8000000000000007</v>
      </c>
      <c r="AM36" s="11">
        <v>0</v>
      </c>
      <c r="AN36" s="11" t="s">
        <v>36</v>
      </c>
      <c r="AO36" s="11" t="s">
        <v>80</v>
      </c>
      <c r="AP36" s="11">
        <f>Tableau_Lancer_la_requête_à_partir_de_AS4003[[#This Row],[POL_TERM_M]]-Tableau_Lancer_la_requête_à_partir_de_AS4003[[#This Row],[Duration IF]]</f>
        <v>1186</v>
      </c>
      <c r="AQ36" s="11" t="s">
        <v>36</v>
      </c>
      <c r="AR36" s="11" t="s">
        <v>36</v>
      </c>
      <c r="AS36" s="11" t="s">
        <v>36</v>
      </c>
      <c r="AT36" s="11" t="s">
        <v>36</v>
      </c>
      <c r="AU36" s="11" t="s">
        <v>36</v>
      </c>
      <c r="AV36" s="11">
        <v>0</v>
      </c>
      <c r="AW36" s="11">
        <v>11</v>
      </c>
      <c r="AX36" s="11">
        <v>1</v>
      </c>
      <c r="AY36" s="11">
        <v>20181101</v>
      </c>
      <c r="AZ36" s="80">
        <f t="shared" ref="AZ36:AZ67" si="2">DATE(VALUE(LEFT(AY36,4)),VALUE(MID(AY36,5,2)),VALUE(RIGHT(AY36,2)))</f>
        <v>43405</v>
      </c>
      <c r="BA36" s="11">
        <v>19600315</v>
      </c>
      <c r="BB36" s="80">
        <f t="shared" ref="BB36:BB67" si="3">DATE(VALUE(LEFT(BA36,4)),VALUE(MID(BA36,5,2)),VALUE(RIGHT(BA36,2)))</f>
        <v>21990</v>
      </c>
      <c r="BC36" s="11">
        <v>0</v>
      </c>
      <c r="BD36" s="11" t="s">
        <v>81</v>
      </c>
      <c r="BE36" s="11">
        <v>1</v>
      </c>
      <c r="BF36" s="11" t="s">
        <v>36</v>
      </c>
      <c r="BG36" s="11">
        <v>320.2</v>
      </c>
      <c r="BH36" s="11">
        <v>243</v>
      </c>
      <c r="BI36" s="11">
        <v>0</v>
      </c>
      <c r="BJ36" s="11" t="s">
        <v>79</v>
      </c>
      <c r="BK36" s="11">
        <v>1</v>
      </c>
      <c r="BL36" s="11">
        <v>0</v>
      </c>
      <c r="BM36" s="11">
        <v>0</v>
      </c>
      <c r="BN36" s="11">
        <v>441501</v>
      </c>
      <c r="BO36" s="11">
        <v>0</v>
      </c>
      <c r="BP36" s="11" t="s">
        <v>79</v>
      </c>
      <c r="BQ36" s="11">
        <v>0</v>
      </c>
      <c r="BR36" s="11"/>
      <c r="BT36" s="11"/>
      <c r="BU36" s="11"/>
      <c r="CA36" s="11"/>
      <c r="CD36" s="11"/>
    </row>
    <row r="37" spans="2:82" ht="12.75" x14ac:dyDescent="0.2">
      <c r="B37" s="11">
        <v>488502</v>
      </c>
      <c r="C37" s="11">
        <f>ROUND(DAYS360(Tableau_Lancer_la_requête_à_partir_de_AS4003[[#This Row],[Date naissance 1]],Tableau_Lancer_la_requête_à_partir_de_AS4003[[#This Row],[Date début]])/360,0)</f>
        <v>47</v>
      </c>
      <c r="D37" s="11">
        <v>0</v>
      </c>
      <c r="E37" s="11">
        <v>0</v>
      </c>
      <c r="F37" s="11">
        <v>0</v>
      </c>
      <c r="G37" s="11">
        <v>12</v>
      </c>
      <c r="H37" s="11">
        <f>ROUND(DAYS360(Tableau_Lancer_la_requête_à_partir_de_AS4003[[#This Row],[Date début]],'Cash flows par police'!$C$4)/30,0)</f>
        <v>3</v>
      </c>
      <c r="I37" s="11">
        <v>0</v>
      </c>
      <c r="J37" s="11">
        <v>0</v>
      </c>
      <c r="K37" s="11">
        <v>0</v>
      </c>
      <c r="L37" s="11">
        <v>19.399999999999999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f>SUM(Tableau_Lancer_la_requête_à_partir_de_AS4003[[#This Row],[POLPRCPL2]:[POLPRCPL9]])</f>
        <v>19.399999999999999</v>
      </c>
      <c r="T37" s="11">
        <v>99</v>
      </c>
      <c r="U37" s="11">
        <v>12</v>
      </c>
      <c r="V37" s="11">
        <v>0</v>
      </c>
      <c r="W37" s="11">
        <v>241.2</v>
      </c>
      <c r="X37" s="11">
        <v>13.8</v>
      </c>
      <c r="Y37" s="11">
        <v>0</v>
      </c>
      <c r="Z37" s="11">
        <v>1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f>IF(Tableau_Lancer_la_requête_à_partir_de_AS4003[[#This Row],[POL_SEX_ASSURE]]="M",0,1)</f>
        <v>1</v>
      </c>
      <c r="AG37" s="11" t="str">
        <f>IF(Tableau_Lancer_la_requête_à_partir_de_AS4003[[#This Row],[POL_SEX_ASSURE2]]="","",IF(Tableau_Lancer_la_requête_à_partir_de_AS4003[[#This Row],[POL_SEX_ASSURE2]]="M",0,1))</f>
        <v/>
      </c>
      <c r="AH3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37" s="11">
        <v>5000</v>
      </c>
      <c r="AJ37" s="11">
        <f>Tableau_Lancer_la_requête_à_partir_de_AS4003[[#This Row],[POL_DUREE_ASSUR]]*12</f>
        <v>1188</v>
      </c>
      <c r="AK37" s="11">
        <v>131.6</v>
      </c>
      <c r="AL37" s="11">
        <v>13.8</v>
      </c>
      <c r="AM37" s="11">
        <v>0</v>
      </c>
      <c r="AN37" s="11" t="s">
        <v>36</v>
      </c>
      <c r="AO37" s="11" t="s">
        <v>80</v>
      </c>
      <c r="AP37" s="11">
        <f>Tableau_Lancer_la_requête_à_partir_de_AS4003[[#This Row],[POL_TERM_M]]-Tableau_Lancer_la_requête_à_partir_de_AS4003[[#This Row],[Duration IF]]</f>
        <v>1185</v>
      </c>
      <c r="AQ37" s="11" t="s">
        <v>36</v>
      </c>
      <c r="AR37" s="11" t="s">
        <v>36</v>
      </c>
      <c r="AS37" s="11" t="s">
        <v>36</v>
      </c>
      <c r="AT37" s="11" t="s">
        <v>36</v>
      </c>
      <c r="AU37" s="11" t="s">
        <v>36</v>
      </c>
      <c r="AV37" s="11">
        <v>0</v>
      </c>
      <c r="AW37" s="11">
        <v>11</v>
      </c>
      <c r="AX37" s="11">
        <v>1</v>
      </c>
      <c r="AY37" s="11">
        <v>20181001</v>
      </c>
      <c r="AZ37" s="80">
        <f t="shared" si="2"/>
        <v>43374</v>
      </c>
      <c r="BA37" s="11">
        <v>19710905</v>
      </c>
      <c r="BB37" s="80">
        <f t="shared" si="3"/>
        <v>26181</v>
      </c>
      <c r="BC37" s="11">
        <v>0</v>
      </c>
      <c r="BD37" s="11" t="s">
        <v>81</v>
      </c>
      <c r="BE37" s="11">
        <v>1</v>
      </c>
      <c r="BF37" s="11" t="s">
        <v>36</v>
      </c>
      <c r="BG37" s="11">
        <v>221.8</v>
      </c>
      <c r="BH37" s="11">
        <v>168.6</v>
      </c>
      <c r="BI37" s="11">
        <v>0</v>
      </c>
      <c r="BJ37" s="11" t="s">
        <v>79</v>
      </c>
      <c r="BK37" s="11">
        <v>1</v>
      </c>
      <c r="BL37" s="11">
        <v>0</v>
      </c>
      <c r="BM37" s="11">
        <v>0</v>
      </c>
      <c r="BN37" s="11">
        <v>488502</v>
      </c>
      <c r="BO37" s="11">
        <v>0</v>
      </c>
      <c r="BP37" s="11" t="s">
        <v>79</v>
      </c>
      <c r="BQ37" s="11">
        <v>0</v>
      </c>
      <c r="BR37" s="11"/>
      <c r="BT37" s="11"/>
      <c r="BU37" s="11"/>
      <c r="CA37" s="11"/>
      <c r="CD37" s="11"/>
    </row>
    <row r="38" spans="2:82" ht="12.75" x14ac:dyDescent="0.2">
      <c r="B38" s="11">
        <v>520503</v>
      </c>
      <c r="C38" s="11">
        <f>ROUND(DAYS360(Tableau_Lancer_la_requête_à_partir_de_AS4003[[#This Row],[Date naissance 1]],Tableau_Lancer_la_requête_à_partir_de_AS4003[[#This Row],[Date début]])/360,0)</f>
        <v>59</v>
      </c>
      <c r="D38" s="11">
        <v>0</v>
      </c>
      <c r="E38" s="11">
        <v>0</v>
      </c>
      <c r="F38" s="11">
        <v>0</v>
      </c>
      <c r="G38" s="11">
        <v>12</v>
      </c>
      <c r="H38" s="11">
        <f>ROUND(DAYS360(Tableau_Lancer_la_requête_à_partir_de_AS4003[[#This Row],[Date début]],'Cash flows par police'!$C$4)/30,0)</f>
        <v>1</v>
      </c>
      <c r="I38" s="11">
        <v>0</v>
      </c>
      <c r="J38" s="11">
        <v>0</v>
      </c>
      <c r="K38" s="11">
        <v>0</v>
      </c>
      <c r="L38" s="11">
        <v>12.1</v>
      </c>
      <c r="M38" s="11">
        <v>0</v>
      </c>
      <c r="N38" s="11">
        <v>0</v>
      </c>
      <c r="O38" s="11">
        <v>0</v>
      </c>
      <c r="P38" s="11">
        <v>0</v>
      </c>
      <c r="Q38" s="11">
        <v>0</v>
      </c>
      <c r="R38" s="11">
        <v>0</v>
      </c>
      <c r="S38" s="11">
        <f>SUM(Tableau_Lancer_la_requête_à_partir_de_AS4003[[#This Row],[POLPRCPL2]:[POLPRCPL9]])</f>
        <v>12.1</v>
      </c>
      <c r="T38" s="11">
        <v>99</v>
      </c>
      <c r="U38" s="11">
        <v>12</v>
      </c>
      <c r="V38" s="11">
        <v>0</v>
      </c>
      <c r="W38" s="11">
        <v>216</v>
      </c>
      <c r="X38" s="11">
        <v>0</v>
      </c>
      <c r="Y38" s="11">
        <v>0</v>
      </c>
      <c r="Z38" s="11">
        <v>1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f>IF(Tableau_Lancer_la_requête_à_partir_de_AS4003[[#This Row],[POL_SEX_ASSURE]]="M",0,1)</f>
        <v>1</v>
      </c>
      <c r="AG38" s="11" t="str">
        <f>IF(Tableau_Lancer_la_requête_à_partir_de_AS4003[[#This Row],[POL_SEX_ASSURE2]]="","",IF(Tableau_Lancer_la_requête_à_partir_de_AS4003[[#This Row],[POL_SEX_ASSURE2]]="M",0,1))</f>
        <v/>
      </c>
      <c r="AH3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38" s="11">
        <v>3110.9</v>
      </c>
      <c r="AJ38" s="11">
        <f>Tableau_Lancer_la_requête_à_partir_de_AS4003[[#This Row],[POL_DUREE_ASSUR]]*12</f>
        <v>1188</v>
      </c>
      <c r="AK38" s="11">
        <v>119.7</v>
      </c>
      <c r="AL38" s="11">
        <v>0</v>
      </c>
      <c r="AM38" s="11">
        <v>0</v>
      </c>
      <c r="AN38" s="11" t="s">
        <v>36</v>
      </c>
      <c r="AO38" s="11" t="s">
        <v>80</v>
      </c>
      <c r="AP38" s="11">
        <f>Tableau_Lancer_la_requête_à_partir_de_AS4003[[#This Row],[POL_TERM_M]]-Tableau_Lancer_la_requête_à_partir_de_AS4003[[#This Row],[Duration IF]]</f>
        <v>1187</v>
      </c>
      <c r="AQ38" s="11" t="s">
        <v>36</v>
      </c>
      <c r="AR38" s="11" t="s">
        <v>36</v>
      </c>
      <c r="AS38" s="11" t="s">
        <v>36</v>
      </c>
      <c r="AT38" s="11" t="s">
        <v>36</v>
      </c>
      <c r="AU38" s="11" t="s">
        <v>36</v>
      </c>
      <c r="AV38" s="11">
        <v>0</v>
      </c>
      <c r="AW38" s="11">
        <v>11</v>
      </c>
      <c r="AX38" s="11">
        <v>1</v>
      </c>
      <c r="AY38" s="11">
        <v>20181201</v>
      </c>
      <c r="AZ38" s="80">
        <f t="shared" si="2"/>
        <v>43435</v>
      </c>
      <c r="BA38" s="11">
        <v>19590719</v>
      </c>
      <c r="BB38" s="80">
        <f t="shared" si="3"/>
        <v>21750</v>
      </c>
      <c r="BC38" s="11">
        <v>0</v>
      </c>
      <c r="BD38" s="11" t="s">
        <v>81</v>
      </c>
      <c r="BE38" s="11">
        <v>1</v>
      </c>
      <c r="BF38" s="11" t="s">
        <v>36</v>
      </c>
      <c r="BG38" s="11">
        <v>203.9</v>
      </c>
      <c r="BH38" s="11">
        <v>154.80000000000001</v>
      </c>
      <c r="BI38" s="11">
        <v>0</v>
      </c>
      <c r="BJ38" s="11" t="s">
        <v>79</v>
      </c>
      <c r="BK38" s="11">
        <v>1</v>
      </c>
      <c r="BL38" s="11">
        <v>0</v>
      </c>
      <c r="BM38" s="11">
        <v>0</v>
      </c>
      <c r="BN38" s="11">
        <v>520503</v>
      </c>
      <c r="BO38" s="11">
        <v>0</v>
      </c>
      <c r="BP38" s="11" t="s">
        <v>79</v>
      </c>
      <c r="BQ38" s="11">
        <v>0</v>
      </c>
      <c r="BR38" s="11"/>
      <c r="BT38" s="11"/>
      <c r="BU38" s="11"/>
      <c r="CA38" s="11"/>
      <c r="CD38" s="11"/>
    </row>
    <row r="39" spans="2:82" ht="12.75" x14ac:dyDescent="0.2">
      <c r="B39" s="11">
        <v>524405</v>
      </c>
      <c r="C39" s="11">
        <f>ROUND(DAYS360(Tableau_Lancer_la_requête_à_partir_de_AS4003[[#This Row],[Date naissance 1]],Tableau_Lancer_la_requête_à_partir_de_AS4003[[#This Row],[Date début]])/360,0)</f>
        <v>59</v>
      </c>
      <c r="D39" s="11">
        <v>0</v>
      </c>
      <c r="E39" s="11">
        <v>0</v>
      </c>
      <c r="F39" s="11">
        <v>0</v>
      </c>
      <c r="G39" s="11">
        <v>12</v>
      </c>
      <c r="H39" s="11">
        <f>ROUND(DAYS360(Tableau_Lancer_la_requête_à_partir_de_AS4003[[#This Row],[Date début]],'Cash flows par police'!$C$4)/30,0)</f>
        <v>2</v>
      </c>
      <c r="I39" s="11">
        <v>0</v>
      </c>
      <c r="J39" s="11">
        <v>0</v>
      </c>
      <c r="K39" s="11">
        <v>0</v>
      </c>
      <c r="L39" s="11">
        <v>19.399999999999999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f>SUM(Tableau_Lancer_la_requête_à_partir_de_AS4003[[#This Row],[POLPRCPL2]:[POLPRCPL9]])</f>
        <v>19.399999999999999</v>
      </c>
      <c r="T39" s="11">
        <v>99</v>
      </c>
      <c r="U39" s="11">
        <v>12</v>
      </c>
      <c r="V39" s="11">
        <v>0</v>
      </c>
      <c r="W39" s="11">
        <v>346.8</v>
      </c>
      <c r="X39" s="11">
        <v>9</v>
      </c>
      <c r="Y39" s="11">
        <v>0</v>
      </c>
      <c r="Z39" s="11">
        <v>1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f>IF(Tableau_Lancer_la_requête_à_partir_de_AS4003[[#This Row],[POL_SEX_ASSURE]]="M",0,1)</f>
        <v>1</v>
      </c>
      <c r="AG39" s="11" t="str">
        <f>IF(Tableau_Lancer_la_requête_à_partir_de_AS4003[[#This Row],[POL_SEX_ASSURE2]]="","",IF(Tableau_Lancer_la_requête_à_partir_de_AS4003[[#This Row],[POL_SEX_ASSURE2]]="M",0,1))</f>
        <v/>
      </c>
      <c r="AH3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39" s="11">
        <v>5000</v>
      </c>
      <c r="AJ39" s="11">
        <f>Tableau_Lancer_la_requête_à_partir_de_AS4003[[#This Row],[POL_DUREE_ASSUR]]*12</f>
        <v>1188</v>
      </c>
      <c r="AK39" s="11">
        <v>192.3</v>
      </c>
      <c r="AL39" s="11">
        <v>9</v>
      </c>
      <c r="AM39" s="11">
        <v>0</v>
      </c>
      <c r="AN39" s="11" t="s">
        <v>36</v>
      </c>
      <c r="AO39" s="11" t="s">
        <v>80</v>
      </c>
      <c r="AP39" s="11">
        <f>Tableau_Lancer_la_requête_à_partir_de_AS4003[[#This Row],[POL_TERM_M]]-Tableau_Lancer_la_requête_à_partir_de_AS4003[[#This Row],[Duration IF]]</f>
        <v>1186</v>
      </c>
      <c r="AQ39" s="11" t="s">
        <v>36</v>
      </c>
      <c r="AR39" s="11" t="s">
        <v>36</v>
      </c>
      <c r="AS39" s="11" t="s">
        <v>36</v>
      </c>
      <c r="AT39" s="11" t="s">
        <v>36</v>
      </c>
      <c r="AU39" s="11" t="s">
        <v>36</v>
      </c>
      <c r="AV39" s="11">
        <v>0</v>
      </c>
      <c r="AW39" s="11">
        <v>11</v>
      </c>
      <c r="AX39" s="11">
        <v>1</v>
      </c>
      <c r="AY39" s="11">
        <v>20181101</v>
      </c>
      <c r="AZ39" s="80">
        <f t="shared" si="2"/>
        <v>43405</v>
      </c>
      <c r="BA39" s="11">
        <v>19590801</v>
      </c>
      <c r="BB39" s="80">
        <f t="shared" si="3"/>
        <v>21763</v>
      </c>
      <c r="BC39" s="11">
        <v>0</v>
      </c>
      <c r="BD39" s="11" t="s">
        <v>81</v>
      </c>
      <c r="BE39" s="11">
        <v>1</v>
      </c>
      <c r="BF39" s="11" t="s">
        <v>36</v>
      </c>
      <c r="BG39" s="11">
        <v>327.39999999999998</v>
      </c>
      <c r="BH39" s="11">
        <v>248.8</v>
      </c>
      <c r="BI39" s="11">
        <v>0</v>
      </c>
      <c r="BJ39" s="11" t="s">
        <v>79</v>
      </c>
      <c r="BK39" s="11">
        <v>1</v>
      </c>
      <c r="BL39" s="11">
        <v>0</v>
      </c>
      <c r="BM39" s="11">
        <v>0</v>
      </c>
      <c r="BN39" s="11">
        <v>524405</v>
      </c>
      <c r="BO39" s="11">
        <v>0</v>
      </c>
      <c r="BP39" s="11" t="s">
        <v>79</v>
      </c>
      <c r="BQ39" s="11">
        <v>0</v>
      </c>
      <c r="BR39" s="11"/>
      <c r="BT39" s="11"/>
      <c r="BU39" s="11"/>
      <c r="CA39" s="11"/>
      <c r="CD39" s="11"/>
    </row>
    <row r="40" spans="2:82" ht="12.75" x14ac:dyDescent="0.2">
      <c r="B40" s="11">
        <v>534208</v>
      </c>
      <c r="C40" s="11">
        <f>ROUND(DAYS360(Tableau_Lancer_la_requête_à_partir_de_AS4003[[#This Row],[Date naissance 1]],Tableau_Lancer_la_requête_à_partir_de_AS4003[[#This Row],[Date début]])/360,0)</f>
        <v>54</v>
      </c>
      <c r="D40" s="11">
        <v>0</v>
      </c>
      <c r="E40" s="11">
        <v>0</v>
      </c>
      <c r="F40" s="11">
        <v>0</v>
      </c>
      <c r="G40" s="11">
        <v>12</v>
      </c>
      <c r="H40" s="11">
        <f>ROUND(DAYS360(Tableau_Lancer_la_requête_à_partir_de_AS4003[[#This Row],[Date début]],'Cash flows par police'!$C$4)/30,0)</f>
        <v>1</v>
      </c>
      <c r="I40" s="11">
        <v>0</v>
      </c>
      <c r="J40" s="11">
        <v>0</v>
      </c>
      <c r="K40" s="11">
        <v>0</v>
      </c>
      <c r="L40" s="11">
        <v>13.4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f>SUM(Tableau_Lancer_la_requête_à_partir_de_AS4003[[#This Row],[POLPRCPL2]:[POLPRCPL9]])</f>
        <v>13.4</v>
      </c>
      <c r="T40" s="11">
        <v>99</v>
      </c>
      <c r="U40" s="11">
        <v>12</v>
      </c>
      <c r="V40" s="11">
        <v>0</v>
      </c>
      <c r="W40" s="11">
        <v>216</v>
      </c>
      <c r="X40" s="11">
        <v>0</v>
      </c>
      <c r="Y40" s="11">
        <v>0</v>
      </c>
      <c r="Z40" s="11">
        <v>1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f>IF(Tableau_Lancer_la_requête_à_partir_de_AS4003[[#This Row],[POL_SEX_ASSURE]]="M",0,1)</f>
        <v>1</v>
      </c>
      <c r="AG40" s="11" t="str">
        <f>IF(Tableau_Lancer_la_requête_à_partir_de_AS4003[[#This Row],[POL_SEX_ASSURE2]]="","",IF(Tableau_Lancer_la_requête_à_partir_de_AS4003[[#This Row],[POL_SEX_ASSURE2]]="M",0,1))</f>
        <v/>
      </c>
      <c r="AH4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40" s="11">
        <v>3453.6</v>
      </c>
      <c r="AJ40" s="11">
        <f>Tableau_Lancer_la_requête_à_partir_de_AS4003[[#This Row],[POL_DUREE_ASSUR]]*12</f>
        <v>1188</v>
      </c>
      <c r="AK40" s="11">
        <v>111.4</v>
      </c>
      <c r="AL40" s="11">
        <v>0</v>
      </c>
      <c r="AM40" s="11">
        <v>0</v>
      </c>
      <c r="AN40" s="11" t="s">
        <v>36</v>
      </c>
      <c r="AO40" s="11" t="s">
        <v>80</v>
      </c>
      <c r="AP40" s="11">
        <f>Tableau_Lancer_la_requête_à_partir_de_AS4003[[#This Row],[POL_TERM_M]]-Tableau_Lancer_la_requête_à_partir_de_AS4003[[#This Row],[Duration IF]]</f>
        <v>1187</v>
      </c>
      <c r="AQ40" s="11" t="s">
        <v>36</v>
      </c>
      <c r="AR40" s="11" t="s">
        <v>36</v>
      </c>
      <c r="AS40" s="11" t="s">
        <v>36</v>
      </c>
      <c r="AT40" s="11" t="s">
        <v>36</v>
      </c>
      <c r="AU40" s="11" t="s">
        <v>36</v>
      </c>
      <c r="AV40" s="11">
        <v>0</v>
      </c>
      <c r="AW40" s="11">
        <v>11</v>
      </c>
      <c r="AX40" s="11">
        <v>1</v>
      </c>
      <c r="AY40" s="11">
        <v>20181201</v>
      </c>
      <c r="AZ40" s="80">
        <f t="shared" si="2"/>
        <v>43435</v>
      </c>
      <c r="BA40" s="11">
        <v>19641222</v>
      </c>
      <c r="BB40" s="80">
        <f t="shared" si="3"/>
        <v>23733</v>
      </c>
      <c r="BC40" s="11">
        <v>0</v>
      </c>
      <c r="BD40" s="11" t="s">
        <v>81</v>
      </c>
      <c r="BE40" s="11">
        <v>1</v>
      </c>
      <c r="BF40" s="11" t="s">
        <v>36</v>
      </c>
      <c r="BG40" s="11">
        <v>202.6</v>
      </c>
      <c r="BH40" s="11">
        <v>153.80000000000001</v>
      </c>
      <c r="BI40" s="11">
        <v>0</v>
      </c>
      <c r="BJ40" s="11" t="s">
        <v>79</v>
      </c>
      <c r="BK40" s="11">
        <v>1</v>
      </c>
      <c r="BL40" s="11">
        <v>0</v>
      </c>
      <c r="BM40" s="11">
        <v>0</v>
      </c>
      <c r="BN40" s="11">
        <v>534208</v>
      </c>
      <c r="BO40" s="11">
        <v>0</v>
      </c>
      <c r="BP40" s="11" t="s">
        <v>79</v>
      </c>
      <c r="BQ40" s="11">
        <v>0</v>
      </c>
      <c r="BR40" s="11"/>
      <c r="BT40" s="11"/>
      <c r="BU40" s="11"/>
      <c r="CA40" s="11"/>
      <c r="CD40" s="11"/>
    </row>
    <row r="41" spans="2:82" ht="12.75" x14ac:dyDescent="0.2">
      <c r="B41" s="11">
        <v>552501</v>
      </c>
      <c r="C41" s="11">
        <f>ROUND(DAYS360(Tableau_Lancer_la_requête_à_partir_de_AS4003[[#This Row],[Date naissance 1]],Tableau_Lancer_la_requête_à_partir_de_AS4003[[#This Row],[Date début]])/360,0)</f>
        <v>59</v>
      </c>
      <c r="D41" s="11">
        <v>0</v>
      </c>
      <c r="E41" s="11">
        <v>0</v>
      </c>
      <c r="F41" s="11">
        <v>0</v>
      </c>
      <c r="G41" s="11">
        <v>12</v>
      </c>
      <c r="H41" s="11">
        <f>ROUND(DAYS360(Tableau_Lancer_la_requête_à_partir_de_AS4003[[#This Row],[Date début]],'Cash flows par police'!$C$4)/30,0)</f>
        <v>20</v>
      </c>
      <c r="I41" s="11">
        <v>0</v>
      </c>
      <c r="J41" s="11">
        <v>0</v>
      </c>
      <c r="K41" s="11">
        <v>0</v>
      </c>
      <c r="L41" s="11">
        <v>54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1">
        <v>0</v>
      </c>
      <c r="S41" s="11">
        <f>SUM(Tableau_Lancer_la_requête_à_partir_de_AS4003[[#This Row],[POLPRCPL2]:[POLPRCPL9]])</f>
        <v>54</v>
      </c>
      <c r="T41" s="11">
        <v>99</v>
      </c>
      <c r="U41" s="11">
        <v>1</v>
      </c>
      <c r="V41" s="11">
        <v>0</v>
      </c>
      <c r="W41" s="11">
        <v>964.4</v>
      </c>
      <c r="X41" s="11">
        <v>513.1</v>
      </c>
      <c r="Y41" s="11">
        <v>5.6</v>
      </c>
      <c r="Z41" s="11">
        <v>1</v>
      </c>
      <c r="AA41" s="11">
        <v>0</v>
      </c>
      <c r="AB41" s="11">
        <v>0</v>
      </c>
      <c r="AC41" s="11">
        <v>0</v>
      </c>
      <c r="AD41" s="11">
        <v>0</v>
      </c>
      <c r="AE41" s="11">
        <v>0</v>
      </c>
      <c r="AF41" s="11">
        <f>IF(Tableau_Lancer_la_requête_à_partir_de_AS4003[[#This Row],[POL_SEX_ASSURE]]="M",0,1)</f>
        <v>1</v>
      </c>
      <c r="AG41" s="11" t="str">
        <f>IF(Tableau_Lancer_la_requête_à_partir_de_AS4003[[#This Row],[POL_SEX_ASSURE2]]="","",IF(Tableau_Lancer_la_requête_à_partir_de_AS4003[[#This Row],[POL_SEX_ASSURE2]]="M",0,1))</f>
        <v/>
      </c>
      <c r="AH4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41" s="11">
        <v>15000</v>
      </c>
      <c r="AJ41" s="11">
        <f>Tableau_Lancer_la_requête_à_partir_de_AS4003[[#This Row],[POL_DUREE_ASSUR]]*12</f>
        <v>1188</v>
      </c>
      <c r="AK41" s="11">
        <v>576.9</v>
      </c>
      <c r="AL41" s="11">
        <v>513.1</v>
      </c>
      <c r="AM41" s="11">
        <v>0</v>
      </c>
      <c r="AN41" s="11" t="s">
        <v>36</v>
      </c>
      <c r="AO41" s="11" t="s">
        <v>80</v>
      </c>
      <c r="AP41" s="11">
        <f>Tableau_Lancer_la_requête_à_partir_de_AS4003[[#This Row],[POL_TERM_M]]-Tableau_Lancer_la_requête_à_partir_de_AS4003[[#This Row],[Duration IF]]</f>
        <v>1168</v>
      </c>
      <c r="AQ41" s="11" t="s">
        <v>36</v>
      </c>
      <c r="AR41" s="11" t="s">
        <v>36</v>
      </c>
      <c r="AS41" s="11" t="s">
        <v>36</v>
      </c>
      <c r="AT41" s="11" t="s">
        <v>36</v>
      </c>
      <c r="AU41" s="11" t="s">
        <v>36</v>
      </c>
      <c r="AV41" s="11">
        <v>0</v>
      </c>
      <c r="AW41" s="11">
        <v>11</v>
      </c>
      <c r="AX41" s="11">
        <v>1</v>
      </c>
      <c r="AY41" s="11">
        <v>20170501</v>
      </c>
      <c r="AZ41" s="80">
        <f t="shared" si="2"/>
        <v>42856</v>
      </c>
      <c r="BA41" s="11">
        <v>19580906</v>
      </c>
      <c r="BB41" s="80">
        <f t="shared" si="3"/>
        <v>21434</v>
      </c>
      <c r="BC41" s="11">
        <v>0</v>
      </c>
      <c r="BD41" s="11" t="s">
        <v>81</v>
      </c>
      <c r="BE41" s="11">
        <v>1</v>
      </c>
      <c r="BF41" s="11" t="s">
        <v>36</v>
      </c>
      <c r="BG41" s="11">
        <v>910.4</v>
      </c>
      <c r="BH41" s="11">
        <v>746.5</v>
      </c>
      <c r="BI41" s="11">
        <v>0</v>
      </c>
      <c r="BJ41" s="11" t="s">
        <v>79</v>
      </c>
      <c r="BK41" s="11">
        <v>1</v>
      </c>
      <c r="BL41" s="11">
        <v>244.8</v>
      </c>
      <c r="BM41" s="11">
        <v>14.5</v>
      </c>
      <c r="BN41" s="11">
        <v>552501</v>
      </c>
      <c r="BO41" s="11">
        <v>0</v>
      </c>
      <c r="BP41" s="11" t="s">
        <v>79</v>
      </c>
      <c r="BQ41" s="11">
        <v>0</v>
      </c>
      <c r="BR41" s="11"/>
      <c r="BT41" s="11"/>
      <c r="BU41" s="11"/>
      <c r="CA41" s="11"/>
      <c r="CD41" s="11"/>
    </row>
    <row r="42" spans="2:82" ht="12.75" x14ac:dyDescent="0.2">
      <c r="B42" s="11">
        <v>562804</v>
      </c>
      <c r="C42" s="11">
        <f>ROUND(DAYS360(Tableau_Lancer_la_requête_à_partir_de_AS4003[[#This Row],[Date naissance 1]],Tableau_Lancer_la_requête_à_partir_de_AS4003[[#This Row],[Date début]])/360,0)</f>
        <v>54</v>
      </c>
      <c r="D42" s="11">
        <v>0</v>
      </c>
      <c r="E42" s="11">
        <v>0</v>
      </c>
      <c r="F42" s="11">
        <v>0</v>
      </c>
      <c r="G42" s="11">
        <v>12</v>
      </c>
      <c r="H42" s="11">
        <f>ROUND(DAYS360(Tableau_Lancer_la_requête_à_partir_de_AS4003[[#This Row],[Date début]],'Cash flows par police'!$C$4)/30,0)</f>
        <v>1</v>
      </c>
      <c r="I42" s="11">
        <v>0</v>
      </c>
      <c r="J42" s="11">
        <v>0</v>
      </c>
      <c r="K42" s="11">
        <v>0</v>
      </c>
      <c r="L42" s="11">
        <v>19.399999999999999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f>SUM(Tableau_Lancer_la_requête_à_partir_de_AS4003[[#This Row],[POLPRCPL2]:[POLPRCPL9]])</f>
        <v>19.399999999999999</v>
      </c>
      <c r="T42" s="11">
        <v>99</v>
      </c>
      <c r="U42" s="11">
        <v>12</v>
      </c>
      <c r="V42" s="11">
        <v>0</v>
      </c>
      <c r="W42" s="11">
        <v>313.2</v>
      </c>
      <c r="X42" s="11">
        <v>0</v>
      </c>
      <c r="Y42" s="11">
        <v>0</v>
      </c>
      <c r="Z42" s="11">
        <v>1</v>
      </c>
      <c r="AA42" s="11">
        <v>0</v>
      </c>
      <c r="AB42" s="11">
        <v>0</v>
      </c>
      <c r="AC42" s="11">
        <v>0</v>
      </c>
      <c r="AD42" s="11">
        <v>0</v>
      </c>
      <c r="AE42" s="11">
        <v>0</v>
      </c>
      <c r="AF42" s="11">
        <f>IF(Tableau_Lancer_la_requête_à_partir_de_AS4003[[#This Row],[POL_SEX_ASSURE]]="M",0,1)</f>
        <v>1</v>
      </c>
      <c r="AG42" s="11" t="str">
        <f>IF(Tableau_Lancer_la_requête_à_partir_de_AS4003[[#This Row],[POL_SEX_ASSURE2]]="","",IF(Tableau_Lancer_la_requête_à_partir_de_AS4003[[#This Row],[POL_SEX_ASSURE2]]="M",0,1))</f>
        <v/>
      </c>
      <c r="AH4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42" s="11">
        <v>5000</v>
      </c>
      <c r="AJ42" s="11">
        <f>Tableau_Lancer_la_requête_à_partir_de_AS4003[[#This Row],[POL_DUREE_ASSUR]]*12</f>
        <v>1188</v>
      </c>
      <c r="AK42" s="11">
        <v>161.30000000000001</v>
      </c>
      <c r="AL42" s="11">
        <v>0</v>
      </c>
      <c r="AM42" s="11">
        <v>0</v>
      </c>
      <c r="AN42" s="11" t="s">
        <v>36</v>
      </c>
      <c r="AO42" s="11" t="s">
        <v>80</v>
      </c>
      <c r="AP42" s="11">
        <f>Tableau_Lancer_la_requête_à_partir_de_AS4003[[#This Row],[POL_TERM_M]]-Tableau_Lancer_la_requête_à_partir_de_AS4003[[#This Row],[Duration IF]]</f>
        <v>1187</v>
      </c>
      <c r="AQ42" s="11" t="s">
        <v>36</v>
      </c>
      <c r="AR42" s="11" t="s">
        <v>36</v>
      </c>
      <c r="AS42" s="11" t="s">
        <v>36</v>
      </c>
      <c r="AT42" s="11" t="s">
        <v>36</v>
      </c>
      <c r="AU42" s="11" t="s">
        <v>36</v>
      </c>
      <c r="AV42" s="11">
        <v>0</v>
      </c>
      <c r="AW42" s="11">
        <v>11</v>
      </c>
      <c r="AX42" s="11">
        <v>1</v>
      </c>
      <c r="AY42" s="11">
        <v>20181201</v>
      </c>
      <c r="AZ42" s="80">
        <f t="shared" si="2"/>
        <v>43435</v>
      </c>
      <c r="BA42" s="11">
        <v>19640724</v>
      </c>
      <c r="BB42" s="80">
        <f t="shared" si="3"/>
        <v>23582</v>
      </c>
      <c r="BC42" s="11">
        <v>0</v>
      </c>
      <c r="BD42" s="11" t="s">
        <v>81</v>
      </c>
      <c r="BE42" s="11">
        <v>1</v>
      </c>
      <c r="BF42" s="11" t="s">
        <v>36</v>
      </c>
      <c r="BG42" s="11">
        <v>293.8</v>
      </c>
      <c r="BH42" s="11">
        <v>222.7</v>
      </c>
      <c r="BI42" s="11">
        <v>0</v>
      </c>
      <c r="BJ42" s="11" t="s">
        <v>79</v>
      </c>
      <c r="BK42" s="11">
        <v>1</v>
      </c>
      <c r="BL42" s="11">
        <v>0</v>
      </c>
      <c r="BM42" s="11">
        <v>0</v>
      </c>
      <c r="BN42" s="11">
        <v>562804</v>
      </c>
      <c r="BO42" s="11">
        <v>0</v>
      </c>
      <c r="BP42" s="11" t="s">
        <v>79</v>
      </c>
      <c r="BQ42" s="11">
        <v>0</v>
      </c>
      <c r="BR42" s="11"/>
      <c r="BT42" s="11"/>
      <c r="BU42" s="11"/>
      <c r="CA42" s="11"/>
      <c r="CD42" s="11"/>
    </row>
    <row r="43" spans="2:82" ht="12.75" x14ac:dyDescent="0.2">
      <c r="B43" s="11">
        <v>579603</v>
      </c>
      <c r="C43" s="11">
        <f>ROUND(DAYS360(Tableau_Lancer_la_requête_à_partir_de_AS4003[[#This Row],[Date naissance 1]],Tableau_Lancer_la_requête_à_partir_de_AS4003[[#This Row],[Date début]])/360,0)</f>
        <v>55</v>
      </c>
      <c r="D43" s="11">
        <v>0</v>
      </c>
      <c r="E43" s="11">
        <v>0</v>
      </c>
      <c r="F43" s="11">
        <v>0</v>
      </c>
      <c r="G43" s="11">
        <v>12</v>
      </c>
      <c r="H43" s="11">
        <f>ROUND(DAYS360(Tableau_Lancer_la_requête_à_partir_de_AS4003[[#This Row],[Date début]],'Cash flows par police'!$C$4)/30,0)</f>
        <v>17</v>
      </c>
      <c r="I43" s="11">
        <v>0</v>
      </c>
      <c r="J43" s="11">
        <v>0</v>
      </c>
      <c r="K43" s="11">
        <v>0</v>
      </c>
      <c r="L43" s="11">
        <v>38.200000000000003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f>SUM(Tableau_Lancer_la_requête_à_partir_de_AS4003[[#This Row],[POLPRCPL2]:[POLPRCPL9]])</f>
        <v>38.200000000000003</v>
      </c>
      <c r="T43" s="11">
        <v>99</v>
      </c>
      <c r="U43" s="11">
        <v>6</v>
      </c>
      <c r="V43" s="11">
        <v>0</v>
      </c>
      <c r="W43" s="11">
        <v>625.79999999999995</v>
      </c>
      <c r="X43" s="11">
        <v>261.10000000000002</v>
      </c>
      <c r="Y43" s="11">
        <v>1.9</v>
      </c>
      <c r="Z43" s="11">
        <v>1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f>IF(Tableau_Lancer_la_requête_à_partir_de_AS4003[[#This Row],[POL_SEX_ASSURE]]="M",0,1)</f>
        <v>1</v>
      </c>
      <c r="AG43" s="11" t="str">
        <f>IF(Tableau_Lancer_la_requête_à_partir_de_AS4003[[#This Row],[POL_SEX_ASSURE2]]="","",IF(Tableau_Lancer_la_requête_à_partir_de_AS4003[[#This Row],[POL_SEX_ASSURE2]]="M",0,1))</f>
        <v/>
      </c>
      <c r="AH4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43" s="11">
        <v>10000</v>
      </c>
      <c r="AJ43" s="11">
        <f>Tableau_Lancer_la_requête_à_partir_de_AS4003[[#This Row],[POL_DUREE_ASSUR]]*12</f>
        <v>1188</v>
      </c>
      <c r="AK43" s="11">
        <v>333.3</v>
      </c>
      <c r="AL43" s="11">
        <v>261.10000000000002</v>
      </c>
      <c r="AM43" s="11">
        <v>0</v>
      </c>
      <c r="AN43" s="11" t="s">
        <v>36</v>
      </c>
      <c r="AO43" s="11" t="s">
        <v>80</v>
      </c>
      <c r="AP43" s="11">
        <f>Tableau_Lancer_la_requête_à_partir_de_AS4003[[#This Row],[POL_TERM_M]]-Tableau_Lancer_la_requête_à_partir_de_AS4003[[#This Row],[Duration IF]]</f>
        <v>1171</v>
      </c>
      <c r="AQ43" s="11" t="s">
        <v>36</v>
      </c>
      <c r="AR43" s="11" t="s">
        <v>36</v>
      </c>
      <c r="AS43" s="11" t="s">
        <v>36</v>
      </c>
      <c r="AT43" s="11" t="s">
        <v>36</v>
      </c>
      <c r="AU43" s="11" t="s">
        <v>36</v>
      </c>
      <c r="AV43" s="11">
        <v>0</v>
      </c>
      <c r="AW43" s="11">
        <v>11</v>
      </c>
      <c r="AX43" s="11">
        <v>1</v>
      </c>
      <c r="AY43" s="11">
        <v>20170801</v>
      </c>
      <c r="AZ43" s="80">
        <f t="shared" si="2"/>
        <v>42948</v>
      </c>
      <c r="BA43" s="11">
        <v>19621124</v>
      </c>
      <c r="BB43" s="80">
        <f t="shared" si="3"/>
        <v>22974</v>
      </c>
      <c r="BC43" s="11">
        <v>0</v>
      </c>
      <c r="BD43" s="11" t="s">
        <v>81</v>
      </c>
      <c r="BE43" s="11">
        <v>1</v>
      </c>
      <c r="BF43" s="11" t="s">
        <v>36</v>
      </c>
      <c r="BG43" s="11">
        <v>587.6</v>
      </c>
      <c r="BH43" s="11">
        <v>454.7</v>
      </c>
      <c r="BI43" s="11">
        <v>0</v>
      </c>
      <c r="BJ43" s="11" t="s">
        <v>79</v>
      </c>
      <c r="BK43" s="11">
        <v>1</v>
      </c>
      <c r="BL43" s="11">
        <v>37.299999999999997</v>
      </c>
      <c r="BM43" s="11">
        <v>2.6</v>
      </c>
      <c r="BN43" s="11">
        <v>579603</v>
      </c>
      <c r="BO43" s="11">
        <v>0</v>
      </c>
      <c r="BP43" s="11" t="s">
        <v>79</v>
      </c>
      <c r="BQ43" s="11">
        <v>0</v>
      </c>
      <c r="BR43" s="11"/>
      <c r="BT43" s="11"/>
      <c r="BU43" s="11"/>
      <c r="CA43" s="11"/>
      <c r="CD43" s="11"/>
    </row>
    <row r="44" spans="2:82" ht="12.75" x14ac:dyDescent="0.2">
      <c r="B44" s="11">
        <v>609406</v>
      </c>
      <c r="C44" s="11">
        <f>ROUND(DAYS360(Tableau_Lancer_la_requête_à_partir_de_AS4003[[#This Row],[Date naissance 1]],Tableau_Lancer_la_requête_à_partir_de_AS4003[[#This Row],[Date début]])/360,0)</f>
        <v>51</v>
      </c>
      <c r="D44" s="11">
        <v>0</v>
      </c>
      <c r="E44" s="11">
        <v>0</v>
      </c>
      <c r="F44" s="11">
        <v>0</v>
      </c>
      <c r="G44" s="11">
        <v>12</v>
      </c>
      <c r="H44" s="11">
        <f>ROUND(DAYS360(Tableau_Lancer_la_requête_à_partir_de_AS4003[[#This Row],[Date début]],'Cash flows par police'!$C$4)/30,0)</f>
        <v>18</v>
      </c>
      <c r="I44" s="11">
        <v>0</v>
      </c>
      <c r="J44" s="11">
        <v>0</v>
      </c>
      <c r="K44" s="11">
        <v>0</v>
      </c>
      <c r="L44" s="11">
        <v>44.7</v>
      </c>
      <c r="M44" s="11">
        <v>0</v>
      </c>
      <c r="N44" s="11">
        <v>0</v>
      </c>
      <c r="O44" s="11">
        <v>0</v>
      </c>
      <c r="P44" s="11">
        <v>0</v>
      </c>
      <c r="Q44" s="11">
        <v>0</v>
      </c>
      <c r="R44" s="11">
        <v>0</v>
      </c>
      <c r="S44" s="11">
        <f>SUM(Tableau_Lancer_la_requête_à_partir_de_AS4003[[#This Row],[POLPRCPL2]:[POLPRCPL9]])</f>
        <v>44.7</v>
      </c>
      <c r="T44" s="11">
        <v>99</v>
      </c>
      <c r="U44" s="11">
        <v>12</v>
      </c>
      <c r="V44" s="11">
        <v>0</v>
      </c>
      <c r="W44" s="11">
        <v>598.79999999999995</v>
      </c>
      <c r="X44" s="11">
        <v>293.10000000000002</v>
      </c>
      <c r="Y44" s="11">
        <v>0</v>
      </c>
      <c r="Z44" s="11">
        <v>1</v>
      </c>
      <c r="AA44" s="11">
        <v>0</v>
      </c>
      <c r="AB44" s="11">
        <v>0</v>
      </c>
      <c r="AC44" s="11">
        <v>0</v>
      </c>
      <c r="AD44" s="11">
        <v>0</v>
      </c>
      <c r="AE44" s="11">
        <v>0</v>
      </c>
      <c r="AF44" s="11">
        <f>IF(Tableau_Lancer_la_requête_à_partir_de_AS4003[[#This Row],[POL_SEX_ASSURE]]="M",0,1)</f>
        <v>1</v>
      </c>
      <c r="AG44" s="11" t="str">
        <f>IF(Tableau_Lancer_la_requête_à_partir_de_AS4003[[#This Row],[POL_SEX_ASSURE2]]="","",IF(Tableau_Lancer_la_requête_à_partir_de_AS4003[[#This Row],[POL_SEX_ASSURE2]]="M",0,1))</f>
        <v/>
      </c>
      <c r="AH4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44" s="11">
        <v>11500</v>
      </c>
      <c r="AJ44" s="11">
        <f>Tableau_Lancer_la_requête_à_partir_de_AS4003[[#This Row],[POL_DUREE_ASSUR]]*12</f>
        <v>1188</v>
      </c>
      <c r="AK44" s="11">
        <v>338.2</v>
      </c>
      <c r="AL44" s="11">
        <v>293.10000000000002</v>
      </c>
      <c r="AM44" s="11">
        <v>0</v>
      </c>
      <c r="AN44" s="11" t="s">
        <v>36</v>
      </c>
      <c r="AO44" s="11" t="s">
        <v>80</v>
      </c>
      <c r="AP44" s="11">
        <f>Tableau_Lancer_la_requête_à_partir_de_AS4003[[#This Row],[POL_TERM_M]]-Tableau_Lancer_la_requête_à_partir_de_AS4003[[#This Row],[Duration IF]]</f>
        <v>1170</v>
      </c>
      <c r="AQ44" s="11" t="s">
        <v>36</v>
      </c>
      <c r="AR44" s="11" t="s">
        <v>36</v>
      </c>
      <c r="AS44" s="11" t="s">
        <v>36</v>
      </c>
      <c r="AT44" s="11" t="s">
        <v>36</v>
      </c>
      <c r="AU44" s="11" t="s">
        <v>36</v>
      </c>
      <c r="AV44" s="11">
        <v>0</v>
      </c>
      <c r="AW44" s="11">
        <v>11</v>
      </c>
      <c r="AX44" s="11">
        <v>1</v>
      </c>
      <c r="AY44" s="11">
        <v>20170701</v>
      </c>
      <c r="AZ44" s="80">
        <f t="shared" si="2"/>
        <v>42917</v>
      </c>
      <c r="BA44" s="11">
        <v>19661017</v>
      </c>
      <c r="BB44" s="80">
        <f t="shared" si="3"/>
        <v>24397</v>
      </c>
      <c r="BC44" s="11">
        <v>0</v>
      </c>
      <c r="BD44" s="11" t="s">
        <v>81</v>
      </c>
      <c r="BE44" s="11">
        <v>1</v>
      </c>
      <c r="BF44" s="11" t="s">
        <v>36</v>
      </c>
      <c r="BG44" s="11">
        <v>554.1</v>
      </c>
      <c r="BH44" s="11">
        <v>420.7</v>
      </c>
      <c r="BI44" s="11">
        <v>0</v>
      </c>
      <c r="BJ44" s="11" t="s">
        <v>79</v>
      </c>
      <c r="BK44" s="11">
        <v>1</v>
      </c>
      <c r="BL44" s="11">
        <v>0</v>
      </c>
      <c r="BM44" s="11">
        <v>0</v>
      </c>
      <c r="BN44" s="11">
        <v>609406</v>
      </c>
      <c r="BO44" s="11">
        <v>0</v>
      </c>
      <c r="BP44" s="11" t="s">
        <v>79</v>
      </c>
      <c r="BQ44" s="11">
        <v>0</v>
      </c>
      <c r="BR44" s="11"/>
      <c r="BT44" s="11"/>
      <c r="BU44" s="11"/>
      <c r="CA44" s="11"/>
      <c r="CD44" s="11"/>
    </row>
    <row r="45" spans="2:82" ht="12.75" x14ac:dyDescent="0.2">
      <c r="B45" s="11">
        <v>647203</v>
      </c>
      <c r="C45" s="11">
        <f>ROUND(DAYS360(Tableau_Lancer_la_requête_à_partir_de_AS4003[[#This Row],[Date naissance 1]],Tableau_Lancer_la_requête_à_partir_de_AS4003[[#This Row],[Date début]])/360,0)</f>
        <v>55</v>
      </c>
      <c r="D45" s="11">
        <v>0</v>
      </c>
      <c r="E45" s="11">
        <v>0</v>
      </c>
      <c r="F45" s="11">
        <v>0</v>
      </c>
      <c r="G45" s="11">
        <v>12</v>
      </c>
      <c r="H45" s="11">
        <f>ROUND(DAYS360(Tableau_Lancer_la_requête_à_partir_de_AS4003[[#This Row],[Date début]],'Cash flows par police'!$C$4)/30,0)</f>
        <v>20</v>
      </c>
      <c r="I45" s="11">
        <v>0</v>
      </c>
      <c r="J45" s="11">
        <v>0</v>
      </c>
      <c r="K45" s="11">
        <v>0</v>
      </c>
      <c r="L45" s="11">
        <v>12.2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f>SUM(Tableau_Lancer_la_requête_à_partir_de_AS4003[[#This Row],[POLPRCPL2]:[POLPRCPL9]])</f>
        <v>12.2</v>
      </c>
      <c r="T45" s="11">
        <v>99</v>
      </c>
      <c r="U45" s="11">
        <v>1</v>
      </c>
      <c r="V45" s="11">
        <v>0</v>
      </c>
      <c r="W45" s="11">
        <v>200</v>
      </c>
      <c r="X45" s="11">
        <v>104.9</v>
      </c>
      <c r="Y45" s="11">
        <v>1.1000000000000001</v>
      </c>
      <c r="Z45" s="11">
        <v>1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f>IF(Tableau_Lancer_la_requête_à_partir_de_AS4003[[#This Row],[POL_SEX_ASSURE]]="M",0,1)</f>
        <v>1</v>
      </c>
      <c r="AG45" s="11" t="str">
        <f>IF(Tableau_Lancer_la_requête_à_partir_de_AS4003[[#This Row],[POL_SEX_ASSURE2]]="","",IF(Tableau_Lancer_la_requête_à_partir_de_AS4003[[#This Row],[POL_SEX_ASSURE2]]="M",0,1))</f>
        <v/>
      </c>
      <c r="AH4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45" s="11">
        <v>3386.7</v>
      </c>
      <c r="AJ45" s="11">
        <f>Tableau_Lancer_la_requête_à_partir_de_AS4003[[#This Row],[POL_DUREE_ASSUR]]*12</f>
        <v>1188</v>
      </c>
      <c r="AK45" s="11">
        <v>112.9</v>
      </c>
      <c r="AL45" s="11">
        <v>104.9</v>
      </c>
      <c r="AM45" s="11">
        <v>0</v>
      </c>
      <c r="AN45" s="11" t="s">
        <v>36</v>
      </c>
      <c r="AO45" s="11" t="s">
        <v>80</v>
      </c>
      <c r="AP45" s="11">
        <f>Tableau_Lancer_la_requête_à_partir_de_AS4003[[#This Row],[POL_TERM_M]]-Tableau_Lancer_la_requête_à_partir_de_AS4003[[#This Row],[Duration IF]]</f>
        <v>1168</v>
      </c>
      <c r="AQ45" s="11" t="s">
        <v>36</v>
      </c>
      <c r="AR45" s="11" t="s">
        <v>36</v>
      </c>
      <c r="AS45" s="11" t="s">
        <v>36</v>
      </c>
      <c r="AT45" s="11" t="s">
        <v>36</v>
      </c>
      <c r="AU45" s="11" t="s">
        <v>36</v>
      </c>
      <c r="AV45" s="11">
        <v>0</v>
      </c>
      <c r="AW45" s="11">
        <v>11</v>
      </c>
      <c r="AX45" s="11">
        <v>1</v>
      </c>
      <c r="AY45" s="11">
        <v>20170501</v>
      </c>
      <c r="AZ45" s="80">
        <f t="shared" si="2"/>
        <v>42856</v>
      </c>
      <c r="BA45" s="11">
        <v>19620222</v>
      </c>
      <c r="BB45" s="80">
        <f t="shared" si="3"/>
        <v>22699</v>
      </c>
      <c r="BC45" s="11">
        <v>0</v>
      </c>
      <c r="BD45" s="11" t="s">
        <v>81</v>
      </c>
      <c r="BE45" s="11">
        <v>1</v>
      </c>
      <c r="BF45" s="11" t="s">
        <v>36</v>
      </c>
      <c r="BG45" s="11">
        <v>187.8</v>
      </c>
      <c r="BH45" s="11">
        <v>154</v>
      </c>
      <c r="BI45" s="11">
        <v>0</v>
      </c>
      <c r="BJ45" s="11" t="s">
        <v>79</v>
      </c>
      <c r="BK45" s="11">
        <v>1</v>
      </c>
      <c r="BL45" s="11">
        <v>50.5</v>
      </c>
      <c r="BM45" s="11">
        <v>3.3</v>
      </c>
      <c r="BN45" s="11">
        <v>647203</v>
      </c>
      <c r="BO45" s="11">
        <v>0</v>
      </c>
      <c r="BP45" s="11" t="s">
        <v>79</v>
      </c>
      <c r="BQ45" s="11">
        <v>0</v>
      </c>
      <c r="BR45" s="11"/>
      <c r="BT45" s="11"/>
      <c r="BU45" s="11"/>
      <c r="CA45" s="11"/>
      <c r="CD45" s="11"/>
    </row>
    <row r="46" spans="2:82" ht="12.75" x14ac:dyDescent="0.2">
      <c r="B46" s="11">
        <v>685801</v>
      </c>
      <c r="C46" s="11">
        <f>ROUND(DAYS360(Tableau_Lancer_la_requête_à_partir_de_AS4003[[#This Row],[Date naissance 1]],Tableau_Lancer_la_requête_à_partir_de_AS4003[[#This Row],[Date début]])/360,0)</f>
        <v>46</v>
      </c>
      <c r="D46" s="11">
        <v>0</v>
      </c>
      <c r="E46" s="11">
        <v>0</v>
      </c>
      <c r="F46" s="11">
        <v>0</v>
      </c>
      <c r="G46" s="11">
        <v>12</v>
      </c>
      <c r="H46" s="11">
        <f>ROUND(DAYS360(Tableau_Lancer_la_requête_à_partir_de_AS4003[[#This Row],[Date début]],'Cash flows par police'!$C$4)/30,0)</f>
        <v>16</v>
      </c>
      <c r="I46" s="11">
        <v>0</v>
      </c>
      <c r="J46" s="11">
        <v>0</v>
      </c>
      <c r="K46" s="11">
        <v>0</v>
      </c>
      <c r="L46" s="11">
        <v>29.2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f>SUM(Tableau_Lancer_la_requête_à_partir_de_AS4003[[#This Row],[POLPRCPL2]:[POLPRCPL9]])</f>
        <v>29.2</v>
      </c>
      <c r="T46" s="11">
        <v>99</v>
      </c>
      <c r="U46" s="11">
        <v>12</v>
      </c>
      <c r="V46" s="11">
        <v>0</v>
      </c>
      <c r="W46" s="11">
        <v>356.4</v>
      </c>
      <c r="X46" s="11">
        <v>151.6</v>
      </c>
      <c r="Y46" s="11">
        <v>0.9</v>
      </c>
      <c r="Z46" s="11">
        <v>1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f>IF(Tableau_Lancer_la_requête_à_partir_de_AS4003[[#This Row],[POL_SEX_ASSURE]]="M",0,1)</f>
        <v>1</v>
      </c>
      <c r="AG46" s="11" t="str">
        <f>IF(Tableau_Lancer_la_requête_à_partir_de_AS4003[[#This Row],[POL_SEX_ASSURE2]]="","",IF(Tableau_Lancer_la_requête_à_partir_de_AS4003[[#This Row],[POL_SEX_ASSURE2]]="M",0,1))</f>
        <v/>
      </c>
      <c r="AH4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46" s="11">
        <v>7500</v>
      </c>
      <c r="AJ46" s="11">
        <f>Tableau_Lancer_la_requête_à_partir_de_AS4003[[#This Row],[POL_DUREE_ASSUR]]*12</f>
        <v>1188</v>
      </c>
      <c r="AK46" s="11">
        <v>192.3</v>
      </c>
      <c r="AL46" s="11">
        <v>151.6</v>
      </c>
      <c r="AM46" s="11">
        <v>0</v>
      </c>
      <c r="AN46" s="11" t="s">
        <v>36</v>
      </c>
      <c r="AO46" s="11" t="s">
        <v>80</v>
      </c>
      <c r="AP46" s="11">
        <f>Tableau_Lancer_la_requête_à_partir_de_AS4003[[#This Row],[POL_TERM_M]]-Tableau_Lancer_la_requête_à_partir_de_AS4003[[#This Row],[Duration IF]]</f>
        <v>1172</v>
      </c>
      <c r="AQ46" s="11" t="s">
        <v>36</v>
      </c>
      <c r="AR46" s="11" t="s">
        <v>36</v>
      </c>
      <c r="AS46" s="11" t="s">
        <v>36</v>
      </c>
      <c r="AT46" s="11" t="s">
        <v>36</v>
      </c>
      <c r="AU46" s="11" t="s">
        <v>36</v>
      </c>
      <c r="AV46" s="11">
        <v>0</v>
      </c>
      <c r="AW46" s="11">
        <v>11</v>
      </c>
      <c r="AX46" s="11">
        <v>1</v>
      </c>
      <c r="AY46" s="11">
        <v>20170901</v>
      </c>
      <c r="AZ46" s="80">
        <f t="shared" si="2"/>
        <v>42979</v>
      </c>
      <c r="BA46" s="11">
        <v>19710701</v>
      </c>
      <c r="BB46" s="80">
        <f t="shared" si="3"/>
        <v>26115</v>
      </c>
      <c r="BC46" s="11">
        <v>0</v>
      </c>
      <c r="BD46" s="11" t="s">
        <v>81</v>
      </c>
      <c r="BE46" s="11">
        <v>1</v>
      </c>
      <c r="BF46" s="11" t="s">
        <v>36</v>
      </c>
      <c r="BG46" s="11">
        <v>327.2</v>
      </c>
      <c r="BH46" s="11">
        <v>248.1</v>
      </c>
      <c r="BI46" s="11">
        <v>0</v>
      </c>
      <c r="BJ46" s="11" t="s">
        <v>79</v>
      </c>
      <c r="BK46" s="11">
        <v>1</v>
      </c>
      <c r="BL46" s="11">
        <v>0</v>
      </c>
      <c r="BM46" s="11">
        <v>0</v>
      </c>
      <c r="BN46" s="11">
        <v>685801</v>
      </c>
      <c r="BO46" s="11">
        <v>0</v>
      </c>
      <c r="BP46" s="11" t="s">
        <v>79</v>
      </c>
      <c r="BQ46" s="11">
        <v>0</v>
      </c>
      <c r="BR46" s="11"/>
      <c r="BT46" s="11"/>
      <c r="BU46" s="11"/>
      <c r="CA46" s="11"/>
      <c r="CD46" s="11"/>
    </row>
    <row r="47" spans="2:82" ht="12.75" x14ac:dyDescent="0.2">
      <c r="B47" s="11">
        <v>710801</v>
      </c>
      <c r="C47" s="11">
        <f>ROUND(DAYS360(Tableau_Lancer_la_requête_à_partir_de_AS4003[[#This Row],[Date naissance 1]],Tableau_Lancer_la_requête_à_partir_de_AS4003[[#This Row],[Date début]])/360,0)</f>
        <v>50</v>
      </c>
      <c r="D47" s="11">
        <v>0</v>
      </c>
      <c r="E47" s="11">
        <v>0</v>
      </c>
      <c r="F47" s="11">
        <v>0</v>
      </c>
      <c r="G47" s="11">
        <v>12</v>
      </c>
      <c r="H47" s="11">
        <f>ROUND(DAYS360(Tableau_Lancer_la_requête_à_partir_de_AS4003[[#This Row],[Date début]],'Cash flows par police'!$C$4)/30,0)</f>
        <v>21</v>
      </c>
      <c r="I47" s="11">
        <v>0</v>
      </c>
      <c r="J47" s="11">
        <v>0</v>
      </c>
      <c r="K47" s="11">
        <v>0</v>
      </c>
      <c r="L47" s="11">
        <v>15.2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f>SUM(Tableau_Lancer_la_requête_à_partir_de_AS4003[[#This Row],[POLPRCPL2]:[POLPRCPL9]])</f>
        <v>15.2</v>
      </c>
      <c r="T47" s="11">
        <v>99</v>
      </c>
      <c r="U47" s="11">
        <v>1</v>
      </c>
      <c r="V47" s="11">
        <v>0</v>
      </c>
      <c r="W47" s="11">
        <v>200</v>
      </c>
      <c r="X47" s="11">
        <v>124.1</v>
      </c>
      <c r="Y47" s="11">
        <v>1.5</v>
      </c>
      <c r="Z47" s="11">
        <v>1</v>
      </c>
      <c r="AA47" s="11">
        <v>0</v>
      </c>
      <c r="AB47" s="11">
        <v>0</v>
      </c>
      <c r="AC47" s="11">
        <v>0</v>
      </c>
      <c r="AD47" s="11">
        <v>0</v>
      </c>
      <c r="AE47" s="11">
        <v>0</v>
      </c>
      <c r="AF47" s="11">
        <f>IF(Tableau_Lancer_la_requête_à_partir_de_AS4003[[#This Row],[POL_SEX_ASSURE]]="M",0,1)</f>
        <v>1</v>
      </c>
      <c r="AG47" s="11" t="str">
        <f>IF(Tableau_Lancer_la_requête_à_partir_de_AS4003[[#This Row],[POL_SEX_ASSURE2]]="","",IF(Tableau_Lancer_la_requête_à_partir_de_AS4003[[#This Row],[POL_SEX_ASSURE2]]="M",0,1))</f>
        <v/>
      </c>
      <c r="AH4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47" s="11">
        <v>4230.3</v>
      </c>
      <c r="AJ47" s="11">
        <f>Tableau_Lancer_la_requête_à_partir_de_AS4003[[#This Row],[POL_DUREE_ASSUR]]*12</f>
        <v>1188</v>
      </c>
      <c r="AK47" s="11">
        <v>120.9</v>
      </c>
      <c r="AL47" s="11">
        <v>124.1</v>
      </c>
      <c r="AM47" s="11">
        <v>0</v>
      </c>
      <c r="AN47" s="11" t="s">
        <v>36</v>
      </c>
      <c r="AO47" s="11" t="s">
        <v>80</v>
      </c>
      <c r="AP47" s="11">
        <f>Tableau_Lancer_la_requête_à_partir_de_AS4003[[#This Row],[POL_TERM_M]]-Tableau_Lancer_la_requête_à_partir_de_AS4003[[#This Row],[Duration IF]]</f>
        <v>1167</v>
      </c>
      <c r="AQ47" s="11" t="s">
        <v>36</v>
      </c>
      <c r="AR47" s="11" t="s">
        <v>36</v>
      </c>
      <c r="AS47" s="11" t="s">
        <v>36</v>
      </c>
      <c r="AT47" s="11" t="s">
        <v>36</v>
      </c>
      <c r="AU47" s="11" t="s">
        <v>36</v>
      </c>
      <c r="AV47" s="11">
        <v>0</v>
      </c>
      <c r="AW47" s="11">
        <v>11</v>
      </c>
      <c r="AX47" s="11">
        <v>1</v>
      </c>
      <c r="AY47" s="11">
        <v>20170401</v>
      </c>
      <c r="AZ47" s="80">
        <f t="shared" si="2"/>
        <v>42826</v>
      </c>
      <c r="BA47" s="11">
        <v>19670706</v>
      </c>
      <c r="BB47" s="80">
        <f t="shared" si="3"/>
        <v>24659</v>
      </c>
      <c r="BC47" s="11">
        <v>0</v>
      </c>
      <c r="BD47" s="11" t="s">
        <v>81</v>
      </c>
      <c r="BE47" s="11">
        <v>1</v>
      </c>
      <c r="BF47" s="11" t="s">
        <v>36</v>
      </c>
      <c r="BG47" s="11">
        <v>184.8</v>
      </c>
      <c r="BH47" s="11">
        <v>151.5</v>
      </c>
      <c r="BI47" s="11">
        <v>0</v>
      </c>
      <c r="BJ47" s="11" t="s">
        <v>79</v>
      </c>
      <c r="BK47" s="11">
        <v>1</v>
      </c>
      <c r="BL47" s="11">
        <v>37.299999999999997</v>
      </c>
      <c r="BM47" s="11">
        <v>3.1</v>
      </c>
      <c r="BN47" s="11">
        <v>710801</v>
      </c>
      <c r="BO47" s="11">
        <v>0</v>
      </c>
      <c r="BP47" s="11" t="s">
        <v>79</v>
      </c>
      <c r="BQ47" s="11">
        <v>0</v>
      </c>
      <c r="BR47" s="11"/>
      <c r="BT47" s="11"/>
      <c r="BU47" s="11"/>
      <c r="CA47" s="11"/>
      <c r="CD47" s="11"/>
    </row>
    <row r="48" spans="2:82" ht="12.75" x14ac:dyDescent="0.2">
      <c r="B48" s="11">
        <v>747401</v>
      </c>
      <c r="C48" s="11">
        <f>ROUND(DAYS360(Tableau_Lancer_la_requête_à_partir_de_AS4003[[#This Row],[Date naissance 1]],Tableau_Lancer_la_requête_à_partir_de_AS4003[[#This Row],[Date début]])/360,0)</f>
        <v>60</v>
      </c>
      <c r="D48" s="11">
        <v>0</v>
      </c>
      <c r="E48" s="11">
        <v>0</v>
      </c>
      <c r="F48" s="11">
        <v>0</v>
      </c>
      <c r="G48" s="11">
        <v>12</v>
      </c>
      <c r="H48" s="11">
        <f>ROUND(DAYS360(Tableau_Lancer_la_requête_à_partir_de_AS4003[[#This Row],[Date début]],'Cash flows par police'!$C$4)/30,0)</f>
        <v>9</v>
      </c>
      <c r="I48" s="11">
        <v>0</v>
      </c>
      <c r="J48" s="11">
        <v>0</v>
      </c>
      <c r="K48" s="11">
        <v>0</v>
      </c>
      <c r="L48" s="11">
        <v>32.700000000000003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f>SUM(Tableau_Lancer_la_requête_à_partir_de_AS4003[[#This Row],[POLPRCPL2]:[POLPRCPL9]])</f>
        <v>32.700000000000003</v>
      </c>
      <c r="T48" s="11">
        <v>99</v>
      </c>
      <c r="U48" s="11">
        <v>12</v>
      </c>
      <c r="V48" s="11">
        <v>0</v>
      </c>
      <c r="W48" s="11">
        <v>648</v>
      </c>
      <c r="X48" s="11">
        <v>128.6</v>
      </c>
      <c r="Y48" s="11">
        <v>0</v>
      </c>
      <c r="Z48" s="11">
        <v>1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f>IF(Tableau_Lancer_la_requête_à_partir_de_AS4003[[#This Row],[POL_SEX_ASSURE]]="M",0,1)</f>
        <v>1</v>
      </c>
      <c r="AG48" s="11" t="str">
        <f>IF(Tableau_Lancer_la_requête_à_partir_de_AS4003[[#This Row],[POL_SEX_ASSURE2]]="","",IF(Tableau_Lancer_la_requête_à_partir_de_AS4003[[#This Row],[POL_SEX_ASSURE2]]="M",0,1))</f>
        <v/>
      </c>
      <c r="AH4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48" s="11">
        <v>8399.9</v>
      </c>
      <c r="AJ48" s="11">
        <f>Tableau_Lancer_la_requête_à_partir_de_AS4003[[#This Row],[POL_DUREE_ASSUR]]*12</f>
        <v>1188</v>
      </c>
      <c r="AK48" s="11">
        <v>350</v>
      </c>
      <c r="AL48" s="11">
        <v>128.6</v>
      </c>
      <c r="AM48" s="11">
        <v>0</v>
      </c>
      <c r="AN48" s="11" t="s">
        <v>36</v>
      </c>
      <c r="AO48" s="11" t="s">
        <v>80</v>
      </c>
      <c r="AP48" s="11">
        <f>Tableau_Lancer_la_requête_à_partir_de_AS4003[[#This Row],[POL_TERM_M]]-Tableau_Lancer_la_requête_à_partir_de_AS4003[[#This Row],[Duration IF]]</f>
        <v>1179</v>
      </c>
      <c r="AQ48" s="11" t="s">
        <v>36</v>
      </c>
      <c r="AR48" s="11" t="s">
        <v>36</v>
      </c>
      <c r="AS48" s="11" t="s">
        <v>36</v>
      </c>
      <c r="AT48" s="11" t="s">
        <v>36</v>
      </c>
      <c r="AU48" s="11" t="s">
        <v>36</v>
      </c>
      <c r="AV48" s="11">
        <v>0</v>
      </c>
      <c r="AW48" s="11">
        <v>11</v>
      </c>
      <c r="AX48" s="11">
        <v>1</v>
      </c>
      <c r="AY48" s="11">
        <v>20180401</v>
      </c>
      <c r="AZ48" s="80">
        <f t="shared" si="2"/>
        <v>43191</v>
      </c>
      <c r="BA48" s="11">
        <v>19571215</v>
      </c>
      <c r="BB48" s="80">
        <f t="shared" si="3"/>
        <v>21169</v>
      </c>
      <c r="BC48" s="11">
        <v>0</v>
      </c>
      <c r="BD48" s="11" t="s">
        <v>81</v>
      </c>
      <c r="BE48" s="11">
        <v>1</v>
      </c>
      <c r="BF48" s="11" t="s">
        <v>36</v>
      </c>
      <c r="BG48" s="11">
        <v>615.29999999999995</v>
      </c>
      <c r="BH48" s="11">
        <v>467.2</v>
      </c>
      <c r="BI48" s="11">
        <v>0</v>
      </c>
      <c r="BJ48" s="11" t="s">
        <v>79</v>
      </c>
      <c r="BK48" s="11">
        <v>0</v>
      </c>
      <c r="BL48" s="11">
        <v>0</v>
      </c>
      <c r="BM48" s="11">
        <v>0</v>
      </c>
      <c r="BN48" s="11">
        <v>747401</v>
      </c>
      <c r="BO48" s="11">
        <v>0</v>
      </c>
      <c r="BP48" s="11" t="s">
        <v>79</v>
      </c>
      <c r="BQ48" s="11">
        <v>0</v>
      </c>
      <c r="BR48" s="11"/>
      <c r="BT48" s="11"/>
      <c r="BU48" s="11"/>
      <c r="CA48" s="11"/>
      <c r="CD48" s="11"/>
    </row>
    <row r="49" spans="2:82" ht="12.75" x14ac:dyDescent="0.2">
      <c r="B49" s="11">
        <v>764603</v>
      </c>
      <c r="C49" s="11">
        <f>ROUND(DAYS360(Tableau_Lancer_la_requête_à_partir_de_AS4003[[#This Row],[Date naissance 1]],Tableau_Lancer_la_requête_à_partir_de_AS4003[[#This Row],[Date début]])/360,0)</f>
        <v>53</v>
      </c>
      <c r="D49" s="11">
        <v>0</v>
      </c>
      <c r="E49" s="11">
        <v>0</v>
      </c>
      <c r="F49" s="11">
        <v>0</v>
      </c>
      <c r="G49" s="11">
        <v>12</v>
      </c>
      <c r="H49" s="11">
        <f>ROUND(DAYS360(Tableau_Lancer_la_requête_à_partir_de_AS4003[[#This Row],[Date début]],'Cash flows par police'!$C$4)/30,0)</f>
        <v>3</v>
      </c>
      <c r="I49" s="11">
        <v>0</v>
      </c>
      <c r="J49" s="11">
        <v>0</v>
      </c>
      <c r="K49" s="11">
        <v>0</v>
      </c>
      <c r="L49" s="11">
        <v>19.399999999999999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f>SUM(Tableau_Lancer_la_requête_à_partir_de_AS4003[[#This Row],[POLPRCPL2]:[POLPRCPL9]])</f>
        <v>19.399999999999999</v>
      </c>
      <c r="T49" s="11">
        <v>99</v>
      </c>
      <c r="U49" s="11">
        <v>12</v>
      </c>
      <c r="V49" s="11">
        <v>0</v>
      </c>
      <c r="W49" s="11">
        <v>265.2</v>
      </c>
      <c r="X49" s="11">
        <v>0</v>
      </c>
      <c r="Y49" s="11">
        <v>0</v>
      </c>
      <c r="Z49" s="11">
        <v>1</v>
      </c>
      <c r="AA49" s="11">
        <v>0</v>
      </c>
      <c r="AB49" s="11">
        <v>0</v>
      </c>
      <c r="AC49" s="11">
        <v>0</v>
      </c>
      <c r="AD49" s="11">
        <v>0</v>
      </c>
      <c r="AE49" s="11">
        <v>0</v>
      </c>
      <c r="AF49" s="11">
        <f>IF(Tableau_Lancer_la_requête_à_partir_de_AS4003[[#This Row],[POL_SEX_ASSURE]]="M",0,1)</f>
        <v>1</v>
      </c>
      <c r="AG49" s="11" t="str">
        <f>IF(Tableau_Lancer_la_requête_à_partir_de_AS4003[[#This Row],[POL_SEX_ASSURE2]]="","",IF(Tableau_Lancer_la_requête_à_partir_de_AS4003[[#This Row],[POL_SEX_ASSURE2]]="M",0,1))</f>
        <v/>
      </c>
      <c r="AH4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49" s="11">
        <v>5000</v>
      </c>
      <c r="AJ49" s="11">
        <f>Tableau_Lancer_la_requête_à_partir_de_AS4003[[#This Row],[POL_DUREE_ASSUR]]*12</f>
        <v>1188</v>
      </c>
      <c r="AK49" s="11">
        <v>151.5</v>
      </c>
      <c r="AL49" s="11">
        <v>0</v>
      </c>
      <c r="AM49" s="11">
        <v>0</v>
      </c>
      <c r="AN49" s="11" t="s">
        <v>36</v>
      </c>
      <c r="AO49" s="11" t="s">
        <v>80</v>
      </c>
      <c r="AP49" s="11">
        <f>Tableau_Lancer_la_requête_à_partir_de_AS4003[[#This Row],[POL_TERM_M]]-Tableau_Lancer_la_requête_à_partir_de_AS4003[[#This Row],[Duration IF]]</f>
        <v>1185</v>
      </c>
      <c r="AQ49" s="11" t="s">
        <v>36</v>
      </c>
      <c r="AR49" s="11" t="s">
        <v>36</v>
      </c>
      <c r="AS49" s="11" t="s">
        <v>36</v>
      </c>
      <c r="AT49" s="11" t="s">
        <v>36</v>
      </c>
      <c r="AU49" s="11" t="s">
        <v>36</v>
      </c>
      <c r="AV49" s="11">
        <v>0</v>
      </c>
      <c r="AW49" s="11">
        <v>11</v>
      </c>
      <c r="AX49" s="11">
        <v>1</v>
      </c>
      <c r="AY49" s="11">
        <v>20181001</v>
      </c>
      <c r="AZ49" s="80">
        <f t="shared" si="2"/>
        <v>43374</v>
      </c>
      <c r="BA49" s="11">
        <v>19660312</v>
      </c>
      <c r="BB49" s="80">
        <f t="shared" si="3"/>
        <v>24178</v>
      </c>
      <c r="BC49" s="11">
        <v>0</v>
      </c>
      <c r="BD49" s="11" t="s">
        <v>81</v>
      </c>
      <c r="BE49" s="11">
        <v>1</v>
      </c>
      <c r="BF49" s="11" t="s">
        <v>36</v>
      </c>
      <c r="BG49" s="11">
        <v>245.8</v>
      </c>
      <c r="BH49" s="11">
        <v>187</v>
      </c>
      <c r="BI49" s="11">
        <v>0</v>
      </c>
      <c r="BJ49" s="11" t="s">
        <v>79</v>
      </c>
      <c r="BK49" s="11">
        <v>1</v>
      </c>
      <c r="BL49" s="11">
        <v>0</v>
      </c>
      <c r="BM49" s="11">
        <v>0</v>
      </c>
      <c r="BN49" s="11">
        <v>764603</v>
      </c>
      <c r="BO49" s="11">
        <v>0</v>
      </c>
      <c r="BP49" s="11" t="s">
        <v>79</v>
      </c>
      <c r="BQ49" s="11">
        <v>0</v>
      </c>
      <c r="BR49" s="11"/>
      <c r="BT49" s="11"/>
      <c r="BU49" s="11"/>
      <c r="CA49" s="11"/>
      <c r="CD49" s="11"/>
    </row>
    <row r="50" spans="2:82" ht="12.75" x14ac:dyDescent="0.2">
      <c r="B50" s="11">
        <v>768002</v>
      </c>
      <c r="C50" s="11">
        <f>ROUND(DAYS360(Tableau_Lancer_la_requête_à_partir_de_AS4003[[#This Row],[Date naissance 1]],Tableau_Lancer_la_requête_à_partir_de_AS4003[[#This Row],[Date début]])/360,0)</f>
        <v>58</v>
      </c>
      <c r="D50" s="11">
        <v>0</v>
      </c>
      <c r="E50" s="11">
        <v>0</v>
      </c>
      <c r="F50" s="11">
        <v>0</v>
      </c>
      <c r="G50" s="11">
        <v>12</v>
      </c>
      <c r="H50" s="11">
        <f>ROUND(DAYS360(Tableau_Lancer_la_requête_à_partir_de_AS4003[[#This Row],[Date début]],'Cash flows par police'!$C$4)/30,0)</f>
        <v>21</v>
      </c>
      <c r="I50" s="11">
        <v>0</v>
      </c>
      <c r="J50" s="11">
        <v>0</v>
      </c>
      <c r="K50" s="11">
        <v>0</v>
      </c>
      <c r="L50" s="11">
        <v>46.6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1">
        <v>0</v>
      </c>
      <c r="S50" s="11">
        <f>SUM(Tableau_Lancer_la_requête_à_partir_de_AS4003[[#This Row],[POLPRCPL2]:[POLPRCPL9]])</f>
        <v>46.6</v>
      </c>
      <c r="T50" s="11">
        <v>99</v>
      </c>
      <c r="U50" s="11">
        <v>2</v>
      </c>
      <c r="V50" s="11">
        <v>0</v>
      </c>
      <c r="W50" s="11">
        <v>832</v>
      </c>
      <c r="X50" s="11">
        <v>448</v>
      </c>
      <c r="Y50" s="11">
        <v>5.3</v>
      </c>
      <c r="Z50" s="11">
        <v>1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f>IF(Tableau_Lancer_la_requête_à_partir_de_AS4003[[#This Row],[POL_SEX_ASSURE]]="M",0,1)</f>
        <v>1</v>
      </c>
      <c r="AG50" s="11" t="str">
        <f>IF(Tableau_Lancer_la_requête_à_partir_de_AS4003[[#This Row],[POL_SEX_ASSURE2]]="","",IF(Tableau_Lancer_la_requête_à_partir_de_AS4003[[#This Row],[POL_SEX_ASSURE2]]="M",0,1))</f>
        <v/>
      </c>
      <c r="AH5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50" s="11">
        <v>12443.4</v>
      </c>
      <c r="AJ50" s="11">
        <f>Tableau_Lancer_la_requête_à_partir_de_AS4003[[#This Row],[POL_DUREE_ASSUR]]*12</f>
        <v>1188</v>
      </c>
      <c r="AK50" s="11">
        <v>478.6</v>
      </c>
      <c r="AL50" s="11">
        <v>448</v>
      </c>
      <c r="AM50" s="11">
        <v>0</v>
      </c>
      <c r="AN50" s="11" t="s">
        <v>36</v>
      </c>
      <c r="AO50" s="11" t="s">
        <v>80</v>
      </c>
      <c r="AP50" s="11">
        <f>Tableau_Lancer_la_requête_à_partir_de_AS4003[[#This Row],[POL_TERM_M]]-Tableau_Lancer_la_requête_à_partir_de_AS4003[[#This Row],[Duration IF]]</f>
        <v>1167</v>
      </c>
      <c r="AQ50" s="11" t="s">
        <v>36</v>
      </c>
      <c r="AR50" s="11" t="s">
        <v>36</v>
      </c>
      <c r="AS50" s="11" t="s">
        <v>36</v>
      </c>
      <c r="AT50" s="11" t="s">
        <v>36</v>
      </c>
      <c r="AU50" s="11" t="s">
        <v>36</v>
      </c>
      <c r="AV50" s="11">
        <v>0</v>
      </c>
      <c r="AW50" s="11">
        <v>11</v>
      </c>
      <c r="AX50" s="11">
        <v>1</v>
      </c>
      <c r="AY50" s="11">
        <v>20170401</v>
      </c>
      <c r="AZ50" s="80">
        <f t="shared" si="2"/>
        <v>42826</v>
      </c>
      <c r="BA50" s="11">
        <v>19581210</v>
      </c>
      <c r="BB50" s="80">
        <f t="shared" si="3"/>
        <v>21529</v>
      </c>
      <c r="BC50" s="11">
        <v>0</v>
      </c>
      <c r="BD50" s="11" t="s">
        <v>81</v>
      </c>
      <c r="BE50" s="11">
        <v>1</v>
      </c>
      <c r="BF50" s="11" t="s">
        <v>36</v>
      </c>
      <c r="BG50" s="11">
        <v>785.4</v>
      </c>
      <c r="BH50" s="11">
        <v>619.29999999999995</v>
      </c>
      <c r="BI50" s="11">
        <v>0</v>
      </c>
      <c r="BJ50" s="11" t="s">
        <v>79</v>
      </c>
      <c r="BK50" s="11">
        <v>1</v>
      </c>
      <c r="BL50" s="11">
        <v>152.30000000000001</v>
      </c>
      <c r="BM50" s="11">
        <v>9.4</v>
      </c>
      <c r="BN50" s="11">
        <v>768002</v>
      </c>
      <c r="BO50" s="11">
        <v>0</v>
      </c>
      <c r="BP50" s="11" t="s">
        <v>79</v>
      </c>
      <c r="BQ50" s="11">
        <v>0</v>
      </c>
      <c r="BR50" s="11"/>
      <c r="BT50" s="11"/>
      <c r="BU50" s="11"/>
      <c r="CA50" s="11"/>
      <c r="CD50" s="11"/>
    </row>
    <row r="51" spans="2:82" ht="12.75" x14ac:dyDescent="0.2">
      <c r="B51" s="11">
        <v>787804</v>
      </c>
      <c r="C51" s="11">
        <f>ROUND(DAYS360(Tableau_Lancer_la_requête_à_partir_de_AS4003[[#This Row],[Date naissance 1]],Tableau_Lancer_la_requête_à_partir_de_AS4003[[#This Row],[Date début]])/360,0)</f>
        <v>56</v>
      </c>
      <c r="D51" s="11">
        <v>0</v>
      </c>
      <c r="E51" s="11">
        <v>0</v>
      </c>
      <c r="F51" s="11">
        <v>0</v>
      </c>
      <c r="G51" s="11">
        <v>12</v>
      </c>
      <c r="H51" s="11">
        <f>ROUND(DAYS360(Tableau_Lancer_la_requête_à_partir_de_AS4003[[#This Row],[Date début]],'Cash flows par police'!$C$4)/30,0)</f>
        <v>21</v>
      </c>
      <c r="I51" s="11">
        <v>0</v>
      </c>
      <c r="J51" s="11">
        <v>0</v>
      </c>
      <c r="K51" s="11">
        <v>0</v>
      </c>
      <c r="L51" s="11">
        <v>51.6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f>SUM(Tableau_Lancer_la_requête_à_partir_de_AS4003[[#This Row],[POLPRCPL2]:[POLPRCPL9]])</f>
        <v>51.6</v>
      </c>
      <c r="T51" s="11">
        <v>99</v>
      </c>
      <c r="U51" s="11">
        <v>12</v>
      </c>
      <c r="V51" s="11">
        <v>0</v>
      </c>
      <c r="W51" s="11">
        <v>864</v>
      </c>
      <c r="X51" s="11">
        <v>442.8</v>
      </c>
      <c r="Y51" s="11">
        <v>0</v>
      </c>
      <c r="Z51" s="11">
        <v>1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f>IF(Tableau_Lancer_la_requête_à_partir_de_AS4003[[#This Row],[POL_SEX_ASSURE]]="M",0,1)</f>
        <v>1</v>
      </c>
      <c r="AG51" s="11" t="str">
        <f>IF(Tableau_Lancer_la_requête_à_partir_de_AS4003[[#This Row],[POL_SEX_ASSURE2]]="","",IF(Tableau_Lancer_la_requête_à_partir_de_AS4003[[#This Row],[POL_SEX_ASSURE2]]="M",0,1))</f>
        <v/>
      </c>
      <c r="AH5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51" s="11">
        <v>13276.1</v>
      </c>
      <c r="AJ51" s="11">
        <f>Tableau_Lancer_la_requête_à_partir_de_AS4003[[#This Row],[POL_DUREE_ASSUR]]*12</f>
        <v>1188</v>
      </c>
      <c r="AK51" s="11">
        <v>457.8</v>
      </c>
      <c r="AL51" s="11">
        <v>442.8</v>
      </c>
      <c r="AM51" s="11">
        <v>0</v>
      </c>
      <c r="AN51" s="11" t="s">
        <v>36</v>
      </c>
      <c r="AO51" s="11" t="s">
        <v>80</v>
      </c>
      <c r="AP51" s="11">
        <f>Tableau_Lancer_la_requête_à_partir_de_AS4003[[#This Row],[POL_TERM_M]]-Tableau_Lancer_la_requête_à_partir_de_AS4003[[#This Row],[Duration IF]]</f>
        <v>1167</v>
      </c>
      <c r="AQ51" s="11" t="s">
        <v>36</v>
      </c>
      <c r="AR51" s="11" t="s">
        <v>36</v>
      </c>
      <c r="AS51" s="11" t="s">
        <v>36</v>
      </c>
      <c r="AT51" s="11" t="s">
        <v>36</v>
      </c>
      <c r="AU51" s="11" t="s">
        <v>36</v>
      </c>
      <c r="AV51" s="11">
        <v>0</v>
      </c>
      <c r="AW51" s="11">
        <v>11</v>
      </c>
      <c r="AX51" s="11">
        <v>1</v>
      </c>
      <c r="AY51" s="11">
        <v>20170401</v>
      </c>
      <c r="AZ51" s="80">
        <f t="shared" si="2"/>
        <v>42826</v>
      </c>
      <c r="BA51" s="11">
        <v>19610401</v>
      </c>
      <c r="BB51" s="80">
        <f t="shared" si="3"/>
        <v>22372</v>
      </c>
      <c r="BC51" s="11">
        <v>0</v>
      </c>
      <c r="BD51" s="11" t="s">
        <v>81</v>
      </c>
      <c r="BE51" s="11">
        <v>1</v>
      </c>
      <c r="BF51" s="11" t="s">
        <v>36</v>
      </c>
      <c r="BG51" s="11">
        <v>812.4</v>
      </c>
      <c r="BH51" s="11">
        <v>616.79999999999995</v>
      </c>
      <c r="BI51" s="11">
        <v>0</v>
      </c>
      <c r="BJ51" s="11" t="s">
        <v>79</v>
      </c>
      <c r="BK51" s="11">
        <v>1</v>
      </c>
      <c r="BL51" s="11">
        <v>0</v>
      </c>
      <c r="BM51" s="11">
        <v>0</v>
      </c>
      <c r="BN51" s="11">
        <v>787804</v>
      </c>
      <c r="BO51" s="11">
        <v>0</v>
      </c>
      <c r="BP51" s="11" t="s">
        <v>79</v>
      </c>
      <c r="BQ51" s="11">
        <v>0</v>
      </c>
      <c r="BR51" s="11"/>
      <c r="BT51" s="11"/>
      <c r="BU51" s="11"/>
      <c r="CA51" s="11"/>
      <c r="CD51" s="11"/>
    </row>
    <row r="52" spans="2:82" ht="12.75" x14ac:dyDescent="0.2">
      <c r="B52" s="11">
        <v>825905</v>
      </c>
      <c r="C52" s="11">
        <f>ROUND(DAYS360(Tableau_Lancer_la_requête_à_partir_de_AS4003[[#This Row],[Date naissance 1]],Tableau_Lancer_la_requête_à_partir_de_AS4003[[#This Row],[Date début]])/360,0)</f>
        <v>47</v>
      </c>
      <c r="D52" s="11">
        <v>0</v>
      </c>
      <c r="E52" s="11">
        <v>0</v>
      </c>
      <c r="F52" s="11">
        <v>0</v>
      </c>
      <c r="G52" s="11">
        <v>12</v>
      </c>
      <c r="H52" s="11">
        <f>ROUND(DAYS360(Tableau_Lancer_la_requête_à_partir_de_AS4003[[#This Row],[Date début]],'Cash flows par police'!$C$4)/30,0)</f>
        <v>2</v>
      </c>
      <c r="I52" s="11">
        <v>0</v>
      </c>
      <c r="J52" s="11">
        <v>0</v>
      </c>
      <c r="K52" s="11">
        <v>0</v>
      </c>
      <c r="L52" s="11">
        <v>29.2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f>SUM(Tableau_Lancer_la_requête_à_partir_de_AS4003[[#This Row],[POLPRCPL2]:[POLPRCPL9]])</f>
        <v>29.2</v>
      </c>
      <c r="T52" s="11">
        <v>99</v>
      </c>
      <c r="U52" s="11">
        <v>12</v>
      </c>
      <c r="V52" s="11">
        <v>0</v>
      </c>
      <c r="W52" s="11">
        <v>356.4</v>
      </c>
      <c r="X52" s="11">
        <v>10.1</v>
      </c>
      <c r="Y52" s="11">
        <v>0</v>
      </c>
      <c r="Z52" s="11">
        <v>1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f>IF(Tableau_Lancer_la_requête_à_partir_de_AS4003[[#This Row],[POL_SEX_ASSURE]]="M",0,1)</f>
        <v>1</v>
      </c>
      <c r="AG52" s="11" t="str">
        <f>IF(Tableau_Lancer_la_requête_à_partir_de_AS4003[[#This Row],[POL_SEX_ASSURE2]]="","",IF(Tableau_Lancer_la_requête_à_partir_de_AS4003[[#This Row],[POL_SEX_ASSURE2]]="M",0,1))</f>
        <v/>
      </c>
      <c r="AH5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52" s="11">
        <v>7500</v>
      </c>
      <c r="AJ52" s="11">
        <f>Tableau_Lancer_la_requête_à_partir_de_AS4003[[#This Row],[POL_DUREE_ASSUR]]*12</f>
        <v>1188</v>
      </c>
      <c r="AK52" s="11">
        <v>192.3</v>
      </c>
      <c r="AL52" s="11">
        <v>10.1</v>
      </c>
      <c r="AM52" s="11">
        <v>0</v>
      </c>
      <c r="AN52" s="11" t="s">
        <v>36</v>
      </c>
      <c r="AO52" s="11" t="s">
        <v>80</v>
      </c>
      <c r="AP52" s="11">
        <f>Tableau_Lancer_la_requête_à_partir_de_AS4003[[#This Row],[POL_TERM_M]]-Tableau_Lancer_la_requête_à_partir_de_AS4003[[#This Row],[Duration IF]]</f>
        <v>1186</v>
      </c>
      <c r="AQ52" s="11" t="s">
        <v>36</v>
      </c>
      <c r="AR52" s="11" t="s">
        <v>36</v>
      </c>
      <c r="AS52" s="11" t="s">
        <v>36</v>
      </c>
      <c r="AT52" s="11" t="s">
        <v>36</v>
      </c>
      <c r="AU52" s="11" t="s">
        <v>36</v>
      </c>
      <c r="AV52" s="11">
        <v>0</v>
      </c>
      <c r="AW52" s="11">
        <v>11</v>
      </c>
      <c r="AX52" s="11">
        <v>1</v>
      </c>
      <c r="AY52" s="11">
        <v>20181101</v>
      </c>
      <c r="AZ52" s="80">
        <f t="shared" si="2"/>
        <v>43405</v>
      </c>
      <c r="BA52" s="11">
        <v>19720104</v>
      </c>
      <c r="BB52" s="80">
        <f t="shared" si="3"/>
        <v>26302</v>
      </c>
      <c r="BC52" s="11">
        <v>0</v>
      </c>
      <c r="BD52" s="11" t="s">
        <v>81</v>
      </c>
      <c r="BE52" s="11">
        <v>1</v>
      </c>
      <c r="BF52" s="11" t="s">
        <v>36</v>
      </c>
      <c r="BG52" s="11">
        <v>327.2</v>
      </c>
      <c r="BH52" s="11">
        <v>248.1</v>
      </c>
      <c r="BI52" s="11">
        <v>0</v>
      </c>
      <c r="BJ52" s="11" t="s">
        <v>79</v>
      </c>
      <c r="BK52" s="11">
        <v>1</v>
      </c>
      <c r="BL52" s="11">
        <v>0</v>
      </c>
      <c r="BM52" s="11">
        <v>0</v>
      </c>
      <c r="BN52" s="11">
        <v>825905</v>
      </c>
      <c r="BO52" s="11">
        <v>0</v>
      </c>
      <c r="BP52" s="11" t="s">
        <v>79</v>
      </c>
      <c r="BQ52" s="11">
        <v>0</v>
      </c>
      <c r="BR52" s="11"/>
      <c r="BT52" s="11"/>
      <c r="BU52" s="11"/>
      <c r="CA52" s="11"/>
      <c r="CD52" s="11"/>
    </row>
    <row r="53" spans="2:82" ht="12.75" x14ac:dyDescent="0.2">
      <c r="B53" s="11">
        <v>832903</v>
      </c>
      <c r="C53" s="11">
        <f>ROUND(DAYS360(Tableau_Lancer_la_requête_à_partir_de_AS4003[[#This Row],[Date naissance 1]],Tableau_Lancer_la_requête_à_partir_de_AS4003[[#This Row],[Date début]])/360,0)</f>
        <v>64</v>
      </c>
      <c r="D53" s="11">
        <v>0</v>
      </c>
      <c r="E53" s="11">
        <v>0</v>
      </c>
      <c r="F53" s="11">
        <v>0</v>
      </c>
      <c r="G53" s="11">
        <v>12</v>
      </c>
      <c r="H53" s="11">
        <f>ROUND(DAYS360(Tableau_Lancer_la_requête_à_partir_de_AS4003[[#This Row],[Date début]],'Cash flows par police'!$C$4)/30,0)</f>
        <v>19</v>
      </c>
      <c r="I53" s="11">
        <v>0</v>
      </c>
      <c r="J53" s="11">
        <v>0</v>
      </c>
      <c r="K53" s="11">
        <v>0</v>
      </c>
      <c r="L53" s="11">
        <v>30.5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f>SUM(Tableau_Lancer_la_requête_à_partir_de_AS4003[[#This Row],[POLPRCPL2]:[POLPRCPL9]])</f>
        <v>30.5</v>
      </c>
      <c r="T53" s="11">
        <v>99</v>
      </c>
      <c r="U53" s="11">
        <v>6</v>
      </c>
      <c r="V53" s="11">
        <v>0</v>
      </c>
      <c r="W53" s="11">
        <v>652.79999999999995</v>
      </c>
      <c r="X53" s="11">
        <v>304.60000000000002</v>
      </c>
      <c r="Y53" s="11">
        <v>3</v>
      </c>
      <c r="Z53" s="11">
        <v>1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f>IF(Tableau_Lancer_la_requête_à_partir_de_AS4003[[#This Row],[POL_SEX_ASSURE]]="M",0,1)</f>
        <v>1</v>
      </c>
      <c r="AG53" s="11" t="str">
        <f>IF(Tableau_Lancer_la_requête_à_partir_de_AS4003[[#This Row],[POL_SEX_ASSURE2]]="","",IF(Tableau_Lancer_la_requête_à_partir_de_AS4003[[#This Row],[POL_SEX_ASSURE2]]="M",0,1))</f>
        <v/>
      </c>
      <c r="AH5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53" s="11">
        <v>8000</v>
      </c>
      <c r="AJ53" s="11">
        <f>Tableau_Lancer_la_requête_à_partir_de_AS4003[[#This Row],[POL_DUREE_ASSUR]]*12</f>
        <v>1188</v>
      </c>
      <c r="AK53" s="11">
        <v>381</v>
      </c>
      <c r="AL53" s="11">
        <v>304.60000000000002</v>
      </c>
      <c r="AM53" s="11">
        <v>0</v>
      </c>
      <c r="AN53" s="11" t="s">
        <v>36</v>
      </c>
      <c r="AO53" s="11" t="s">
        <v>80</v>
      </c>
      <c r="AP53" s="11">
        <f>Tableau_Lancer_la_requête_à_partir_de_AS4003[[#This Row],[POL_TERM_M]]-Tableau_Lancer_la_requête_à_partir_de_AS4003[[#This Row],[Duration IF]]</f>
        <v>1169</v>
      </c>
      <c r="AQ53" s="11" t="s">
        <v>36</v>
      </c>
      <c r="AR53" s="11" t="s">
        <v>36</v>
      </c>
      <c r="AS53" s="11" t="s">
        <v>36</v>
      </c>
      <c r="AT53" s="11" t="s">
        <v>36</v>
      </c>
      <c r="AU53" s="11" t="s">
        <v>36</v>
      </c>
      <c r="AV53" s="11">
        <v>0</v>
      </c>
      <c r="AW53" s="11">
        <v>11</v>
      </c>
      <c r="AX53" s="11">
        <v>1</v>
      </c>
      <c r="AY53" s="11">
        <v>20170601</v>
      </c>
      <c r="AZ53" s="80">
        <f t="shared" si="2"/>
        <v>42887</v>
      </c>
      <c r="BA53" s="11">
        <v>19530602</v>
      </c>
      <c r="BB53" s="80">
        <f t="shared" si="3"/>
        <v>19512</v>
      </c>
      <c r="BC53" s="11">
        <v>0</v>
      </c>
      <c r="BD53" s="11" t="s">
        <v>81</v>
      </c>
      <c r="BE53" s="11">
        <v>1</v>
      </c>
      <c r="BF53" s="11" t="s">
        <v>36</v>
      </c>
      <c r="BG53" s="11">
        <v>622.29999999999995</v>
      </c>
      <c r="BH53" s="11">
        <v>481.2</v>
      </c>
      <c r="BI53" s="11">
        <v>0</v>
      </c>
      <c r="BJ53" s="11" t="s">
        <v>79</v>
      </c>
      <c r="BK53" s="11">
        <v>1</v>
      </c>
      <c r="BL53" s="11">
        <v>39.5</v>
      </c>
      <c r="BM53" s="11">
        <v>2.1</v>
      </c>
      <c r="BN53" s="11">
        <v>832903</v>
      </c>
      <c r="BO53" s="11">
        <v>0</v>
      </c>
      <c r="BP53" s="11" t="s">
        <v>79</v>
      </c>
      <c r="BQ53" s="11">
        <v>0</v>
      </c>
      <c r="BR53" s="11"/>
      <c r="BT53" s="11"/>
      <c r="BU53" s="11"/>
      <c r="CA53" s="11"/>
      <c r="CD53" s="11"/>
    </row>
    <row r="54" spans="2:82" ht="12.75" x14ac:dyDescent="0.2">
      <c r="B54" s="11">
        <v>858401</v>
      </c>
      <c r="C54" s="11">
        <f>ROUND(DAYS360(Tableau_Lancer_la_requête_à_partir_de_AS4003[[#This Row],[Date naissance 1]],Tableau_Lancer_la_requête_à_partir_de_AS4003[[#This Row],[Date début]])/360,0)</f>
        <v>65</v>
      </c>
      <c r="D54" s="11">
        <v>0</v>
      </c>
      <c r="E54" s="11">
        <v>0</v>
      </c>
      <c r="F54" s="11">
        <v>0</v>
      </c>
      <c r="G54" s="11">
        <v>12</v>
      </c>
      <c r="H54" s="11">
        <f>ROUND(DAYS360(Tableau_Lancer_la_requête_à_partir_de_AS4003[[#This Row],[Date début]],'Cash flows par police'!$C$4)/30,0)</f>
        <v>8</v>
      </c>
      <c r="I54" s="11">
        <v>0</v>
      </c>
      <c r="J54" s="11">
        <v>0</v>
      </c>
      <c r="K54" s="11">
        <v>0</v>
      </c>
      <c r="L54" s="11">
        <v>28.9</v>
      </c>
      <c r="M54" s="11">
        <v>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f>SUM(Tableau_Lancer_la_requête_à_partir_de_AS4003[[#This Row],[POLPRCPL2]:[POLPRCPL9]])</f>
        <v>28.9</v>
      </c>
      <c r="T54" s="11">
        <v>99</v>
      </c>
      <c r="U54" s="11">
        <v>6</v>
      </c>
      <c r="V54" s="11">
        <v>0</v>
      </c>
      <c r="W54" s="11">
        <v>636</v>
      </c>
      <c r="X54" s="11">
        <v>116.5</v>
      </c>
      <c r="Y54" s="11">
        <v>0</v>
      </c>
      <c r="Z54" s="11">
        <v>1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f>IF(Tableau_Lancer_la_requête_à_partir_de_AS4003[[#This Row],[POL_SEX_ASSURE]]="M",0,1)</f>
        <v>1</v>
      </c>
      <c r="AG54" s="11" t="str">
        <f>IF(Tableau_Lancer_la_requête_à_partir_de_AS4003[[#This Row],[POL_SEX_ASSURE2]]="","",IF(Tableau_Lancer_la_requête_à_partir_de_AS4003[[#This Row],[POL_SEX_ASSURE2]]="M",0,1))</f>
        <v/>
      </c>
      <c r="AH5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54" s="11">
        <v>7587.2</v>
      </c>
      <c r="AJ54" s="11">
        <f>Tableau_Lancer_la_requête_à_partir_de_AS4003[[#This Row],[POL_DUREE_ASSUR]]*12</f>
        <v>1188</v>
      </c>
      <c r="AK54" s="11">
        <v>379.4</v>
      </c>
      <c r="AL54" s="11">
        <v>116.5</v>
      </c>
      <c r="AM54" s="11">
        <v>0</v>
      </c>
      <c r="AN54" s="11" t="s">
        <v>36</v>
      </c>
      <c r="AO54" s="11" t="s">
        <v>80</v>
      </c>
      <c r="AP54" s="11">
        <f>Tableau_Lancer_la_requête_à_partir_de_AS4003[[#This Row],[POL_TERM_M]]-Tableau_Lancer_la_requête_à_partir_de_AS4003[[#This Row],[Duration IF]]</f>
        <v>1180</v>
      </c>
      <c r="AQ54" s="11" t="s">
        <v>36</v>
      </c>
      <c r="AR54" s="11" t="s">
        <v>36</v>
      </c>
      <c r="AS54" s="11" t="s">
        <v>36</v>
      </c>
      <c r="AT54" s="11" t="s">
        <v>36</v>
      </c>
      <c r="AU54" s="11" t="s">
        <v>36</v>
      </c>
      <c r="AV54" s="11">
        <v>0</v>
      </c>
      <c r="AW54" s="11">
        <v>11</v>
      </c>
      <c r="AX54" s="11">
        <v>1</v>
      </c>
      <c r="AY54" s="11">
        <v>20180501</v>
      </c>
      <c r="AZ54" s="80">
        <f t="shared" si="2"/>
        <v>43221</v>
      </c>
      <c r="BA54" s="11">
        <v>19530115</v>
      </c>
      <c r="BB54" s="80">
        <f t="shared" si="3"/>
        <v>19374</v>
      </c>
      <c r="BC54" s="11">
        <v>0</v>
      </c>
      <c r="BD54" s="11" t="s">
        <v>81</v>
      </c>
      <c r="BE54" s="11">
        <v>1</v>
      </c>
      <c r="BF54" s="11" t="s">
        <v>36</v>
      </c>
      <c r="BG54" s="11">
        <v>607.1</v>
      </c>
      <c r="BH54" s="11">
        <v>469.6</v>
      </c>
      <c r="BI54" s="11">
        <v>0</v>
      </c>
      <c r="BJ54" s="11" t="s">
        <v>79</v>
      </c>
      <c r="BK54" s="11">
        <v>0</v>
      </c>
      <c r="BL54" s="11">
        <v>0</v>
      </c>
      <c r="BM54" s="11">
        <v>0</v>
      </c>
      <c r="BN54" s="11">
        <v>858401</v>
      </c>
      <c r="BO54" s="11">
        <v>0</v>
      </c>
      <c r="BP54" s="11" t="s">
        <v>79</v>
      </c>
      <c r="BQ54" s="11">
        <v>0</v>
      </c>
      <c r="BR54" s="11"/>
      <c r="BT54" s="11"/>
      <c r="BU54" s="11"/>
      <c r="CA54" s="11"/>
      <c r="CD54" s="11"/>
    </row>
    <row r="55" spans="2:82" ht="12.75" x14ac:dyDescent="0.2">
      <c r="B55" s="11">
        <v>881801</v>
      </c>
      <c r="C55" s="11">
        <f>ROUND(DAYS360(Tableau_Lancer_la_requête_à_partir_de_AS4003[[#This Row],[Date naissance 1]],Tableau_Lancer_la_requête_à_partir_de_AS4003[[#This Row],[Date début]])/360,0)</f>
        <v>61</v>
      </c>
      <c r="D55" s="11">
        <v>0</v>
      </c>
      <c r="E55" s="11">
        <v>0</v>
      </c>
      <c r="F55" s="11">
        <v>0</v>
      </c>
      <c r="G55" s="11">
        <v>12</v>
      </c>
      <c r="H55" s="11">
        <f>ROUND(DAYS360(Tableau_Lancer_la_requête_à_partir_de_AS4003[[#This Row],[Date début]],'Cash flows par police'!$C$4)/30,0)</f>
        <v>12</v>
      </c>
      <c r="I55" s="11">
        <v>0</v>
      </c>
      <c r="J55" s="11">
        <v>0</v>
      </c>
      <c r="K55" s="11">
        <v>0</v>
      </c>
      <c r="L55" s="11">
        <v>38.9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f>SUM(Tableau_Lancer_la_requête_à_partir_de_AS4003[[#This Row],[POLPRCPL2]:[POLPRCPL9]])</f>
        <v>38.9</v>
      </c>
      <c r="T55" s="11">
        <v>99</v>
      </c>
      <c r="U55" s="11">
        <v>12</v>
      </c>
      <c r="V55" s="11">
        <v>0</v>
      </c>
      <c r="W55" s="11">
        <v>789.6</v>
      </c>
      <c r="X55" s="11">
        <v>217.6</v>
      </c>
      <c r="Y55" s="11">
        <v>0</v>
      </c>
      <c r="Z55" s="11">
        <v>1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f>IF(Tableau_Lancer_la_requête_à_partir_de_AS4003[[#This Row],[POL_SEX_ASSURE]]="M",0,1)</f>
        <v>1</v>
      </c>
      <c r="AG55" s="11" t="str">
        <f>IF(Tableau_Lancer_la_requête_à_partir_de_AS4003[[#This Row],[POL_SEX_ASSURE2]]="","",IF(Tableau_Lancer_la_requête_à_partir_de_AS4003[[#This Row],[POL_SEX_ASSURE2]]="M",0,1))</f>
        <v/>
      </c>
      <c r="AH5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55" s="11">
        <v>10000</v>
      </c>
      <c r="AJ55" s="11">
        <f>Tableau_Lancer_la_requête_à_partir_de_AS4003[[#This Row],[POL_DUREE_ASSUR]]*12</f>
        <v>1188</v>
      </c>
      <c r="AK55" s="11">
        <v>434.8</v>
      </c>
      <c r="AL55" s="11">
        <v>217.6</v>
      </c>
      <c r="AM55" s="11">
        <v>0</v>
      </c>
      <c r="AN55" s="11" t="s">
        <v>36</v>
      </c>
      <c r="AO55" s="11" t="s">
        <v>80</v>
      </c>
      <c r="AP55" s="11">
        <f>Tableau_Lancer_la_requête_à_partir_de_AS4003[[#This Row],[POL_TERM_M]]-Tableau_Lancer_la_requête_à_partir_de_AS4003[[#This Row],[Duration IF]]</f>
        <v>1176</v>
      </c>
      <c r="AQ55" s="11" t="s">
        <v>36</v>
      </c>
      <c r="AR55" s="11" t="s">
        <v>36</v>
      </c>
      <c r="AS55" s="11" t="s">
        <v>36</v>
      </c>
      <c r="AT55" s="11" t="s">
        <v>36</v>
      </c>
      <c r="AU55" s="11" t="s">
        <v>36</v>
      </c>
      <c r="AV55" s="11">
        <v>0</v>
      </c>
      <c r="AW55" s="11">
        <v>11</v>
      </c>
      <c r="AX55" s="11">
        <v>1</v>
      </c>
      <c r="AY55" s="11">
        <v>20180101</v>
      </c>
      <c r="AZ55" s="80">
        <f t="shared" si="2"/>
        <v>43101</v>
      </c>
      <c r="BA55" s="11">
        <v>19561228</v>
      </c>
      <c r="BB55" s="80">
        <f t="shared" si="3"/>
        <v>20817</v>
      </c>
      <c r="BC55" s="11">
        <v>0</v>
      </c>
      <c r="BD55" s="11" t="s">
        <v>81</v>
      </c>
      <c r="BE55" s="11">
        <v>1</v>
      </c>
      <c r="BF55" s="11" t="s">
        <v>36</v>
      </c>
      <c r="BG55" s="11">
        <v>750.7</v>
      </c>
      <c r="BH55" s="11">
        <v>570.29999999999995</v>
      </c>
      <c r="BI55" s="11">
        <v>0</v>
      </c>
      <c r="BJ55" s="11" t="s">
        <v>79</v>
      </c>
      <c r="BK55" s="11">
        <v>1</v>
      </c>
      <c r="BL55" s="11">
        <v>0</v>
      </c>
      <c r="BM55" s="11">
        <v>0</v>
      </c>
      <c r="BN55" s="11">
        <v>881801</v>
      </c>
      <c r="BO55" s="11">
        <v>0</v>
      </c>
      <c r="BP55" s="11" t="s">
        <v>79</v>
      </c>
      <c r="BQ55" s="11">
        <v>0</v>
      </c>
      <c r="BR55" s="11"/>
      <c r="BT55" s="11"/>
      <c r="BU55" s="11"/>
      <c r="CA55" s="11"/>
      <c r="CD55" s="11"/>
    </row>
    <row r="56" spans="2:82" ht="12.75" x14ac:dyDescent="0.2">
      <c r="B56" s="11">
        <v>884102</v>
      </c>
      <c r="C56" s="11">
        <f>ROUND(DAYS360(Tableau_Lancer_la_requête_à_partir_de_AS4003[[#This Row],[Date naissance 1]],Tableau_Lancer_la_requête_à_partir_de_AS4003[[#This Row],[Date début]])/360,0)</f>
        <v>60</v>
      </c>
      <c r="D56" s="11">
        <v>0</v>
      </c>
      <c r="E56" s="11">
        <v>0</v>
      </c>
      <c r="F56" s="11">
        <v>0</v>
      </c>
      <c r="G56" s="11">
        <v>12</v>
      </c>
      <c r="H56" s="11">
        <f>ROUND(DAYS360(Tableau_Lancer_la_requête_à_partir_de_AS4003[[#This Row],[Date début]],'Cash flows par police'!$C$4)/30,0)</f>
        <v>1</v>
      </c>
      <c r="I56" s="11">
        <v>0</v>
      </c>
      <c r="J56" s="11">
        <v>0</v>
      </c>
      <c r="K56" s="11">
        <v>0</v>
      </c>
      <c r="L56" s="11">
        <v>19.399999999999999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f>SUM(Tableau_Lancer_la_requête_à_partir_de_AS4003[[#This Row],[POLPRCPL2]:[POLPRCPL9]])</f>
        <v>19.399999999999999</v>
      </c>
      <c r="T56" s="11">
        <v>99</v>
      </c>
      <c r="U56" s="11">
        <v>12</v>
      </c>
      <c r="V56" s="11">
        <v>0</v>
      </c>
      <c r="W56" s="11">
        <v>346.8</v>
      </c>
      <c r="X56" s="11">
        <v>0</v>
      </c>
      <c r="Y56" s="11">
        <v>0</v>
      </c>
      <c r="Z56" s="11">
        <v>1</v>
      </c>
      <c r="AA56" s="11">
        <v>0</v>
      </c>
      <c r="AB56" s="11">
        <v>0</v>
      </c>
      <c r="AC56" s="11">
        <v>0</v>
      </c>
      <c r="AD56" s="11">
        <v>0</v>
      </c>
      <c r="AE56" s="11">
        <v>0</v>
      </c>
      <c r="AF56" s="11">
        <f>IF(Tableau_Lancer_la_requête_à_partir_de_AS4003[[#This Row],[POL_SEX_ASSURE]]="M",0,1)</f>
        <v>1</v>
      </c>
      <c r="AG56" s="11" t="str">
        <f>IF(Tableau_Lancer_la_requête_à_partir_de_AS4003[[#This Row],[POL_SEX_ASSURE2]]="","",IF(Tableau_Lancer_la_requête_à_partir_de_AS4003[[#This Row],[POL_SEX_ASSURE2]]="M",0,1))</f>
        <v/>
      </c>
      <c r="AH5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56" s="11">
        <v>5000</v>
      </c>
      <c r="AJ56" s="11">
        <f>Tableau_Lancer_la_requête_à_partir_de_AS4003[[#This Row],[POL_DUREE_ASSUR]]*12</f>
        <v>1188</v>
      </c>
      <c r="AK56" s="11">
        <v>192.3</v>
      </c>
      <c r="AL56" s="11">
        <v>0</v>
      </c>
      <c r="AM56" s="11">
        <v>0</v>
      </c>
      <c r="AN56" s="11" t="s">
        <v>36</v>
      </c>
      <c r="AO56" s="11" t="s">
        <v>80</v>
      </c>
      <c r="AP56" s="11">
        <f>Tableau_Lancer_la_requête_à_partir_de_AS4003[[#This Row],[POL_TERM_M]]-Tableau_Lancer_la_requête_à_partir_de_AS4003[[#This Row],[Duration IF]]</f>
        <v>1187</v>
      </c>
      <c r="AQ56" s="11" t="s">
        <v>36</v>
      </c>
      <c r="AR56" s="11" t="s">
        <v>36</v>
      </c>
      <c r="AS56" s="11" t="s">
        <v>36</v>
      </c>
      <c r="AT56" s="11" t="s">
        <v>36</v>
      </c>
      <c r="AU56" s="11" t="s">
        <v>36</v>
      </c>
      <c r="AV56" s="11">
        <v>0</v>
      </c>
      <c r="AW56" s="11">
        <v>11</v>
      </c>
      <c r="AX56" s="11">
        <v>1</v>
      </c>
      <c r="AY56" s="11">
        <v>20181201</v>
      </c>
      <c r="AZ56" s="80">
        <f t="shared" si="2"/>
        <v>43435</v>
      </c>
      <c r="BA56" s="11">
        <v>19590307</v>
      </c>
      <c r="BB56" s="80">
        <f t="shared" si="3"/>
        <v>21616</v>
      </c>
      <c r="BC56" s="11">
        <v>0</v>
      </c>
      <c r="BD56" s="11" t="s">
        <v>81</v>
      </c>
      <c r="BE56" s="11">
        <v>1</v>
      </c>
      <c r="BF56" s="11" t="s">
        <v>36</v>
      </c>
      <c r="BG56" s="11">
        <v>327.39999999999998</v>
      </c>
      <c r="BH56" s="11">
        <v>248.8</v>
      </c>
      <c r="BI56" s="11">
        <v>0</v>
      </c>
      <c r="BJ56" s="11" t="s">
        <v>79</v>
      </c>
      <c r="BK56" s="11">
        <v>1</v>
      </c>
      <c r="BL56" s="11">
        <v>0</v>
      </c>
      <c r="BM56" s="11">
        <v>0</v>
      </c>
      <c r="BN56" s="11">
        <v>884102</v>
      </c>
      <c r="BO56" s="11">
        <v>0</v>
      </c>
      <c r="BP56" s="11" t="s">
        <v>79</v>
      </c>
      <c r="BQ56" s="11">
        <v>0</v>
      </c>
      <c r="BR56" s="11"/>
      <c r="BT56" s="11"/>
      <c r="BU56" s="11"/>
      <c r="CA56" s="11"/>
      <c r="CD56" s="11"/>
    </row>
    <row r="57" spans="2:82" ht="12.75" x14ac:dyDescent="0.2">
      <c r="B57" s="11">
        <v>917605</v>
      </c>
      <c r="C57" s="11">
        <f>ROUND(DAYS360(Tableau_Lancer_la_requête_à_partir_de_AS4003[[#This Row],[Date naissance 1]],Tableau_Lancer_la_requête_à_partir_de_AS4003[[#This Row],[Date début]])/360,0)</f>
        <v>54</v>
      </c>
      <c r="D57" s="11">
        <v>0</v>
      </c>
      <c r="E57" s="11">
        <v>0</v>
      </c>
      <c r="F57" s="11">
        <v>0</v>
      </c>
      <c r="G57" s="11">
        <v>12</v>
      </c>
      <c r="H57" s="11">
        <f>ROUND(DAYS360(Tableau_Lancer_la_requête_à_partir_de_AS4003[[#This Row],[Date début]],'Cash flows par police'!$C$4)/30,0)</f>
        <v>1</v>
      </c>
      <c r="I57" s="11">
        <v>0</v>
      </c>
      <c r="J57" s="11">
        <v>0</v>
      </c>
      <c r="K57" s="11">
        <v>0</v>
      </c>
      <c r="L57" s="11">
        <v>27.4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f>SUM(Tableau_Lancer_la_requête_à_partir_de_AS4003[[#This Row],[POLPRCPL2]:[POLPRCPL9]])</f>
        <v>27.4</v>
      </c>
      <c r="T57" s="11">
        <v>99</v>
      </c>
      <c r="U57" s="11">
        <v>12</v>
      </c>
      <c r="V57" s="11">
        <v>0</v>
      </c>
      <c r="W57" s="11">
        <v>432</v>
      </c>
      <c r="X57" s="11">
        <v>0</v>
      </c>
      <c r="Y57" s="11">
        <v>0</v>
      </c>
      <c r="Z57" s="11">
        <v>1</v>
      </c>
      <c r="AA57" s="11">
        <v>0</v>
      </c>
      <c r="AB57" s="11">
        <v>0</v>
      </c>
      <c r="AC57" s="11">
        <v>0</v>
      </c>
      <c r="AD57" s="11">
        <v>0</v>
      </c>
      <c r="AE57" s="11">
        <v>0</v>
      </c>
      <c r="AF57" s="11">
        <f>IF(Tableau_Lancer_la_requête_à_partir_de_AS4003[[#This Row],[POL_SEX_ASSURE]]="M",0,1)</f>
        <v>1</v>
      </c>
      <c r="AG57" s="11" t="str">
        <f>IF(Tableau_Lancer_la_requête_à_partir_de_AS4003[[#This Row],[POL_SEX_ASSURE2]]="","",IF(Tableau_Lancer_la_requête_à_partir_de_AS4003[[#This Row],[POL_SEX_ASSURE2]]="M",0,1))</f>
        <v/>
      </c>
      <c r="AH5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57" s="11">
        <v>7039.5</v>
      </c>
      <c r="AJ57" s="11">
        <f>Tableau_Lancer_la_requête_à_partir_de_AS4003[[#This Row],[POL_DUREE_ASSUR]]*12</f>
        <v>1188</v>
      </c>
      <c r="AK57" s="11">
        <v>220</v>
      </c>
      <c r="AL57" s="11">
        <v>0</v>
      </c>
      <c r="AM57" s="11">
        <v>0</v>
      </c>
      <c r="AN57" s="11" t="s">
        <v>36</v>
      </c>
      <c r="AO57" s="11" t="s">
        <v>80</v>
      </c>
      <c r="AP57" s="11">
        <f>Tableau_Lancer_la_requête_à_partir_de_AS4003[[#This Row],[POL_TERM_M]]-Tableau_Lancer_la_requête_à_partir_de_AS4003[[#This Row],[Duration IF]]</f>
        <v>1187</v>
      </c>
      <c r="AQ57" s="11" t="s">
        <v>36</v>
      </c>
      <c r="AR57" s="11" t="s">
        <v>36</v>
      </c>
      <c r="AS57" s="11" t="s">
        <v>36</v>
      </c>
      <c r="AT57" s="11" t="s">
        <v>36</v>
      </c>
      <c r="AU57" s="11" t="s">
        <v>36</v>
      </c>
      <c r="AV57" s="11">
        <v>0</v>
      </c>
      <c r="AW57" s="11">
        <v>11</v>
      </c>
      <c r="AX57" s="11">
        <v>1</v>
      </c>
      <c r="AY57" s="11">
        <v>20181201</v>
      </c>
      <c r="AZ57" s="80">
        <f t="shared" si="2"/>
        <v>43435</v>
      </c>
      <c r="BA57" s="11">
        <v>19650506</v>
      </c>
      <c r="BB57" s="80">
        <f t="shared" si="3"/>
        <v>23868</v>
      </c>
      <c r="BC57" s="11">
        <v>0</v>
      </c>
      <c r="BD57" s="11" t="s">
        <v>81</v>
      </c>
      <c r="BE57" s="11">
        <v>1</v>
      </c>
      <c r="BF57" s="11" t="s">
        <v>36</v>
      </c>
      <c r="BG57" s="11">
        <v>404.6</v>
      </c>
      <c r="BH57" s="11">
        <v>307.2</v>
      </c>
      <c r="BI57" s="11">
        <v>0</v>
      </c>
      <c r="BJ57" s="11" t="s">
        <v>79</v>
      </c>
      <c r="BK57" s="11">
        <v>1</v>
      </c>
      <c r="BL57" s="11">
        <v>0</v>
      </c>
      <c r="BM57" s="11">
        <v>0</v>
      </c>
      <c r="BN57" s="11">
        <v>917605</v>
      </c>
      <c r="BO57" s="11">
        <v>0</v>
      </c>
      <c r="BP57" s="11" t="s">
        <v>79</v>
      </c>
      <c r="BQ57" s="11">
        <v>0</v>
      </c>
      <c r="BR57" s="11"/>
      <c r="BT57" s="11"/>
      <c r="BU57" s="11"/>
      <c r="CA57" s="11"/>
      <c r="CD57" s="11"/>
    </row>
    <row r="58" spans="2:82" ht="12.75" x14ac:dyDescent="0.2">
      <c r="B58" s="11">
        <v>948503</v>
      </c>
      <c r="C58" s="11">
        <f>ROUND(DAYS360(Tableau_Lancer_la_requête_à_partir_de_AS4003[[#This Row],[Date naissance 1]],Tableau_Lancer_la_requête_à_partir_de_AS4003[[#This Row],[Date début]])/360,0)</f>
        <v>57</v>
      </c>
      <c r="D58" s="11">
        <v>0</v>
      </c>
      <c r="E58" s="11">
        <v>0</v>
      </c>
      <c r="F58" s="11">
        <v>0</v>
      </c>
      <c r="G58" s="11">
        <v>12</v>
      </c>
      <c r="H58" s="11">
        <f>ROUND(DAYS360(Tableau_Lancer_la_requête_à_partir_de_AS4003[[#This Row],[Date début]],'Cash flows par police'!$C$4)/30,0)</f>
        <v>2</v>
      </c>
      <c r="I58" s="11">
        <v>0</v>
      </c>
      <c r="J58" s="11">
        <v>0</v>
      </c>
      <c r="K58" s="11">
        <v>0</v>
      </c>
      <c r="L58" s="11">
        <v>27.2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f>SUM(Tableau_Lancer_la_requête_à_partir_de_AS4003[[#This Row],[POLPRCPL2]:[POLPRCPL9]])</f>
        <v>27.2</v>
      </c>
      <c r="T58" s="11">
        <v>99</v>
      </c>
      <c r="U58" s="11">
        <v>12</v>
      </c>
      <c r="V58" s="11">
        <v>0</v>
      </c>
      <c r="W58" s="11">
        <v>456</v>
      </c>
      <c r="X58" s="11">
        <v>0</v>
      </c>
      <c r="Y58" s="11">
        <v>0</v>
      </c>
      <c r="Z58" s="11">
        <v>1</v>
      </c>
      <c r="AA58" s="11">
        <v>0</v>
      </c>
      <c r="AB58" s="11">
        <v>0</v>
      </c>
      <c r="AC58" s="11">
        <v>0</v>
      </c>
      <c r="AD58" s="11">
        <v>0</v>
      </c>
      <c r="AE58" s="11">
        <v>0</v>
      </c>
      <c r="AF58" s="11">
        <f>IF(Tableau_Lancer_la_requête_à_partir_de_AS4003[[#This Row],[POL_SEX_ASSURE]]="M",0,1)</f>
        <v>1</v>
      </c>
      <c r="AG58" s="11" t="str">
        <f>IF(Tableau_Lancer_la_requête_à_partir_de_AS4003[[#This Row],[POL_SEX_ASSURE2]]="","",IF(Tableau_Lancer_la_requête_à_partir_de_AS4003[[#This Row],[POL_SEX_ASSURE2]]="M",0,1))</f>
        <v/>
      </c>
      <c r="AH5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58" s="11">
        <v>7000</v>
      </c>
      <c r="AJ58" s="11">
        <f>Tableau_Lancer_la_requête_à_partir_de_AS4003[[#This Row],[POL_DUREE_ASSUR]]*12</f>
        <v>1188</v>
      </c>
      <c r="AK58" s="11">
        <v>241.4</v>
      </c>
      <c r="AL58" s="11">
        <v>0</v>
      </c>
      <c r="AM58" s="11">
        <v>0</v>
      </c>
      <c r="AN58" s="11" t="s">
        <v>36</v>
      </c>
      <c r="AO58" s="11" t="s">
        <v>80</v>
      </c>
      <c r="AP58" s="11">
        <f>Tableau_Lancer_la_requête_à_partir_de_AS4003[[#This Row],[POL_TERM_M]]-Tableau_Lancer_la_requête_à_partir_de_AS4003[[#This Row],[Duration IF]]</f>
        <v>1186</v>
      </c>
      <c r="AQ58" s="11" t="s">
        <v>36</v>
      </c>
      <c r="AR58" s="11" t="s">
        <v>36</v>
      </c>
      <c r="AS58" s="11" t="s">
        <v>36</v>
      </c>
      <c r="AT58" s="11" t="s">
        <v>36</v>
      </c>
      <c r="AU58" s="11" t="s">
        <v>36</v>
      </c>
      <c r="AV58" s="11">
        <v>0</v>
      </c>
      <c r="AW58" s="11">
        <v>11</v>
      </c>
      <c r="AX58" s="11">
        <v>1</v>
      </c>
      <c r="AY58" s="11">
        <v>20181101</v>
      </c>
      <c r="AZ58" s="80">
        <f t="shared" si="2"/>
        <v>43405</v>
      </c>
      <c r="BA58" s="11">
        <v>19620319</v>
      </c>
      <c r="BB58" s="80">
        <f t="shared" si="3"/>
        <v>22724</v>
      </c>
      <c r="BC58" s="11">
        <v>0</v>
      </c>
      <c r="BD58" s="11" t="s">
        <v>81</v>
      </c>
      <c r="BE58" s="11">
        <v>1</v>
      </c>
      <c r="BF58" s="11" t="s">
        <v>36</v>
      </c>
      <c r="BG58" s="11">
        <v>428.8</v>
      </c>
      <c r="BH58" s="11">
        <v>325.2</v>
      </c>
      <c r="BI58" s="11">
        <v>0</v>
      </c>
      <c r="BJ58" s="11" t="s">
        <v>79</v>
      </c>
      <c r="BK58" s="11">
        <v>1</v>
      </c>
      <c r="BL58" s="11">
        <v>0</v>
      </c>
      <c r="BM58" s="11">
        <v>0</v>
      </c>
      <c r="BN58" s="11">
        <v>948503</v>
      </c>
      <c r="BO58" s="11">
        <v>0</v>
      </c>
      <c r="BP58" s="11" t="s">
        <v>79</v>
      </c>
      <c r="BQ58" s="11">
        <v>0</v>
      </c>
      <c r="BR58" s="11"/>
      <c r="BT58" s="11"/>
      <c r="BU58" s="11"/>
      <c r="CA58" s="11"/>
      <c r="CD58" s="11"/>
    </row>
    <row r="59" spans="2:82" ht="12.75" x14ac:dyDescent="0.2">
      <c r="B59" s="11">
        <v>962102</v>
      </c>
      <c r="C59" s="11">
        <f>ROUND(DAYS360(Tableau_Lancer_la_requête_à_partir_de_AS4003[[#This Row],[Date naissance 1]],Tableau_Lancer_la_requête_à_partir_de_AS4003[[#This Row],[Date début]])/360,0)</f>
        <v>48</v>
      </c>
      <c r="D59" s="11">
        <v>0</v>
      </c>
      <c r="E59" s="11">
        <v>0</v>
      </c>
      <c r="F59" s="11">
        <v>0</v>
      </c>
      <c r="G59" s="11">
        <v>12</v>
      </c>
      <c r="H59" s="11">
        <f>ROUND(DAYS360(Tableau_Lancer_la_requête_à_partir_de_AS4003[[#This Row],[Date début]],'Cash flows par police'!$C$4)/30,0)</f>
        <v>2</v>
      </c>
      <c r="I59" s="11">
        <v>0</v>
      </c>
      <c r="J59" s="11">
        <v>0</v>
      </c>
      <c r="K59" s="11">
        <v>0</v>
      </c>
      <c r="L59" s="11">
        <v>38.9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f>SUM(Tableau_Lancer_la_requête_à_partir_de_AS4003[[#This Row],[POLPRCPL2]:[POLPRCPL9]])</f>
        <v>38.9</v>
      </c>
      <c r="T59" s="11">
        <v>99</v>
      </c>
      <c r="U59" s="11">
        <v>12</v>
      </c>
      <c r="V59" s="11">
        <v>0</v>
      </c>
      <c r="W59" s="11">
        <v>492</v>
      </c>
      <c r="X59" s="11">
        <v>14.1</v>
      </c>
      <c r="Y59" s="11">
        <v>0</v>
      </c>
      <c r="Z59" s="11">
        <v>1</v>
      </c>
      <c r="AA59" s="11">
        <v>0</v>
      </c>
      <c r="AB59" s="11">
        <v>0</v>
      </c>
      <c r="AC59" s="11">
        <v>0</v>
      </c>
      <c r="AD59" s="11">
        <v>0</v>
      </c>
      <c r="AE59" s="11">
        <v>0</v>
      </c>
      <c r="AF59" s="11">
        <f>IF(Tableau_Lancer_la_requête_à_partir_de_AS4003[[#This Row],[POL_SEX_ASSURE]]="M",0,1)</f>
        <v>1</v>
      </c>
      <c r="AG59" s="11" t="str">
        <f>IF(Tableau_Lancer_la_requête_à_partir_de_AS4003[[#This Row],[POL_SEX_ASSURE2]]="","",IF(Tableau_Lancer_la_requête_à_partir_de_AS4003[[#This Row],[POL_SEX_ASSURE2]]="M",0,1))</f>
        <v/>
      </c>
      <c r="AH5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59" s="11">
        <v>10000</v>
      </c>
      <c r="AJ59" s="11">
        <f>Tableau_Lancer_la_requête_à_partir_de_AS4003[[#This Row],[POL_DUREE_ASSUR]]*12</f>
        <v>1188</v>
      </c>
      <c r="AK59" s="11">
        <v>270.3</v>
      </c>
      <c r="AL59" s="11">
        <v>14.1</v>
      </c>
      <c r="AM59" s="11">
        <v>0</v>
      </c>
      <c r="AN59" s="11" t="s">
        <v>36</v>
      </c>
      <c r="AO59" s="11" t="s">
        <v>80</v>
      </c>
      <c r="AP59" s="11">
        <f>Tableau_Lancer_la_requête_à_partir_de_AS4003[[#This Row],[POL_TERM_M]]-Tableau_Lancer_la_requête_à_partir_de_AS4003[[#This Row],[Duration IF]]</f>
        <v>1186</v>
      </c>
      <c r="AQ59" s="11" t="s">
        <v>36</v>
      </c>
      <c r="AR59" s="11" t="s">
        <v>36</v>
      </c>
      <c r="AS59" s="11" t="s">
        <v>36</v>
      </c>
      <c r="AT59" s="11" t="s">
        <v>36</v>
      </c>
      <c r="AU59" s="11" t="s">
        <v>36</v>
      </c>
      <c r="AV59" s="11">
        <v>0</v>
      </c>
      <c r="AW59" s="11">
        <v>11</v>
      </c>
      <c r="AX59" s="11">
        <v>1</v>
      </c>
      <c r="AY59" s="11">
        <v>20181101</v>
      </c>
      <c r="AZ59" s="80">
        <f t="shared" si="2"/>
        <v>43405</v>
      </c>
      <c r="BA59" s="11">
        <v>19700929</v>
      </c>
      <c r="BB59" s="80">
        <f t="shared" si="3"/>
        <v>25840</v>
      </c>
      <c r="BC59" s="11">
        <v>0</v>
      </c>
      <c r="BD59" s="11" t="s">
        <v>81</v>
      </c>
      <c r="BE59" s="11">
        <v>1</v>
      </c>
      <c r="BF59" s="11" t="s">
        <v>36</v>
      </c>
      <c r="BG59" s="11">
        <v>453.1</v>
      </c>
      <c r="BH59" s="11">
        <v>343.8</v>
      </c>
      <c r="BI59" s="11">
        <v>0</v>
      </c>
      <c r="BJ59" s="11" t="s">
        <v>79</v>
      </c>
      <c r="BK59" s="11">
        <v>1</v>
      </c>
      <c r="BL59" s="11">
        <v>0</v>
      </c>
      <c r="BM59" s="11">
        <v>0</v>
      </c>
      <c r="BN59" s="11">
        <v>962102</v>
      </c>
      <c r="BO59" s="11">
        <v>0</v>
      </c>
      <c r="BP59" s="11" t="s">
        <v>79</v>
      </c>
      <c r="BQ59" s="11">
        <v>0</v>
      </c>
      <c r="BR59" s="11"/>
      <c r="BT59" s="11"/>
      <c r="BU59" s="11"/>
      <c r="CA59" s="11"/>
      <c r="CD59" s="11"/>
    </row>
    <row r="60" spans="2:82" ht="12.75" x14ac:dyDescent="0.2">
      <c r="B60" s="11">
        <v>969902</v>
      </c>
      <c r="C60" s="11">
        <f>ROUND(DAYS360(Tableau_Lancer_la_requête_à_partir_de_AS4003[[#This Row],[Date naissance 1]],Tableau_Lancer_la_requête_à_partir_de_AS4003[[#This Row],[Date début]])/360,0)</f>
        <v>63</v>
      </c>
      <c r="D60" s="11">
        <v>0</v>
      </c>
      <c r="E60" s="11">
        <v>0</v>
      </c>
      <c r="F60" s="11">
        <v>0</v>
      </c>
      <c r="G60" s="11">
        <v>12</v>
      </c>
      <c r="H60" s="11">
        <f>ROUND(DAYS360(Tableau_Lancer_la_requête_à_partir_de_AS4003[[#This Row],[Date début]],'Cash flows par police'!$C$4)/30,0)</f>
        <v>1</v>
      </c>
      <c r="I60" s="11">
        <v>0</v>
      </c>
      <c r="J60" s="11">
        <v>0</v>
      </c>
      <c r="K60" s="11">
        <v>0</v>
      </c>
      <c r="L60" s="11">
        <v>10.6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f>SUM(Tableau_Lancer_la_requête_à_partir_de_AS4003[[#This Row],[POLPRCPL2]:[POLPRCPL9]])</f>
        <v>10.6</v>
      </c>
      <c r="T60" s="11">
        <v>99</v>
      </c>
      <c r="U60" s="11">
        <v>12</v>
      </c>
      <c r="V60" s="11">
        <v>0</v>
      </c>
      <c r="W60" s="11">
        <v>216</v>
      </c>
      <c r="X60" s="11">
        <v>0</v>
      </c>
      <c r="Y60" s="11">
        <v>0</v>
      </c>
      <c r="Z60" s="11">
        <v>1</v>
      </c>
      <c r="AA60" s="11">
        <v>0</v>
      </c>
      <c r="AB60" s="11">
        <v>0</v>
      </c>
      <c r="AC60" s="11">
        <v>0</v>
      </c>
      <c r="AD60" s="11">
        <v>0</v>
      </c>
      <c r="AE60" s="11">
        <v>0</v>
      </c>
      <c r="AF60" s="11">
        <f>IF(Tableau_Lancer_la_requête_à_partir_de_AS4003[[#This Row],[POL_SEX_ASSURE]]="M",0,1)</f>
        <v>1</v>
      </c>
      <c r="AG60" s="11" t="str">
        <f>IF(Tableau_Lancer_la_requête_à_partir_de_AS4003[[#This Row],[POL_SEX_ASSURE2]]="","",IF(Tableau_Lancer_la_requête_à_partir_de_AS4003[[#This Row],[POL_SEX_ASSURE2]]="M",0,1))</f>
        <v/>
      </c>
      <c r="AH6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60" s="11">
        <v>2734.3</v>
      </c>
      <c r="AJ60" s="11">
        <f>Tableau_Lancer_la_requête_à_partir_de_AS4003[[#This Row],[POL_DUREE_ASSUR]]*12</f>
        <v>1188</v>
      </c>
      <c r="AK60" s="11">
        <v>118.9</v>
      </c>
      <c r="AL60" s="11">
        <v>0</v>
      </c>
      <c r="AM60" s="11">
        <v>0</v>
      </c>
      <c r="AN60" s="11" t="s">
        <v>36</v>
      </c>
      <c r="AO60" s="11" t="s">
        <v>80</v>
      </c>
      <c r="AP60" s="11">
        <f>Tableau_Lancer_la_requête_à_partir_de_AS4003[[#This Row],[POL_TERM_M]]-Tableau_Lancer_la_requête_à_partir_de_AS4003[[#This Row],[Duration IF]]</f>
        <v>1187</v>
      </c>
      <c r="AQ60" s="11" t="s">
        <v>36</v>
      </c>
      <c r="AR60" s="11" t="s">
        <v>36</v>
      </c>
      <c r="AS60" s="11" t="s">
        <v>36</v>
      </c>
      <c r="AT60" s="11" t="s">
        <v>36</v>
      </c>
      <c r="AU60" s="11" t="s">
        <v>36</v>
      </c>
      <c r="AV60" s="11">
        <v>0</v>
      </c>
      <c r="AW60" s="11">
        <v>11</v>
      </c>
      <c r="AX60" s="11">
        <v>1</v>
      </c>
      <c r="AY60" s="11">
        <v>20181201</v>
      </c>
      <c r="AZ60" s="80">
        <f t="shared" si="2"/>
        <v>43435</v>
      </c>
      <c r="BA60" s="11">
        <v>19560502</v>
      </c>
      <c r="BB60" s="80">
        <f t="shared" si="3"/>
        <v>20577</v>
      </c>
      <c r="BC60" s="11">
        <v>0</v>
      </c>
      <c r="BD60" s="11" t="s">
        <v>81</v>
      </c>
      <c r="BE60" s="11">
        <v>1</v>
      </c>
      <c r="BF60" s="11" t="s">
        <v>36</v>
      </c>
      <c r="BG60" s="11">
        <v>205.4</v>
      </c>
      <c r="BH60" s="11">
        <v>155.9</v>
      </c>
      <c r="BI60" s="11">
        <v>0</v>
      </c>
      <c r="BJ60" s="11" t="s">
        <v>79</v>
      </c>
      <c r="BK60" s="11">
        <v>1</v>
      </c>
      <c r="BL60" s="11">
        <v>0</v>
      </c>
      <c r="BM60" s="11">
        <v>0</v>
      </c>
      <c r="BN60" s="11">
        <v>969902</v>
      </c>
      <c r="BO60" s="11">
        <v>0</v>
      </c>
      <c r="BP60" s="11" t="s">
        <v>79</v>
      </c>
      <c r="BQ60" s="11">
        <v>0</v>
      </c>
      <c r="BR60" s="11"/>
      <c r="BT60" s="11"/>
      <c r="BU60" s="11"/>
      <c r="CA60" s="11"/>
      <c r="CD60" s="11"/>
    </row>
    <row r="61" spans="2:82" ht="12.75" x14ac:dyDescent="0.2">
      <c r="B61" s="11">
        <v>1027102</v>
      </c>
      <c r="C61" s="11">
        <f>ROUND(DAYS360(Tableau_Lancer_la_requête_à_partir_de_AS4003[[#This Row],[Date naissance 1]],Tableau_Lancer_la_requête_à_partir_de_AS4003[[#This Row],[Date début]])/360,0)</f>
        <v>55</v>
      </c>
      <c r="D61" s="11">
        <v>0</v>
      </c>
      <c r="E61" s="11">
        <v>0</v>
      </c>
      <c r="F61" s="11">
        <v>0</v>
      </c>
      <c r="G61" s="11">
        <v>12</v>
      </c>
      <c r="H61" s="11">
        <f>ROUND(DAYS360(Tableau_Lancer_la_requête_à_partir_de_AS4003[[#This Row],[Date début]],'Cash flows par police'!$C$4)/30,0)</f>
        <v>21</v>
      </c>
      <c r="I61" s="11">
        <v>0</v>
      </c>
      <c r="J61" s="11">
        <v>0</v>
      </c>
      <c r="K61" s="11">
        <v>0</v>
      </c>
      <c r="L61" s="11">
        <v>58.3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f>SUM(Tableau_Lancer_la_requête_à_partir_de_AS4003[[#This Row],[POLPRCPL2]:[POLPRCPL9]])</f>
        <v>58.3</v>
      </c>
      <c r="T61" s="11">
        <v>99</v>
      </c>
      <c r="U61" s="11">
        <v>12</v>
      </c>
      <c r="V61" s="11">
        <v>0</v>
      </c>
      <c r="W61" s="11">
        <v>956.4</v>
      </c>
      <c r="X61" s="11">
        <v>489.1</v>
      </c>
      <c r="Y61" s="11">
        <v>5.8</v>
      </c>
      <c r="Z61" s="11">
        <v>1</v>
      </c>
      <c r="AA61" s="11">
        <v>0</v>
      </c>
      <c r="AB61" s="11">
        <v>0</v>
      </c>
      <c r="AC61" s="11">
        <v>0</v>
      </c>
      <c r="AD61" s="11">
        <v>0</v>
      </c>
      <c r="AE61" s="11">
        <v>0</v>
      </c>
      <c r="AF61" s="11">
        <f>IF(Tableau_Lancer_la_requête_à_partir_de_AS4003[[#This Row],[POL_SEX_ASSURE]]="M",0,1)</f>
        <v>1</v>
      </c>
      <c r="AG61" s="11" t="str">
        <f>IF(Tableau_Lancer_la_requête_à_partir_de_AS4003[[#This Row],[POL_SEX_ASSURE2]]="","",IF(Tableau_Lancer_la_requête_à_partir_de_AS4003[[#This Row],[POL_SEX_ASSURE2]]="M",0,1))</f>
        <v/>
      </c>
      <c r="AH6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61" s="11">
        <v>15000</v>
      </c>
      <c r="AJ61" s="11">
        <f>Tableau_Lancer_la_requête_à_partir_de_AS4003[[#This Row],[POL_DUREE_ASSUR]]*12</f>
        <v>1188</v>
      </c>
      <c r="AK61" s="11">
        <v>500</v>
      </c>
      <c r="AL61" s="11">
        <v>489.1</v>
      </c>
      <c r="AM61" s="11">
        <v>0</v>
      </c>
      <c r="AN61" s="11" t="s">
        <v>36</v>
      </c>
      <c r="AO61" s="11" t="s">
        <v>80</v>
      </c>
      <c r="AP61" s="11">
        <f>Tableau_Lancer_la_requête_à_partir_de_AS4003[[#This Row],[POL_TERM_M]]-Tableau_Lancer_la_requête_à_partir_de_AS4003[[#This Row],[Duration IF]]</f>
        <v>1167</v>
      </c>
      <c r="AQ61" s="11" t="s">
        <v>36</v>
      </c>
      <c r="AR61" s="11" t="s">
        <v>36</v>
      </c>
      <c r="AS61" s="11" t="s">
        <v>36</v>
      </c>
      <c r="AT61" s="11" t="s">
        <v>36</v>
      </c>
      <c r="AU61" s="11" t="s">
        <v>36</v>
      </c>
      <c r="AV61" s="11">
        <v>0</v>
      </c>
      <c r="AW61" s="11">
        <v>11</v>
      </c>
      <c r="AX61" s="11">
        <v>1</v>
      </c>
      <c r="AY61" s="11">
        <v>20170401</v>
      </c>
      <c r="AZ61" s="80">
        <f t="shared" si="2"/>
        <v>42826</v>
      </c>
      <c r="BA61" s="11">
        <v>19620507</v>
      </c>
      <c r="BB61" s="80">
        <f t="shared" si="3"/>
        <v>22773</v>
      </c>
      <c r="BC61" s="11">
        <v>0</v>
      </c>
      <c r="BD61" s="11" t="s">
        <v>81</v>
      </c>
      <c r="BE61" s="11">
        <v>1</v>
      </c>
      <c r="BF61" s="11" t="s">
        <v>36</v>
      </c>
      <c r="BG61" s="11">
        <v>898.1</v>
      </c>
      <c r="BH61" s="11">
        <v>682.1</v>
      </c>
      <c r="BI61" s="11">
        <v>0</v>
      </c>
      <c r="BJ61" s="11" t="s">
        <v>79</v>
      </c>
      <c r="BK61" s="11">
        <v>1</v>
      </c>
      <c r="BL61" s="11">
        <v>0</v>
      </c>
      <c r="BM61" s="11">
        <v>0</v>
      </c>
      <c r="BN61" s="11">
        <v>1027102</v>
      </c>
      <c r="BO61" s="11">
        <v>0</v>
      </c>
      <c r="BP61" s="11" t="s">
        <v>79</v>
      </c>
      <c r="BQ61" s="11">
        <v>0</v>
      </c>
      <c r="BR61" s="11"/>
      <c r="BT61" s="11"/>
      <c r="BU61" s="11"/>
      <c r="CA61" s="11"/>
      <c r="CD61" s="11"/>
    </row>
    <row r="62" spans="2:82" ht="12.75" x14ac:dyDescent="0.2">
      <c r="B62" s="11">
        <v>1091703</v>
      </c>
      <c r="C62" s="11">
        <f>ROUND(DAYS360(Tableau_Lancer_la_requête_à_partir_de_AS4003[[#This Row],[Date naissance 1]],Tableau_Lancer_la_requête_à_partir_de_AS4003[[#This Row],[Date début]])/360,0)</f>
        <v>61</v>
      </c>
      <c r="D62" s="11">
        <v>0</v>
      </c>
      <c r="E62" s="11">
        <v>0</v>
      </c>
      <c r="F62" s="11">
        <v>0</v>
      </c>
      <c r="G62" s="11">
        <v>12</v>
      </c>
      <c r="H62" s="11">
        <f>ROUND(DAYS360(Tableau_Lancer_la_requête_à_partir_de_AS4003[[#This Row],[Date début]],'Cash flows par police'!$C$4)/30,0)</f>
        <v>1</v>
      </c>
      <c r="I62" s="11">
        <v>0</v>
      </c>
      <c r="J62" s="11">
        <v>0</v>
      </c>
      <c r="K62" s="11">
        <v>0</v>
      </c>
      <c r="L62" s="11">
        <v>10.9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f>SUM(Tableau_Lancer_la_requête_à_partir_de_AS4003[[#This Row],[POLPRCPL2]:[POLPRCPL9]])</f>
        <v>10.9</v>
      </c>
      <c r="T62" s="11">
        <v>99</v>
      </c>
      <c r="U62" s="11">
        <v>12</v>
      </c>
      <c r="V62" s="11">
        <v>0</v>
      </c>
      <c r="W62" s="11">
        <v>216</v>
      </c>
      <c r="X62" s="11">
        <v>0</v>
      </c>
      <c r="Y62" s="11">
        <v>0</v>
      </c>
      <c r="Z62" s="11">
        <v>1</v>
      </c>
      <c r="AA62" s="11">
        <v>0</v>
      </c>
      <c r="AB62" s="11">
        <v>0</v>
      </c>
      <c r="AC62" s="11">
        <v>0</v>
      </c>
      <c r="AD62" s="11">
        <v>0</v>
      </c>
      <c r="AE62" s="11">
        <v>0</v>
      </c>
      <c r="AF62" s="11">
        <f>IF(Tableau_Lancer_la_requête_à_partir_de_AS4003[[#This Row],[POL_SEX_ASSURE]]="M",0,1)</f>
        <v>1</v>
      </c>
      <c r="AG62" s="11" t="str">
        <f>IF(Tableau_Lancer_la_requête_à_partir_de_AS4003[[#This Row],[POL_SEX_ASSURE2]]="","",IF(Tableau_Lancer_la_requête_à_partir_de_AS4003[[#This Row],[POL_SEX_ASSURE2]]="M",0,1))</f>
        <v/>
      </c>
      <c r="AH6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62" s="11">
        <v>2800</v>
      </c>
      <c r="AJ62" s="11">
        <f>Tableau_Lancer_la_requête_à_partir_de_AS4003[[#This Row],[POL_DUREE_ASSUR]]*12</f>
        <v>1188</v>
      </c>
      <c r="AK62" s="11">
        <v>116.7</v>
      </c>
      <c r="AL62" s="11">
        <v>0</v>
      </c>
      <c r="AM62" s="11">
        <v>0</v>
      </c>
      <c r="AN62" s="11" t="s">
        <v>36</v>
      </c>
      <c r="AO62" s="11" t="s">
        <v>80</v>
      </c>
      <c r="AP62" s="11">
        <f>Tableau_Lancer_la_requête_à_partir_de_AS4003[[#This Row],[POL_TERM_M]]-Tableau_Lancer_la_requête_à_partir_de_AS4003[[#This Row],[Duration IF]]</f>
        <v>1187</v>
      </c>
      <c r="AQ62" s="11" t="s">
        <v>36</v>
      </c>
      <c r="AR62" s="11" t="s">
        <v>36</v>
      </c>
      <c r="AS62" s="11" t="s">
        <v>36</v>
      </c>
      <c r="AT62" s="11" t="s">
        <v>36</v>
      </c>
      <c r="AU62" s="11" t="s">
        <v>36</v>
      </c>
      <c r="AV62" s="11">
        <v>0</v>
      </c>
      <c r="AW62" s="11">
        <v>11</v>
      </c>
      <c r="AX62" s="11">
        <v>1</v>
      </c>
      <c r="AY62" s="11">
        <v>20181201</v>
      </c>
      <c r="AZ62" s="80">
        <f t="shared" si="2"/>
        <v>43435</v>
      </c>
      <c r="BA62" s="11">
        <v>19570607</v>
      </c>
      <c r="BB62" s="80">
        <f t="shared" si="3"/>
        <v>20978</v>
      </c>
      <c r="BC62" s="11">
        <v>0</v>
      </c>
      <c r="BD62" s="11" t="s">
        <v>81</v>
      </c>
      <c r="BE62" s="11">
        <v>1</v>
      </c>
      <c r="BF62" s="11" t="s">
        <v>36</v>
      </c>
      <c r="BG62" s="11">
        <v>205.1</v>
      </c>
      <c r="BH62" s="11">
        <v>155.69999999999999</v>
      </c>
      <c r="BI62" s="11">
        <v>0</v>
      </c>
      <c r="BJ62" s="11" t="s">
        <v>79</v>
      </c>
      <c r="BK62" s="11">
        <v>1</v>
      </c>
      <c r="BL62" s="11">
        <v>0</v>
      </c>
      <c r="BM62" s="11">
        <v>0</v>
      </c>
      <c r="BN62" s="11">
        <v>1091703</v>
      </c>
      <c r="BO62" s="11">
        <v>0</v>
      </c>
      <c r="BP62" s="11" t="s">
        <v>79</v>
      </c>
      <c r="BQ62" s="11">
        <v>0</v>
      </c>
      <c r="BR62" s="11"/>
      <c r="BT62" s="11"/>
      <c r="BU62" s="11"/>
      <c r="CA62" s="11"/>
      <c r="CD62" s="11"/>
    </row>
    <row r="63" spans="2:82" ht="12.75" x14ac:dyDescent="0.2">
      <c r="B63" s="11">
        <v>1124502</v>
      </c>
      <c r="C63" s="11">
        <f>ROUND(DAYS360(Tableau_Lancer_la_requête_à_partir_de_AS4003[[#This Row],[Date naissance 1]],Tableau_Lancer_la_requête_à_partir_de_AS4003[[#This Row],[Date début]])/360,0)</f>
        <v>50</v>
      </c>
      <c r="D63" s="11">
        <v>0</v>
      </c>
      <c r="E63" s="11">
        <v>0</v>
      </c>
      <c r="F63" s="11">
        <v>0</v>
      </c>
      <c r="G63" s="11">
        <v>12</v>
      </c>
      <c r="H63" s="11">
        <f>ROUND(DAYS360(Tableau_Lancer_la_requête_à_partir_de_AS4003[[#This Row],[Date début]],'Cash flows par police'!$C$4)/30,0)</f>
        <v>21</v>
      </c>
      <c r="I63" s="11">
        <v>0</v>
      </c>
      <c r="J63" s="11">
        <v>0</v>
      </c>
      <c r="K63" s="11">
        <v>0</v>
      </c>
      <c r="L63" s="11">
        <v>32.9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f>SUM(Tableau_Lancer_la_requête_à_partir_de_AS4003[[#This Row],[POLPRCPL2]:[POLPRCPL9]])</f>
        <v>32.9</v>
      </c>
      <c r="T63" s="11">
        <v>99</v>
      </c>
      <c r="U63" s="11">
        <v>12</v>
      </c>
      <c r="V63" s="11">
        <v>0</v>
      </c>
      <c r="W63" s="11">
        <v>432</v>
      </c>
      <c r="X63" s="11">
        <v>248.2</v>
      </c>
      <c r="Y63" s="11">
        <v>2.9</v>
      </c>
      <c r="Z63" s="11">
        <v>1</v>
      </c>
      <c r="AA63" s="11">
        <v>0</v>
      </c>
      <c r="AB63" s="11">
        <v>0</v>
      </c>
      <c r="AC63" s="11">
        <v>0</v>
      </c>
      <c r="AD63" s="11">
        <v>0</v>
      </c>
      <c r="AE63" s="11">
        <v>0</v>
      </c>
      <c r="AF63" s="11">
        <f>IF(Tableau_Lancer_la_requête_à_partir_de_AS4003[[#This Row],[POL_SEX_ASSURE]]="M",0,1)</f>
        <v>1</v>
      </c>
      <c r="AG63" s="11" t="str">
        <f>IF(Tableau_Lancer_la_requête_à_partir_de_AS4003[[#This Row],[POL_SEX_ASSURE2]]="","",IF(Tableau_Lancer_la_requête_à_partir_de_AS4003[[#This Row],[POL_SEX_ASSURE2]]="M",0,1))</f>
        <v/>
      </c>
      <c r="AH6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63" s="11">
        <v>8460.7000000000007</v>
      </c>
      <c r="AJ63" s="11">
        <f>Tableau_Lancer_la_requête_à_partir_de_AS4003[[#This Row],[POL_DUREE_ASSUR]]*12</f>
        <v>1188</v>
      </c>
      <c r="AK63" s="11">
        <v>241.7</v>
      </c>
      <c r="AL63" s="11">
        <v>248.2</v>
      </c>
      <c r="AM63" s="11">
        <v>0</v>
      </c>
      <c r="AN63" s="11" t="s">
        <v>36</v>
      </c>
      <c r="AO63" s="11" t="s">
        <v>80</v>
      </c>
      <c r="AP63" s="11">
        <f>Tableau_Lancer_la_requête_à_partir_de_AS4003[[#This Row],[POL_TERM_M]]-Tableau_Lancer_la_requête_à_partir_de_AS4003[[#This Row],[Duration IF]]</f>
        <v>1167</v>
      </c>
      <c r="AQ63" s="11" t="s">
        <v>36</v>
      </c>
      <c r="AR63" s="11" t="s">
        <v>36</v>
      </c>
      <c r="AS63" s="11" t="s">
        <v>36</v>
      </c>
      <c r="AT63" s="11" t="s">
        <v>36</v>
      </c>
      <c r="AU63" s="11" t="s">
        <v>36</v>
      </c>
      <c r="AV63" s="11">
        <v>0</v>
      </c>
      <c r="AW63" s="11">
        <v>11</v>
      </c>
      <c r="AX63" s="11">
        <v>1</v>
      </c>
      <c r="AY63" s="11">
        <v>20170401</v>
      </c>
      <c r="AZ63" s="80">
        <f t="shared" si="2"/>
        <v>42826</v>
      </c>
      <c r="BA63" s="11">
        <v>19670203</v>
      </c>
      <c r="BB63" s="80">
        <f t="shared" si="3"/>
        <v>24506</v>
      </c>
      <c r="BC63" s="11">
        <v>0</v>
      </c>
      <c r="BD63" s="11" t="s">
        <v>81</v>
      </c>
      <c r="BE63" s="11">
        <v>1</v>
      </c>
      <c r="BF63" s="11" t="s">
        <v>36</v>
      </c>
      <c r="BG63" s="11">
        <v>399.1</v>
      </c>
      <c r="BH63" s="11">
        <v>303</v>
      </c>
      <c r="BI63" s="11">
        <v>0</v>
      </c>
      <c r="BJ63" s="11" t="s">
        <v>79</v>
      </c>
      <c r="BK63" s="11">
        <v>1</v>
      </c>
      <c r="BL63" s="11">
        <v>0</v>
      </c>
      <c r="BM63" s="11">
        <v>0</v>
      </c>
      <c r="BN63" s="11">
        <v>1124502</v>
      </c>
      <c r="BO63" s="11">
        <v>0</v>
      </c>
      <c r="BP63" s="11" t="s">
        <v>79</v>
      </c>
      <c r="BQ63" s="11">
        <v>0</v>
      </c>
      <c r="BR63" s="11"/>
      <c r="BT63" s="11"/>
      <c r="BU63" s="11"/>
      <c r="CA63" s="11"/>
      <c r="CD63" s="11"/>
    </row>
    <row r="64" spans="2:82" ht="12.75" x14ac:dyDescent="0.2">
      <c r="B64" s="11">
        <v>1130010</v>
      </c>
      <c r="C64" s="11">
        <f>ROUND(DAYS360(Tableau_Lancer_la_requête_à_partir_de_AS4003[[#This Row],[Date naissance 1]],Tableau_Lancer_la_requête_à_partir_de_AS4003[[#This Row],[Date début]])/360,0)</f>
        <v>51</v>
      </c>
      <c r="D64" s="11">
        <v>0</v>
      </c>
      <c r="E64" s="11">
        <v>0</v>
      </c>
      <c r="F64" s="11">
        <v>0</v>
      </c>
      <c r="G64" s="11">
        <v>12</v>
      </c>
      <c r="H64" s="11">
        <f>ROUND(DAYS360(Tableau_Lancer_la_requête_à_partir_de_AS4003[[#This Row],[Date début]],'Cash flows par police'!$C$4)/30,0)</f>
        <v>2</v>
      </c>
      <c r="I64" s="11">
        <v>0</v>
      </c>
      <c r="J64" s="11">
        <v>0</v>
      </c>
      <c r="K64" s="11">
        <v>0</v>
      </c>
      <c r="L64" s="11">
        <v>19.399999999999999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f>SUM(Tableau_Lancer_la_requête_à_partir_de_AS4003[[#This Row],[POLPRCPL2]:[POLPRCPL9]])</f>
        <v>19.399999999999999</v>
      </c>
      <c r="T64" s="11">
        <v>99</v>
      </c>
      <c r="U64" s="11">
        <v>12</v>
      </c>
      <c r="V64" s="11">
        <v>0</v>
      </c>
      <c r="W64" s="11">
        <v>255.6</v>
      </c>
      <c r="X64" s="11">
        <v>7.4</v>
      </c>
      <c r="Y64" s="11">
        <v>0</v>
      </c>
      <c r="Z64" s="11">
        <v>1</v>
      </c>
      <c r="AA64" s="11">
        <v>0</v>
      </c>
      <c r="AB64" s="11">
        <v>0</v>
      </c>
      <c r="AC64" s="11">
        <v>0</v>
      </c>
      <c r="AD64" s="11">
        <v>0</v>
      </c>
      <c r="AE64" s="11">
        <v>0</v>
      </c>
      <c r="AF64" s="11">
        <f>IF(Tableau_Lancer_la_requête_à_partir_de_AS4003[[#This Row],[POL_SEX_ASSURE]]="M",0,1)</f>
        <v>1</v>
      </c>
      <c r="AG64" s="11" t="str">
        <f>IF(Tableau_Lancer_la_requête_à_partir_de_AS4003[[#This Row],[POL_SEX_ASSURE2]]="","",IF(Tableau_Lancer_la_requête_à_partir_de_AS4003[[#This Row],[POL_SEX_ASSURE2]]="M",0,1))</f>
        <v/>
      </c>
      <c r="AH6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64" s="11">
        <v>5000</v>
      </c>
      <c r="AJ64" s="11">
        <f>Tableau_Lancer_la_requête_à_partir_de_AS4003[[#This Row],[POL_DUREE_ASSUR]]*12</f>
        <v>1188</v>
      </c>
      <c r="AK64" s="11">
        <v>142.9</v>
      </c>
      <c r="AL64" s="11">
        <v>7.4</v>
      </c>
      <c r="AM64" s="11">
        <v>0</v>
      </c>
      <c r="AN64" s="11" t="s">
        <v>36</v>
      </c>
      <c r="AO64" s="11" t="s">
        <v>80</v>
      </c>
      <c r="AP64" s="11">
        <f>Tableau_Lancer_la_requête_à_partir_de_AS4003[[#This Row],[POL_TERM_M]]-Tableau_Lancer_la_requête_à_partir_de_AS4003[[#This Row],[Duration IF]]</f>
        <v>1186</v>
      </c>
      <c r="AQ64" s="11" t="s">
        <v>36</v>
      </c>
      <c r="AR64" s="11" t="s">
        <v>36</v>
      </c>
      <c r="AS64" s="11" t="s">
        <v>36</v>
      </c>
      <c r="AT64" s="11" t="s">
        <v>36</v>
      </c>
      <c r="AU64" s="11" t="s">
        <v>36</v>
      </c>
      <c r="AV64" s="11">
        <v>0</v>
      </c>
      <c r="AW64" s="11">
        <v>11</v>
      </c>
      <c r="AX64" s="11">
        <v>1</v>
      </c>
      <c r="AY64" s="11">
        <v>20181101</v>
      </c>
      <c r="AZ64" s="80">
        <f t="shared" si="2"/>
        <v>43405</v>
      </c>
      <c r="BA64" s="11">
        <v>19680210</v>
      </c>
      <c r="BB64" s="80">
        <f t="shared" si="3"/>
        <v>24878</v>
      </c>
      <c r="BC64" s="11">
        <v>0</v>
      </c>
      <c r="BD64" s="11" t="s">
        <v>81</v>
      </c>
      <c r="BE64" s="11">
        <v>1</v>
      </c>
      <c r="BF64" s="11" t="s">
        <v>36</v>
      </c>
      <c r="BG64" s="11">
        <v>236.2</v>
      </c>
      <c r="BH64" s="11">
        <v>179.1</v>
      </c>
      <c r="BI64" s="11">
        <v>0</v>
      </c>
      <c r="BJ64" s="11" t="s">
        <v>79</v>
      </c>
      <c r="BK64" s="11">
        <v>1</v>
      </c>
      <c r="BL64" s="11">
        <v>0</v>
      </c>
      <c r="BM64" s="11">
        <v>0</v>
      </c>
      <c r="BN64" s="11">
        <v>1130010</v>
      </c>
      <c r="BO64" s="11">
        <v>0</v>
      </c>
      <c r="BP64" s="11" t="s">
        <v>79</v>
      </c>
      <c r="BQ64" s="11">
        <v>0</v>
      </c>
      <c r="BR64" s="11"/>
      <c r="BT64" s="11"/>
      <c r="BU64" s="11"/>
      <c r="CA64" s="11"/>
      <c r="CD64" s="11"/>
    </row>
    <row r="65" spans="2:82" ht="12.75" x14ac:dyDescent="0.2">
      <c r="B65" s="11">
        <v>1136002</v>
      </c>
      <c r="C65" s="11">
        <f>ROUND(DAYS360(Tableau_Lancer_la_requête_à_partir_de_AS4003[[#This Row],[Date naissance 1]],Tableau_Lancer_la_requête_à_partir_de_AS4003[[#This Row],[Date début]])/360,0)</f>
        <v>61</v>
      </c>
      <c r="D65" s="11">
        <v>0</v>
      </c>
      <c r="E65" s="11">
        <v>0</v>
      </c>
      <c r="F65" s="11">
        <v>0</v>
      </c>
      <c r="G65" s="11">
        <v>12</v>
      </c>
      <c r="H65" s="11">
        <f>ROUND(DAYS360(Tableau_Lancer_la_requête_à_partir_de_AS4003[[#This Row],[Date début]],'Cash flows par police'!$C$4)/30,0)</f>
        <v>2</v>
      </c>
      <c r="I65" s="11">
        <v>0</v>
      </c>
      <c r="J65" s="11">
        <v>0</v>
      </c>
      <c r="K65" s="11">
        <v>0</v>
      </c>
      <c r="L65" s="11">
        <v>32.700000000000003</v>
      </c>
      <c r="M65" s="11">
        <v>0</v>
      </c>
      <c r="N65" s="11">
        <v>0</v>
      </c>
      <c r="O65" s="11">
        <v>0</v>
      </c>
      <c r="P65" s="11">
        <v>0</v>
      </c>
      <c r="Q65" s="11">
        <v>0</v>
      </c>
      <c r="R65" s="11">
        <v>0</v>
      </c>
      <c r="S65" s="11">
        <f>SUM(Tableau_Lancer_la_requête_à_partir_de_AS4003[[#This Row],[POLPRCPL2]:[POLPRCPL9]])</f>
        <v>32.700000000000003</v>
      </c>
      <c r="T65" s="11">
        <v>99</v>
      </c>
      <c r="U65" s="11">
        <v>12</v>
      </c>
      <c r="V65" s="11">
        <v>0</v>
      </c>
      <c r="W65" s="11">
        <v>648</v>
      </c>
      <c r="X65" s="11">
        <v>16.100000000000001</v>
      </c>
      <c r="Y65" s="11">
        <v>0</v>
      </c>
      <c r="Z65" s="11">
        <v>1</v>
      </c>
      <c r="AA65" s="11">
        <v>0</v>
      </c>
      <c r="AB65" s="11">
        <v>0</v>
      </c>
      <c r="AC65" s="11">
        <v>0</v>
      </c>
      <c r="AD65" s="11">
        <v>0</v>
      </c>
      <c r="AE65" s="11">
        <v>0</v>
      </c>
      <c r="AF65" s="11">
        <f>IF(Tableau_Lancer_la_requête_à_partir_de_AS4003[[#This Row],[POL_SEX_ASSURE]]="M",0,1)</f>
        <v>1</v>
      </c>
      <c r="AG65" s="11" t="str">
        <f>IF(Tableau_Lancer_la_requête_à_partir_de_AS4003[[#This Row],[POL_SEX_ASSURE2]]="","",IF(Tableau_Lancer_la_requête_à_partir_de_AS4003[[#This Row],[POL_SEX_ASSURE2]]="M",0,1))</f>
        <v/>
      </c>
      <c r="AH6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65" s="11">
        <v>8399.9</v>
      </c>
      <c r="AJ65" s="11">
        <f>Tableau_Lancer_la_requête_à_partir_de_AS4003[[#This Row],[POL_DUREE_ASSUR]]*12</f>
        <v>1188</v>
      </c>
      <c r="AK65" s="11">
        <v>350</v>
      </c>
      <c r="AL65" s="11">
        <v>16.100000000000001</v>
      </c>
      <c r="AM65" s="11">
        <v>0</v>
      </c>
      <c r="AN65" s="11" t="s">
        <v>36</v>
      </c>
      <c r="AO65" s="11" t="s">
        <v>80</v>
      </c>
      <c r="AP65" s="11">
        <f>Tableau_Lancer_la_requête_à_partir_de_AS4003[[#This Row],[POL_TERM_M]]-Tableau_Lancer_la_requête_à_partir_de_AS4003[[#This Row],[Duration IF]]</f>
        <v>1186</v>
      </c>
      <c r="AQ65" s="11" t="s">
        <v>36</v>
      </c>
      <c r="AR65" s="11" t="s">
        <v>36</v>
      </c>
      <c r="AS65" s="11" t="s">
        <v>36</v>
      </c>
      <c r="AT65" s="11" t="s">
        <v>36</v>
      </c>
      <c r="AU65" s="11" t="s">
        <v>36</v>
      </c>
      <c r="AV65" s="11">
        <v>0</v>
      </c>
      <c r="AW65" s="11">
        <v>11</v>
      </c>
      <c r="AX65" s="11">
        <v>1</v>
      </c>
      <c r="AY65" s="11">
        <v>20181101</v>
      </c>
      <c r="AZ65" s="80">
        <f t="shared" si="2"/>
        <v>43405</v>
      </c>
      <c r="BA65" s="11">
        <v>19571204</v>
      </c>
      <c r="BB65" s="80">
        <f t="shared" si="3"/>
        <v>21158</v>
      </c>
      <c r="BC65" s="11">
        <v>0</v>
      </c>
      <c r="BD65" s="11" t="s">
        <v>81</v>
      </c>
      <c r="BE65" s="11">
        <v>1</v>
      </c>
      <c r="BF65" s="11" t="s">
        <v>36</v>
      </c>
      <c r="BG65" s="11">
        <v>615.29999999999995</v>
      </c>
      <c r="BH65" s="11">
        <v>467.2</v>
      </c>
      <c r="BI65" s="11">
        <v>0</v>
      </c>
      <c r="BJ65" s="11" t="s">
        <v>79</v>
      </c>
      <c r="BK65" s="11">
        <v>1</v>
      </c>
      <c r="BL65" s="11">
        <v>0</v>
      </c>
      <c r="BM65" s="11">
        <v>0</v>
      </c>
      <c r="BN65" s="11">
        <v>1136002</v>
      </c>
      <c r="BO65" s="11">
        <v>0</v>
      </c>
      <c r="BP65" s="11" t="s">
        <v>79</v>
      </c>
      <c r="BQ65" s="11">
        <v>0</v>
      </c>
      <c r="BR65" s="11"/>
      <c r="BT65" s="11"/>
      <c r="BU65" s="11"/>
      <c r="CA65" s="11"/>
      <c r="CD65" s="11"/>
    </row>
    <row r="66" spans="2:82" ht="12.75" x14ac:dyDescent="0.2">
      <c r="B66" s="11">
        <v>1677103</v>
      </c>
      <c r="C66" s="11">
        <f>ROUND(DAYS360(Tableau_Lancer_la_requête_à_partir_de_AS4003[[#This Row],[Date naissance 1]],Tableau_Lancer_la_requête_à_partir_de_AS4003[[#This Row],[Date début]])/360,0)</f>
        <v>52</v>
      </c>
      <c r="D66" s="11">
        <v>0</v>
      </c>
      <c r="E66" s="11">
        <v>0</v>
      </c>
      <c r="F66" s="11">
        <v>0</v>
      </c>
      <c r="G66" s="11">
        <v>12</v>
      </c>
      <c r="H66" s="11">
        <f>ROUND(DAYS360(Tableau_Lancer_la_requête_à_partir_de_AS4003[[#This Row],[Date début]],'Cash flows par police'!$C$4)/30,0)</f>
        <v>1</v>
      </c>
      <c r="I66" s="11">
        <v>0</v>
      </c>
      <c r="J66" s="11">
        <v>0</v>
      </c>
      <c r="K66" s="11">
        <v>0</v>
      </c>
      <c r="L66" s="11">
        <v>15.8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f>SUM(Tableau_Lancer_la_requête_à_partir_de_AS4003[[#This Row],[POLPRCPL2]:[POLPRCPL9]])</f>
        <v>15.8</v>
      </c>
      <c r="T66" s="11">
        <v>99</v>
      </c>
      <c r="U66" s="11">
        <v>12</v>
      </c>
      <c r="V66" s="11">
        <v>0</v>
      </c>
      <c r="W66" s="11">
        <v>216</v>
      </c>
      <c r="X66" s="11">
        <v>0</v>
      </c>
      <c r="Y66" s="11">
        <v>0</v>
      </c>
      <c r="Z66" s="11">
        <v>1</v>
      </c>
      <c r="AA66" s="11">
        <v>0</v>
      </c>
      <c r="AB66" s="11">
        <v>0</v>
      </c>
      <c r="AC66" s="11">
        <v>0</v>
      </c>
      <c r="AD66" s="11">
        <v>0</v>
      </c>
      <c r="AE66" s="11">
        <v>0</v>
      </c>
      <c r="AF66" s="11">
        <f>IF(Tableau_Lancer_la_requête_à_partir_de_AS4003[[#This Row],[POL_SEX_ASSURE]]="M",0,1)</f>
        <v>1</v>
      </c>
      <c r="AG66" s="11" t="str">
        <f>IF(Tableau_Lancer_la_requête_à_partir_de_AS4003[[#This Row],[POL_SEX_ASSURE2]]="","",IF(Tableau_Lancer_la_requête_à_partir_de_AS4003[[#This Row],[POL_SEX_ASSURE2]]="M",0,1))</f>
        <v/>
      </c>
      <c r="AH6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66" s="11">
        <v>4064.9</v>
      </c>
      <c r="AJ66" s="11">
        <f>Tableau_Lancer_la_requête_à_partir_de_AS4003[[#This Row],[POL_DUREE_ASSUR]]*12</f>
        <v>1188</v>
      </c>
      <c r="AK66" s="11">
        <v>123.2</v>
      </c>
      <c r="AL66" s="11">
        <v>0</v>
      </c>
      <c r="AM66" s="11">
        <v>0</v>
      </c>
      <c r="AN66" s="11" t="s">
        <v>36</v>
      </c>
      <c r="AO66" s="11" t="s">
        <v>80</v>
      </c>
      <c r="AP66" s="11">
        <f>Tableau_Lancer_la_requête_à_partir_de_AS4003[[#This Row],[POL_TERM_M]]-Tableau_Lancer_la_requête_à_partir_de_AS4003[[#This Row],[Duration IF]]</f>
        <v>1187</v>
      </c>
      <c r="AQ66" s="11" t="s">
        <v>36</v>
      </c>
      <c r="AR66" s="11" t="s">
        <v>36</v>
      </c>
      <c r="AS66" s="11" t="s">
        <v>36</v>
      </c>
      <c r="AT66" s="11" t="s">
        <v>36</v>
      </c>
      <c r="AU66" s="11" t="s">
        <v>36</v>
      </c>
      <c r="AV66" s="11">
        <v>0</v>
      </c>
      <c r="AW66" s="11">
        <v>11</v>
      </c>
      <c r="AX66" s="11">
        <v>1</v>
      </c>
      <c r="AY66" s="11">
        <v>20181201</v>
      </c>
      <c r="AZ66" s="80">
        <f t="shared" si="2"/>
        <v>43435</v>
      </c>
      <c r="BA66" s="11">
        <v>19661231</v>
      </c>
      <c r="BB66" s="80">
        <f t="shared" si="3"/>
        <v>24472</v>
      </c>
      <c r="BC66" s="11">
        <v>0</v>
      </c>
      <c r="BD66" s="11" t="s">
        <v>81</v>
      </c>
      <c r="BE66" s="11">
        <v>1</v>
      </c>
      <c r="BF66" s="11" t="s">
        <v>36</v>
      </c>
      <c r="BG66" s="11">
        <v>200.2</v>
      </c>
      <c r="BH66" s="11">
        <v>152</v>
      </c>
      <c r="BI66" s="11">
        <v>0</v>
      </c>
      <c r="BJ66" s="11" t="s">
        <v>79</v>
      </c>
      <c r="BK66" s="11">
        <v>1</v>
      </c>
      <c r="BL66" s="11">
        <v>0</v>
      </c>
      <c r="BM66" s="11">
        <v>0</v>
      </c>
      <c r="BN66" s="11">
        <v>1677103</v>
      </c>
      <c r="BO66" s="11">
        <v>0</v>
      </c>
      <c r="BP66" s="11" t="s">
        <v>79</v>
      </c>
      <c r="BQ66" s="11">
        <v>0</v>
      </c>
      <c r="BR66" s="11"/>
      <c r="BT66" s="11"/>
      <c r="BU66" s="11"/>
      <c r="CA66" s="11"/>
      <c r="CD66" s="11"/>
    </row>
    <row r="67" spans="2:82" ht="12.75" x14ac:dyDescent="0.2">
      <c r="B67" s="11">
        <v>1713905</v>
      </c>
      <c r="C67" s="11">
        <f>ROUND(DAYS360(Tableau_Lancer_la_requête_à_partir_de_AS4003[[#This Row],[Date naissance 1]],Tableau_Lancer_la_requête_à_partir_de_AS4003[[#This Row],[Date début]])/360,0)</f>
        <v>57</v>
      </c>
      <c r="D67" s="11">
        <v>0</v>
      </c>
      <c r="E67" s="11">
        <v>0</v>
      </c>
      <c r="F67" s="11">
        <v>0</v>
      </c>
      <c r="G67" s="11">
        <v>12</v>
      </c>
      <c r="H67" s="11">
        <f>ROUND(DAYS360(Tableau_Lancer_la_requête_à_partir_de_AS4003[[#This Row],[Date début]],'Cash flows par police'!$C$4)/30,0)</f>
        <v>3</v>
      </c>
      <c r="I67" s="11">
        <v>0</v>
      </c>
      <c r="J67" s="11">
        <v>0</v>
      </c>
      <c r="K67" s="11">
        <v>0</v>
      </c>
      <c r="L67" s="11">
        <v>38.200000000000003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f>SUM(Tableau_Lancer_la_requête_à_partir_de_AS4003[[#This Row],[POLPRCPL2]:[POLPRCPL9]])</f>
        <v>38.200000000000003</v>
      </c>
      <c r="T67" s="11">
        <v>99</v>
      </c>
      <c r="U67" s="11">
        <v>6</v>
      </c>
      <c r="V67" s="11">
        <v>0</v>
      </c>
      <c r="W67" s="11">
        <v>652.20000000000005</v>
      </c>
      <c r="X67" s="11">
        <v>34.200000000000003</v>
      </c>
      <c r="Y67" s="11">
        <v>0</v>
      </c>
      <c r="Z67" s="11">
        <v>1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 s="11">
        <f>IF(Tableau_Lancer_la_requête_à_partir_de_AS4003[[#This Row],[POL_SEX_ASSURE]]="M",0,1)</f>
        <v>1</v>
      </c>
      <c r="AG67" s="11" t="str">
        <f>IF(Tableau_Lancer_la_requête_à_partir_de_AS4003[[#This Row],[POL_SEX_ASSURE2]]="","",IF(Tableau_Lancer_la_requête_à_partir_de_AS4003[[#This Row],[POL_SEX_ASSURE2]]="M",0,1))</f>
        <v/>
      </c>
      <c r="AH6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67" s="11">
        <v>10000</v>
      </c>
      <c r="AJ67" s="11">
        <f>Tableau_Lancer_la_requête_à_partir_de_AS4003[[#This Row],[POL_DUREE_ASSUR]]*12</f>
        <v>1188</v>
      </c>
      <c r="AK67" s="11">
        <v>357.1</v>
      </c>
      <c r="AL67" s="11">
        <v>34.200000000000003</v>
      </c>
      <c r="AM67" s="11">
        <v>0</v>
      </c>
      <c r="AN67" s="11" t="s">
        <v>36</v>
      </c>
      <c r="AO67" s="11" t="s">
        <v>80</v>
      </c>
      <c r="AP67" s="11">
        <f>Tableau_Lancer_la_requête_à_partir_de_AS4003[[#This Row],[POL_TERM_M]]-Tableau_Lancer_la_requête_à_partir_de_AS4003[[#This Row],[Duration IF]]</f>
        <v>1185</v>
      </c>
      <c r="AQ67" s="11" t="s">
        <v>36</v>
      </c>
      <c r="AR67" s="11" t="s">
        <v>36</v>
      </c>
      <c r="AS67" s="11" t="s">
        <v>36</v>
      </c>
      <c r="AT67" s="11" t="s">
        <v>36</v>
      </c>
      <c r="AU67" s="11" t="s">
        <v>36</v>
      </c>
      <c r="AV67" s="11">
        <v>0</v>
      </c>
      <c r="AW67" s="11">
        <v>11</v>
      </c>
      <c r="AX67" s="11">
        <v>1</v>
      </c>
      <c r="AY67" s="11">
        <v>20181001</v>
      </c>
      <c r="AZ67" s="80">
        <f t="shared" si="2"/>
        <v>43374</v>
      </c>
      <c r="BA67" s="11">
        <v>19610613</v>
      </c>
      <c r="BB67" s="80">
        <f t="shared" si="3"/>
        <v>22445</v>
      </c>
      <c r="BC67" s="11">
        <v>0</v>
      </c>
      <c r="BD67" s="11" t="s">
        <v>81</v>
      </c>
      <c r="BE67" s="11">
        <v>1</v>
      </c>
      <c r="BF67" s="11" t="s">
        <v>36</v>
      </c>
      <c r="BG67" s="11">
        <v>614</v>
      </c>
      <c r="BH67" s="11">
        <v>475</v>
      </c>
      <c r="BI67" s="11">
        <v>0</v>
      </c>
      <c r="BJ67" s="11" t="s">
        <v>79</v>
      </c>
      <c r="BK67" s="11">
        <v>1</v>
      </c>
      <c r="BL67" s="11">
        <v>39</v>
      </c>
      <c r="BM67" s="11">
        <v>2.6</v>
      </c>
      <c r="BN67" s="11">
        <v>1713905</v>
      </c>
      <c r="BO67" s="11">
        <v>0</v>
      </c>
      <c r="BP67" s="11" t="s">
        <v>79</v>
      </c>
      <c r="BQ67" s="11">
        <v>0</v>
      </c>
      <c r="BR67" s="11"/>
      <c r="BT67" s="11"/>
      <c r="BU67" s="11"/>
      <c r="CA67" s="11"/>
      <c r="CD67" s="11"/>
    </row>
    <row r="68" spans="2:82" ht="12.75" x14ac:dyDescent="0.2">
      <c r="B68" s="11">
        <v>1719704</v>
      </c>
      <c r="C68" s="11">
        <f>ROUND(DAYS360(Tableau_Lancer_la_requête_à_partir_de_AS4003[[#This Row],[Date naissance 1]],Tableau_Lancer_la_requête_à_partir_de_AS4003[[#This Row],[Date début]])/360,0)</f>
        <v>55</v>
      </c>
      <c r="D68" s="11">
        <v>0</v>
      </c>
      <c r="E68" s="11">
        <v>0</v>
      </c>
      <c r="F68" s="11">
        <v>0</v>
      </c>
      <c r="G68" s="11">
        <v>12</v>
      </c>
      <c r="H68" s="11">
        <f>ROUND(DAYS360(Tableau_Lancer_la_requête_à_partir_de_AS4003[[#This Row],[Date début]],'Cash flows par police'!$C$4)/30,0)</f>
        <v>1</v>
      </c>
      <c r="I68" s="11">
        <v>0</v>
      </c>
      <c r="J68" s="11">
        <v>0</v>
      </c>
      <c r="K68" s="11">
        <v>0</v>
      </c>
      <c r="L68" s="11">
        <v>53.7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f>SUM(Tableau_Lancer_la_requête_à_partir_de_AS4003[[#This Row],[POLPRCPL2]:[POLPRCPL9]])</f>
        <v>53.7</v>
      </c>
      <c r="T68" s="11">
        <v>99</v>
      </c>
      <c r="U68" s="11">
        <v>12</v>
      </c>
      <c r="V68" s="11">
        <v>0</v>
      </c>
      <c r="W68" s="11">
        <v>864</v>
      </c>
      <c r="X68" s="11">
        <v>0</v>
      </c>
      <c r="Y68" s="11">
        <v>0</v>
      </c>
      <c r="Z68" s="11">
        <v>1</v>
      </c>
      <c r="AA68" s="11">
        <v>0</v>
      </c>
      <c r="AB68" s="11">
        <v>0</v>
      </c>
      <c r="AC68" s="11">
        <v>0</v>
      </c>
      <c r="AD68" s="11">
        <v>0</v>
      </c>
      <c r="AE68" s="11">
        <v>0</v>
      </c>
      <c r="AF68" s="11">
        <f>IF(Tableau_Lancer_la_requête_à_partir_de_AS4003[[#This Row],[POL_SEX_ASSURE]]="M",0,1)</f>
        <v>1</v>
      </c>
      <c r="AG68" s="11" t="str">
        <f>IF(Tableau_Lancer_la_requête_à_partir_de_AS4003[[#This Row],[POL_SEX_ASSURE2]]="","",IF(Tableau_Lancer_la_requête_à_partir_de_AS4003[[#This Row],[POL_SEX_ASSURE2]]="M",0,1))</f>
        <v/>
      </c>
      <c r="AH6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68" s="11">
        <v>13814.5</v>
      </c>
      <c r="AJ68" s="11">
        <f>Tableau_Lancer_la_requête_à_partir_de_AS4003[[#This Row],[POL_DUREE_ASSUR]]*12</f>
        <v>1188</v>
      </c>
      <c r="AK68" s="11">
        <v>445.6</v>
      </c>
      <c r="AL68" s="11">
        <v>0</v>
      </c>
      <c r="AM68" s="11">
        <v>0</v>
      </c>
      <c r="AN68" s="11" t="s">
        <v>36</v>
      </c>
      <c r="AO68" s="11" t="s">
        <v>80</v>
      </c>
      <c r="AP68" s="11">
        <f>Tableau_Lancer_la_requête_à_partir_de_AS4003[[#This Row],[POL_TERM_M]]-Tableau_Lancer_la_requête_à_partir_de_AS4003[[#This Row],[Duration IF]]</f>
        <v>1187</v>
      </c>
      <c r="AQ68" s="11" t="s">
        <v>36</v>
      </c>
      <c r="AR68" s="11" t="s">
        <v>36</v>
      </c>
      <c r="AS68" s="11" t="s">
        <v>36</v>
      </c>
      <c r="AT68" s="11" t="s">
        <v>36</v>
      </c>
      <c r="AU68" s="11" t="s">
        <v>36</v>
      </c>
      <c r="AV68" s="11">
        <v>0</v>
      </c>
      <c r="AW68" s="11">
        <v>11</v>
      </c>
      <c r="AX68" s="11">
        <v>1</v>
      </c>
      <c r="AY68" s="11">
        <v>20181201</v>
      </c>
      <c r="AZ68" s="80">
        <f t="shared" ref="AZ68:AZ99" si="4">DATE(VALUE(LEFT(AY68,4)),VALUE(MID(AY68,5,2)),VALUE(RIGHT(AY68,2)))</f>
        <v>43435</v>
      </c>
      <c r="BA68" s="11">
        <v>19640115</v>
      </c>
      <c r="BB68" s="80">
        <f t="shared" ref="BB68:BB99" si="5">DATE(VALUE(LEFT(BA68,4)),VALUE(MID(BA68,5,2)),VALUE(RIGHT(BA68,2)))</f>
        <v>23391</v>
      </c>
      <c r="BC68" s="11">
        <v>0</v>
      </c>
      <c r="BD68" s="11" t="s">
        <v>81</v>
      </c>
      <c r="BE68" s="11">
        <v>1</v>
      </c>
      <c r="BF68" s="11" t="s">
        <v>36</v>
      </c>
      <c r="BG68" s="11">
        <v>810.3</v>
      </c>
      <c r="BH68" s="11">
        <v>615.20000000000005</v>
      </c>
      <c r="BI68" s="11">
        <v>0</v>
      </c>
      <c r="BJ68" s="11" t="s">
        <v>79</v>
      </c>
      <c r="BK68" s="11">
        <v>1</v>
      </c>
      <c r="BL68" s="11">
        <v>0</v>
      </c>
      <c r="BM68" s="11">
        <v>0</v>
      </c>
      <c r="BN68" s="11">
        <v>1719704</v>
      </c>
      <c r="BO68" s="11">
        <v>0</v>
      </c>
      <c r="BP68" s="11" t="s">
        <v>79</v>
      </c>
      <c r="BQ68" s="11">
        <v>0</v>
      </c>
      <c r="BR68" s="11"/>
      <c r="BT68" s="11"/>
      <c r="BU68" s="11"/>
      <c r="CA68" s="11"/>
      <c r="CD68" s="11"/>
    </row>
    <row r="69" spans="2:82" ht="12.75" x14ac:dyDescent="0.2">
      <c r="B69" s="11">
        <v>1753603</v>
      </c>
      <c r="C69" s="11">
        <f>ROUND(DAYS360(Tableau_Lancer_la_requête_à_partir_de_AS4003[[#This Row],[Date naissance 1]],Tableau_Lancer_la_requête_à_partir_de_AS4003[[#This Row],[Date début]])/360,0)</f>
        <v>58</v>
      </c>
      <c r="D69" s="11">
        <v>0</v>
      </c>
      <c r="E69" s="11">
        <v>0</v>
      </c>
      <c r="F69" s="11">
        <v>0</v>
      </c>
      <c r="G69" s="11">
        <v>12</v>
      </c>
      <c r="H69" s="11">
        <f>ROUND(DAYS360(Tableau_Lancer_la_requête_à_partir_de_AS4003[[#This Row],[Date début]],'Cash flows par police'!$C$4)/30,0)</f>
        <v>1</v>
      </c>
      <c r="I69" s="11">
        <v>0</v>
      </c>
      <c r="J69" s="11">
        <v>0</v>
      </c>
      <c r="K69" s="11">
        <v>0</v>
      </c>
      <c r="L69" s="11">
        <v>49.5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f>SUM(Tableau_Lancer_la_requête_à_partir_de_AS4003[[#This Row],[POLPRCPL2]:[POLPRCPL9]])</f>
        <v>49.5</v>
      </c>
      <c r="T69" s="11">
        <v>99</v>
      </c>
      <c r="U69" s="11">
        <v>12</v>
      </c>
      <c r="V69" s="11">
        <v>0</v>
      </c>
      <c r="W69" s="11">
        <v>864</v>
      </c>
      <c r="X69" s="11">
        <v>0</v>
      </c>
      <c r="Y69" s="11">
        <v>0</v>
      </c>
      <c r="Z69" s="11">
        <v>1</v>
      </c>
      <c r="AA69" s="11">
        <v>0</v>
      </c>
      <c r="AB69" s="11">
        <v>0</v>
      </c>
      <c r="AC69" s="11">
        <v>0</v>
      </c>
      <c r="AD69" s="11">
        <v>0</v>
      </c>
      <c r="AE69" s="11">
        <v>0</v>
      </c>
      <c r="AF69" s="11">
        <f>IF(Tableau_Lancer_la_requête_à_partir_de_AS4003[[#This Row],[POL_SEX_ASSURE]]="M",0,1)</f>
        <v>1</v>
      </c>
      <c r="AG69" s="11" t="str">
        <f>IF(Tableau_Lancer_la_requête_à_partir_de_AS4003[[#This Row],[POL_SEX_ASSURE2]]="","",IF(Tableau_Lancer_la_requête_à_partir_de_AS4003[[#This Row],[POL_SEX_ASSURE2]]="M",0,1))</f>
        <v/>
      </c>
      <c r="AH6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69" s="11">
        <v>12724.6</v>
      </c>
      <c r="AJ69" s="11">
        <f>Tableau_Lancer_la_requête_à_partir_de_AS4003[[#This Row],[POL_DUREE_ASSUR]]*12</f>
        <v>1188</v>
      </c>
      <c r="AK69" s="11">
        <v>471.3</v>
      </c>
      <c r="AL69" s="11">
        <v>0</v>
      </c>
      <c r="AM69" s="11">
        <v>0</v>
      </c>
      <c r="AN69" s="11" t="s">
        <v>36</v>
      </c>
      <c r="AO69" s="11" t="s">
        <v>80</v>
      </c>
      <c r="AP69" s="11">
        <f>Tableau_Lancer_la_requête_à_partir_de_AS4003[[#This Row],[POL_TERM_M]]-Tableau_Lancer_la_requête_à_partir_de_AS4003[[#This Row],[Duration IF]]</f>
        <v>1187</v>
      </c>
      <c r="AQ69" s="11" t="s">
        <v>36</v>
      </c>
      <c r="AR69" s="11" t="s">
        <v>36</v>
      </c>
      <c r="AS69" s="11" t="s">
        <v>36</v>
      </c>
      <c r="AT69" s="11" t="s">
        <v>36</v>
      </c>
      <c r="AU69" s="11" t="s">
        <v>36</v>
      </c>
      <c r="AV69" s="11">
        <v>0</v>
      </c>
      <c r="AW69" s="11">
        <v>11</v>
      </c>
      <c r="AX69" s="11">
        <v>1</v>
      </c>
      <c r="AY69" s="11">
        <v>20181201</v>
      </c>
      <c r="AZ69" s="80">
        <f t="shared" si="4"/>
        <v>43435</v>
      </c>
      <c r="BA69" s="11">
        <v>19600912</v>
      </c>
      <c r="BB69" s="80">
        <f t="shared" si="5"/>
        <v>22171</v>
      </c>
      <c r="BC69" s="11">
        <v>0</v>
      </c>
      <c r="BD69" s="11" t="s">
        <v>81</v>
      </c>
      <c r="BE69" s="11">
        <v>1</v>
      </c>
      <c r="BF69" s="11" t="s">
        <v>36</v>
      </c>
      <c r="BG69" s="11">
        <v>814.5</v>
      </c>
      <c r="BH69" s="11">
        <v>618.4</v>
      </c>
      <c r="BI69" s="11">
        <v>0</v>
      </c>
      <c r="BJ69" s="11" t="s">
        <v>79</v>
      </c>
      <c r="BK69" s="11">
        <v>1</v>
      </c>
      <c r="BL69" s="11">
        <v>0</v>
      </c>
      <c r="BM69" s="11">
        <v>0</v>
      </c>
      <c r="BN69" s="11">
        <v>1753603</v>
      </c>
      <c r="BO69" s="11">
        <v>0</v>
      </c>
      <c r="BP69" s="11" t="s">
        <v>79</v>
      </c>
      <c r="BQ69" s="11">
        <v>0</v>
      </c>
      <c r="BR69" s="11"/>
      <c r="BT69" s="11"/>
      <c r="BU69" s="11"/>
      <c r="CA69" s="11"/>
      <c r="CD69" s="11"/>
    </row>
    <row r="70" spans="2:82" ht="12.75" x14ac:dyDescent="0.2">
      <c r="B70" s="11">
        <v>1761203</v>
      </c>
      <c r="C70" s="11">
        <f>ROUND(DAYS360(Tableau_Lancer_la_requête_à_partir_de_AS4003[[#This Row],[Date naissance 1]],Tableau_Lancer_la_requête_à_partir_de_AS4003[[#This Row],[Date début]])/360,0)</f>
        <v>56</v>
      </c>
      <c r="D70" s="11">
        <v>0</v>
      </c>
      <c r="E70" s="11">
        <v>0</v>
      </c>
      <c r="F70" s="11">
        <v>0</v>
      </c>
      <c r="G70" s="11">
        <v>12</v>
      </c>
      <c r="H70" s="11">
        <f>ROUND(DAYS360(Tableau_Lancer_la_requête_à_partir_de_AS4003[[#This Row],[Date début]],'Cash flows par police'!$C$4)/30,0)</f>
        <v>2</v>
      </c>
      <c r="I70" s="11">
        <v>0</v>
      </c>
      <c r="J70" s="11">
        <v>0</v>
      </c>
      <c r="K70" s="11">
        <v>0</v>
      </c>
      <c r="L70" s="11">
        <v>23.3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f>SUM(Tableau_Lancer_la_requête_à_partir_de_AS4003[[#This Row],[POLPRCPL2]:[POLPRCPL9]])</f>
        <v>23.3</v>
      </c>
      <c r="T70" s="11">
        <v>99</v>
      </c>
      <c r="U70" s="11">
        <v>12</v>
      </c>
      <c r="V70" s="11">
        <v>0</v>
      </c>
      <c r="W70" s="11">
        <v>382.8</v>
      </c>
      <c r="X70" s="11">
        <v>9.8000000000000007</v>
      </c>
      <c r="Y70" s="11">
        <v>0</v>
      </c>
      <c r="Z70" s="11">
        <v>1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f>IF(Tableau_Lancer_la_requête_à_partir_de_AS4003[[#This Row],[POL_SEX_ASSURE]]="M",0,1)</f>
        <v>1</v>
      </c>
      <c r="AG70" s="11" t="str">
        <f>IF(Tableau_Lancer_la_requête_à_partir_de_AS4003[[#This Row],[POL_SEX_ASSURE2]]="","",IF(Tableau_Lancer_la_requête_à_partir_de_AS4003[[#This Row],[POL_SEX_ASSURE2]]="M",0,1))</f>
        <v/>
      </c>
      <c r="AH7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70" s="11">
        <v>6000</v>
      </c>
      <c r="AJ70" s="11">
        <f>Tableau_Lancer_la_requête_à_partir_de_AS4003[[#This Row],[POL_DUREE_ASSUR]]*12</f>
        <v>1188</v>
      </c>
      <c r="AK70" s="11">
        <v>200</v>
      </c>
      <c r="AL70" s="11">
        <v>9.8000000000000007</v>
      </c>
      <c r="AM70" s="11">
        <v>0</v>
      </c>
      <c r="AN70" s="11" t="s">
        <v>36</v>
      </c>
      <c r="AO70" s="11" t="s">
        <v>80</v>
      </c>
      <c r="AP70" s="11">
        <f>Tableau_Lancer_la_requête_à_partir_de_AS4003[[#This Row],[POL_TERM_M]]-Tableau_Lancer_la_requête_à_partir_de_AS4003[[#This Row],[Duration IF]]</f>
        <v>1186</v>
      </c>
      <c r="AQ70" s="11" t="s">
        <v>36</v>
      </c>
      <c r="AR70" s="11" t="s">
        <v>36</v>
      </c>
      <c r="AS70" s="11" t="s">
        <v>36</v>
      </c>
      <c r="AT70" s="11" t="s">
        <v>36</v>
      </c>
      <c r="AU70" s="11" t="s">
        <v>36</v>
      </c>
      <c r="AV70" s="11">
        <v>0</v>
      </c>
      <c r="AW70" s="11">
        <v>11</v>
      </c>
      <c r="AX70" s="11">
        <v>1</v>
      </c>
      <c r="AY70" s="11">
        <v>20181101</v>
      </c>
      <c r="AZ70" s="80">
        <f t="shared" si="4"/>
        <v>43405</v>
      </c>
      <c r="BA70" s="11">
        <v>19630423</v>
      </c>
      <c r="BB70" s="80">
        <f t="shared" si="5"/>
        <v>23124</v>
      </c>
      <c r="BC70" s="11">
        <v>0</v>
      </c>
      <c r="BD70" s="11" t="s">
        <v>81</v>
      </c>
      <c r="BE70" s="11">
        <v>1</v>
      </c>
      <c r="BF70" s="11" t="s">
        <v>36</v>
      </c>
      <c r="BG70" s="11">
        <v>359.5</v>
      </c>
      <c r="BH70" s="11">
        <v>272.8</v>
      </c>
      <c r="BI70" s="11">
        <v>0</v>
      </c>
      <c r="BJ70" s="11" t="s">
        <v>79</v>
      </c>
      <c r="BK70" s="11">
        <v>1</v>
      </c>
      <c r="BL70" s="11">
        <v>0</v>
      </c>
      <c r="BM70" s="11">
        <v>0</v>
      </c>
      <c r="BN70" s="11">
        <v>1761203</v>
      </c>
      <c r="BO70" s="11">
        <v>0</v>
      </c>
      <c r="BP70" s="11" t="s">
        <v>79</v>
      </c>
      <c r="BQ70" s="11">
        <v>0</v>
      </c>
      <c r="BR70" s="11"/>
      <c r="BT70" s="11"/>
      <c r="BU70" s="11"/>
      <c r="CA70" s="11"/>
      <c r="CD70" s="11"/>
    </row>
    <row r="71" spans="2:82" ht="12.75" x14ac:dyDescent="0.2">
      <c r="B71" s="11">
        <v>1774703</v>
      </c>
      <c r="C71" s="11">
        <f>ROUND(DAYS360(Tableau_Lancer_la_requête_à_partir_de_AS4003[[#This Row],[Date naissance 1]],Tableau_Lancer_la_requête_à_partir_de_AS4003[[#This Row],[Date début]])/360,0)</f>
        <v>62</v>
      </c>
      <c r="D71" s="11">
        <v>0</v>
      </c>
      <c r="E71" s="11">
        <v>0</v>
      </c>
      <c r="F71" s="11">
        <v>0</v>
      </c>
      <c r="G71" s="11">
        <v>12</v>
      </c>
      <c r="H71" s="11">
        <f>ROUND(DAYS360(Tableau_Lancer_la_requête_à_partir_de_AS4003[[#This Row],[Date début]],'Cash flows par police'!$C$4)/30,0)</f>
        <v>1</v>
      </c>
      <c r="I71" s="11">
        <v>0</v>
      </c>
      <c r="J71" s="11">
        <v>0</v>
      </c>
      <c r="K71" s="11">
        <v>0</v>
      </c>
      <c r="L71" s="11">
        <v>19.399999999999999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f>SUM(Tableau_Lancer_la_requête_à_partir_de_AS4003[[#This Row],[POLPRCPL2]:[POLPRCPL9]])</f>
        <v>19.399999999999999</v>
      </c>
      <c r="T71" s="11">
        <v>99</v>
      </c>
      <c r="U71" s="11">
        <v>12</v>
      </c>
      <c r="V71" s="11">
        <v>0</v>
      </c>
      <c r="W71" s="11">
        <v>385.2</v>
      </c>
      <c r="X71" s="11">
        <v>0</v>
      </c>
      <c r="Y71" s="11">
        <v>0</v>
      </c>
      <c r="Z71" s="11">
        <v>1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f>IF(Tableau_Lancer_la_requête_à_partir_de_AS4003[[#This Row],[POL_SEX_ASSURE]]="M",0,1)</f>
        <v>1</v>
      </c>
      <c r="AG71" s="11" t="str">
        <f>IF(Tableau_Lancer_la_requête_à_partir_de_AS4003[[#This Row],[POL_SEX_ASSURE2]]="","",IF(Tableau_Lancer_la_requête_à_partir_de_AS4003[[#This Row],[POL_SEX_ASSURE2]]="M",0,1))</f>
        <v/>
      </c>
      <c r="AH7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71" s="11">
        <v>5000</v>
      </c>
      <c r="AJ71" s="11">
        <f>Tableau_Lancer_la_requête_à_partir_de_AS4003[[#This Row],[POL_DUREE_ASSUR]]*12</f>
        <v>1188</v>
      </c>
      <c r="AK71" s="11">
        <v>208.3</v>
      </c>
      <c r="AL71" s="11">
        <v>0</v>
      </c>
      <c r="AM71" s="11">
        <v>0</v>
      </c>
      <c r="AN71" s="11" t="s">
        <v>36</v>
      </c>
      <c r="AO71" s="11" t="s">
        <v>80</v>
      </c>
      <c r="AP71" s="11">
        <f>Tableau_Lancer_la_requête_à_partir_de_AS4003[[#This Row],[POL_TERM_M]]-Tableau_Lancer_la_requête_à_partir_de_AS4003[[#This Row],[Duration IF]]</f>
        <v>1187</v>
      </c>
      <c r="AQ71" s="11" t="s">
        <v>36</v>
      </c>
      <c r="AR71" s="11" t="s">
        <v>36</v>
      </c>
      <c r="AS71" s="11" t="s">
        <v>36</v>
      </c>
      <c r="AT71" s="11" t="s">
        <v>36</v>
      </c>
      <c r="AU71" s="11" t="s">
        <v>36</v>
      </c>
      <c r="AV71" s="11">
        <v>0</v>
      </c>
      <c r="AW71" s="11">
        <v>11</v>
      </c>
      <c r="AX71" s="11">
        <v>1</v>
      </c>
      <c r="AY71" s="11">
        <v>20181201</v>
      </c>
      <c r="AZ71" s="80">
        <f t="shared" si="4"/>
        <v>43435</v>
      </c>
      <c r="BA71" s="11">
        <v>19570501</v>
      </c>
      <c r="BB71" s="80">
        <f t="shared" si="5"/>
        <v>20941</v>
      </c>
      <c r="BC71" s="11">
        <v>0</v>
      </c>
      <c r="BD71" s="11" t="s">
        <v>81</v>
      </c>
      <c r="BE71" s="11">
        <v>1</v>
      </c>
      <c r="BF71" s="11" t="s">
        <v>36</v>
      </c>
      <c r="BG71" s="11">
        <v>365.8</v>
      </c>
      <c r="BH71" s="11">
        <v>278.10000000000002</v>
      </c>
      <c r="BI71" s="11">
        <v>0</v>
      </c>
      <c r="BJ71" s="11" t="s">
        <v>79</v>
      </c>
      <c r="BK71" s="11">
        <v>1</v>
      </c>
      <c r="BL71" s="11">
        <v>0</v>
      </c>
      <c r="BM71" s="11">
        <v>0</v>
      </c>
      <c r="BN71" s="11">
        <v>1774703</v>
      </c>
      <c r="BO71" s="11">
        <v>0</v>
      </c>
      <c r="BP71" s="11" t="s">
        <v>79</v>
      </c>
      <c r="BQ71" s="11">
        <v>0</v>
      </c>
      <c r="BR71" s="11"/>
      <c r="BT71" s="11"/>
      <c r="BU71" s="11"/>
      <c r="CA71" s="11"/>
      <c r="CD71" s="11"/>
    </row>
    <row r="72" spans="2:82" ht="12.75" x14ac:dyDescent="0.2">
      <c r="B72" s="11">
        <v>1819004</v>
      </c>
      <c r="C72" s="11">
        <f>ROUND(DAYS360(Tableau_Lancer_la_requête_à_partir_de_AS4003[[#This Row],[Date naissance 1]],Tableau_Lancer_la_requête_à_partir_de_AS4003[[#This Row],[Date début]])/360,0)</f>
        <v>47</v>
      </c>
      <c r="D72" s="11">
        <v>0</v>
      </c>
      <c r="E72" s="11">
        <v>0</v>
      </c>
      <c r="F72" s="11">
        <v>0</v>
      </c>
      <c r="G72" s="11">
        <v>12</v>
      </c>
      <c r="H72" s="11">
        <f>ROUND(DAYS360(Tableau_Lancer_la_requête_à_partir_de_AS4003[[#This Row],[Date début]],'Cash flows par police'!$C$4)/30,0)</f>
        <v>2</v>
      </c>
      <c r="I72" s="11">
        <v>0</v>
      </c>
      <c r="J72" s="11">
        <v>0</v>
      </c>
      <c r="K72" s="11">
        <v>0</v>
      </c>
      <c r="L72" s="11">
        <v>29.2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f>SUM(Tableau_Lancer_la_requête_à_partir_de_AS4003[[#This Row],[POLPRCPL2]:[POLPRCPL9]])</f>
        <v>29.2</v>
      </c>
      <c r="T72" s="11">
        <v>99</v>
      </c>
      <c r="U72" s="11">
        <v>12</v>
      </c>
      <c r="V72" s="11">
        <v>0</v>
      </c>
      <c r="W72" s="11">
        <v>362.4</v>
      </c>
      <c r="X72" s="11">
        <v>10.3</v>
      </c>
      <c r="Y72" s="11">
        <v>0</v>
      </c>
      <c r="Z72" s="11">
        <v>1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f>IF(Tableau_Lancer_la_requête_à_partir_de_AS4003[[#This Row],[POL_SEX_ASSURE]]="M",0,1)</f>
        <v>1</v>
      </c>
      <c r="AG72" s="11" t="str">
        <f>IF(Tableau_Lancer_la_requête_à_partir_de_AS4003[[#This Row],[POL_SEX_ASSURE2]]="","",IF(Tableau_Lancer_la_requête_à_partir_de_AS4003[[#This Row],[POL_SEX_ASSURE2]]="M",0,1))</f>
        <v/>
      </c>
      <c r="AH7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72" s="11">
        <v>7500</v>
      </c>
      <c r="AJ72" s="11">
        <f>Tableau_Lancer_la_requête_à_partir_de_AS4003[[#This Row],[POL_DUREE_ASSUR]]*12</f>
        <v>1188</v>
      </c>
      <c r="AK72" s="11">
        <v>197.4</v>
      </c>
      <c r="AL72" s="11">
        <v>10.3</v>
      </c>
      <c r="AM72" s="11">
        <v>0</v>
      </c>
      <c r="AN72" s="11" t="s">
        <v>36</v>
      </c>
      <c r="AO72" s="11" t="s">
        <v>80</v>
      </c>
      <c r="AP72" s="11">
        <f>Tableau_Lancer_la_requête_à_partir_de_AS4003[[#This Row],[POL_TERM_M]]-Tableau_Lancer_la_requête_à_partir_de_AS4003[[#This Row],[Duration IF]]</f>
        <v>1186</v>
      </c>
      <c r="AQ72" s="11" t="s">
        <v>36</v>
      </c>
      <c r="AR72" s="11" t="s">
        <v>36</v>
      </c>
      <c r="AS72" s="11" t="s">
        <v>36</v>
      </c>
      <c r="AT72" s="11" t="s">
        <v>36</v>
      </c>
      <c r="AU72" s="11" t="s">
        <v>36</v>
      </c>
      <c r="AV72" s="11">
        <v>0</v>
      </c>
      <c r="AW72" s="11">
        <v>11</v>
      </c>
      <c r="AX72" s="11">
        <v>1</v>
      </c>
      <c r="AY72" s="11">
        <v>20181101</v>
      </c>
      <c r="AZ72" s="80">
        <f t="shared" si="4"/>
        <v>43405</v>
      </c>
      <c r="BA72" s="11">
        <v>19711118</v>
      </c>
      <c r="BB72" s="80">
        <f t="shared" si="5"/>
        <v>26255</v>
      </c>
      <c r="BC72" s="11">
        <v>0</v>
      </c>
      <c r="BD72" s="11" t="s">
        <v>81</v>
      </c>
      <c r="BE72" s="11">
        <v>1</v>
      </c>
      <c r="BF72" s="11" t="s">
        <v>36</v>
      </c>
      <c r="BG72" s="11">
        <v>333.2</v>
      </c>
      <c r="BH72" s="11">
        <v>252.9</v>
      </c>
      <c r="BI72" s="11">
        <v>0</v>
      </c>
      <c r="BJ72" s="11" t="s">
        <v>79</v>
      </c>
      <c r="BK72" s="11">
        <v>1</v>
      </c>
      <c r="BL72" s="11">
        <v>0</v>
      </c>
      <c r="BM72" s="11">
        <v>0</v>
      </c>
      <c r="BN72" s="11">
        <v>1819004</v>
      </c>
      <c r="BO72" s="11">
        <v>0</v>
      </c>
      <c r="BP72" s="11" t="s">
        <v>79</v>
      </c>
      <c r="BQ72" s="11">
        <v>0</v>
      </c>
      <c r="BR72" s="11"/>
      <c r="BT72" s="11"/>
      <c r="BU72" s="11"/>
      <c r="CA72" s="11"/>
      <c r="CD72" s="11"/>
    </row>
    <row r="73" spans="2:82" ht="12.75" x14ac:dyDescent="0.2">
      <c r="B73" s="11">
        <v>1895702</v>
      </c>
      <c r="C73" s="11">
        <f>ROUND(DAYS360(Tableau_Lancer_la_requête_à_partir_de_AS4003[[#This Row],[Date naissance 1]],Tableau_Lancer_la_requête_à_partir_de_AS4003[[#This Row],[Date début]])/360,0)</f>
        <v>59</v>
      </c>
      <c r="D73" s="11">
        <v>0</v>
      </c>
      <c r="E73" s="11">
        <v>0</v>
      </c>
      <c r="F73" s="11">
        <v>0</v>
      </c>
      <c r="G73" s="11">
        <v>12</v>
      </c>
      <c r="H73" s="11">
        <f>ROUND(DAYS360(Tableau_Lancer_la_requête_à_partir_de_AS4003[[#This Row],[Date début]],'Cash flows par police'!$C$4)/30,0)</f>
        <v>3</v>
      </c>
      <c r="I73" s="11">
        <v>0</v>
      </c>
      <c r="J73" s="11">
        <v>0</v>
      </c>
      <c r="K73" s="11">
        <v>0</v>
      </c>
      <c r="L73" s="11">
        <v>19.399999999999999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f>SUM(Tableau_Lancer_la_requête_à_partir_de_AS4003[[#This Row],[POLPRCPL2]:[POLPRCPL9]])</f>
        <v>19.399999999999999</v>
      </c>
      <c r="T73" s="11">
        <v>99</v>
      </c>
      <c r="U73" s="11">
        <v>12</v>
      </c>
      <c r="V73" s="11">
        <v>0</v>
      </c>
      <c r="W73" s="11">
        <v>339.6</v>
      </c>
      <c r="X73" s="11">
        <v>17.600000000000001</v>
      </c>
      <c r="Y73" s="11">
        <v>0</v>
      </c>
      <c r="Z73" s="11">
        <v>1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f>IF(Tableau_Lancer_la_requête_à_partir_de_AS4003[[#This Row],[POL_SEX_ASSURE]]="M",0,1)</f>
        <v>1</v>
      </c>
      <c r="AG73" s="11" t="str">
        <f>IF(Tableau_Lancer_la_requête_à_partir_de_AS4003[[#This Row],[POL_SEX_ASSURE2]]="","",IF(Tableau_Lancer_la_requête_à_partir_de_AS4003[[#This Row],[POL_SEX_ASSURE2]]="M",0,1))</f>
        <v/>
      </c>
      <c r="AH7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73" s="11">
        <v>5000</v>
      </c>
      <c r="AJ73" s="11">
        <f>Tableau_Lancer_la_requête_à_partir_de_AS4003[[#This Row],[POL_DUREE_ASSUR]]*12</f>
        <v>1188</v>
      </c>
      <c r="AK73" s="11">
        <v>185.2</v>
      </c>
      <c r="AL73" s="11">
        <v>17.600000000000001</v>
      </c>
      <c r="AM73" s="11">
        <v>0</v>
      </c>
      <c r="AN73" s="11" t="s">
        <v>36</v>
      </c>
      <c r="AO73" s="11" t="s">
        <v>80</v>
      </c>
      <c r="AP73" s="11">
        <f>Tableau_Lancer_la_requête_à_partir_de_AS4003[[#This Row],[POL_TERM_M]]-Tableau_Lancer_la_requête_à_partir_de_AS4003[[#This Row],[Duration IF]]</f>
        <v>1185</v>
      </c>
      <c r="AQ73" s="11" t="s">
        <v>36</v>
      </c>
      <c r="AR73" s="11" t="s">
        <v>36</v>
      </c>
      <c r="AS73" s="11" t="s">
        <v>36</v>
      </c>
      <c r="AT73" s="11" t="s">
        <v>36</v>
      </c>
      <c r="AU73" s="11" t="s">
        <v>36</v>
      </c>
      <c r="AV73" s="11">
        <v>0</v>
      </c>
      <c r="AW73" s="11">
        <v>11</v>
      </c>
      <c r="AX73" s="11">
        <v>1</v>
      </c>
      <c r="AY73" s="11">
        <v>20181001</v>
      </c>
      <c r="AZ73" s="80">
        <f t="shared" si="4"/>
        <v>43374</v>
      </c>
      <c r="BA73" s="11">
        <v>19600207</v>
      </c>
      <c r="BB73" s="80">
        <f t="shared" si="5"/>
        <v>21953</v>
      </c>
      <c r="BC73" s="11">
        <v>0</v>
      </c>
      <c r="BD73" s="11" t="s">
        <v>81</v>
      </c>
      <c r="BE73" s="11">
        <v>1</v>
      </c>
      <c r="BF73" s="11" t="s">
        <v>36</v>
      </c>
      <c r="BG73" s="11">
        <v>320.2</v>
      </c>
      <c r="BH73" s="11">
        <v>243</v>
      </c>
      <c r="BI73" s="11">
        <v>0</v>
      </c>
      <c r="BJ73" s="11" t="s">
        <v>79</v>
      </c>
      <c r="BK73" s="11">
        <v>1</v>
      </c>
      <c r="BL73" s="11">
        <v>0</v>
      </c>
      <c r="BM73" s="11">
        <v>0</v>
      </c>
      <c r="BN73" s="11">
        <v>1895702</v>
      </c>
      <c r="BO73" s="11">
        <v>0</v>
      </c>
      <c r="BP73" s="11" t="s">
        <v>79</v>
      </c>
      <c r="BQ73" s="11">
        <v>0</v>
      </c>
      <c r="BR73" s="11"/>
      <c r="BT73" s="11"/>
      <c r="BU73" s="11"/>
      <c r="CA73" s="11"/>
      <c r="CD73" s="11"/>
    </row>
    <row r="74" spans="2:82" ht="12.75" x14ac:dyDescent="0.2">
      <c r="B74" s="11">
        <v>2069302</v>
      </c>
      <c r="C74" s="11">
        <f>ROUND(DAYS360(Tableau_Lancer_la_requête_à_partir_de_AS4003[[#This Row],[Date naissance 1]],Tableau_Lancer_la_requête_à_partir_de_AS4003[[#This Row],[Date début]])/360,0)</f>
        <v>50</v>
      </c>
      <c r="D74" s="11">
        <v>0</v>
      </c>
      <c r="E74" s="11">
        <v>0</v>
      </c>
      <c r="F74" s="11">
        <v>0</v>
      </c>
      <c r="G74" s="11">
        <v>12</v>
      </c>
      <c r="H74" s="11">
        <f>ROUND(DAYS360(Tableau_Lancer_la_requête_à_partir_de_AS4003[[#This Row],[Date début]],'Cash flows par police'!$C$4)/30,0)</f>
        <v>21</v>
      </c>
      <c r="I74" s="11">
        <v>0</v>
      </c>
      <c r="J74" s="11">
        <v>0</v>
      </c>
      <c r="K74" s="11">
        <v>0</v>
      </c>
      <c r="L74" s="11">
        <v>58.3</v>
      </c>
      <c r="M74" s="11">
        <v>0</v>
      </c>
      <c r="N74" s="11">
        <v>0</v>
      </c>
      <c r="O74" s="11">
        <v>0</v>
      </c>
      <c r="P74" s="11">
        <v>0</v>
      </c>
      <c r="Q74" s="11">
        <v>0</v>
      </c>
      <c r="R74" s="11">
        <v>0</v>
      </c>
      <c r="S74" s="11">
        <f>SUM(Tableau_Lancer_la_requête_à_partir_de_AS4003[[#This Row],[POLPRCPL2]:[POLPRCPL9]])</f>
        <v>58.3</v>
      </c>
      <c r="T74" s="11">
        <v>99</v>
      </c>
      <c r="U74" s="11">
        <v>12</v>
      </c>
      <c r="V74" s="11">
        <v>0</v>
      </c>
      <c r="W74" s="11">
        <v>765.6</v>
      </c>
      <c r="X74" s="11">
        <v>440.1</v>
      </c>
      <c r="Y74" s="11">
        <v>5.2</v>
      </c>
      <c r="Z74" s="11">
        <v>1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f>IF(Tableau_Lancer_la_requête_à_partir_de_AS4003[[#This Row],[POL_SEX_ASSURE]]="M",0,1)</f>
        <v>1</v>
      </c>
      <c r="AG74" s="11" t="str">
        <f>IF(Tableau_Lancer_la_requête_à_partir_de_AS4003[[#This Row],[POL_SEX_ASSURE2]]="","",IF(Tableau_Lancer_la_requête_à_partir_de_AS4003[[#This Row],[POL_SEX_ASSURE2]]="M",0,1))</f>
        <v/>
      </c>
      <c r="AH7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74" s="11">
        <v>15000</v>
      </c>
      <c r="AJ74" s="11">
        <f>Tableau_Lancer_la_requête_à_partir_de_AS4003[[#This Row],[POL_DUREE_ASSUR]]*12</f>
        <v>1188</v>
      </c>
      <c r="AK74" s="11">
        <v>428.6</v>
      </c>
      <c r="AL74" s="11">
        <v>440.1</v>
      </c>
      <c r="AM74" s="11">
        <v>0</v>
      </c>
      <c r="AN74" s="11" t="s">
        <v>36</v>
      </c>
      <c r="AO74" s="11" t="s">
        <v>80</v>
      </c>
      <c r="AP74" s="11">
        <f>Tableau_Lancer_la_requête_à_partir_de_AS4003[[#This Row],[POL_TERM_M]]-Tableau_Lancer_la_requête_à_partir_de_AS4003[[#This Row],[Duration IF]]</f>
        <v>1167</v>
      </c>
      <c r="AQ74" s="11" t="s">
        <v>36</v>
      </c>
      <c r="AR74" s="11" t="s">
        <v>36</v>
      </c>
      <c r="AS74" s="11" t="s">
        <v>36</v>
      </c>
      <c r="AT74" s="11" t="s">
        <v>36</v>
      </c>
      <c r="AU74" s="11" t="s">
        <v>36</v>
      </c>
      <c r="AV74" s="11">
        <v>0</v>
      </c>
      <c r="AW74" s="11">
        <v>11</v>
      </c>
      <c r="AX74" s="11">
        <v>1</v>
      </c>
      <c r="AY74" s="11">
        <v>20170401</v>
      </c>
      <c r="AZ74" s="80">
        <f t="shared" si="4"/>
        <v>42826</v>
      </c>
      <c r="BA74" s="11">
        <v>19670606</v>
      </c>
      <c r="BB74" s="80">
        <f t="shared" si="5"/>
        <v>24629</v>
      </c>
      <c r="BC74" s="11">
        <v>0</v>
      </c>
      <c r="BD74" s="11" t="s">
        <v>81</v>
      </c>
      <c r="BE74" s="11">
        <v>1</v>
      </c>
      <c r="BF74" s="11" t="s">
        <v>36</v>
      </c>
      <c r="BG74" s="11">
        <v>707.3</v>
      </c>
      <c r="BH74" s="11">
        <v>537.20000000000005</v>
      </c>
      <c r="BI74" s="11">
        <v>0</v>
      </c>
      <c r="BJ74" s="11" t="s">
        <v>79</v>
      </c>
      <c r="BK74" s="11">
        <v>1</v>
      </c>
      <c r="BL74" s="11">
        <v>0</v>
      </c>
      <c r="BM74" s="11">
        <v>0</v>
      </c>
      <c r="BN74" s="11">
        <v>2069302</v>
      </c>
      <c r="BO74" s="11">
        <v>0</v>
      </c>
      <c r="BP74" s="11" t="s">
        <v>79</v>
      </c>
      <c r="BQ74" s="11">
        <v>0</v>
      </c>
      <c r="BR74" s="11"/>
      <c r="BT74" s="11"/>
      <c r="BU74" s="11"/>
      <c r="CA74" s="11"/>
      <c r="CD74" s="11"/>
    </row>
    <row r="75" spans="2:82" ht="12.75" x14ac:dyDescent="0.2">
      <c r="B75" s="11">
        <v>2083302</v>
      </c>
      <c r="C75" s="11">
        <f>ROUND(DAYS360(Tableau_Lancer_la_requête_à_partir_de_AS4003[[#This Row],[Date naissance 1]],Tableau_Lancer_la_requête_à_partir_de_AS4003[[#This Row],[Date début]])/360,0)</f>
        <v>22</v>
      </c>
      <c r="D75" s="11">
        <v>0</v>
      </c>
      <c r="E75" s="11">
        <v>0</v>
      </c>
      <c r="F75" s="11">
        <v>0</v>
      </c>
      <c r="G75" s="11">
        <v>12</v>
      </c>
      <c r="H75" s="11">
        <f>ROUND(DAYS360(Tableau_Lancer_la_requête_à_partir_de_AS4003[[#This Row],[Date début]],'Cash flows par police'!$C$4)/30,0)</f>
        <v>15</v>
      </c>
      <c r="I75" s="11">
        <v>0</v>
      </c>
      <c r="J75" s="11">
        <v>0</v>
      </c>
      <c r="K75" s="11">
        <v>0</v>
      </c>
      <c r="L75" s="11">
        <v>38.9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f>SUM(Tableau_Lancer_la_requête_à_partir_de_AS4003[[#This Row],[POLPRCPL2]:[POLPRCPL9]])</f>
        <v>38.9</v>
      </c>
      <c r="T75" s="11">
        <v>99</v>
      </c>
      <c r="U75" s="11">
        <v>12</v>
      </c>
      <c r="V75" s="11">
        <v>0</v>
      </c>
      <c r="W75" s="11">
        <v>316.8</v>
      </c>
      <c r="X75" s="11">
        <v>121</v>
      </c>
      <c r="Y75" s="11">
        <v>0.5</v>
      </c>
      <c r="Z75" s="11">
        <v>1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f>IF(Tableau_Lancer_la_requête_à_partir_de_AS4003[[#This Row],[POL_SEX_ASSURE]]="M",0,1)</f>
        <v>1</v>
      </c>
      <c r="AG75" s="11" t="str">
        <f>IF(Tableau_Lancer_la_requête_à_partir_de_AS4003[[#This Row],[POL_SEX_ASSURE2]]="","",IF(Tableau_Lancer_la_requête_à_partir_de_AS4003[[#This Row],[POL_SEX_ASSURE2]]="M",0,1))</f>
        <v/>
      </c>
      <c r="AH7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75" s="11">
        <v>10000</v>
      </c>
      <c r="AJ75" s="11">
        <f>Tableau_Lancer_la_requête_à_partir_de_AS4003[[#This Row],[POL_DUREE_ASSUR]]*12</f>
        <v>1188</v>
      </c>
      <c r="AK75" s="11">
        <v>158.69999999999999</v>
      </c>
      <c r="AL75" s="11">
        <v>121</v>
      </c>
      <c r="AM75" s="11">
        <v>0</v>
      </c>
      <c r="AN75" s="11" t="s">
        <v>36</v>
      </c>
      <c r="AO75" s="11" t="s">
        <v>80</v>
      </c>
      <c r="AP75" s="11">
        <f>Tableau_Lancer_la_requête_à_partir_de_AS4003[[#This Row],[POL_TERM_M]]-Tableau_Lancer_la_requête_à_partir_de_AS4003[[#This Row],[Duration IF]]</f>
        <v>1173</v>
      </c>
      <c r="AQ75" s="11" t="s">
        <v>36</v>
      </c>
      <c r="AR75" s="11" t="s">
        <v>36</v>
      </c>
      <c r="AS75" s="11" t="s">
        <v>36</v>
      </c>
      <c r="AT75" s="11" t="s">
        <v>36</v>
      </c>
      <c r="AU75" s="11" t="s">
        <v>36</v>
      </c>
      <c r="AV75" s="11">
        <v>0</v>
      </c>
      <c r="AW75" s="11">
        <v>11</v>
      </c>
      <c r="AX75" s="11">
        <v>1</v>
      </c>
      <c r="AY75" s="11">
        <v>20171001</v>
      </c>
      <c r="AZ75" s="80">
        <f t="shared" si="4"/>
        <v>43009</v>
      </c>
      <c r="BA75" s="11">
        <v>19950428</v>
      </c>
      <c r="BB75" s="80">
        <f t="shared" si="5"/>
        <v>34817</v>
      </c>
      <c r="BC75" s="11">
        <v>0</v>
      </c>
      <c r="BD75" s="11" t="s">
        <v>81</v>
      </c>
      <c r="BE75" s="11">
        <v>1</v>
      </c>
      <c r="BF75" s="11" t="s">
        <v>36</v>
      </c>
      <c r="BG75" s="11">
        <v>277.89999999999998</v>
      </c>
      <c r="BH75" s="11">
        <v>211</v>
      </c>
      <c r="BI75" s="11">
        <v>0</v>
      </c>
      <c r="BJ75" s="11" t="s">
        <v>79</v>
      </c>
      <c r="BK75" s="11">
        <v>1</v>
      </c>
      <c r="BL75" s="11">
        <v>0</v>
      </c>
      <c r="BM75" s="11">
        <v>0</v>
      </c>
      <c r="BN75" s="11">
        <v>2083302</v>
      </c>
      <c r="BO75" s="11">
        <v>0</v>
      </c>
      <c r="BP75" s="11" t="s">
        <v>79</v>
      </c>
      <c r="BQ75" s="11">
        <v>0</v>
      </c>
      <c r="BR75" s="11"/>
      <c r="BT75" s="11"/>
      <c r="BU75" s="11"/>
      <c r="CA75" s="11"/>
      <c r="CD75" s="11"/>
    </row>
    <row r="76" spans="2:82" ht="12.75" x14ac:dyDescent="0.2">
      <c r="B76" s="11">
        <v>2203002</v>
      </c>
      <c r="C76" s="11">
        <f>ROUND(DAYS360(Tableau_Lancer_la_requête_à_partir_de_AS4003[[#This Row],[Date naissance 1]],Tableau_Lancer_la_requête_à_partir_de_AS4003[[#This Row],[Date début]])/360,0)</f>
        <v>50</v>
      </c>
      <c r="D76" s="11">
        <v>0</v>
      </c>
      <c r="E76" s="11">
        <v>0</v>
      </c>
      <c r="F76" s="11">
        <v>0</v>
      </c>
      <c r="G76" s="11">
        <v>12</v>
      </c>
      <c r="H76" s="11">
        <f>ROUND(DAYS360(Tableau_Lancer_la_requête_à_partir_de_AS4003[[#This Row],[Date début]],'Cash flows par police'!$C$4)/30,0)</f>
        <v>19</v>
      </c>
      <c r="I76" s="11">
        <v>0</v>
      </c>
      <c r="J76" s="11">
        <v>0</v>
      </c>
      <c r="K76" s="11">
        <v>0</v>
      </c>
      <c r="L76" s="11">
        <v>18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f>SUM(Tableau_Lancer_la_requête_à_partir_de_AS4003[[#This Row],[POLPRCPL2]:[POLPRCPL9]])</f>
        <v>18</v>
      </c>
      <c r="T76" s="11">
        <v>99</v>
      </c>
      <c r="U76" s="11">
        <v>1</v>
      </c>
      <c r="V76" s="11">
        <v>0</v>
      </c>
      <c r="W76" s="11">
        <v>236.4</v>
      </c>
      <c r="X76" s="11">
        <v>132.1</v>
      </c>
      <c r="Y76" s="11">
        <v>1.3</v>
      </c>
      <c r="Z76" s="11">
        <v>1</v>
      </c>
      <c r="AA76" s="11">
        <v>0</v>
      </c>
      <c r="AB76" s="11">
        <v>0</v>
      </c>
      <c r="AC76" s="11">
        <v>0</v>
      </c>
      <c r="AD76" s="11">
        <v>0</v>
      </c>
      <c r="AE76" s="11">
        <v>0</v>
      </c>
      <c r="AF76" s="11">
        <f>IF(Tableau_Lancer_la_requête_à_partir_de_AS4003[[#This Row],[POL_SEX_ASSURE]]="M",0,1)</f>
        <v>1</v>
      </c>
      <c r="AG76" s="11" t="str">
        <f>IF(Tableau_Lancer_la_requête_à_partir_de_AS4003[[#This Row],[POL_SEX_ASSURE2]]="","",IF(Tableau_Lancer_la_requête_à_partir_de_AS4003[[#This Row],[POL_SEX_ASSURE2]]="M",0,1))</f>
        <v/>
      </c>
      <c r="AH7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76" s="11">
        <v>5000</v>
      </c>
      <c r="AJ76" s="11">
        <f>Tableau_Lancer_la_requête_à_partir_de_AS4003[[#This Row],[POL_DUREE_ASSUR]]*12</f>
        <v>1188</v>
      </c>
      <c r="AK76" s="11">
        <v>142.9</v>
      </c>
      <c r="AL76" s="11">
        <v>132.1</v>
      </c>
      <c r="AM76" s="11">
        <v>0</v>
      </c>
      <c r="AN76" s="11" t="s">
        <v>36</v>
      </c>
      <c r="AO76" s="11" t="s">
        <v>80</v>
      </c>
      <c r="AP76" s="11">
        <f>Tableau_Lancer_la_requête_à_partir_de_AS4003[[#This Row],[POL_TERM_M]]-Tableau_Lancer_la_requête_à_partir_de_AS4003[[#This Row],[Duration IF]]</f>
        <v>1169</v>
      </c>
      <c r="AQ76" s="11" t="s">
        <v>36</v>
      </c>
      <c r="AR76" s="11" t="s">
        <v>36</v>
      </c>
      <c r="AS76" s="11" t="s">
        <v>36</v>
      </c>
      <c r="AT76" s="11" t="s">
        <v>36</v>
      </c>
      <c r="AU76" s="11" t="s">
        <v>36</v>
      </c>
      <c r="AV76" s="11">
        <v>0</v>
      </c>
      <c r="AW76" s="11">
        <v>11</v>
      </c>
      <c r="AX76" s="11">
        <v>1</v>
      </c>
      <c r="AY76" s="11">
        <v>20170601</v>
      </c>
      <c r="AZ76" s="80">
        <f t="shared" si="4"/>
        <v>42887</v>
      </c>
      <c r="BA76" s="11">
        <v>19670410</v>
      </c>
      <c r="BB76" s="80">
        <f t="shared" si="5"/>
        <v>24572</v>
      </c>
      <c r="BC76" s="11">
        <v>0</v>
      </c>
      <c r="BD76" s="11" t="s">
        <v>81</v>
      </c>
      <c r="BE76" s="11">
        <v>1</v>
      </c>
      <c r="BF76" s="11" t="s">
        <v>36</v>
      </c>
      <c r="BG76" s="11">
        <v>218.4</v>
      </c>
      <c r="BH76" s="11">
        <v>179.1</v>
      </c>
      <c r="BI76" s="11">
        <v>0</v>
      </c>
      <c r="BJ76" s="11" t="s">
        <v>79</v>
      </c>
      <c r="BK76" s="11">
        <v>1</v>
      </c>
      <c r="BL76" s="11">
        <v>73.900000000000006</v>
      </c>
      <c r="BM76" s="11">
        <v>6.1</v>
      </c>
      <c r="BN76" s="11">
        <v>2203002</v>
      </c>
      <c r="BO76" s="11">
        <v>0</v>
      </c>
      <c r="BP76" s="11" t="s">
        <v>79</v>
      </c>
      <c r="BQ76" s="11">
        <v>0</v>
      </c>
      <c r="BR76" s="11"/>
      <c r="BT76" s="11"/>
      <c r="BU76" s="11"/>
      <c r="CA76" s="11"/>
      <c r="CD76" s="11"/>
    </row>
    <row r="77" spans="2:82" ht="12.75" x14ac:dyDescent="0.2">
      <c r="B77" s="11">
        <v>2303102</v>
      </c>
      <c r="C77" s="11">
        <f>ROUND(DAYS360(Tableau_Lancer_la_requête_à_partir_de_AS4003[[#This Row],[Date naissance 1]],Tableau_Lancer_la_requête_à_partir_de_AS4003[[#This Row],[Date début]])/360,0)</f>
        <v>51</v>
      </c>
      <c r="D77" s="11">
        <v>0</v>
      </c>
      <c r="E77" s="11">
        <v>0</v>
      </c>
      <c r="F77" s="11">
        <v>0</v>
      </c>
      <c r="G77" s="11">
        <v>12</v>
      </c>
      <c r="H77" s="11">
        <f>ROUND(DAYS360(Tableau_Lancer_la_requête_à_partir_de_AS4003[[#This Row],[Date début]],'Cash flows par police'!$C$4)/30,0)</f>
        <v>21</v>
      </c>
      <c r="I77" s="11">
        <v>0</v>
      </c>
      <c r="J77" s="11">
        <v>0</v>
      </c>
      <c r="K77" s="11">
        <v>0</v>
      </c>
      <c r="L77" s="11">
        <v>47.4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f>SUM(Tableau_Lancer_la_requête_à_partir_de_AS4003[[#This Row],[POLPRCPL2]:[POLPRCPL9]])</f>
        <v>47.4</v>
      </c>
      <c r="T77" s="11">
        <v>99</v>
      </c>
      <c r="U77" s="11">
        <v>12</v>
      </c>
      <c r="V77" s="11">
        <v>0</v>
      </c>
      <c r="W77" s="11">
        <v>648</v>
      </c>
      <c r="X77" s="11">
        <v>373.1</v>
      </c>
      <c r="Y77" s="11">
        <v>0</v>
      </c>
      <c r="Z77" s="11">
        <v>1</v>
      </c>
      <c r="AA77" s="11">
        <v>0</v>
      </c>
      <c r="AB77" s="11">
        <v>0</v>
      </c>
      <c r="AC77" s="11">
        <v>0</v>
      </c>
      <c r="AD77" s="11">
        <v>0</v>
      </c>
      <c r="AE77" s="11">
        <v>0</v>
      </c>
      <c r="AF77" s="11">
        <f>IF(Tableau_Lancer_la_requête_à_partir_de_AS4003[[#This Row],[POL_SEX_ASSURE]]="M",0,1)</f>
        <v>1</v>
      </c>
      <c r="AG77" s="11" t="str">
        <f>IF(Tableau_Lancer_la_requête_à_partir_de_AS4003[[#This Row],[POL_SEX_ASSURE2]]="","",IF(Tableau_Lancer_la_requête_à_partir_de_AS4003[[#This Row],[POL_SEX_ASSURE2]]="M",0,1))</f>
        <v/>
      </c>
      <c r="AH7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77" s="11">
        <v>12194.7</v>
      </c>
      <c r="AJ77" s="11">
        <f>Tableau_Lancer_la_requête_à_partir_de_AS4003[[#This Row],[POL_DUREE_ASSUR]]*12</f>
        <v>1188</v>
      </c>
      <c r="AK77" s="11">
        <v>369.5</v>
      </c>
      <c r="AL77" s="11">
        <v>373.1</v>
      </c>
      <c r="AM77" s="11">
        <v>0</v>
      </c>
      <c r="AN77" s="11" t="s">
        <v>36</v>
      </c>
      <c r="AO77" s="11" t="s">
        <v>80</v>
      </c>
      <c r="AP77" s="11">
        <f>Tableau_Lancer_la_requête_à_partir_de_AS4003[[#This Row],[POL_TERM_M]]-Tableau_Lancer_la_requête_à_partir_de_AS4003[[#This Row],[Duration IF]]</f>
        <v>1167</v>
      </c>
      <c r="AQ77" s="11" t="s">
        <v>36</v>
      </c>
      <c r="AR77" s="11" t="s">
        <v>36</v>
      </c>
      <c r="AS77" s="11" t="s">
        <v>36</v>
      </c>
      <c r="AT77" s="11" t="s">
        <v>36</v>
      </c>
      <c r="AU77" s="11" t="s">
        <v>36</v>
      </c>
      <c r="AV77" s="11">
        <v>0</v>
      </c>
      <c r="AW77" s="11">
        <v>11</v>
      </c>
      <c r="AX77" s="11">
        <v>1</v>
      </c>
      <c r="AY77" s="11">
        <v>20170401</v>
      </c>
      <c r="AZ77" s="80">
        <f t="shared" si="4"/>
        <v>42826</v>
      </c>
      <c r="BA77" s="11">
        <v>19651029</v>
      </c>
      <c r="BB77" s="80">
        <f t="shared" si="5"/>
        <v>24044</v>
      </c>
      <c r="BC77" s="11">
        <v>0</v>
      </c>
      <c r="BD77" s="11" t="s">
        <v>81</v>
      </c>
      <c r="BE77" s="11">
        <v>1</v>
      </c>
      <c r="BF77" s="11" t="s">
        <v>36</v>
      </c>
      <c r="BG77" s="11">
        <v>600.6</v>
      </c>
      <c r="BH77" s="11">
        <v>456</v>
      </c>
      <c r="BI77" s="11">
        <v>0</v>
      </c>
      <c r="BJ77" s="11" t="s">
        <v>79</v>
      </c>
      <c r="BK77" s="11">
        <v>1</v>
      </c>
      <c r="BL77" s="11">
        <v>0</v>
      </c>
      <c r="BM77" s="11">
        <v>0</v>
      </c>
      <c r="BN77" s="11">
        <v>2303102</v>
      </c>
      <c r="BO77" s="11">
        <v>0</v>
      </c>
      <c r="BP77" s="11" t="s">
        <v>79</v>
      </c>
      <c r="BQ77" s="11">
        <v>0</v>
      </c>
      <c r="BR77" s="11"/>
      <c r="BT77" s="11"/>
      <c r="BU77" s="11"/>
      <c r="CA77" s="11"/>
      <c r="CD77" s="11"/>
    </row>
    <row r="78" spans="2:82" ht="12.75" x14ac:dyDescent="0.2">
      <c r="B78" s="11">
        <v>2303601</v>
      </c>
      <c r="C78" s="11">
        <f>ROUND(DAYS360(Tableau_Lancer_la_requête_à_partir_de_AS4003[[#This Row],[Date naissance 1]],Tableau_Lancer_la_requête_à_partir_de_AS4003[[#This Row],[Date début]])/360,0)</f>
        <v>54</v>
      </c>
      <c r="D78" s="11">
        <v>0</v>
      </c>
      <c r="E78" s="11">
        <v>0</v>
      </c>
      <c r="F78" s="11">
        <v>0</v>
      </c>
      <c r="G78" s="11">
        <v>12</v>
      </c>
      <c r="H78" s="11">
        <f>ROUND(DAYS360(Tableau_Lancer_la_requête_à_partir_de_AS4003[[#This Row],[Date début]],'Cash flows par police'!$C$4)/30,0)</f>
        <v>21</v>
      </c>
      <c r="I78" s="11">
        <v>0</v>
      </c>
      <c r="J78" s="11">
        <v>0</v>
      </c>
      <c r="K78" s="11">
        <v>0</v>
      </c>
      <c r="L78" s="11">
        <v>53.7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f>SUM(Tableau_Lancer_la_requête_à_partir_de_AS4003[[#This Row],[POLPRCPL2]:[POLPRCPL9]])</f>
        <v>53.7</v>
      </c>
      <c r="T78" s="11">
        <v>99</v>
      </c>
      <c r="U78" s="11">
        <v>12</v>
      </c>
      <c r="V78" s="11">
        <v>0</v>
      </c>
      <c r="W78" s="11">
        <v>864</v>
      </c>
      <c r="X78" s="11">
        <v>440.8</v>
      </c>
      <c r="Y78" s="11">
        <v>5.2</v>
      </c>
      <c r="Z78" s="11">
        <v>1</v>
      </c>
      <c r="AA78" s="11">
        <v>0</v>
      </c>
      <c r="AB78" s="11">
        <v>0</v>
      </c>
      <c r="AC78" s="11">
        <v>0</v>
      </c>
      <c r="AD78" s="11">
        <v>0</v>
      </c>
      <c r="AE78" s="11">
        <v>0</v>
      </c>
      <c r="AF78" s="11">
        <f>IF(Tableau_Lancer_la_requête_à_partir_de_AS4003[[#This Row],[POL_SEX_ASSURE]]="M",0,1)</f>
        <v>1</v>
      </c>
      <c r="AG78" s="11" t="str">
        <f>IF(Tableau_Lancer_la_requête_à_partir_de_AS4003[[#This Row],[POL_SEX_ASSURE2]]="","",IF(Tableau_Lancer_la_requête_à_partir_de_AS4003[[#This Row],[POL_SEX_ASSURE2]]="M",0,1))</f>
        <v/>
      </c>
      <c r="AH7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78" s="11">
        <v>13814.5</v>
      </c>
      <c r="AJ78" s="11">
        <f>Tableau_Lancer_la_requête_à_partir_de_AS4003[[#This Row],[POL_DUREE_ASSUR]]*12</f>
        <v>1188</v>
      </c>
      <c r="AK78" s="11">
        <v>445.6</v>
      </c>
      <c r="AL78" s="11">
        <v>440.8</v>
      </c>
      <c r="AM78" s="11">
        <v>0</v>
      </c>
      <c r="AN78" s="11" t="s">
        <v>36</v>
      </c>
      <c r="AO78" s="11" t="s">
        <v>80</v>
      </c>
      <c r="AP78" s="11">
        <f>Tableau_Lancer_la_requête_à_partir_de_AS4003[[#This Row],[POL_TERM_M]]-Tableau_Lancer_la_requête_à_partir_de_AS4003[[#This Row],[Duration IF]]</f>
        <v>1167</v>
      </c>
      <c r="AQ78" s="11" t="s">
        <v>36</v>
      </c>
      <c r="AR78" s="11" t="s">
        <v>36</v>
      </c>
      <c r="AS78" s="11" t="s">
        <v>36</v>
      </c>
      <c r="AT78" s="11" t="s">
        <v>36</v>
      </c>
      <c r="AU78" s="11" t="s">
        <v>36</v>
      </c>
      <c r="AV78" s="11">
        <v>0</v>
      </c>
      <c r="AW78" s="11">
        <v>11</v>
      </c>
      <c r="AX78" s="11">
        <v>1</v>
      </c>
      <c r="AY78" s="11">
        <v>20170401</v>
      </c>
      <c r="AZ78" s="80">
        <f t="shared" si="4"/>
        <v>42826</v>
      </c>
      <c r="BA78" s="11">
        <v>19630910</v>
      </c>
      <c r="BB78" s="80">
        <f t="shared" si="5"/>
        <v>23264</v>
      </c>
      <c r="BC78" s="11">
        <v>0</v>
      </c>
      <c r="BD78" s="11" t="s">
        <v>81</v>
      </c>
      <c r="BE78" s="11">
        <v>1</v>
      </c>
      <c r="BF78" s="11" t="s">
        <v>36</v>
      </c>
      <c r="BG78" s="11">
        <v>810.3</v>
      </c>
      <c r="BH78" s="11">
        <v>615.20000000000005</v>
      </c>
      <c r="BI78" s="11">
        <v>0</v>
      </c>
      <c r="BJ78" s="11" t="s">
        <v>79</v>
      </c>
      <c r="BK78" s="11">
        <v>1</v>
      </c>
      <c r="BL78" s="11">
        <v>0</v>
      </c>
      <c r="BM78" s="11">
        <v>0</v>
      </c>
      <c r="BN78" s="11">
        <v>2303601</v>
      </c>
      <c r="BO78" s="11">
        <v>0</v>
      </c>
      <c r="BP78" s="11" t="s">
        <v>79</v>
      </c>
      <c r="BQ78" s="11">
        <v>0</v>
      </c>
      <c r="BR78" s="11"/>
      <c r="BT78" s="11"/>
      <c r="BU78" s="11"/>
      <c r="CA78" s="11"/>
      <c r="CD78" s="11"/>
    </row>
    <row r="79" spans="2:82" ht="12.75" x14ac:dyDescent="0.2">
      <c r="B79" s="11">
        <v>2314102</v>
      </c>
      <c r="C79" s="11">
        <f>ROUND(DAYS360(Tableau_Lancer_la_requête_à_partir_de_AS4003[[#This Row],[Date naissance 1]],Tableau_Lancer_la_requête_à_partir_de_AS4003[[#This Row],[Date début]])/360,0)</f>
        <v>54</v>
      </c>
      <c r="D79" s="11">
        <v>0</v>
      </c>
      <c r="E79" s="11">
        <v>0</v>
      </c>
      <c r="F79" s="11">
        <v>0</v>
      </c>
      <c r="G79" s="11">
        <v>12</v>
      </c>
      <c r="H79" s="11">
        <f>ROUND(DAYS360(Tableau_Lancer_la_requête_à_partir_de_AS4003[[#This Row],[Date début]],'Cash flows par police'!$C$4)/30,0)</f>
        <v>20</v>
      </c>
      <c r="I79" s="11">
        <v>0</v>
      </c>
      <c r="J79" s="11">
        <v>0</v>
      </c>
      <c r="K79" s="11">
        <v>0</v>
      </c>
      <c r="L79" s="11">
        <v>19.399999999999999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f>SUM(Tableau_Lancer_la_requête_à_partir_de_AS4003[[#This Row],[POLPRCPL2]:[POLPRCPL9]])</f>
        <v>19.399999999999999</v>
      </c>
      <c r="T79" s="11">
        <v>99</v>
      </c>
      <c r="U79" s="11">
        <v>12</v>
      </c>
      <c r="V79" s="11">
        <v>0</v>
      </c>
      <c r="W79" s="11">
        <v>319.2</v>
      </c>
      <c r="X79" s="11">
        <v>154.9</v>
      </c>
      <c r="Y79" s="11">
        <v>1.7</v>
      </c>
      <c r="Z79" s="11">
        <v>1</v>
      </c>
      <c r="AA79" s="11">
        <v>0</v>
      </c>
      <c r="AB79" s="11">
        <v>0</v>
      </c>
      <c r="AC79" s="11">
        <v>0</v>
      </c>
      <c r="AD79" s="11">
        <v>0</v>
      </c>
      <c r="AE79" s="11">
        <v>0</v>
      </c>
      <c r="AF79" s="11">
        <f>IF(Tableau_Lancer_la_requête_à_partir_de_AS4003[[#This Row],[POL_SEX_ASSURE]]="M",0,1)</f>
        <v>1</v>
      </c>
      <c r="AG79" s="11" t="str">
        <f>IF(Tableau_Lancer_la_requête_à_partir_de_AS4003[[#This Row],[POL_SEX_ASSURE2]]="","",IF(Tableau_Lancer_la_requête_à_partir_de_AS4003[[#This Row],[POL_SEX_ASSURE2]]="M",0,1))</f>
        <v/>
      </c>
      <c r="AH7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79" s="11">
        <v>5000</v>
      </c>
      <c r="AJ79" s="11">
        <f>Tableau_Lancer_la_requête_à_partir_de_AS4003[[#This Row],[POL_DUREE_ASSUR]]*12</f>
        <v>1188</v>
      </c>
      <c r="AK79" s="11">
        <v>166.7</v>
      </c>
      <c r="AL79" s="11">
        <v>154.9</v>
      </c>
      <c r="AM79" s="11">
        <v>4</v>
      </c>
      <c r="AN79" s="11" t="s">
        <v>36</v>
      </c>
      <c r="AO79" s="11" t="s">
        <v>80</v>
      </c>
      <c r="AP79" s="11">
        <f>Tableau_Lancer_la_requête_à_partir_de_AS4003[[#This Row],[POL_TERM_M]]-Tableau_Lancer_la_requête_à_partir_de_AS4003[[#This Row],[Duration IF]]</f>
        <v>1168</v>
      </c>
      <c r="AQ79" s="11" t="s">
        <v>36</v>
      </c>
      <c r="AR79" s="11" t="s">
        <v>36</v>
      </c>
      <c r="AS79" s="11" t="s">
        <v>36</v>
      </c>
      <c r="AT79" s="11" t="s">
        <v>36</v>
      </c>
      <c r="AU79" s="11" t="s">
        <v>36</v>
      </c>
      <c r="AV79" s="11">
        <v>0</v>
      </c>
      <c r="AW79" s="11">
        <v>11</v>
      </c>
      <c r="AX79" s="11">
        <v>1</v>
      </c>
      <c r="AY79" s="11">
        <v>20170501</v>
      </c>
      <c r="AZ79" s="80">
        <f t="shared" si="4"/>
        <v>42856</v>
      </c>
      <c r="BA79" s="11">
        <v>19621118</v>
      </c>
      <c r="BB79" s="80">
        <f t="shared" si="5"/>
        <v>22968</v>
      </c>
      <c r="BC79" s="11">
        <v>0</v>
      </c>
      <c r="BD79" s="11" t="s">
        <v>81</v>
      </c>
      <c r="BE79" s="11">
        <v>1</v>
      </c>
      <c r="BF79" s="11" t="s">
        <v>36</v>
      </c>
      <c r="BG79" s="11">
        <v>299.8</v>
      </c>
      <c r="BH79" s="11">
        <v>227.4</v>
      </c>
      <c r="BI79" s="11">
        <v>0</v>
      </c>
      <c r="BJ79" s="11" t="s">
        <v>79</v>
      </c>
      <c r="BK79" s="11">
        <v>1</v>
      </c>
      <c r="BL79" s="11">
        <v>0</v>
      </c>
      <c r="BM79" s="11">
        <v>0</v>
      </c>
      <c r="BN79" s="11">
        <v>2314102</v>
      </c>
      <c r="BO79" s="11">
        <v>0</v>
      </c>
      <c r="BP79" s="11" t="s">
        <v>79</v>
      </c>
      <c r="BQ79" s="11">
        <v>4</v>
      </c>
      <c r="BR79" s="11"/>
      <c r="BT79" s="11"/>
      <c r="BU79" s="11"/>
      <c r="CA79" s="11"/>
      <c r="CD79" s="11"/>
    </row>
    <row r="80" spans="2:82" ht="12.75" x14ac:dyDescent="0.2">
      <c r="B80" s="11">
        <v>2350401</v>
      </c>
      <c r="C80" s="11">
        <f>ROUND(DAYS360(Tableau_Lancer_la_requête_à_partir_de_AS4003[[#This Row],[Date naissance 1]],Tableau_Lancer_la_requête_à_partir_de_AS4003[[#This Row],[Date début]])/360,0)</f>
        <v>51</v>
      </c>
      <c r="D80" s="11">
        <v>0</v>
      </c>
      <c r="E80" s="11">
        <v>0</v>
      </c>
      <c r="F80" s="11">
        <v>0</v>
      </c>
      <c r="G80" s="11">
        <v>12</v>
      </c>
      <c r="H80" s="11">
        <f>ROUND(DAYS360(Tableau_Lancer_la_requête_à_partir_de_AS4003[[#This Row],[Date début]],'Cash flows par police'!$C$4)/30,0)</f>
        <v>16</v>
      </c>
      <c r="I80" s="11">
        <v>0</v>
      </c>
      <c r="J80" s="11">
        <v>0</v>
      </c>
      <c r="K80" s="11">
        <v>0</v>
      </c>
      <c r="L80" s="11">
        <v>58.3</v>
      </c>
      <c r="M80" s="11">
        <v>0</v>
      </c>
      <c r="N80" s="11">
        <v>0</v>
      </c>
      <c r="O80" s="11">
        <v>0</v>
      </c>
      <c r="P80" s="11">
        <v>0</v>
      </c>
      <c r="Q80" s="11">
        <v>0</v>
      </c>
      <c r="R80" s="11">
        <v>0</v>
      </c>
      <c r="S80" s="11">
        <f>SUM(Tableau_Lancer_la_requête_à_partir_de_AS4003[[#This Row],[POLPRCPL2]:[POLPRCPL9]])</f>
        <v>58.3</v>
      </c>
      <c r="T80" s="11">
        <v>99</v>
      </c>
      <c r="U80" s="11">
        <v>12</v>
      </c>
      <c r="V80" s="11">
        <v>0</v>
      </c>
      <c r="W80" s="11">
        <v>781.2</v>
      </c>
      <c r="X80" s="11">
        <v>337.5</v>
      </c>
      <c r="Y80" s="11">
        <v>0</v>
      </c>
      <c r="Z80" s="11">
        <v>1</v>
      </c>
      <c r="AA80" s="11">
        <v>0</v>
      </c>
      <c r="AB80" s="11">
        <v>0</v>
      </c>
      <c r="AC80" s="11">
        <v>0</v>
      </c>
      <c r="AD80" s="11">
        <v>0</v>
      </c>
      <c r="AE80" s="11">
        <v>0</v>
      </c>
      <c r="AF80" s="11">
        <f>IF(Tableau_Lancer_la_requête_à_partir_de_AS4003[[#This Row],[POL_SEX_ASSURE]]="M",0,1)</f>
        <v>1</v>
      </c>
      <c r="AG80" s="11" t="str">
        <f>IF(Tableau_Lancer_la_requête_à_partir_de_AS4003[[#This Row],[POL_SEX_ASSURE2]]="","",IF(Tableau_Lancer_la_requête_à_partir_de_AS4003[[#This Row],[POL_SEX_ASSURE2]]="M",0,1))</f>
        <v/>
      </c>
      <c r="AH8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80" s="11">
        <v>15000</v>
      </c>
      <c r="AJ80" s="11">
        <f>Tableau_Lancer_la_requête_à_partir_de_AS4003[[#This Row],[POL_DUREE_ASSUR]]*12</f>
        <v>1188</v>
      </c>
      <c r="AK80" s="11">
        <v>441.2</v>
      </c>
      <c r="AL80" s="11">
        <v>337.5</v>
      </c>
      <c r="AM80" s="11">
        <v>0</v>
      </c>
      <c r="AN80" s="11" t="s">
        <v>36</v>
      </c>
      <c r="AO80" s="11" t="s">
        <v>80</v>
      </c>
      <c r="AP80" s="11">
        <f>Tableau_Lancer_la_requête_à_partir_de_AS4003[[#This Row],[POL_TERM_M]]-Tableau_Lancer_la_requête_à_partir_de_AS4003[[#This Row],[Duration IF]]</f>
        <v>1172</v>
      </c>
      <c r="AQ80" s="11" t="s">
        <v>36</v>
      </c>
      <c r="AR80" s="11" t="s">
        <v>36</v>
      </c>
      <c r="AS80" s="11" t="s">
        <v>36</v>
      </c>
      <c r="AT80" s="11" t="s">
        <v>36</v>
      </c>
      <c r="AU80" s="11" t="s">
        <v>36</v>
      </c>
      <c r="AV80" s="11">
        <v>0</v>
      </c>
      <c r="AW80" s="11">
        <v>11</v>
      </c>
      <c r="AX80" s="11">
        <v>1</v>
      </c>
      <c r="AY80" s="11">
        <v>20170901</v>
      </c>
      <c r="AZ80" s="80">
        <f t="shared" si="4"/>
        <v>42979</v>
      </c>
      <c r="BA80" s="11">
        <v>19660503</v>
      </c>
      <c r="BB80" s="80">
        <f t="shared" si="5"/>
        <v>24230</v>
      </c>
      <c r="BC80" s="11">
        <v>0</v>
      </c>
      <c r="BD80" s="11" t="s">
        <v>81</v>
      </c>
      <c r="BE80" s="11">
        <v>1</v>
      </c>
      <c r="BF80" s="11" t="s">
        <v>36</v>
      </c>
      <c r="BG80" s="11">
        <v>722.9</v>
      </c>
      <c r="BH80" s="11">
        <v>548.79999999999995</v>
      </c>
      <c r="BI80" s="11">
        <v>0</v>
      </c>
      <c r="BJ80" s="11" t="s">
        <v>79</v>
      </c>
      <c r="BK80" s="11">
        <v>1</v>
      </c>
      <c r="BL80" s="11">
        <v>0</v>
      </c>
      <c r="BM80" s="11">
        <v>0</v>
      </c>
      <c r="BN80" s="11">
        <v>2350401</v>
      </c>
      <c r="BO80" s="11">
        <v>0</v>
      </c>
      <c r="BP80" s="11" t="s">
        <v>79</v>
      </c>
      <c r="BQ80" s="11">
        <v>0</v>
      </c>
      <c r="BR80" s="11"/>
      <c r="BT80" s="11"/>
      <c r="BU80" s="11"/>
      <c r="CA80" s="11"/>
      <c r="CD80" s="11"/>
    </row>
    <row r="81" spans="2:82" ht="12.75" x14ac:dyDescent="0.2">
      <c r="B81" s="11">
        <v>2441002</v>
      </c>
      <c r="C81" s="11">
        <f>ROUND(DAYS360(Tableau_Lancer_la_requête_à_partir_de_AS4003[[#This Row],[Date naissance 1]],Tableau_Lancer_la_requête_à_partir_de_AS4003[[#This Row],[Date début]])/360,0)</f>
        <v>63</v>
      </c>
      <c r="D81" s="11">
        <v>0</v>
      </c>
      <c r="E81" s="11">
        <v>0</v>
      </c>
      <c r="F81" s="11">
        <v>0</v>
      </c>
      <c r="G81" s="11">
        <v>12</v>
      </c>
      <c r="H81" s="11">
        <f>ROUND(DAYS360(Tableau_Lancer_la_requête_à_partir_de_AS4003[[#This Row],[Date début]],'Cash flows par police'!$C$4)/30,0)</f>
        <v>10</v>
      </c>
      <c r="I81" s="11">
        <v>0</v>
      </c>
      <c r="J81" s="11">
        <v>0</v>
      </c>
      <c r="K81" s="11">
        <v>0</v>
      </c>
      <c r="L81" s="11">
        <v>38.9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1">
        <v>0</v>
      </c>
      <c r="S81" s="11">
        <f>SUM(Tableau_Lancer_la_requête_à_partir_de_AS4003[[#This Row],[POLPRCPL2]:[POLPRCPL9]])</f>
        <v>38.9</v>
      </c>
      <c r="T81" s="11">
        <v>99</v>
      </c>
      <c r="U81" s="11">
        <v>12</v>
      </c>
      <c r="V81" s="11">
        <v>0</v>
      </c>
      <c r="W81" s="11">
        <v>831.6</v>
      </c>
      <c r="X81" s="11">
        <v>190.6</v>
      </c>
      <c r="Y81" s="11">
        <v>0</v>
      </c>
      <c r="Z81" s="11">
        <v>1</v>
      </c>
      <c r="AA81" s="11">
        <v>0</v>
      </c>
      <c r="AB81" s="11">
        <v>0</v>
      </c>
      <c r="AC81" s="11">
        <v>0</v>
      </c>
      <c r="AD81" s="11">
        <v>0</v>
      </c>
      <c r="AE81" s="11">
        <v>0</v>
      </c>
      <c r="AF81" s="11">
        <f>IF(Tableau_Lancer_la_requête_à_partir_de_AS4003[[#This Row],[POL_SEX_ASSURE]]="M",0,1)</f>
        <v>1</v>
      </c>
      <c r="AG81" s="11" t="str">
        <f>IF(Tableau_Lancer_la_requête_à_partir_de_AS4003[[#This Row],[POL_SEX_ASSURE2]]="","",IF(Tableau_Lancer_la_requête_à_partir_de_AS4003[[#This Row],[POL_SEX_ASSURE2]]="M",0,1))</f>
        <v/>
      </c>
      <c r="AH8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81" s="11">
        <v>10000</v>
      </c>
      <c r="AJ81" s="11">
        <f>Tableau_Lancer_la_requête_à_partir_de_AS4003[[#This Row],[POL_DUREE_ASSUR]]*12</f>
        <v>1188</v>
      </c>
      <c r="AK81" s="11">
        <v>476.2</v>
      </c>
      <c r="AL81" s="11">
        <v>190.6</v>
      </c>
      <c r="AM81" s="11">
        <v>0</v>
      </c>
      <c r="AN81" s="11" t="s">
        <v>36</v>
      </c>
      <c r="AO81" s="11" t="s">
        <v>80</v>
      </c>
      <c r="AP81" s="11">
        <f>Tableau_Lancer_la_requête_à_partir_de_AS4003[[#This Row],[POL_TERM_M]]-Tableau_Lancer_la_requête_à_partir_de_AS4003[[#This Row],[Duration IF]]</f>
        <v>1178</v>
      </c>
      <c r="AQ81" s="11" t="s">
        <v>36</v>
      </c>
      <c r="AR81" s="11" t="s">
        <v>36</v>
      </c>
      <c r="AS81" s="11" t="s">
        <v>36</v>
      </c>
      <c r="AT81" s="11" t="s">
        <v>36</v>
      </c>
      <c r="AU81" s="11" t="s">
        <v>36</v>
      </c>
      <c r="AV81" s="11">
        <v>0</v>
      </c>
      <c r="AW81" s="11">
        <v>11</v>
      </c>
      <c r="AX81" s="11">
        <v>1</v>
      </c>
      <c r="AY81" s="11">
        <v>20180301</v>
      </c>
      <c r="AZ81" s="80">
        <f t="shared" si="4"/>
        <v>43160</v>
      </c>
      <c r="BA81" s="11">
        <v>19540927</v>
      </c>
      <c r="BB81" s="80">
        <f t="shared" si="5"/>
        <v>19994</v>
      </c>
      <c r="BC81" s="11">
        <v>0</v>
      </c>
      <c r="BD81" s="11" t="s">
        <v>81</v>
      </c>
      <c r="BE81" s="11">
        <v>1</v>
      </c>
      <c r="BF81" s="11" t="s">
        <v>36</v>
      </c>
      <c r="BG81" s="11">
        <v>792.7</v>
      </c>
      <c r="BH81" s="11">
        <v>601.5</v>
      </c>
      <c r="BI81" s="11">
        <v>0</v>
      </c>
      <c r="BJ81" s="11" t="s">
        <v>79</v>
      </c>
      <c r="BK81" s="11">
        <v>1</v>
      </c>
      <c r="BL81" s="11">
        <v>0</v>
      </c>
      <c r="BM81" s="11">
        <v>0</v>
      </c>
      <c r="BN81" s="11">
        <v>2441002</v>
      </c>
      <c r="BO81" s="11">
        <v>0</v>
      </c>
      <c r="BP81" s="11" t="s">
        <v>79</v>
      </c>
      <c r="BQ81" s="11">
        <v>0</v>
      </c>
      <c r="BR81" s="11"/>
      <c r="BT81" s="11"/>
      <c r="BU81" s="11"/>
      <c r="CA81" s="11"/>
      <c r="CD81" s="11"/>
    </row>
    <row r="82" spans="2:82" ht="12.75" x14ac:dyDescent="0.2">
      <c r="B82" s="11">
        <v>2497701</v>
      </c>
      <c r="C82" s="11">
        <f>ROUND(DAYS360(Tableau_Lancer_la_requête_à_partir_de_AS4003[[#This Row],[Date naissance 1]],Tableau_Lancer_la_requête_à_partir_de_AS4003[[#This Row],[Date début]])/360,0)</f>
        <v>63</v>
      </c>
      <c r="D82" s="11">
        <v>0</v>
      </c>
      <c r="E82" s="11">
        <v>0</v>
      </c>
      <c r="F82" s="11">
        <v>0</v>
      </c>
      <c r="G82" s="11">
        <v>12</v>
      </c>
      <c r="H82" s="11">
        <f>ROUND(DAYS360(Tableau_Lancer_la_requête_à_partir_de_AS4003[[#This Row],[Date début]],'Cash flows par police'!$C$4)/30,0)</f>
        <v>7</v>
      </c>
      <c r="I82" s="11">
        <v>0</v>
      </c>
      <c r="J82" s="11">
        <v>0</v>
      </c>
      <c r="K82" s="11">
        <v>0</v>
      </c>
      <c r="L82" s="11">
        <v>31.1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f>SUM(Tableau_Lancer_la_requête_à_partir_de_AS4003[[#This Row],[POLPRCPL2]:[POLPRCPL9]])</f>
        <v>31.1</v>
      </c>
      <c r="T82" s="11">
        <v>99</v>
      </c>
      <c r="U82" s="11">
        <v>12</v>
      </c>
      <c r="V82" s="11">
        <v>0</v>
      </c>
      <c r="W82" s="11">
        <v>648</v>
      </c>
      <c r="X82" s="11">
        <v>98.2</v>
      </c>
      <c r="Y82" s="11">
        <v>0</v>
      </c>
      <c r="Z82" s="11">
        <v>1</v>
      </c>
      <c r="AA82" s="11">
        <v>0</v>
      </c>
      <c r="AB82" s="11">
        <v>0</v>
      </c>
      <c r="AC82" s="11">
        <v>0</v>
      </c>
      <c r="AD82" s="11">
        <v>0</v>
      </c>
      <c r="AE82" s="11">
        <v>0</v>
      </c>
      <c r="AF82" s="11">
        <f>IF(Tableau_Lancer_la_requête_à_partir_de_AS4003[[#This Row],[POL_SEX_ASSURE]]="M",0,1)</f>
        <v>1</v>
      </c>
      <c r="AG82" s="11" t="str">
        <f>IF(Tableau_Lancer_la_requête_à_partir_de_AS4003[[#This Row],[POL_SEX_ASSURE2]]="","",IF(Tableau_Lancer_la_requête_à_partir_de_AS4003[[#This Row],[POL_SEX_ASSURE2]]="M",0,1))</f>
        <v/>
      </c>
      <c r="AH8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82" s="11">
        <v>8001</v>
      </c>
      <c r="AJ82" s="11">
        <f>Tableau_Lancer_la_requête_à_partir_de_AS4003[[#This Row],[POL_DUREE_ASSUR]]*12</f>
        <v>1188</v>
      </c>
      <c r="AK82" s="11">
        <v>363.7</v>
      </c>
      <c r="AL82" s="11">
        <v>98.2</v>
      </c>
      <c r="AM82" s="11">
        <v>0</v>
      </c>
      <c r="AN82" s="11" t="s">
        <v>36</v>
      </c>
      <c r="AO82" s="11" t="s">
        <v>80</v>
      </c>
      <c r="AP82" s="11">
        <f>Tableau_Lancer_la_requête_à_partir_de_AS4003[[#This Row],[POL_TERM_M]]-Tableau_Lancer_la_requête_à_partir_de_AS4003[[#This Row],[Duration IF]]</f>
        <v>1181</v>
      </c>
      <c r="AQ82" s="11" t="s">
        <v>36</v>
      </c>
      <c r="AR82" s="11" t="s">
        <v>36</v>
      </c>
      <c r="AS82" s="11" t="s">
        <v>36</v>
      </c>
      <c r="AT82" s="11" t="s">
        <v>36</v>
      </c>
      <c r="AU82" s="11" t="s">
        <v>36</v>
      </c>
      <c r="AV82" s="11">
        <v>0</v>
      </c>
      <c r="AW82" s="11">
        <v>11</v>
      </c>
      <c r="AX82" s="11">
        <v>1</v>
      </c>
      <c r="AY82" s="11">
        <v>20180601</v>
      </c>
      <c r="AZ82" s="80">
        <f t="shared" si="4"/>
        <v>43252</v>
      </c>
      <c r="BA82" s="11">
        <v>19550929</v>
      </c>
      <c r="BB82" s="80">
        <f t="shared" si="5"/>
        <v>20361</v>
      </c>
      <c r="BC82" s="11">
        <v>0</v>
      </c>
      <c r="BD82" s="11" t="s">
        <v>81</v>
      </c>
      <c r="BE82" s="11">
        <v>1</v>
      </c>
      <c r="BF82" s="11" t="s">
        <v>36</v>
      </c>
      <c r="BG82" s="11">
        <v>616.9</v>
      </c>
      <c r="BH82" s="11">
        <v>468.3</v>
      </c>
      <c r="BI82" s="11">
        <v>0</v>
      </c>
      <c r="BJ82" s="11" t="s">
        <v>79</v>
      </c>
      <c r="BK82" s="11">
        <v>1</v>
      </c>
      <c r="BL82" s="11">
        <v>0</v>
      </c>
      <c r="BM82" s="11">
        <v>0</v>
      </c>
      <c r="BN82" s="11">
        <v>2497701</v>
      </c>
      <c r="BO82" s="11">
        <v>0</v>
      </c>
      <c r="BP82" s="11" t="s">
        <v>79</v>
      </c>
      <c r="BQ82" s="11">
        <v>0</v>
      </c>
      <c r="BR82" s="11"/>
      <c r="BT82" s="11"/>
      <c r="BU82" s="11"/>
      <c r="CA82" s="11"/>
      <c r="CD82" s="11"/>
    </row>
    <row r="83" spans="2:82" ht="12.75" x14ac:dyDescent="0.2">
      <c r="B83" s="11">
        <v>2526705</v>
      </c>
      <c r="C83" s="11">
        <f>ROUND(DAYS360(Tableau_Lancer_la_requête_à_partir_de_AS4003[[#This Row],[Date naissance 1]],Tableau_Lancer_la_requête_à_partir_de_AS4003[[#This Row],[Date début]])/360,0)</f>
        <v>63</v>
      </c>
      <c r="D83" s="11">
        <v>0</v>
      </c>
      <c r="E83" s="11">
        <v>0</v>
      </c>
      <c r="F83" s="11">
        <v>0</v>
      </c>
      <c r="G83" s="11">
        <v>12</v>
      </c>
      <c r="H83" s="11">
        <f>ROUND(DAYS360(Tableau_Lancer_la_requête_à_partir_de_AS4003[[#This Row],[Date début]],'Cash flows par police'!$C$4)/30,0)</f>
        <v>3</v>
      </c>
      <c r="I83" s="11">
        <v>0</v>
      </c>
      <c r="J83" s="11">
        <v>0</v>
      </c>
      <c r="K83" s="11">
        <v>0</v>
      </c>
      <c r="L83" s="11">
        <v>41.5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f>SUM(Tableau_Lancer_la_requête_à_partir_de_AS4003[[#This Row],[POLPRCPL2]:[POLPRCPL9]])</f>
        <v>41.5</v>
      </c>
      <c r="T83" s="11">
        <v>99</v>
      </c>
      <c r="U83" s="11">
        <v>12</v>
      </c>
      <c r="V83" s="11">
        <v>0</v>
      </c>
      <c r="W83" s="11">
        <v>864</v>
      </c>
      <c r="X83" s="11">
        <v>43.7</v>
      </c>
      <c r="Y83" s="11">
        <v>0</v>
      </c>
      <c r="Z83" s="11">
        <v>1</v>
      </c>
      <c r="AA83" s="11">
        <v>0</v>
      </c>
      <c r="AB83" s="11">
        <v>0</v>
      </c>
      <c r="AC83" s="11">
        <v>0</v>
      </c>
      <c r="AD83" s="11">
        <v>0</v>
      </c>
      <c r="AE83" s="11">
        <v>0</v>
      </c>
      <c r="AF83" s="11">
        <f>IF(Tableau_Lancer_la_requête_à_partir_de_AS4003[[#This Row],[POL_SEX_ASSURE]]="M",0,1)</f>
        <v>1</v>
      </c>
      <c r="AG83" s="11" t="str">
        <f>IF(Tableau_Lancer_la_requête_à_partir_de_AS4003[[#This Row],[POL_SEX_ASSURE2]]="","",IF(Tableau_Lancer_la_requête_à_partir_de_AS4003[[#This Row],[POL_SEX_ASSURE2]]="M",0,1))</f>
        <v/>
      </c>
      <c r="AH8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83" s="11">
        <v>10669</v>
      </c>
      <c r="AJ83" s="11">
        <f>Tableau_Lancer_la_requête_à_partir_de_AS4003[[#This Row],[POL_DUREE_ASSUR]]*12</f>
        <v>1188</v>
      </c>
      <c r="AK83" s="11">
        <v>485</v>
      </c>
      <c r="AL83" s="11">
        <v>43.7</v>
      </c>
      <c r="AM83" s="11">
        <v>0</v>
      </c>
      <c r="AN83" s="11" t="s">
        <v>36</v>
      </c>
      <c r="AO83" s="11" t="s">
        <v>80</v>
      </c>
      <c r="AP83" s="11">
        <f>Tableau_Lancer_la_requête_à_partir_de_AS4003[[#This Row],[POL_TERM_M]]-Tableau_Lancer_la_requête_à_partir_de_AS4003[[#This Row],[Duration IF]]</f>
        <v>1185</v>
      </c>
      <c r="AQ83" s="11" t="s">
        <v>36</v>
      </c>
      <c r="AR83" s="11" t="s">
        <v>36</v>
      </c>
      <c r="AS83" s="11" t="s">
        <v>36</v>
      </c>
      <c r="AT83" s="11" t="s">
        <v>36</v>
      </c>
      <c r="AU83" s="11" t="s">
        <v>36</v>
      </c>
      <c r="AV83" s="11">
        <v>0</v>
      </c>
      <c r="AW83" s="11">
        <v>11</v>
      </c>
      <c r="AX83" s="11">
        <v>1</v>
      </c>
      <c r="AY83" s="11">
        <v>20181001</v>
      </c>
      <c r="AZ83" s="80">
        <f t="shared" si="4"/>
        <v>43374</v>
      </c>
      <c r="BA83" s="11">
        <v>19551120</v>
      </c>
      <c r="BB83" s="80">
        <f t="shared" si="5"/>
        <v>20413</v>
      </c>
      <c r="BC83" s="11">
        <v>0</v>
      </c>
      <c r="BD83" s="11" t="s">
        <v>81</v>
      </c>
      <c r="BE83" s="11">
        <v>1</v>
      </c>
      <c r="BF83" s="11" t="s">
        <v>36</v>
      </c>
      <c r="BG83" s="11">
        <v>822.5</v>
      </c>
      <c r="BH83" s="11">
        <v>624.5</v>
      </c>
      <c r="BI83" s="11">
        <v>0</v>
      </c>
      <c r="BJ83" s="11" t="s">
        <v>79</v>
      </c>
      <c r="BK83" s="11">
        <v>1</v>
      </c>
      <c r="BL83" s="11">
        <v>0</v>
      </c>
      <c r="BM83" s="11">
        <v>0</v>
      </c>
      <c r="BN83" s="11">
        <v>2526705</v>
      </c>
      <c r="BO83" s="11">
        <v>0</v>
      </c>
      <c r="BP83" s="11" t="s">
        <v>79</v>
      </c>
      <c r="BQ83" s="11">
        <v>0</v>
      </c>
      <c r="BR83" s="11"/>
      <c r="BT83" s="11"/>
      <c r="BU83" s="11"/>
      <c r="CA83" s="11"/>
      <c r="CD83" s="11"/>
    </row>
    <row r="84" spans="2:82" ht="12.75" x14ac:dyDescent="0.2">
      <c r="B84" s="11">
        <v>2542901</v>
      </c>
      <c r="C84" s="11">
        <f>ROUND(DAYS360(Tableau_Lancer_la_requête_à_partir_de_AS4003[[#This Row],[Date naissance 1]],Tableau_Lancer_la_requête_à_partir_de_AS4003[[#This Row],[Date début]])/360,0)</f>
        <v>55</v>
      </c>
      <c r="D84" s="11">
        <v>0</v>
      </c>
      <c r="E84" s="11">
        <v>0</v>
      </c>
      <c r="F84" s="11">
        <v>0</v>
      </c>
      <c r="G84" s="11">
        <v>12</v>
      </c>
      <c r="H84" s="11">
        <f>ROUND(DAYS360(Tableau_Lancer_la_requête_à_partir_de_AS4003[[#This Row],[Date début]],'Cash flows par police'!$C$4)/30,0)</f>
        <v>3</v>
      </c>
      <c r="I84" s="11">
        <v>0</v>
      </c>
      <c r="J84" s="11">
        <v>0</v>
      </c>
      <c r="K84" s="11">
        <v>0</v>
      </c>
      <c r="L84" s="11">
        <v>40.299999999999997</v>
      </c>
      <c r="M84" s="11">
        <v>0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f>SUM(Tableau_Lancer_la_requête_à_partir_de_AS4003[[#This Row],[POLPRCPL2]:[POLPRCPL9]])</f>
        <v>40.299999999999997</v>
      </c>
      <c r="T84" s="11">
        <v>99</v>
      </c>
      <c r="U84" s="11">
        <v>12</v>
      </c>
      <c r="V84" s="11">
        <v>0</v>
      </c>
      <c r="W84" s="11">
        <v>648</v>
      </c>
      <c r="X84" s="11">
        <v>33.200000000000003</v>
      </c>
      <c r="Y84" s="11">
        <v>0</v>
      </c>
      <c r="Z84" s="11">
        <v>1</v>
      </c>
      <c r="AA84" s="11">
        <v>0</v>
      </c>
      <c r="AB84" s="11">
        <v>0</v>
      </c>
      <c r="AC84" s="11">
        <v>0</v>
      </c>
      <c r="AD84" s="11">
        <v>0</v>
      </c>
      <c r="AE84" s="11">
        <v>0</v>
      </c>
      <c r="AF84" s="11">
        <f>IF(Tableau_Lancer_la_requête_à_partir_de_AS4003[[#This Row],[POL_SEX_ASSURE]]="M",0,1)</f>
        <v>1</v>
      </c>
      <c r="AG84" s="11" t="str">
        <f>IF(Tableau_Lancer_la_requête_à_partir_de_AS4003[[#This Row],[POL_SEX_ASSURE2]]="","",IF(Tableau_Lancer_la_requête_à_partir_de_AS4003[[#This Row],[POL_SEX_ASSURE2]]="M",0,1))</f>
        <v/>
      </c>
      <c r="AH8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84" s="11">
        <v>10360.9</v>
      </c>
      <c r="AJ84" s="11">
        <f>Tableau_Lancer_la_requête_à_partir_de_AS4003[[#This Row],[POL_DUREE_ASSUR]]*12</f>
        <v>1188</v>
      </c>
      <c r="AK84" s="11">
        <v>334.2</v>
      </c>
      <c r="AL84" s="11">
        <v>33.200000000000003</v>
      </c>
      <c r="AM84" s="11">
        <v>0</v>
      </c>
      <c r="AN84" s="11" t="s">
        <v>36</v>
      </c>
      <c r="AO84" s="11" t="s">
        <v>80</v>
      </c>
      <c r="AP84" s="11">
        <f>Tableau_Lancer_la_requête_à_partir_de_AS4003[[#This Row],[POL_TERM_M]]-Tableau_Lancer_la_requête_à_partir_de_AS4003[[#This Row],[Duration IF]]</f>
        <v>1185</v>
      </c>
      <c r="AQ84" s="11" t="s">
        <v>36</v>
      </c>
      <c r="AR84" s="11" t="s">
        <v>36</v>
      </c>
      <c r="AS84" s="11" t="s">
        <v>36</v>
      </c>
      <c r="AT84" s="11" t="s">
        <v>36</v>
      </c>
      <c r="AU84" s="11" t="s">
        <v>36</v>
      </c>
      <c r="AV84" s="11">
        <v>0</v>
      </c>
      <c r="AW84" s="11">
        <v>11</v>
      </c>
      <c r="AX84" s="11">
        <v>1</v>
      </c>
      <c r="AY84" s="11">
        <v>20181001</v>
      </c>
      <c r="AZ84" s="80">
        <f t="shared" si="4"/>
        <v>43374</v>
      </c>
      <c r="BA84" s="11">
        <v>19640224</v>
      </c>
      <c r="BB84" s="80">
        <f t="shared" si="5"/>
        <v>23431</v>
      </c>
      <c r="BC84" s="11">
        <v>0</v>
      </c>
      <c r="BD84" s="11" t="s">
        <v>81</v>
      </c>
      <c r="BE84" s="11">
        <v>1</v>
      </c>
      <c r="BF84" s="11" t="s">
        <v>36</v>
      </c>
      <c r="BG84" s="11">
        <v>607.70000000000005</v>
      </c>
      <c r="BH84" s="11">
        <v>461.4</v>
      </c>
      <c r="BI84" s="11">
        <v>0</v>
      </c>
      <c r="BJ84" s="11" t="s">
        <v>79</v>
      </c>
      <c r="BK84" s="11">
        <v>1</v>
      </c>
      <c r="BL84" s="11">
        <v>0</v>
      </c>
      <c r="BM84" s="11">
        <v>0</v>
      </c>
      <c r="BN84" s="11">
        <v>2542901</v>
      </c>
      <c r="BO84" s="11">
        <v>0</v>
      </c>
      <c r="BP84" s="11" t="s">
        <v>79</v>
      </c>
      <c r="BQ84" s="11">
        <v>0</v>
      </c>
      <c r="BR84" s="11"/>
      <c r="BT84" s="11"/>
      <c r="BU84" s="11"/>
      <c r="CA84" s="11"/>
      <c r="CD84" s="11"/>
    </row>
    <row r="85" spans="2:82" ht="12.75" x14ac:dyDescent="0.2">
      <c r="B85" s="11">
        <v>2549002</v>
      </c>
      <c r="C85" s="11">
        <f>ROUND(DAYS360(Tableau_Lancer_la_requête_à_partir_de_AS4003[[#This Row],[Date naissance 1]],Tableau_Lancer_la_requête_à_partir_de_AS4003[[#This Row],[Date début]])/360,0)</f>
        <v>58</v>
      </c>
      <c r="D85" s="11">
        <v>0</v>
      </c>
      <c r="E85" s="11">
        <v>0</v>
      </c>
      <c r="F85" s="11">
        <v>0</v>
      </c>
      <c r="G85" s="11">
        <v>12</v>
      </c>
      <c r="H85" s="11">
        <f>ROUND(DAYS360(Tableau_Lancer_la_requête_à_partir_de_AS4003[[#This Row],[Date début]],'Cash flows par police'!$C$4)/30,0)</f>
        <v>3</v>
      </c>
      <c r="I85" s="11">
        <v>0</v>
      </c>
      <c r="J85" s="11">
        <v>0</v>
      </c>
      <c r="K85" s="11">
        <v>0</v>
      </c>
      <c r="L85" s="11">
        <v>29.2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f>SUM(Tableau_Lancer_la_requête_à_partir_de_AS4003[[#This Row],[POLPRCPL2]:[POLPRCPL9]])</f>
        <v>29.2</v>
      </c>
      <c r="T85" s="11">
        <v>99</v>
      </c>
      <c r="U85" s="11">
        <v>12</v>
      </c>
      <c r="V85" s="11">
        <v>0</v>
      </c>
      <c r="W85" s="11">
        <v>508.8</v>
      </c>
      <c r="X85" s="11">
        <v>26.3</v>
      </c>
      <c r="Y85" s="11">
        <v>0</v>
      </c>
      <c r="Z85" s="11">
        <v>1</v>
      </c>
      <c r="AA85" s="11">
        <v>0</v>
      </c>
      <c r="AB85" s="11">
        <v>0</v>
      </c>
      <c r="AC85" s="11">
        <v>0</v>
      </c>
      <c r="AD85" s="11">
        <v>0</v>
      </c>
      <c r="AE85" s="11">
        <v>0</v>
      </c>
      <c r="AF85" s="11">
        <f>IF(Tableau_Lancer_la_requête_à_partir_de_AS4003[[#This Row],[POL_SEX_ASSURE]]="M",0,1)</f>
        <v>1</v>
      </c>
      <c r="AG85" s="11" t="str">
        <f>IF(Tableau_Lancer_la_requête_à_partir_de_AS4003[[#This Row],[POL_SEX_ASSURE2]]="","",IF(Tableau_Lancer_la_requête_à_partir_de_AS4003[[#This Row],[POL_SEX_ASSURE2]]="M",0,1))</f>
        <v/>
      </c>
      <c r="AH8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85" s="11">
        <v>7500</v>
      </c>
      <c r="AJ85" s="11">
        <f>Tableau_Lancer_la_requête_à_partir_de_AS4003[[#This Row],[POL_DUREE_ASSUR]]*12</f>
        <v>1188</v>
      </c>
      <c r="AK85" s="11">
        <v>277.8</v>
      </c>
      <c r="AL85" s="11">
        <v>26.3</v>
      </c>
      <c r="AM85" s="11">
        <v>0</v>
      </c>
      <c r="AN85" s="11" t="s">
        <v>36</v>
      </c>
      <c r="AO85" s="11" t="s">
        <v>80</v>
      </c>
      <c r="AP85" s="11">
        <f>Tableau_Lancer_la_requête_à_partir_de_AS4003[[#This Row],[POL_TERM_M]]-Tableau_Lancer_la_requête_à_partir_de_AS4003[[#This Row],[Duration IF]]</f>
        <v>1185</v>
      </c>
      <c r="AQ85" s="11" t="s">
        <v>36</v>
      </c>
      <c r="AR85" s="11" t="s">
        <v>36</v>
      </c>
      <c r="AS85" s="11" t="s">
        <v>36</v>
      </c>
      <c r="AT85" s="11" t="s">
        <v>36</v>
      </c>
      <c r="AU85" s="11" t="s">
        <v>36</v>
      </c>
      <c r="AV85" s="11">
        <v>0</v>
      </c>
      <c r="AW85" s="11">
        <v>11</v>
      </c>
      <c r="AX85" s="11">
        <v>1</v>
      </c>
      <c r="AY85" s="11">
        <v>20181001</v>
      </c>
      <c r="AZ85" s="80">
        <f t="shared" si="4"/>
        <v>43374</v>
      </c>
      <c r="BA85" s="11">
        <v>19601225</v>
      </c>
      <c r="BB85" s="80">
        <f t="shared" si="5"/>
        <v>22275</v>
      </c>
      <c r="BC85" s="11">
        <v>0</v>
      </c>
      <c r="BD85" s="11" t="s">
        <v>81</v>
      </c>
      <c r="BE85" s="11">
        <v>1</v>
      </c>
      <c r="BF85" s="11" t="s">
        <v>36</v>
      </c>
      <c r="BG85" s="11">
        <v>479.6</v>
      </c>
      <c r="BH85" s="11">
        <v>364.5</v>
      </c>
      <c r="BI85" s="11">
        <v>0</v>
      </c>
      <c r="BJ85" s="11" t="s">
        <v>79</v>
      </c>
      <c r="BK85" s="11">
        <v>1</v>
      </c>
      <c r="BL85" s="11">
        <v>0</v>
      </c>
      <c r="BM85" s="11">
        <v>0</v>
      </c>
      <c r="BN85" s="11">
        <v>2549002</v>
      </c>
      <c r="BO85" s="11">
        <v>0</v>
      </c>
      <c r="BP85" s="11" t="s">
        <v>79</v>
      </c>
      <c r="BQ85" s="11">
        <v>0</v>
      </c>
      <c r="BR85" s="11"/>
      <c r="BT85" s="11"/>
      <c r="BU85" s="11"/>
      <c r="CA85" s="11"/>
      <c r="CD85" s="11"/>
    </row>
    <row r="86" spans="2:82" ht="12.75" x14ac:dyDescent="0.2">
      <c r="B86" s="11">
        <v>2557301</v>
      </c>
      <c r="C86" s="11">
        <f>ROUND(DAYS360(Tableau_Lancer_la_requête_à_partir_de_AS4003[[#This Row],[Date naissance 1]],Tableau_Lancer_la_requête_à_partir_de_AS4003[[#This Row],[Date début]])/360,0)</f>
        <v>57</v>
      </c>
      <c r="D86" s="11">
        <v>0</v>
      </c>
      <c r="E86" s="11">
        <v>0</v>
      </c>
      <c r="F86" s="11">
        <v>0</v>
      </c>
      <c r="G86" s="11">
        <v>12</v>
      </c>
      <c r="H86" s="11">
        <f>ROUND(DAYS360(Tableau_Lancer_la_requête_à_partir_de_AS4003[[#This Row],[Date début]],'Cash flows par police'!$C$4)/30,0)</f>
        <v>2</v>
      </c>
      <c r="I86" s="11">
        <v>0</v>
      </c>
      <c r="J86" s="11">
        <v>0</v>
      </c>
      <c r="K86" s="11">
        <v>0</v>
      </c>
      <c r="L86" s="11">
        <v>38.9</v>
      </c>
      <c r="M86" s="11">
        <v>0</v>
      </c>
      <c r="N86" s="11">
        <v>0</v>
      </c>
      <c r="O86" s="11">
        <v>0</v>
      </c>
      <c r="P86" s="11">
        <v>0</v>
      </c>
      <c r="Q86" s="11">
        <v>0</v>
      </c>
      <c r="R86" s="11">
        <v>0</v>
      </c>
      <c r="S86" s="11">
        <f>SUM(Tableau_Lancer_la_requête_à_partir_de_AS4003[[#This Row],[POLPRCPL2]:[POLPRCPL9]])</f>
        <v>38.9</v>
      </c>
      <c r="T86" s="11">
        <v>99</v>
      </c>
      <c r="U86" s="11">
        <v>12</v>
      </c>
      <c r="V86" s="11">
        <v>0</v>
      </c>
      <c r="W86" s="11">
        <v>664.8</v>
      </c>
      <c r="X86" s="11">
        <v>17.100000000000001</v>
      </c>
      <c r="Y86" s="11">
        <v>0</v>
      </c>
      <c r="Z86" s="11">
        <v>1</v>
      </c>
      <c r="AA86" s="11">
        <v>0</v>
      </c>
      <c r="AB86" s="11">
        <v>0</v>
      </c>
      <c r="AC86" s="11">
        <v>0</v>
      </c>
      <c r="AD86" s="11">
        <v>0</v>
      </c>
      <c r="AE86" s="11">
        <v>0</v>
      </c>
      <c r="AF86" s="11">
        <f>IF(Tableau_Lancer_la_requête_à_partir_de_AS4003[[#This Row],[POL_SEX_ASSURE]]="M",0,1)</f>
        <v>1</v>
      </c>
      <c r="AG86" s="11" t="str">
        <f>IF(Tableau_Lancer_la_requête_à_partir_de_AS4003[[#This Row],[POL_SEX_ASSURE2]]="","",IF(Tableau_Lancer_la_requête_à_partir_de_AS4003[[#This Row],[POL_SEX_ASSURE2]]="M",0,1))</f>
        <v/>
      </c>
      <c r="AH8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86" s="11">
        <v>10000</v>
      </c>
      <c r="AJ86" s="11">
        <f>Tableau_Lancer_la_requête_à_partir_de_AS4003[[#This Row],[POL_DUREE_ASSUR]]*12</f>
        <v>1188</v>
      </c>
      <c r="AK86" s="11">
        <v>357.1</v>
      </c>
      <c r="AL86" s="11">
        <v>17.100000000000001</v>
      </c>
      <c r="AM86" s="11">
        <v>0</v>
      </c>
      <c r="AN86" s="11" t="s">
        <v>36</v>
      </c>
      <c r="AO86" s="11" t="s">
        <v>80</v>
      </c>
      <c r="AP86" s="11">
        <f>Tableau_Lancer_la_requête_à_partir_de_AS4003[[#This Row],[POL_TERM_M]]-Tableau_Lancer_la_requête_à_partir_de_AS4003[[#This Row],[Duration IF]]</f>
        <v>1186</v>
      </c>
      <c r="AQ86" s="11" t="s">
        <v>36</v>
      </c>
      <c r="AR86" s="11" t="s">
        <v>36</v>
      </c>
      <c r="AS86" s="11" t="s">
        <v>36</v>
      </c>
      <c r="AT86" s="11" t="s">
        <v>36</v>
      </c>
      <c r="AU86" s="11" t="s">
        <v>36</v>
      </c>
      <c r="AV86" s="11">
        <v>0</v>
      </c>
      <c r="AW86" s="11">
        <v>11</v>
      </c>
      <c r="AX86" s="11">
        <v>1</v>
      </c>
      <c r="AY86" s="11">
        <v>20181101</v>
      </c>
      <c r="AZ86" s="80">
        <f t="shared" si="4"/>
        <v>43405</v>
      </c>
      <c r="BA86" s="11">
        <v>19610903</v>
      </c>
      <c r="BB86" s="80">
        <f t="shared" si="5"/>
        <v>22527</v>
      </c>
      <c r="BC86" s="11">
        <v>0</v>
      </c>
      <c r="BD86" s="11" t="s">
        <v>81</v>
      </c>
      <c r="BE86" s="11">
        <v>1</v>
      </c>
      <c r="BF86" s="11" t="s">
        <v>36</v>
      </c>
      <c r="BG86" s="11">
        <v>625.9</v>
      </c>
      <c r="BH86" s="11">
        <v>475</v>
      </c>
      <c r="BI86" s="11">
        <v>0</v>
      </c>
      <c r="BJ86" s="11" t="s">
        <v>79</v>
      </c>
      <c r="BK86" s="11">
        <v>1</v>
      </c>
      <c r="BL86" s="11">
        <v>0</v>
      </c>
      <c r="BM86" s="11">
        <v>0</v>
      </c>
      <c r="BN86" s="11">
        <v>2557301</v>
      </c>
      <c r="BO86" s="11">
        <v>0</v>
      </c>
      <c r="BP86" s="11" t="s">
        <v>79</v>
      </c>
      <c r="BQ86" s="11">
        <v>0</v>
      </c>
      <c r="BR86" s="11"/>
      <c r="BT86" s="11"/>
      <c r="BU86" s="11"/>
      <c r="CA86" s="11"/>
      <c r="CD86" s="11"/>
    </row>
    <row r="87" spans="2:82" ht="12.75" x14ac:dyDescent="0.2">
      <c r="B87" s="11">
        <v>2559301</v>
      </c>
      <c r="C87" s="11">
        <f>ROUND(DAYS360(Tableau_Lancer_la_requête_à_partir_de_AS4003[[#This Row],[Date naissance 1]],Tableau_Lancer_la_requête_à_partir_de_AS4003[[#This Row],[Date début]])/360,0)</f>
        <v>64</v>
      </c>
      <c r="D87" s="11">
        <v>0</v>
      </c>
      <c r="E87" s="11">
        <v>0</v>
      </c>
      <c r="F87" s="11">
        <v>0</v>
      </c>
      <c r="G87" s="11">
        <v>12</v>
      </c>
      <c r="H87" s="11">
        <f>ROUND(DAYS360(Tableau_Lancer_la_requête_à_partir_de_AS4003[[#This Row],[Date début]],'Cash flows par police'!$C$4)/30,0)</f>
        <v>2</v>
      </c>
      <c r="I87" s="11">
        <v>0</v>
      </c>
      <c r="J87" s="11">
        <v>0</v>
      </c>
      <c r="K87" s="11">
        <v>0</v>
      </c>
      <c r="L87" s="11">
        <v>19.399999999999999</v>
      </c>
      <c r="M87" s="11">
        <v>0</v>
      </c>
      <c r="N87" s="11">
        <v>0</v>
      </c>
      <c r="O87" s="11">
        <v>0</v>
      </c>
      <c r="P87" s="11">
        <v>0</v>
      </c>
      <c r="Q87" s="11">
        <v>0</v>
      </c>
      <c r="R87" s="11">
        <v>0</v>
      </c>
      <c r="S87" s="11">
        <f>SUM(Tableau_Lancer_la_requête_à_partir_de_AS4003[[#This Row],[POLPRCPL2]:[POLPRCPL9]])</f>
        <v>19.399999999999999</v>
      </c>
      <c r="T87" s="11">
        <v>99</v>
      </c>
      <c r="U87" s="11">
        <v>12</v>
      </c>
      <c r="V87" s="11">
        <v>0</v>
      </c>
      <c r="W87" s="11">
        <v>404.4</v>
      </c>
      <c r="X87" s="11">
        <v>10.199999999999999</v>
      </c>
      <c r="Y87" s="11">
        <v>0</v>
      </c>
      <c r="Z87" s="11">
        <v>1</v>
      </c>
      <c r="AA87" s="11">
        <v>0</v>
      </c>
      <c r="AB87" s="11">
        <v>0</v>
      </c>
      <c r="AC87" s="11">
        <v>0</v>
      </c>
      <c r="AD87" s="11">
        <v>0</v>
      </c>
      <c r="AE87" s="11">
        <v>0</v>
      </c>
      <c r="AF87" s="11">
        <f>IF(Tableau_Lancer_la_requête_à_partir_de_AS4003[[#This Row],[POL_SEX_ASSURE]]="M",0,1)</f>
        <v>1</v>
      </c>
      <c r="AG87" s="11" t="str">
        <f>IF(Tableau_Lancer_la_requête_à_partir_de_AS4003[[#This Row],[POL_SEX_ASSURE2]]="","",IF(Tableau_Lancer_la_requête_à_partir_de_AS4003[[#This Row],[POL_SEX_ASSURE2]]="M",0,1))</f>
        <v/>
      </c>
      <c r="AH8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87" s="11">
        <v>5000</v>
      </c>
      <c r="AJ87" s="11">
        <f>Tableau_Lancer_la_requête_à_partir_de_AS4003[[#This Row],[POL_DUREE_ASSUR]]*12</f>
        <v>1188</v>
      </c>
      <c r="AK87" s="11">
        <v>227.3</v>
      </c>
      <c r="AL87" s="11">
        <v>10.199999999999999</v>
      </c>
      <c r="AM87" s="11">
        <v>0</v>
      </c>
      <c r="AN87" s="11" t="s">
        <v>36</v>
      </c>
      <c r="AO87" s="11" t="s">
        <v>80</v>
      </c>
      <c r="AP87" s="11">
        <f>Tableau_Lancer_la_requête_à_partir_de_AS4003[[#This Row],[POL_TERM_M]]-Tableau_Lancer_la_requête_à_partir_de_AS4003[[#This Row],[Duration IF]]</f>
        <v>1186</v>
      </c>
      <c r="AQ87" s="11" t="s">
        <v>36</v>
      </c>
      <c r="AR87" s="11" t="s">
        <v>36</v>
      </c>
      <c r="AS87" s="11" t="s">
        <v>36</v>
      </c>
      <c r="AT87" s="11" t="s">
        <v>36</v>
      </c>
      <c r="AU87" s="11" t="s">
        <v>36</v>
      </c>
      <c r="AV87" s="11">
        <v>0</v>
      </c>
      <c r="AW87" s="11">
        <v>11</v>
      </c>
      <c r="AX87" s="11">
        <v>1</v>
      </c>
      <c r="AY87" s="11">
        <v>20181101</v>
      </c>
      <c r="AZ87" s="80">
        <f t="shared" si="4"/>
        <v>43405</v>
      </c>
      <c r="BA87" s="11">
        <v>19550326</v>
      </c>
      <c r="BB87" s="80">
        <f t="shared" si="5"/>
        <v>20174</v>
      </c>
      <c r="BC87" s="11">
        <v>0</v>
      </c>
      <c r="BD87" s="11" t="s">
        <v>81</v>
      </c>
      <c r="BE87" s="11">
        <v>1</v>
      </c>
      <c r="BF87" s="11" t="s">
        <v>36</v>
      </c>
      <c r="BG87" s="11">
        <v>385</v>
      </c>
      <c r="BH87" s="11">
        <v>292.7</v>
      </c>
      <c r="BI87" s="11">
        <v>0</v>
      </c>
      <c r="BJ87" s="11" t="s">
        <v>79</v>
      </c>
      <c r="BK87" s="11">
        <v>1</v>
      </c>
      <c r="BL87" s="11">
        <v>0</v>
      </c>
      <c r="BM87" s="11">
        <v>0</v>
      </c>
      <c r="BN87" s="11">
        <v>2559301</v>
      </c>
      <c r="BO87" s="11">
        <v>0</v>
      </c>
      <c r="BP87" s="11" t="s">
        <v>79</v>
      </c>
      <c r="BQ87" s="11">
        <v>0</v>
      </c>
      <c r="BR87" s="11"/>
      <c r="BT87" s="11"/>
      <c r="BU87" s="11"/>
      <c r="CA87" s="11"/>
      <c r="CD87" s="11"/>
    </row>
    <row r="88" spans="2:82" ht="12.75" x14ac:dyDescent="0.2">
      <c r="B88" s="11">
        <v>2562002</v>
      </c>
      <c r="C88" s="11">
        <f>ROUND(DAYS360(Tableau_Lancer_la_requête_à_partir_de_AS4003[[#This Row],[Date naissance 1]],Tableau_Lancer_la_requête_à_partir_de_AS4003[[#This Row],[Date début]])/360,0)</f>
        <v>53</v>
      </c>
      <c r="D88" s="11">
        <v>0</v>
      </c>
      <c r="E88" s="11">
        <v>0</v>
      </c>
      <c r="F88" s="11">
        <v>0</v>
      </c>
      <c r="G88" s="11">
        <v>12</v>
      </c>
      <c r="H88" s="11">
        <f>ROUND(DAYS360(Tableau_Lancer_la_requête_à_partir_de_AS4003[[#This Row],[Date début]],'Cash flows par police'!$C$4)/30,0)</f>
        <v>1</v>
      </c>
      <c r="I88" s="11">
        <v>0</v>
      </c>
      <c r="J88" s="11">
        <v>0</v>
      </c>
      <c r="K88" s="11">
        <v>0</v>
      </c>
      <c r="L88" s="11">
        <v>31.6</v>
      </c>
      <c r="M88" s="11">
        <v>0</v>
      </c>
      <c r="N88" s="11">
        <v>0</v>
      </c>
      <c r="O88" s="11">
        <v>0</v>
      </c>
      <c r="P88" s="11">
        <v>0</v>
      </c>
      <c r="Q88" s="11">
        <v>0</v>
      </c>
      <c r="R88" s="11">
        <v>0</v>
      </c>
      <c r="S88" s="11">
        <f>SUM(Tableau_Lancer_la_requête_à_partir_de_AS4003[[#This Row],[POLPRCPL2]:[POLPRCPL9]])</f>
        <v>31.6</v>
      </c>
      <c r="T88" s="11">
        <v>99</v>
      </c>
      <c r="U88" s="11">
        <v>12</v>
      </c>
      <c r="V88" s="11">
        <v>0</v>
      </c>
      <c r="W88" s="11">
        <v>432</v>
      </c>
      <c r="X88" s="11">
        <v>0</v>
      </c>
      <c r="Y88" s="11">
        <v>0</v>
      </c>
      <c r="Z88" s="11">
        <v>1</v>
      </c>
      <c r="AA88" s="11">
        <v>0</v>
      </c>
      <c r="AB88" s="11">
        <v>0</v>
      </c>
      <c r="AC88" s="11">
        <v>0</v>
      </c>
      <c r="AD88" s="11">
        <v>0</v>
      </c>
      <c r="AE88" s="11">
        <v>0</v>
      </c>
      <c r="AF88" s="11">
        <f>IF(Tableau_Lancer_la_requête_à_partir_de_AS4003[[#This Row],[POL_SEX_ASSURE]]="M",0,1)</f>
        <v>1</v>
      </c>
      <c r="AG88" s="11" t="str">
        <f>IF(Tableau_Lancer_la_requête_à_partir_de_AS4003[[#This Row],[POL_SEX_ASSURE2]]="","",IF(Tableau_Lancer_la_requête_à_partir_de_AS4003[[#This Row],[POL_SEX_ASSURE2]]="M",0,1))</f>
        <v/>
      </c>
      <c r="AH8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88" s="11">
        <v>8129.8</v>
      </c>
      <c r="AJ88" s="11">
        <f>Tableau_Lancer_la_requête_à_partir_de_AS4003[[#This Row],[POL_DUREE_ASSUR]]*12</f>
        <v>1188</v>
      </c>
      <c r="AK88" s="11">
        <v>246.4</v>
      </c>
      <c r="AL88" s="11">
        <v>0</v>
      </c>
      <c r="AM88" s="11">
        <v>0</v>
      </c>
      <c r="AN88" s="11" t="s">
        <v>36</v>
      </c>
      <c r="AO88" s="11" t="s">
        <v>80</v>
      </c>
      <c r="AP88" s="11">
        <f>Tableau_Lancer_la_requête_à_partir_de_AS4003[[#This Row],[POL_TERM_M]]-Tableau_Lancer_la_requête_à_partir_de_AS4003[[#This Row],[Duration IF]]</f>
        <v>1187</v>
      </c>
      <c r="AQ88" s="11" t="s">
        <v>36</v>
      </c>
      <c r="AR88" s="11" t="s">
        <v>36</v>
      </c>
      <c r="AS88" s="11" t="s">
        <v>36</v>
      </c>
      <c r="AT88" s="11" t="s">
        <v>36</v>
      </c>
      <c r="AU88" s="11" t="s">
        <v>36</v>
      </c>
      <c r="AV88" s="11">
        <v>0</v>
      </c>
      <c r="AW88" s="11">
        <v>11</v>
      </c>
      <c r="AX88" s="11">
        <v>1</v>
      </c>
      <c r="AY88" s="11">
        <v>20181201</v>
      </c>
      <c r="AZ88" s="80">
        <f t="shared" si="4"/>
        <v>43435</v>
      </c>
      <c r="BA88" s="11">
        <v>19660207</v>
      </c>
      <c r="BB88" s="80">
        <f t="shared" si="5"/>
        <v>24145</v>
      </c>
      <c r="BC88" s="11">
        <v>0</v>
      </c>
      <c r="BD88" s="11" t="s">
        <v>81</v>
      </c>
      <c r="BE88" s="11">
        <v>1</v>
      </c>
      <c r="BF88" s="11" t="s">
        <v>36</v>
      </c>
      <c r="BG88" s="11">
        <v>400.4</v>
      </c>
      <c r="BH88" s="11">
        <v>304</v>
      </c>
      <c r="BI88" s="11">
        <v>0</v>
      </c>
      <c r="BJ88" s="11" t="s">
        <v>79</v>
      </c>
      <c r="BK88" s="11">
        <v>1</v>
      </c>
      <c r="BL88" s="11">
        <v>0</v>
      </c>
      <c r="BM88" s="11">
        <v>0</v>
      </c>
      <c r="BN88" s="11">
        <v>2562002</v>
      </c>
      <c r="BO88" s="11">
        <v>0</v>
      </c>
      <c r="BP88" s="11" t="s">
        <v>79</v>
      </c>
      <c r="BQ88" s="11">
        <v>0</v>
      </c>
      <c r="BR88" s="11"/>
      <c r="BT88" s="11"/>
      <c r="BU88" s="11"/>
      <c r="CA88" s="11"/>
      <c r="CD88" s="11"/>
    </row>
    <row r="89" spans="2:82" ht="12.75" x14ac:dyDescent="0.2">
      <c r="B89" s="11">
        <v>2562303</v>
      </c>
      <c r="C89" s="11">
        <f>ROUND(DAYS360(Tableau_Lancer_la_requête_à_partir_de_AS4003[[#This Row],[Date naissance 1]],Tableau_Lancer_la_requête_à_partir_de_AS4003[[#This Row],[Date début]])/360,0)</f>
        <v>54</v>
      </c>
      <c r="D89" s="11">
        <v>0</v>
      </c>
      <c r="E89" s="11">
        <v>0</v>
      </c>
      <c r="F89" s="11">
        <v>0</v>
      </c>
      <c r="G89" s="11">
        <v>12</v>
      </c>
      <c r="H89" s="11">
        <f>ROUND(DAYS360(Tableau_Lancer_la_requête_à_partir_de_AS4003[[#This Row],[Date début]],'Cash flows par police'!$C$4)/30,0)</f>
        <v>1</v>
      </c>
      <c r="I89" s="11">
        <v>0</v>
      </c>
      <c r="J89" s="11">
        <v>0</v>
      </c>
      <c r="K89" s="11">
        <v>0</v>
      </c>
      <c r="L89" s="11">
        <v>13.7</v>
      </c>
      <c r="M89" s="11">
        <v>0</v>
      </c>
      <c r="N89" s="11">
        <v>0</v>
      </c>
      <c r="O89" s="11">
        <v>0</v>
      </c>
      <c r="P89" s="11">
        <v>0</v>
      </c>
      <c r="Q89" s="11">
        <v>0</v>
      </c>
      <c r="R89" s="11">
        <v>0</v>
      </c>
      <c r="S89" s="11">
        <f>SUM(Tableau_Lancer_la_requête_à_partir_de_AS4003[[#This Row],[POLPRCPL2]:[POLPRCPL9]])</f>
        <v>13.7</v>
      </c>
      <c r="T89" s="11">
        <v>99</v>
      </c>
      <c r="U89" s="11">
        <v>12</v>
      </c>
      <c r="V89" s="11">
        <v>0</v>
      </c>
      <c r="W89" s="11">
        <v>216</v>
      </c>
      <c r="X89" s="11">
        <v>0</v>
      </c>
      <c r="Y89" s="11">
        <v>0</v>
      </c>
      <c r="Z89" s="11">
        <v>1</v>
      </c>
      <c r="AA89" s="11">
        <v>0</v>
      </c>
      <c r="AB89" s="11">
        <v>0</v>
      </c>
      <c r="AC89" s="11">
        <v>0</v>
      </c>
      <c r="AD89" s="11">
        <v>0</v>
      </c>
      <c r="AE89" s="11">
        <v>0</v>
      </c>
      <c r="AF89" s="11">
        <f>IF(Tableau_Lancer_la_requête_à_partir_de_AS4003[[#This Row],[POL_SEX_ASSURE]]="M",0,1)</f>
        <v>1</v>
      </c>
      <c r="AG89" s="11" t="str">
        <f>IF(Tableau_Lancer_la_requête_à_partir_de_AS4003[[#This Row],[POL_SEX_ASSURE2]]="","",IF(Tableau_Lancer_la_requête_à_partir_de_AS4003[[#This Row],[POL_SEX_ASSURE2]]="M",0,1))</f>
        <v/>
      </c>
      <c r="AH8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89" s="11">
        <v>3519.8</v>
      </c>
      <c r="AJ89" s="11">
        <f>Tableau_Lancer_la_requête_à_partir_de_AS4003[[#This Row],[POL_DUREE_ASSUR]]*12</f>
        <v>1188</v>
      </c>
      <c r="AK89" s="11">
        <v>110</v>
      </c>
      <c r="AL89" s="11">
        <v>0</v>
      </c>
      <c r="AM89" s="11">
        <v>0</v>
      </c>
      <c r="AN89" s="11" t="s">
        <v>36</v>
      </c>
      <c r="AO89" s="11" t="s">
        <v>80</v>
      </c>
      <c r="AP89" s="11">
        <f>Tableau_Lancer_la_requête_à_partir_de_AS4003[[#This Row],[POL_TERM_M]]-Tableau_Lancer_la_requête_à_partir_de_AS4003[[#This Row],[Duration IF]]</f>
        <v>1187</v>
      </c>
      <c r="AQ89" s="11" t="s">
        <v>36</v>
      </c>
      <c r="AR89" s="11" t="s">
        <v>36</v>
      </c>
      <c r="AS89" s="11" t="s">
        <v>36</v>
      </c>
      <c r="AT89" s="11" t="s">
        <v>36</v>
      </c>
      <c r="AU89" s="11" t="s">
        <v>36</v>
      </c>
      <c r="AV89" s="11">
        <v>0</v>
      </c>
      <c r="AW89" s="11">
        <v>11</v>
      </c>
      <c r="AX89" s="11">
        <v>1</v>
      </c>
      <c r="AY89" s="11">
        <v>20181201</v>
      </c>
      <c r="AZ89" s="80">
        <f t="shared" si="4"/>
        <v>43435</v>
      </c>
      <c r="BA89" s="11">
        <v>19650425</v>
      </c>
      <c r="BB89" s="80">
        <f t="shared" si="5"/>
        <v>23857</v>
      </c>
      <c r="BC89" s="11">
        <v>0</v>
      </c>
      <c r="BD89" s="11" t="s">
        <v>81</v>
      </c>
      <c r="BE89" s="11">
        <v>1</v>
      </c>
      <c r="BF89" s="11" t="s">
        <v>36</v>
      </c>
      <c r="BG89" s="11">
        <v>202.3</v>
      </c>
      <c r="BH89" s="11">
        <v>153.6</v>
      </c>
      <c r="BI89" s="11">
        <v>0</v>
      </c>
      <c r="BJ89" s="11" t="s">
        <v>79</v>
      </c>
      <c r="BK89" s="11">
        <v>1</v>
      </c>
      <c r="BL89" s="11">
        <v>0</v>
      </c>
      <c r="BM89" s="11">
        <v>0</v>
      </c>
      <c r="BN89" s="11">
        <v>2562303</v>
      </c>
      <c r="BO89" s="11">
        <v>0</v>
      </c>
      <c r="BP89" s="11" t="s">
        <v>79</v>
      </c>
      <c r="BQ89" s="11">
        <v>0</v>
      </c>
      <c r="BR89" s="11"/>
      <c r="BT89" s="11"/>
      <c r="BU89" s="11"/>
      <c r="CA89" s="11"/>
      <c r="CD89" s="11"/>
    </row>
    <row r="90" spans="2:82" ht="12.75" x14ac:dyDescent="0.2">
      <c r="B90" s="11">
        <v>2567401</v>
      </c>
      <c r="C90" s="11">
        <f>ROUND(DAYS360(Tableau_Lancer_la_requête_à_partir_de_AS4003[[#This Row],[Date naissance 1]],Tableau_Lancer_la_requête_à_partir_de_AS4003[[#This Row],[Date début]])/360,0)</f>
        <v>67</v>
      </c>
      <c r="D90" s="11">
        <v>0</v>
      </c>
      <c r="E90" s="11">
        <v>0</v>
      </c>
      <c r="F90" s="11">
        <v>0</v>
      </c>
      <c r="G90" s="11">
        <v>12</v>
      </c>
      <c r="H90" s="11">
        <f>ROUND(DAYS360(Tableau_Lancer_la_requête_à_partir_de_AS4003[[#This Row],[Date début]],'Cash flows par police'!$C$4)/30,0)</f>
        <v>1</v>
      </c>
      <c r="I90" s="11">
        <v>0</v>
      </c>
      <c r="J90" s="11">
        <v>0</v>
      </c>
      <c r="K90" s="11">
        <v>0</v>
      </c>
      <c r="L90" s="11">
        <v>8.9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f>SUM(Tableau_Lancer_la_requête_à_partir_de_AS4003[[#This Row],[POLPRCPL2]:[POLPRCPL9]])</f>
        <v>8.9</v>
      </c>
      <c r="T90" s="11">
        <v>99</v>
      </c>
      <c r="U90" s="11">
        <v>12</v>
      </c>
      <c r="V90" s="11">
        <v>0</v>
      </c>
      <c r="W90" s="11">
        <v>216</v>
      </c>
      <c r="X90" s="11">
        <v>0</v>
      </c>
      <c r="Y90" s="11">
        <v>0</v>
      </c>
      <c r="Z90" s="11">
        <v>1</v>
      </c>
      <c r="AA90" s="11">
        <v>0</v>
      </c>
      <c r="AB90" s="11">
        <v>0</v>
      </c>
      <c r="AC90" s="11">
        <v>0</v>
      </c>
      <c r="AD90" s="11">
        <v>0</v>
      </c>
      <c r="AE90" s="11">
        <v>0</v>
      </c>
      <c r="AF90" s="11">
        <f>IF(Tableau_Lancer_la_requête_à_partir_de_AS4003[[#This Row],[POL_SEX_ASSURE]]="M",0,1)</f>
        <v>1</v>
      </c>
      <c r="AG90" s="11" t="str">
        <f>IF(Tableau_Lancer_la_requête_à_partir_de_AS4003[[#This Row],[POL_SEX_ASSURE2]]="","",IF(Tableau_Lancer_la_requête_à_partir_de_AS4003[[#This Row],[POL_SEX_ASSURE2]]="M",0,1))</f>
        <v/>
      </c>
      <c r="AH9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90" s="11">
        <v>2295.1</v>
      </c>
      <c r="AJ90" s="11">
        <f>Tableau_Lancer_la_requête_à_partir_de_AS4003[[#This Row],[POL_DUREE_ASSUR]]*12</f>
        <v>1188</v>
      </c>
      <c r="AK90" s="11">
        <v>127.5</v>
      </c>
      <c r="AL90" s="11">
        <v>0</v>
      </c>
      <c r="AM90" s="11">
        <v>0</v>
      </c>
      <c r="AN90" s="11" t="s">
        <v>36</v>
      </c>
      <c r="AO90" s="11" t="s">
        <v>80</v>
      </c>
      <c r="AP90" s="11">
        <f>Tableau_Lancer_la_requête_à_partir_de_AS4003[[#This Row],[POL_TERM_M]]-Tableau_Lancer_la_requête_à_partir_de_AS4003[[#This Row],[Duration IF]]</f>
        <v>1187</v>
      </c>
      <c r="AQ90" s="11" t="s">
        <v>36</v>
      </c>
      <c r="AR90" s="11" t="s">
        <v>36</v>
      </c>
      <c r="AS90" s="11" t="s">
        <v>36</v>
      </c>
      <c r="AT90" s="11" t="s">
        <v>36</v>
      </c>
      <c r="AU90" s="11" t="s">
        <v>36</v>
      </c>
      <c r="AV90" s="11">
        <v>0</v>
      </c>
      <c r="AW90" s="11">
        <v>11</v>
      </c>
      <c r="AX90" s="11">
        <v>1</v>
      </c>
      <c r="AY90" s="11">
        <v>20181201</v>
      </c>
      <c r="AZ90" s="80">
        <f t="shared" si="4"/>
        <v>43435</v>
      </c>
      <c r="BA90" s="11">
        <v>19510810</v>
      </c>
      <c r="BB90" s="80">
        <f t="shared" si="5"/>
        <v>18850</v>
      </c>
      <c r="BC90" s="11">
        <v>0</v>
      </c>
      <c r="BD90" s="11" t="s">
        <v>81</v>
      </c>
      <c r="BE90" s="11">
        <v>1</v>
      </c>
      <c r="BF90" s="11" t="s">
        <v>36</v>
      </c>
      <c r="BG90" s="11">
        <v>207.1</v>
      </c>
      <c r="BH90" s="11">
        <v>157.19999999999999</v>
      </c>
      <c r="BI90" s="11">
        <v>0</v>
      </c>
      <c r="BJ90" s="11" t="s">
        <v>79</v>
      </c>
      <c r="BK90" s="11">
        <v>1</v>
      </c>
      <c r="BL90" s="11">
        <v>0</v>
      </c>
      <c r="BM90" s="11">
        <v>0</v>
      </c>
      <c r="BN90" s="11">
        <v>2567401</v>
      </c>
      <c r="BO90" s="11">
        <v>0</v>
      </c>
      <c r="BP90" s="11" t="s">
        <v>79</v>
      </c>
      <c r="BQ90" s="11">
        <v>0</v>
      </c>
      <c r="BR90" s="11"/>
      <c r="BT90" s="11"/>
      <c r="BU90" s="11"/>
      <c r="CA90" s="11"/>
      <c r="CD90" s="11"/>
    </row>
    <row r="91" spans="2:82" ht="12.75" x14ac:dyDescent="0.2">
      <c r="B91" s="11">
        <v>2570304</v>
      </c>
      <c r="C91" s="11">
        <f>ROUND(DAYS360(Tableau_Lancer_la_requête_à_partir_de_AS4003[[#This Row],[Date naissance 1]],Tableau_Lancer_la_requête_à_partir_de_AS4003[[#This Row],[Date début]])/360,0)</f>
        <v>48</v>
      </c>
      <c r="D91" s="11">
        <v>0</v>
      </c>
      <c r="E91" s="11">
        <v>0</v>
      </c>
      <c r="F91" s="11">
        <v>0</v>
      </c>
      <c r="G91" s="11">
        <v>12</v>
      </c>
      <c r="H91" s="11">
        <f>ROUND(DAYS360(Tableau_Lancer_la_requête_à_partir_de_AS4003[[#This Row],[Date début]],'Cash flows par police'!$C$4)/30,0)</f>
        <v>1</v>
      </c>
      <c r="I91" s="11">
        <v>0</v>
      </c>
      <c r="J91" s="11">
        <v>0</v>
      </c>
      <c r="K91" s="11">
        <v>0</v>
      </c>
      <c r="L91" s="11">
        <v>17.399999999999999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1">
        <v>0</v>
      </c>
      <c r="S91" s="11">
        <f>SUM(Tableau_Lancer_la_requête_à_partir_de_AS4003[[#This Row],[POLPRCPL2]:[POLPRCPL9]])</f>
        <v>17.399999999999999</v>
      </c>
      <c r="T91" s="11">
        <v>99</v>
      </c>
      <c r="U91" s="11">
        <v>12</v>
      </c>
      <c r="V91" s="11">
        <v>0</v>
      </c>
      <c r="W91" s="11">
        <v>216</v>
      </c>
      <c r="X91" s="11">
        <v>0</v>
      </c>
      <c r="Y91" s="11">
        <v>0</v>
      </c>
      <c r="Z91" s="11">
        <v>1</v>
      </c>
      <c r="AA91" s="11">
        <v>0</v>
      </c>
      <c r="AB91" s="11">
        <v>0</v>
      </c>
      <c r="AC91" s="11">
        <v>0</v>
      </c>
      <c r="AD91" s="11">
        <v>0</v>
      </c>
      <c r="AE91" s="11">
        <v>0</v>
      </c>
      <c r="AF91" s="11">
        <f>IF(Tableau_Lancer_la_requête_à_partir_de_AS4003[[#This Row],[POL_SEX_ASSURE]]="M",0,1)</f>
        <v>1</v>
      </c>
      <c r="AG91" s="11" t="str">
        <f>IF(Tableau_Lancer_la_requête_à_partir_de_AS4003[[#This Row],[POL_SEX_ASSURE2]]="","",IF(Tableau_Lancer_la_requête_à_partir_de_AS4003[[#This Row],[POL_SEX_ASSURE2]]="M",0,1))</f>
        <v/>
      </c>
      <c r="AH9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91" s="11">
        <v>4472.5</v>
      </c>
      <c r="AJ91" s="11">
        <f>Tableau_Lancer_la_requête_à_partir_de_AS4003[[#This Row],[POL_DUREE_ASSUR]]*12</f>
        <v>1188</v>
      </c>
      <c r="AK91" s="11">
        <v>117.7</v>
      </c>
      <c r="AL91" s="11">
        <v>0</v>
      </c>
      <c r="AM91" s="11">
        <v>0</v>
      </c>
      <c r="AN91" s="11" t="s">
        <v>36</v>
      </c>
      <c r="AO91" s="11" t="s">
        <v>80</v>
      </c>
      <c r="AP91" s="11">
        <f>Tableau_Lancer_la_requête_à_partir_de_AS4003[[#This Row],[POL_TERM_M]]-Tableau_Lancer_la_requête_à_partir_de_AS4003[[#This Row],[Duration IF]]</f>
        <v>1187</v>
      </c>
      <c r="AQ91" s="11" t="s">
        <v>36</v>
      </c>
      <c r="AR91" s="11" t="s">
        <v>36</v>
      </c>
      <c r="AS91" s="11" t="s">
        <v>36</v>
      </c>
      <c r="AT91" s="11" t="s">
        <v>36</v>
      </c>
      <c r="AU91" s="11" t="s">
        <v>36</v>
      </c>
      <c r="AV91" s="11">
        <v>0</v>
      </c>
      <c r="AW91" s="11">
        <v>11</v>
      </c>
      <c r="AX91" s="11">
        <v>1</v>
      </c>
      <c r="AY91" s="11">
        <v>20181201</v>
      </c>
      <c r="AZ91" s="80">
        <f t="shared" si="4"/>
        <v>43435</v>
      </c>
      <c r="BA91" s="11">
        <v>19710504</v>
      </c>
      <c r="BB91" s="80">
        <f t="shared" si="5"/>
        <v>26057</v>
      </c>
      <c r="BC91" s="11">
        <v>0</v>
      </c>
      <c r="BD91" s="11" t="s">
        <v>81</v>
      </c>
      <c r="BE91" s="11">
        <v>1</v>
      </c>
      <c r="BF91" s="11" t="s">
        <v>36</v>
      </c>
      <c r="BG91" s="11">
        <v>198.6</v>
      </c>
      <c r="BH91" s="11">
        <v>150.80000000000001</v>
      </c>
      <c r="BI91" s="11">
        <v>0</v>
      </c>
      <c r="BJ91" s="11" t="s">
        <v>79</v>
      </c>
      <c r="BK91" s="11">
        <v>1</v>
      </c>
      <c r="BL91" s="11">
        <v>0</v>
      </c>
      <c r="BM91" s="11">
        <v>0</v>
      </c>
      <c r="BN91" s="11">
        <v>2570304</v>
      </c>
      <c r="BO91" s="11">
        <v>0</v>
      </c>
      <c r="BP91" s="11" t="s">
        <v>79</v>
      </c>
      <c r="BQ91" s="11">
        <v>0</v>
      </c>
      <c r="BR91" s="11"/>
      <c r="BT91" s="11"/>
      <c r="BU91" s="11"/>
      <c r="CA91" s="11"/>
      <c r="CD91" s="11"/>
    </row>
    <row r="92" spans="2:82" ht="12.75" x14ac:dyDescent="0.2">
      <c r="B92" s="11">
        <v>1303</v>
      </c>
      <c r="C92" s="11">
        <f>ROUND(DAYS360(Tableau_Lancer_la_requête_à_partir_de_AS4003[[#This Row],[Date naissance 1]],Tableau_Lancer_la_requête_à_partir_de_AS4003[[#This Row],[Date début]])/360,0)</f>
        <v>60</v>
      </c>
      <c r="D92" s="11">
        <v>0</v>
      </c>
      <c r="E92" s="11">
        <v>0</v>
      </c>
      <c r="F92" s="11">
        <v>0</v>
      </c>
      <c r="G92" s="11">
        <v>12</v>
      </c>
      <c r="H92" s="11">
        <f>ROUND(DAYS360(Tableau_Lancer_la_requête_à_partir_de_AS4003[[#This Row],[Date début]],'Cash flows par police'!$C$4)/30,0)</f>
        <v>3</v>
      </c>
      <c r="I92" s="11">
        <v>0</v>
      </c>
      <c r="J92" s="11">
        <v>0</v>
      </c>
      <c r="K92" s="11">
        <v>0</v>
      </c>
      <c r="L92" s="11">
        <v>44.1</v>
      </c>
      <c r="M92" s="11">
        <v>0</v>
      </c>
      <c r="N92" s="11">
        <v>0</v>
      </c>
      <c r="O92" s="11">
        <v>0</v>
      </c>
      <c r="P92" s="11">
        <v>0</v>
      </c>
      <c r="Q92" s="11">
        <v>0</v>
      </c>
      <c r="R92" s="11">
        <v>0</v>
      </c>
      <c r="S92" s="11">
        <f>SUM(Tableau_Lancer_la_requête_à_partir_de_AS4003[[#This Row],[POLPRCPL2]:[POLPRCPL9]])</f>
        <v>44.1</v>
      </c>
      <c r="T92" s="11">
        <v>99</v>
      </c>
      <c r="U92" s="11">
        <v>12</v>
      </c>
      <c r="V92" s="11">
        <v>0</v>
      </c>
      <c r="W92" s="11">
        <v>615.6</v>
      </c>
      <c r="X92" s="11">
        <v>30.6</v>
      </c>
      <c r="Y92" s="11">
        <v>0</v>
      </c>
      <c r="Z92" s="11">
        <v>1</v>
      </c>
      <c r="AA92" s="11">
        <v>0</v>
      </c>
      <c r="AB92" s="11">
        <v>0</v>
      </c>
      <c r="AC92" s="11">
        <v>0</v>
      </c>
      <c r="AD92" s="11">
        <v>0</v>
      </c>
      <c r="AE92" s="11">
        <v>0</v>
      </c>
      <c r="AF92" s="11">
        <f>IF(Tableau_Lancer_la_requête_à_partir_de_AS4003[[#This Row],[POL_SEX_ASSURE]]="M",0,1)</f>
        <v>0</v>
      </c>
      <c r="AG92" s="11" t="str">
        <f>IF(Tableau_Lancer_la_requête_à_partir_de_AS4003[[#This Row],[POL_SEX_ASSURE2]]="","",IF(Tableau_Lancer_la_requête_à_partir_de_AS4003[[#This Row],[POL_SEX_ASSURE2]]="M",0,1))</f>
        <v/>
      </c>
      <c r="AH9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92" s="11">
        <v>8000</v>
      </c>
      <c r="AJ92" s="11">
        <f>Tableau_Lancer_la_requête_à_partir_de_AS4003[[#This Row],[POL_DUREE_ASSUR]]*12</f>
        <v>1188</v>
      </c>
      <c r="AK92" s="11">
        <v>307.7</v>
      </c>
      <c r="AL92" s="11">
        <v>30.6</v>
      </c>
      <c r="AM92" s="11">
        <v>0</v>
      </c>
      <c r="AN92" s="11" t="s">
        <v>36</v>
      </c>
      <c r="AO92" s="11" t="s">
        <v>80</v>
      </c>
      <c r="AP92" s="11">
        <f>Tableau_Lancer_la_requête_à_partir_de_AS4003[[#This Row],[POL_TERM_M]]-Tableau_Lancer_la_requête_à_partir_de_AS4003[[#This Row],[Duration IF]]</f>
        <v>1185</v>
      </c>
      <c r="AQ92" s="11" t="s">
        <v>36</v>
      </c>
      <c r="AR92" s="11" t="s">
        <v>36</v>
      </c>
      <c r="AS92" s="11" t="s">
        <v>36</v>
      </c>
      <c r="AT92" s="11" t="s">
        <v>36</v>
      </c>
      <c r="AU92" s="11" t="s">
        <v>36</v>
      </c>
      <c r="AV92" s="11">
        <v>0</v>
      </c>
      <c r="AW92" s="11">
        <v>11</v>
      </c>
      <c r="AX92" s="11">
        <v>1</v>
      </c>
      <c r="AY92" s="11">
        <v>20181001</v>
      </c>
      <c r="AZ92" s="80">
        <f t="shared" si="4"/>
        <v>43374</v>
      </c>
      <c r="BA92" s="11">
        <v>19590118</v>
      </c>
      <c r="BB92" s="80">
        <f t="shared" si="5"/>
        <v>21568</v>
      </c>
      <c r="BC92" s="11">
        <v>0</v>
      </c>
      <c r="BD92" s="11" t="s">
        <v>83</v>
      </c>
      <c r="BE92" s="11">
        <v>1</v>
      </c>
      <c r="BF92" s="11" t="s">
        <v>36</v>
      </c>
      <c r="BG92" s="11">
        <v>571.5</v>
      </c>
      <c r="BH92" s="11">
        <v>434</v>
      </c>
      <c r="BI92" s="11">
        <v>0</v>
      </c>
      <c r="BJ92" s="11" t="s">
        <v>82</v>
      </c>
      <c r="BK92" s="11">
        <v>1</v>
      </c>
      <c r="BL92" s="11">
        <v>0</v>
      </c>
      <c r="BM92" s="11">
        <v>0</v>
      </c>
      <c r="BN92" s="11">
        <v>1303</v>
      </c>
      <c r="BO92" s="11">
        <v>0</v>
      </c>
      <c r="BP92" s="11" t="s">
        <v>82</v>
      </c>
      <c r="BQ92" s="11">
        <v>0</v>
      </c>
      <c r="BR92" s="11"/>
      <c r="BT92" s="11"/>
      <c r="BU92" s="11"/>
      <c r="CA92" s="11"/>
      <c r="CD92" s="11"/>
    </row>
    <row r="93" spans="2:82" ht="12.75" x14ac:dyDescent="0.2">
      <c r="B93" s="11">
        <v>4103</v>
      </c>
      <c r="C93" s="11">
        <f>ROUND(DAYS360(Tableau_Lancer_la_requête_à_partir_de_AS4003[[#This Row],[Date naissance 1]],Tableau_Lancer_la_requête_à_partir_de_AS4003[[#This Row],[Date début]])/360,0)</f>
        <v>48</v>
      </c>
      <c r="D93" s="11">
        <v>0</v>
      </c>
      <c r="E93" s="11">
        <v>0</v>
      </c>
      <c r="F93" s="11">
        <v>0</v>
      </c>
      <c r="G93" s="11">
        <v>12</v>
      </c>
      <c r="H93" s="11">
        <f>ROUND(DAYS360(Tableau_Lancer_la_requête_à_partir_de_AS4003[[#This Row],[Date début]],'Cash flows par police'!$C$4)/30,0)</f>
        <v>21</v>
      </c>
      <c r="I93" s="11">
        <v>0</v>
      </c>
      <c r="J93" s="11">
        <v>0</v>
      </c>
      <c r="K93" s="11">
        <v>0</v>
      </c>
      <c r="L93" s="11">
        <v>26.5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1">
        <v>0</v>
      </c>
      <c r="S93" s="11">
        <f>SUM(Tableau_Lancer_la_requête_à_partir_de_AS4003[[#This Row],[POLPRCPL2]:[POLPRCPL9]])</f>
        <v>26.5</v>
      </c>
      <c r="T93" s="11">
        <v>99</v>
      </c>
      <c r="U93" s="11">
        <v>2</v>
      </c>
      <c r="V93" s="11">
        <v>0</v>
      </c>
      <c r="W93" s="11">
        <v>261.2</v>
      </c>
      <c r="X93" s="11">
        <v>150.4</v>
      </c>
      <c r="Y93" s="11">
        <v>1.8</v>
      </c>
      <c r="Z93" s="11">
        <v>1</v>
      </c>
      <c r="AA93" s="11">
        <v>0</v>
      </c>
      <c r="AB93" s="11">
        <v>0</v>
      </c>
      <c r="AC93" s="11">
        <v>0</v>
      </c>
      <c r="AD93" s="11">
        <v>0</v>
      </c>
      <c r="AE93" s="11">
        <v>0</v>
      </c>
      <c r="AF93" s="11">
        <f>IF(Tableau_Lancer_la_requête_à_partir_de_AS4003[[#This Row],[POL_SEX_ASSURE]]="M",0,1)</f>
        <v>0</v>
      </c>
      <c r="AG93" s="11" t="str">
        <f>IF(Tableau_Lancer_la_requête_à_partir_de_AS4003[[#This Row],[POL_SEX_ASSURE2]]="","",IF(Tableau_Lancer_la_requête_à_partir_de_AS4003[[#This Row],[POL_SEX_ASSURE2]]="M",0,1))</f>
        <v/>
      </c>
      <c r="AH9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93" s="11">
        <v>5000</v>
      </c>
      <c r="AJ93" s="11">
        <f>Tableau_Lancer_la_requête_à_partir_de_AS4003[[#This Row],[POL_DUREE_ASSUR]]*12</f>
        <v>1188</v>
      </c>
      <c r="AK93" s="11">
        <v>135.1</v>
      </c>
      <c r="AL93" s="11">
        <v>150.4</v>
      </c>
      <c r="AM93" s="11">
        <v>0</v>
      </c>
      <c r="AN93" s="11" t="s">
        <v>36</v>
      </c>
      <c r="AO93" s="11" t="s">
        <v>80</v>
      </c>
      <c r="AP93" s="11">
        <f>Tableau_Lancer_la_requête_à_partir_de_AS4003[[#This Row],[POL_TERM_M]]-Tableau_Lancer_la_requête_à_partir_de_AS4003[[#This Row],[Duration IF]]</f>
        <v>1167</v>
      </c>
      <c r="AQ93" s="11" t="s">
        <v>36</v>
      </c>
      <c r="AR93" s="11" t="s">
        <v>36</v>
      </c>
      <c r="AS93" s="11" t="s">
        <v>36</v>
      </c>
      <c r="AT93" s="11" t="s">
        <v>36</v>
      </c>
      <c r="AU93" s="11" t="s">
        <v>36</v>
      </c>
      <c r="AV93" s="11">
        <v>0</v>
      </c>
      <c r="AW93" s="11">
        <v>11</v>
      </c>
      <c r="AX93" s="11">
        <v>1</v>
      </c>
      <c r="AY93" s="11">
        <v>20170401</v>
      </c>
      <c r="AZ93" s="80">
        <f t="shared" si="4"/>
        <v>42826</v>
      </c>
      <c r="BA93" s="11">
        <v>19690927</v>
      </c>
      <c r="BB93" s="80">
        <f t="shared" si="5"/>
        <v>25473</v>
      </c>
      <c r="BC93" s="11">
        <v>0</v>
      </c>
      <c r="BD93" s="11" t="s">
        <v>83</v>
      </c>
      <c r="BE93" s="11">
        <v>1</v>
      </c>
      <c r="BF93" s="11" t="s">
        <v>36</v>
      </c>
      <c r="BG93" s="11">
        <v>234.7</v>
      </c>
      <c r="BH93" s="11">
        <v>185</v>
      </c>
      <c r="BI93" s="11">
        <v>0</v>
      </c>
      <c r="BJ93" s="11" t="s">
        <v>82</v>
      </c>
      <c r="BK93" s="11">
        <v>1</v>
      </c>
      <c r="BL93" s="11">
        <v>45.5</v>
      </c>
      <c r="BM93" s="11">
        <v>5.3</v>
      </c>
      <c r="BN93" s="11">
        <v>4103</v>
      </c>
      <c r="BO93" s="11">
        <v>0</v>
      </c>
      <c r="BP93" s="11" t="s">
        <v>82</v>
      </c>
      <c r="BQ93" s="11">
        <v>0</v>
      </c>
      <c r="BR93" s="11"/>
      <c r="BT93" s="11"/>
      <c r="BU93" s="11"/>
      <c r="CA93" s="11"/>
      <c r="CD93" s="11"/>
    </row>
    <row r="94" spans="2:82" ht="12.75" x14ac:dyDescent="0.2">
      <c r="B94" s="11">
        <v>18105</v>
      </c>
      <c r="C94" s="11">
        <f>ROUND(DAYS360(Tableau_Lancer_la_requête_à_partir_de_AS4003[[#This Row],[Date naissance 1]],Tableau_Lancer_la_requête_à_partir_de_AS4003[[#This Row],[Date début]])/360,0)</f>
        <v>63</v>
      </c>
      <c r="D94" s="11">
        <v>0</v>
      </c>
      <c r="E94" s="11">
        <v>0</v>
      </c>
      <c r="F94" s="11">
        <v>0</v>
      </c>
      <c r="G94" s="11">
        <v>12</v>
      </c>
      <c r="H94" s="11">
        <f>ROUND(DAYS360(Tableau_Lancer_la_requête_à_partir_de_AS4003[[#This Row],[Date début]],'Cash flows par police'!$C$4)/30,0)</f>
        <v>1</v>
      </c>
      <c r="I94" s="11">
        <v>0</v>
      </c>
      <c r="J94" s="11">
        <v>0</v>
      </c>
      <c r="K94" s="11">
        <v>0</v>
      </c>
      <c r="L94" s="11">
        <v>13.2</v>
      </c>
      <c r="M94" s="11">
        <v>0</v>
      </c>
      <c r="N94" s="11">
        <v>0</v>
      </c>
      <c r="O94" s="11">
        <v>0</v>
      </c>
      <c r="P94" s="11">
        <v>0</v>
      </c>
      <c r="Q94" s="11">
        <v>0</v>
      </c>
      <c r="R94" s="11">
        <v>0</v>
      </c>
      <c r="S94" s="11">
        <f>SUM(Tableau_Lancer_la_requête_à_partir_de_AS4003[[#This Row],[POLPRCPL2]:[POLPRCPL9]])</f>
        <v>13.2</v>
      </c>
      <c r="T94" s="11">
        <v>99</v>
      </c>
      <c r="U94" s="11">
        <v>12</v>
      </c>
      <c r="V94" s="11">
        <v>0</v>
      </c>
      <c r="W94" s="11">
        <v>216</v>
      </c>
      <c r="X94" s="11">
        <v>0</v>
      </c>
      <c r="Y94" s="11">
        <v>0</v>
      </c>
      <c r="Z94" s="11">
        <v>1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f>IF(Tableau_Lancer_la_requête_à_partir_de_AS4003[[#This Row],[POL_SEX_ASSURE]]="M",0,1)</f>
        <v>0</v>
      </c>
      <c r="AG94" s="11" t="str">
        <f>IF(Tableau_Lancer_la_requête_à_partir_de_AS4003[[#This Row],[POL_SEX_ASSURE2]]="","",IF(Tableau_Lancer_la_requête_à_partir_de_AS4003[[#This Row],[POL_SEX_ASSURE2]]="M",0,1))</f>
        <v/>
      </c>
      <c r="AH9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94" s="11">
        <v>2402.6999999999998</v>
      </c>
      <c r="AJ94" s="11">
        <f>Tableau_Lancer_la_requête_à_partir_de_AS4003[[#This Row],[POL_DUREE_ASSUR]]*12</f>
        <v>1188</v>
      </c>
      <c r="AK94" s="11">
        <v>109.2</v>
      </c>
      <c r="AL94" s="11">
        <v>0</v>
      </c>
      <c r="AM94" s="11">
        <v>0</v>
      </c>
      <c r="AN94" s="11" t="s">
        <v>36</v>
      </c>
      <c r="AO94" s="11" t="s">
        <v>80</v>
      </c>
      <c r="AP94" s="11">
        <f>Tableau_Lancer_la_requête_à_partir_de_AS4003[[#This Row],[POL_TERM_M]]-Tableau_Lancer_la_requête_à_partir_de_AS4003[[#This Row],[Duration IF]]</f>
        <v>1187</v>
      </c>
      <c r="AQ94" s="11" t="s">
        <v>36</v>
      </c>
      <c r="AR94" s="11" t="s">
        <v>36</v>
      </c>
      <c r="AS94" s="11" t="s">
        <v>36</v>
      </c>
      <c r="AT94" s="11" t="s">
        <v>36</v>
      </c>
      <c r="AU94" s="11" t="s">
        <v>36</v>
      </c>
      <c r="AV94" s="11">
        <v>0</v>
      </c>
      <c r="AW94" s="11">
        <v>11</v>
      </c>
      <c r="AX94" s="11">
        <v>1</v>
      </c>
      <c r="AY94" s="11">
        <v>20181201</v>
      </c>
      <c r="AZ94" s="80">
        <f t="shared" si="4"/>
        <v>43435</v>
      </c>
      <c r="BA94" s="11">
        <v>19551230</v>
      </c>
      <c r="BB94" s="80">
        <f t="shared" si="5"/>
        <v>20453</v>
      </c>
      <c r="BC94" s="11">
        <v>0</v>
      </c>
      <c r="BD94" s="11" t="s">
        <v>83</v>
      </c>
      <c r="BE94" s="11">
        <v>1</v>
      </c>
      <c r="BF94" s="11" t="s">
        <v>36</v>
      </c>
      <c r="BG94" s="11">
        <v>202.8</v>
      </c>
      <c r="BH94" s="11">
        <v>153.9</v>
      </c>
      <c r="BI94" s="11">
        <v>0</v>
      </c>
      <c r="BJ94" s="11" t="s">
        <v>82</v>
      </c>
      <c r="BK94" s="11">
        <v>1</v>
      </c>
      <c r="BL94" s="11">
        <v>0</v>
      </c>
      <c r="BM94" s="11">
        <v>0</v>
      </c>
      <c r="BN94" s="11">
        <v>18105</v>
      </c>
      <c r="BO94" s="11">
        <v>0</v>
      </c>
      <c r="BP94" s="11" t="s">
        <v>82</v>
      </c>
      <c r="BQ94" s="11">
        <v>0</v>
      </c>
      <c r="BR94" s="11"/>
      <c r="BT94" s="11"/>
      <c r="BU94" s="11"/>
      <c r="CA94" s="11"/>
      <c r="CD94" s="11"/>
    </row>
    <row r="95" spans="2:82" ht="12.75" x14ac:dyDescent="0.2">
      <c r="B95" s="11">
        <v>20603</v>
      </c>
      <c r="C95" s="11">
        <f>ROUND(DAYS360(Tableau_Lancer_la_requête_à_partir_de_AS4003[[#This Row],[Date naissance 1]],Tableau_Lancer_la_requête_à_partir_de_AS4003[[#This Row],[Date début]])/360,0)</f>
        <v>55</v>
      </c>
      <c r="D95" s="11">
        <v>0</v>
      </c>
      <c r="E95" s="11">
        <v>0</v>
      </c>
      <c r="F95" s="11">
        <v>0</v>
      </c>
      <c r="G95" s="11">
        <v>12</v>
      </c>
      <c r="H95" s="11">
        <f>ROUND(DAYS360(Tableau_Lancer_la_requête_à_partir_de_AS4003[[#This Row],[Date début]],'Cash flows par police'!$C$4)/30,0)</f>
        <v>3</v>
      </c>
      <c r="I95" s="11">
        <v>0</v>
      </c>
      <c r="J95" s="11">
        <v>0</v>
      </c>
      <c r="K95" s="11">
        <v>0</v>
      </c>
      <c r="L95" s="11">
        <v>27.5</v>
      </c>
      <c r="M95" s="11">
        <v>0</v>
      </c>
      <c r="N95" s="11">
        <v>0</v>
      </c>
      <c r="O95" s="11">
        <v>0</v>
      </c>
      <c r="P95" s="11">
        <v>0</v>
      </c>
      <c r="Q95" s="11">
        <v>0</v>
      </c>
      <c r="R95" s="11">
        <v>0</v>
      </c>
      <c r="S95" s="11">
        <f>SUM(Tableau_Lancer_la_requête_à_partir_de_AS4003[[#This Row],[POLPRCPL2]:[POLPRCPL9]])</f>
        <v>27.5</v>
      </c>
      <c r="T95" s="11">
        <v>99</v>
      </c>
      <c r="U95" s="11">
        <v>12</v>
      </c>
      <c r="V95" s="11">
        <v>0</v>
      </c>
      <c r="W95" s="11">
        <v>351.6</v>
      </c>
      <c r="X95" s="11">
        <v>17.5</v>
      </c>
      <c r="Y95" s="11">
        <v>0</v>
      </c>
      <c r="Z95" s="11">
        <v>1</v>
      </c>
      <c r="AA95" s="11">
        <v>0</v>
      </c>
      <c r="AB95" s="11">
        <v>0</v>
      </c>
      <c r="AC95" s="11">
        <v>0</v>
      </c>
      <c r="AD95" s="11">
        <v>0</v>
      </c>
      <c r="AE95" s="11">
        <v>0</v>
      </c>
      <c r="AF95" s="11">
        <f>IF(Tableau_Lancer_la_requête_à_partir_de_AS4003[[#This Row],[POL_SEX_ASSURE]]="M",0,1)</f>
        <v>0</v>
      </c>
      <c r="AG95" s="11" t="str">
        <f>IF(Tableau_Lancer_la_requête_à_partir_de_AS4003[[#This Row],[POL_SEX_ASSURE2]]="","",IF(Tableau_Lancer_la_requête_à_partir_de_AS4003[[#This Row],[POL_SEX_ASSURE2]]="M",0,1))</f>
        <v/>
      </c>
      <c r="AH9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95" s="11">
        <v>5000</v>
      </c>
      <c r="AJ95" s="11">
        <f>Tableau_Lancer_la_requête_à_partir_de_AS4003[[#This Row],[POL_DUREE_ASSUR]]*12</f>
        <v>1188</v>
      </c>
      <c r="AK95" s="11">
        <v>166.7</v>
      </c>
      <c r="AL95" s="11">
        <v>17.5</v>
      </c>
      <c r="AM95" s="11">
        <v>0</v>
      </c>
      <c r="AN95" s="11" t="s">
        <v>36</v>
      </c>
      <c r="AO95" s="11" t="s">
        <v>80</v>
      </c>
      <c r="AP95" s="11">
        <f>Tableau_Lancer_la_requête_à_partir_de_AS4003[[#This Row],[POL_TERM_M]]-Tableau_Lancer_la_requête_à_partir_de_AS4003[[#This Row],[Duration IF]]</f>
        <v>1185</v>
      </c>
      <c r="AQ95" s="11" t="s">
        <v>36</v>
      </c>
      <c r="AR95" s="11" t="s">
        <v>36</v>
      </c>
      <c r="AS95" s="11" t="s">
        <v>36</v>
      </c>
      <c r="AT95" s="11" t="s">
        <v>36</v>
      </c>
      <c r="AU95" s="11" t="s">
        <v>36</v>
      </c>
      <c r="AV95" s="11">
        <v>0</v>
      </c>
      <c r="AW95" s="11">
        <v>11</v>
      </c>
      <c r="AX95" s="11">
        <v>1</v>
      </c>
      <c r="AY95" s="11">
        <v>20181001</v>
      </c>
      <c r="AZ95" s="80">
        <f t="shared" si="4"/>
        <v>43374</v>
      </c>
      <c r="BA95" s="11">
        <v>19630910</v>
      </c>
      <c r="BB95" s="80">
        <f t="shared" si="5"/>
        <v>23264</v>
      </c>
      <c r="BC95" s="11">
        <v>0</v>
      </c>
      <c r="BD95" s="11" t="s">
        <v>83</v>
      </c>
      <c r="BE95" s="11">
        <v>1</v>
      </c>
      <c r="BF95" s="11" t="s">
        <v>36</v>
      </c>
      <c r="BG95" s="11">
        <v>324.10000000000002</v>
      </c>
      <c r="BH95" s="11">
        <v>245.6</v>
      </c>
      <c r="BI95" s="11">
        <v>0</v>
      </c>
      <c r="BJ95" s="11" t="s">
        <v>82</v>
      </c>
      <c r="BK95" s="11">
        <v>1</v>
      </c>
      <c r="BL95" s="11">
        <v>0</v>
      </c>
      <c r="BM95" s="11">
        <v>0</v>
      </c>
      <c r="BN95" s="11">
        <v>20603</v>
      </c>
      <c r="BO95" s="11">
        <v>0</v>
      </c>
      <c r="BP95" s="11" t="s">
        <v>82</v>
      </c>
      <c r="BQ95" s="11">
        <v>0</v>
      </c>
      <c r="BR95" s="11"/>
      <c r="BT95" s="11"/>
      <c r="BU95" s="11"/>
      <c r="CA95" s="11"/>
      <c r="CD95" s="11"/>
    </row>
    <row r="96" spans="2:82" ht="12.75" x14ac:dyDescent="0.2">
      <c r="B96" s="11">
        <v>27503</v>
      </c>
      <c r="C96" s="11">
        <f>ROUND(DAYS360(Tableau_Lancer_la_requête_à_partir_de_AS4003[[#This Row],[Date naissance 1]],Tableau_Lancer_la_requête_à_partir_de_AS4003[[#This Row],[Date début]])/360,0)</f>
        <v>62</v>
      </c>
      <c r="D96" s="11">
        <v>0</v>
      </c>
      <c r="E96" s="11">
        <v>0</v>
      </c>
      <c r="F96" s="11">
        <v>0</v>
      </c>
      <c r="G96" s="11">
        <v>12</v>
      </c>
      <c r="H96" s="11">
        <f>ROUND(DAYS360(Tableau_Lancer_la_requête_à_partir_de_AS4003[[#This Row],[Date début]],'Cash flows par police'!$C$4)/30,0)</f>
        <v>2</v>
      </c>
      <c r="I96" s="11">
        <v>0</v>
      </c>
      <c r="J96" s="11">
        <v>0</v>
      </c>
      <c r="K96" s="11">
        <v>0</v>
      </c>
      <c r="L96" s="11">
        <v>13.4</v>
      </c>
      <c r="M96" s="11">
        <v>0</v>
      </c>
      <c r="N96" s="11">
        <v>0</v>
      </c>
      <c r="O96" s="11">
        <v>0</v>
      </c>
      <c r="P96" s="11">
        <v>0</v>
      </c>
      <c r="Q96" s="11">
        <v>0</v>
      </c>
      <c r="R96" s="11">
        <v>0</v>
      </c>
      <c r="S96" s="11">
        <f>SUM(Tableau_Lancer_la_requête_à_partir_de_AS4003[[#This Row],[POLPRCPL2]:[POLPRCPL9]])</f>
        <v>13.4</v>
      </c>
      <c r="T96" s="11">
        <v>99</v>
      </c>
      <c r="U96" s="11">
        <v>2</v>
      </c>
      <c r="V96" s="11">
        <v>0</v>
      </c>
      <c r="W96" s="11">
        <v>208</v>
      </c>
      <c r="X96" s="11">
        <v>0</v>
      </c>
      <c r="Y96" s="11">
        <v>0</v>
      </c>
      <c r="Z96" s="11">
        <v>1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f>IF(Tableau_Lancer_la_requête_à_partir_de_AS4003[[#This Row],[POL_SEX_ASSURE]]="M",0,1)</f>
        <v>0</v>
      </c>
      <c r="AG96" s="11" t="str">
        <f>IF(Tableau_Lancer_la_requête_à_partir_de_AS4003[[#This Row],[POL_SEX_ASSURE2]]="","",IF(Tableau_Lancer_la_requête_à_partir_de_AS4003[[#This Row],[POL_SEX_ASSURE2]]="M",0,1))</f>
        <v/>
      </c>
      <c r="AH9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96" s="11">
        <v>2531.6</v>
      </c>
      <c r="AJ96" s="11">
        <f>Tableau_Lancer_la_requête_à_partir_de_AS4003[[#This Row],[POL_DUREE_ASSUR]]*12</f>
        <v>1188</v>
      </c>
      <c r="AK96" s="11">
        <v>105.5</v>
      </c>
      <c r="AL96" s="11">
        <v>0</v>
      </c>
      <c r="AM96" s="11">
        <v>0</v>
      </c>
      <c r="AN96" s="11" t="s">
        <v>36</v>
      </c>
      <c r="AO96" s="11" t="s">
        <v>80</v>
      </c>
      <c r="AP96" s="11">
        <f>Tableau_Lancer_la_requête_à_partir_de_AS4003[[#This Row],[POL_TERM_M]]-Tableau_Lancer_la_requête_à_partir_de_AS4003[[#This Row],[Duration IF]]</f>
        <v>1186</v>
      </c>
      <c r="AQ96" s="11" t="s">
        <v>36</v>
      </c>
      <c r="AR96" s="11" t="s">
        <v>36</v>
      </c>
      <c r="AS96" s="11" t="s">
        <v>36</v>
      </c>
      <c r="AT96" s="11" t="s">
        <v>36</v>
      </c>
      <c r="AU96" s="11" t="s">
        <v>36</v>
      </c>
      <c r="AV96" s="11">
        <v>0</v>
      </c>
      <c r="AW96" s="11">
        <v>11</v>
      </c>
      <c r="AX96" s="11">
        <v>1</v>
      </c>
      <c r="AY96" s="11">
        <v>20181101</v>
      </c>
      <c r="AZ96" s="80">
        <f t="shared" si="4"/>
        <v>43405</v>
      </c>
      <c r="BA96" s="11">
        <v>19570227</v>
      </c>
      <c r="BB96" s="80">
        <f t="shared" si="5"/>
        <v>20878</v>
      </c>
      <c r="BC96" s="11">
        <v>0</v>
      </c>
      <c r="BD96" s="11" t="s">
        <v>83</v>
      </c>
      <c r="BE96" s="11">
        <v>1</v>
      </c>
      <c r="BF96" s="11" t="s">
        <v>36</v>
      </c>
      <c r="BG96" s="11">
        <v>194.6</v>
      </c>
      <c r="BH96" s="11">
        <v>153.4</v>
      </c>
      <c r="BI96" s="11">
        <v>0</v>
      </c>
      <c r="BJ96" s="11" t="s">
        <v>82</v>
      </c>
      <c r="BK96" s="11">
        <v>1</v>
      </c>
      <c r="BL96" s="11">
        <v>50.6</v>
      </c>
      <c r="BM96" s="11">
        <v>3.6</v>
      </c>
      <c r="BN96" s="11">
        <v>27503</v>
      </c>
      <c r="BO96" s="11">
        <v>0</v>
      </c>
      <c r="BP96" s="11" t="s">
        <v>82</v>
      </c>
      <c r="BQ96" s="11">
        <v>0</v>
      </c>
      <c r="BR96" s="11"/>
      <c r="BT96" s="11"/>
      <c r="BU96" s="11"/>
      <c r="CA96" s="11"/>
      <c r="CD96" s="11"/>
    </row>
    <row r="97" spans="2:82" ht="12.75" x14ac:dyDescent="0.2">
      <c r="B97" s="11">
        <v>45003</v>
      </c>
      <c r="C97" s="11">
        <f>ROUND(DAYS360(Tableau_Lancer_la_requête_à_partir_de_AS4003[[#This Row],[Date naissance 1]],Tableau_Lancer_la_requête_à_partir_de_AS4003[[#This Row],[Date début]])/360,0)</f>
        <v>58</v>
      </c>
      <c r="D97" s="11">
        <v>0</v>
      </c>
      <c r="E97" s="11">
        <v>0</v>
      </c>
      <c r="F97" s="11">
        <v>0</v>
      </c>
      <c r="G97" s="11">
        <v>12</v>
      </c>
      <c r="H97" s="11">
        <f>ROUND(DAYS360(Tableau_Lancer_la_requête_à_partir_de_AS4003[[#This Row],[Date début]],'Cash flows par police'!$C$4)/30,0)</f>
        <v>3</v>
      </c>
      <c r="I97" s="11">
        <v>0</v>
      </c>
      <c r="J97" s="11">
        <v>0</v>
      </c>
      <c r="K97" s="11">
        <v>0</v>
      </c>
      <c r="L97" s="11">
        <v>27.5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1">
        <v>0</v>
      </c>
      <c r="S97" s="11">
        <f>SUM(Tableau_Lancer_la_requête_à_partir_de_AS4003[[#This Row],[POLPRCPL2]:[POLPRCPL9]])</f>
        <v>27.5</v>
      </c>
      <c r="T97" s="11">
        <v>99</v>
      </c>
      <c r="U97" s="11">
        <v>12</v>
      </c>
      <c r="V97" s="11">
        <v>0</v>
      </c>
      <c r="W97" s="11">
        <v>367.2</v>
      </c>
      <c r="X97" s="11">
        <v>0</v>
      </c>
      <c r="Y97" s="11">
        <v>0</v>
      </c>
      <c r="Z97" s="11">
        <v>1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f>IF(Tableau_Lancer_la_requête_à_partir_de_AS4003[[#This Row],[POL_SEX_ASSURE]]="M",0,1)</f>
        <v>0</v>
      </c>
      <c r="AG97" s="11" t="str">
        <f>IF(Tableau_Lancer_la_requête_à_partir_de_AS4003[[#This Row],[POL_SEX_ASSURE2]]="","",IF(Tableau_Lancer_la_requête_à_partir_de_AS4003[[#This Row],[POL_SEX_ASSURE2]]="M",0,1))</f>
        <v/>
      </c>
      <c r="AH9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97" s="11">
        <v>5000</v>
      </c>
      <c r="AJ97" s="11">
        <f>Tableau_Lancer_la_requête_à_partir_de_AS4003[[#This Row],[POL_DUREE_ASSUR]]*12</f>
        <v>1188</v>
      </c>
      <c r="AK97" s="11">
        <v>178.6</v>
      </c>
      <c r="AL97" s="11">
        <v>0</v>
      </c>
      <c r="AM97" s="11">
        <v>0</v>
      </c>
      <c r="AN97" s="11" t="s">
        <v>36</v>
      </c>
      <c r="AO97" s="11" t="s">
        <v>80</v>
      </c>
      <c r="AP97" s="11">
        <f>Tableau_Lancer_la_requête_à_partir_de_AS4003[[#This Row],[POL_TERM_M]]-Tableau_Lancer_la_requête_à_partir_de_AS4003[[#This Row],[Duration IF]]</f>
        <v>1185</v>
      </c>
      <c r="AQ97" s="11" t="s">
        <v>36</v>
      </c>
      <c r="AR97" s="11" t="s">
        <v>36</v>
      </c>
      <c r="AS97" s="11" t="s">
        <v>36</v>
      </c>
      <c r="AT97" s="11" t="s">
        <v>36</v>
      </c>
      <c r="AU97" s="11" t="s">
        <v>36</v>
      </c>
      <c r="AV97" s="11">
        <v>0</v>
      </c>
      <c r="AW97" s="11">
        <v>11</v>
      </c>
      <c r="AX97" s="11">
        <v>1</v>
      </c>
      <c r="AY97" s="11">
        <v>20181001</v>
      </c>
      <c r="AZ97" s="80">
        <f t="shared" si="4"/>
        <v>43374</v>
      </c>
      <c r="BA97" s="11">
        <v>19610320</v>
      </c>
      <c r="BB97" s="80">
        <f t="shared" si="5"/>
        <v>22360</v>
      </c>
      <c r="BC97" s="11">
        <v>0</v>
      </c>
      <c r="BD97" s="11" t="s">
        <v>83</v>
      </c>
      <c r="BE97" s="11">
        <v>1</v>
      </c>
      <c r="BF97" s="11" t="s">
        <v>36</v>
      </c>
      <c r="BG97" s="11">
        <v>339.7</v>
      </c>
      <c r="BH97" s="11">
        <v>257.7</v>
      </c>
      <c r="BI97" s="11">
        <v>0</v>
      </c>
      <c r="BJ97" s="11" t="s">
        <v>82</v>
      </c>
      <c r="BK97" s="11">
        <v>1</v>
      </c>
      <c r="BL97" s="11">
        <v>0</v>
      </c>
      <c r="BM97" s="11">
        <v>0</v>
      </c>
      <c r="BN97" s="11">
        <v>45003</v>
      </c>
      <c r="BO97" s="11">
        <v>0</v>
      </c>
      <c r="BP97" s="11" t="s">
        <v>82</v>
      </c>
      <c r="BQ97" s="11">
        <v>0</v>
      </c>
      <c r="BR97" s="11"/>
      <c r="BT97" s="11"/>
      <c r="BU97" s="11"/>
      <c r="CA97" s="11"/>
      <c r="CD97" s="11"/>
    </row>
    <row r="98" spans="2:82" ht="12.75" x14ac:dyDescent="0.2">
      <c r="B98" s="11">
        <v>47904</v>
      </c>
      <c r="C98" s="11">
        <f>ROUND(DAYS360(Tableau_Lancer_la_requête_à_partir_de_AS4003[[#This Row],[Date naissance 1]],Tableau_Lancer_la_requête_à_partir_de_AS4003[[#This Row],[Date début]])/360,0)</f>
        <v>57</v>
      </c>
      <c r="D98" s="11">
        <v>0</v>
      </c>
      <c r="E98" s="11">
        <v>0</v>
      </c>
      <c r="F98" s="11">
        <v>0</v>
      </c>
      <c r="G98" s="11">
        <v>12</v>
      </c>
      <c r="H98" s="11">
        <f>ROUND(DAYS360(Tableau_Lancer_la_requête_à_partir_de_AS4003[[#This Row],[Date début]],'Cash flows par police'!$C$4)/30,0)</f>
        <v>3</v>
      </c>
      <c r="I98" s="11">
        <v>0</v>
      </c>
      <c r="J98" s="11">
        <v>0</v>
      </c>
      <c r="K98" s="11">
        <v>0</v>
      </c>
      <c r="L98" s="11">
        <v>27.5</v>
      </c>
      <c r="M98" s="11">
        <v>0</v>
      </c>
      <c r="N98" s="11">
        <v>0</v>
      </c>
      <c r="O98" s="11">
        <v>0</v>
      </c>
      <c r="P98" s="11">
        <v>0</v>
      </c>
      <c r="Q98" s="11">
        <v>0</v>
      </c>
      <c r="R98" s="11">
        <v>0</v>
      </c>
      <c r="S98" s="11">
        <f>SUM(Tableau_Lancer_la_requête_à_partir_de_AS4003[[#This Row],[POLPRCPL2]:[POLPRCPL9]])</f>
        <v>27.5</v>
      </c>
      <c r="T98" s="11">
        <v>99</v>
      </c>
      <c r="U98" s="11">
        <v>12</v>
      </c>
      <c r="V98" s="11">
        <v>0</v>
      </c>
      <c r="W98" s="11">
        <v>367.2</v>
      </c>
      <c r="X98" s="11">
        <v>0</v>
      </c>
      <c r="Y98" s="11">
        <v>0</v>
      </c>
      <c r="Z98" s="11">
        <v>1</v>
      </c>
      <c r="AA98" s="11">
        <v>0</v>
      </c>
      <c r="AB98" s="11">
        <v>0</v>
      </c>
      <c r="AC98" s="11">
        <v>0</v>
      </c>
      <c r="AD98" s="11">
        <v>0</v>
      </c>
      <c r="AE98" s="11">
        <v>0</v>
      </c>
      <c r="AF98" s="11">
        <f>IF(Tableau_Lancer_la_requête_à_partir_de_AS4003[[#This Row],[POL_SEX_ASSURE]]="M",0,1)</f>
        <v>0</v>
      </c>
      <c r="AG98" s="11" t="str">
        <f>IF(Tableau_Lancer_la_requête_à_partir_de_AS4003[[#This Row],[POL_SEX_ASSURE2]]="","",IF(Tableau_Lancer_la_requête_à_partir_de_AS4003[[#This Row],[POL_SEX_ASSURE2]]="M",0,1))</f>
        <v/>
      </c>
      <c r="AH9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98" s="11">
        <v>5000</v>
      </c>
      <c r="AJ98" s="11">
        <f>Tableau_Lancer_la_requête_à_partir_de_AS4003[[#This Row],[POL_DUREE_ASSUR]]*12</f>
        <v>1188</v>
      </c>
      <c r="AK98" s="11">
        <v>178.6</v>
      </c>
      <c r="AL98" s="11">
        <v>0</v>
      </c>
      <c r="AM98" s="11">
        <v>0</v>
      </c>
      <c r="AN98" s="11" t="s">
        <v>36</v>
      </c>
      <c r="AO98" s="11" t="s">
        <v>80</v>
      </c>
      <c r="AP98" s="11">
        <f>Tableau_Lancer_la_requête_à_partir_de_AS4003[[#This Row],[POL_TERM_M]]-Tableau_Lancer_la_requête_à_partir_de_AS4003[[#This Row],[Duration IF]]</f>
        <v>1185</v>
      </c>
      <c r="AQ98" s="11" t="s">
        <v>36</v>
      </c>
      <c r="AR98" s="11" t="s">
        <v>36</v>
      </c>
      <c r="AS98" s="11" t="s">
        <v>36</v>
      </c>
      <c r="AT98" s="11" t="s">
        <v>36</v>
      </c>
      <c r="AU98" s="11" t="s">
        <v>36</v>
      </c>
      <c r="AV98" s="11">
        <v>0</v>
      </c>
      <c r="AW98" s="11">
        <v>11</v>
      </c>
      <c r="AX98" s="11">
        <v>1</v>
      </c>
      <c r="AY98" s="11">
        <v>20181001</v>
      </c>
      <c r="AZ98" s="80">
        <f t="shared" si="4"/>
        <v>43374</v>
      </c>
      <c r="BA98" s="11">
        <v>19610701</v>
      </c>
      <c r="BB98" s="80">
        <f t="shared" si="5"/>
        <v>22463</v>
      </c>
      <c r="BC98" s="11">
        <v>0</v>
      </c>
      <c r="BD98" s="11" t="s">
        <v>83</v>
      </c>
      <c r="BE98" s="11">
        <v>1</v>
      </c>
      <c r="BF98" s="11" t="s">
        <v>36</v>
      </c>
      <c r="BG98" s="11">
        <v>339.7</v>
      </c>
      <c r="BH98" s="11">
        <v>257.7</v>
      </c>
      <c r="BI98" s="11">
        <v>0</v>
      </c>
      <c r="BJ98" s="11" t="s">
        <v>82</v>
      </c>
      <c r="BK98" s="11">
        <v>1</v>
      </c>
      <c r="BL98" s="11">
        <v>0</v>
      </c>
      <c r="BM98" s="11">
        <v>0</v>
      </c>
      <c r="BN98" s="11">
        <v>47904</v>
      </c>
      <c r="BO98" s="11">
        <v>0</v>
      </c>
      <c r="BP98" s="11" t="s">
        <v>82</v>
      </c>
      <c r="BQ98" s="11">
        <v>0</v>
      </c>
      <c r="BR98" s="11"/>
      <c r="BT98" s="11"/>
      <c r="BU98" s="11"/>
      <c r="CA98" s="11"/>
      <c r="CD98" s="11"/>
    </row>
    <row r="99" spans="2:82" ht="12.75" x14ac:dyDescent="0.2">
      <c r="B99" s="11">
        <v>51703</v>
      </c>
      <c r="C99" s="11">
        <f>ROUND(DAYS360(Tableau_Lancer_la_requête_à_partir_de_AS4003[[#This Row],[Date naissance 1]],Tableau_Lancer_la_requête_à_partir_de_AS4003[[#This Row],[Date début]])/360,0)</f>
        <v>60</v>
      </c>
      <c r="D99" s="11">
        <v>0</v>
      </c>
      <c r="E99" s="11">
        <v>0</v>
      </c>
      <c r="F99" s="11">
        <v>0</v>
      </c>
      <c r="G99" s="11">
        <v>12</v>
      </c>
      <c r="H99" s="11">
        <f>ROUND(DAYS360(Tableau_Lancer_la_requête_à_partir_de_AS4003[[#This Row],[Date début]],'Cash flows par police'!$C$4)/30,0)</f>
        <v>21</v>
      </c>
      <c r="I99" s="11">
        <v>0</v>
      </c>
      <c r="J99" s="11">
        <v>0</v>
      </c>
      <c r="K99" s="11">
        <v>0</v>
      </c>
      <c r="L99" s="11">
        <v>55.1</v>
      </c>
      <c r="M99" s="11">
        <v>0</v>
      </c>
      <c r="N99" s="11">
        <v>0</v>
      </c>
      <c r="O99" s="11">
        <v>0</v>
      </c>
      <c r="P99" s="11">
        <v>0</v>
      </c>
      <c r="Q99" s="11">
        <v>0</v>
      </c>
      <c r="R99" s="11">
        <v>0</v>
      </c>
      <c r="S99" s="11">
        <f>SUM(Tableau_Lancer_la_requête_à_partir_de_AS4003[[#This Row],[POLPRCPL2]:[POLPRCPL9]])</f>
        <v>55.1</v>
      </c>
      <c r="T99" s="11">
        <v>99</v>
      </c>
      <c r="U99" s="11">
        <v>12</v>
      </c>
      <c r="V99" s="11">
        <v>0</v>
      </c>
      <c r="W99" s="11">
        <v>789.6</v>
      </c>
      <c r="X99" s="11">
        <v>392</v>
      </c>
      <c r="Y99" s="11">
        <v>0</v>
      </c>
      <c r="Z99" s="11">
        <v>1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f>IF(Tableau_Lancer_la_requête_à_partir_de_AS4003[[#This Row],[POL_SEX_ASSURE]]="M",0,1)</f>
        <v>0</v>
      </c>
      <c r="AG99" s="11" t="str">
        <f>IF(Tableau_Lancer_la_requête_à_partir_de_AS4003[[#This Row],[POL_SEX_ASSURE2]]="","",IF(Tableau_Lancer_la_requête_à_partir_de_AS4003[[#This Row],[POL_SEX_ASSURE2]]="M",0,1))</f>
        <v/>
      </c>
      <c r="AH9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99" s="11">
        <v>10000</v>
      </c>
      <c r="AJ99" s="11">
        <f>Tableau_Lancer_la_requête_à_partir_de_AS4003[[#This Row],[POL_DUREE_ASSUR]]*12</f>
        <v>1188</v>
      </c>
      <c r="AK99" s="11">
        <v>400</v>
      </c>
      <c r="AL99" s="11">
        <v>392</v>
      </c>
      <c r="AM99" s="11">
        <v>0</v>
      </c>
      <c r="AN99" s="11" t="s">
        <v>36</v>
      </c>
      <c r="AO99" s="11" t="s">
        <v>80</v>
      </c>
      <c r="AP99" s="11">
        <f>Tableau_Lancer_la_requête_à_partir_de_AS4003[[#This Row],[POL_TERM_M]]-Tableau_Lancer_la_requête_à_partir_de_AS4003[[#This Row],[Duration IF]]</f>
        <v>1167</v>
      </c>
      <c r="AQ99" s="11" t="s">
        <v>36</v>
      </c>
      <c r="AR99" s="11" t="s">
        <v>36</v>
      </c>
      <c r="AS99" s="11" t="s">
        <v>36</v>
      </c>
      <c r="AT99" s="11" t="s">
        <v>36</v>
      </c>
      <c r="AU99" s="11" t="s">
        <v>36</v>
      </c>
      <c r="AV99" s="11">
        <v>0</v>
      </c>
      <c r="AW99" s="11">
        <v>11</v>
      </c>
      <c r="AX99" s="11">
        <v>1</v>
      </c>
      <c r="AY99" s="11">
        <v>20170401</v>
      </c>
      <c r="AZ99" s="80">
        <f t="shared" si="4"/>
        <v>42826</v>
      </c>
      <c r="BA99" s="11">
        <v>19570128</v>
      </c>
      <c r="BB99" s="80">
        <f t="shared" si="5"/>
        <v>20848</v>
      </c>
      <c r="BC99" s="11">
        <v>0</v>
      </c>
      <c r="BD99" s="11" t="s">
        <v>83</v>
      </c>
      <c r="BE99" s="11">
        <v>1</v>
      </c>
      <c r="BF99" s="11" t="s">
        <v>36</v>
      </c>
      <c r="BG99" s="11">
        <v>734.5</v>
      </c>
      <c r="BH99" s="11">
        <v>557.29999999999995</v>
      </c>
      <c r="BI99" s="11">
        <v>0</v>
      </c>
      <c r="BJ99" s="11" t="s">
        <v>82</v>
      </c>
      <c r="BK99" s="11">
        <v>1</v>
      </c>
      <c r="BL99" s="11">
        <v>0</v>
      </c>
      <c r="BM99" s="11">
        <v>0</v>
      </c>
      <c r="BN99" s="11">
        <v>51703</v>
      </c>
      <c r="BO99" s="11">
        <v>0</v>
      </c>
      <c r="BP99" s="11" t="s">
        <v>82</v>
      </c>
      <c r="BQ99" s="11">
        <v>0</v>
      </c>
      <c r="BR99" s="11"/>
      <c r="BT99" s="11"/>
      <c r="BU99" s="11"/>
      <c r="CA99" s="11"/>
      <c r="CD99" s="11"/>
    </row>
    <row r="100" spans="2:82" ht="12.75" x14ac:dyDescent="0.2">
      <c r="B100" s="11">
        <v>69402</v>
      </c>
      <c r="C100" s="11">
        <f>ROUND(DAYS360(Tableau_Lancer_la_requête_à_partir_de_AS4003[[#This Row],[Date naissance 1]],Tableau_Lancer_la_requête_à_partir_de_AS4003[[#This Row],[Date début]])/360,0)</f>
        <v>62</v>
      </c>
      <c r="D100" s="11">
        <v>0</v>
      </c>
      <c r="E100" s="11">
        <v>0</v>
      </c>
      <c r="F100" s="11">
        <v>0</v>
      </c>
      <c r="G100" s="11">
        <v>12</v>
      </c>
      <c r="H100" s="11">
        <f>ROUND(DAYS360(Tableau_Lancer_la_requête_à_partir_de_AS4003[[#This Row],[Date début]],'Cash flows par police'!$C$4)/30,0)</f>
        <v>9</v>
      </c>
      <c r="I100" s="11">
        <v>0</v>
      </c>
      <c r="J100" s="11">
        <v>0</v>
      </c>
      <c r="K100" s="11">
        <v>0</v>
      </c>
      <c r="L100" s="11">
        <v>41.3</v>
      </c>
      <c r="M100" s="11">
        <v>0</v>
      </c>
      <c r="N100" s="11"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f>SUM(Tableau_Lancer_la_requête_à_partir_de_AS4003[[#This Row],[POLPRCPL2]:[POLPRCPL9]])</f>
        <v>41.3</v>
      </c>
      <c r="T100" s="11">
        <v>99</v>
      </c>
      <c r="U100" s="11">
        <v>12</v>
      </c>
      <c r="V100" s="11">
        <v>0</v>
      </c>
      <c r="W100" s="11">
        <v>656.4</v>
      </c>
      <c r="X100" s="11">
        <v>0</v>
      </c>
      <c r="Y100" s="11">
        <v>0</v>
      </c>
      <c r="Z100" s="11">
        <v>1</v>
      </c>
      <c r="AA100" s="11">
        <v>0</v>
      </c>
      <c r="AB100" s="11">
        <v>0</v>
      </c>
      <c r="AC100" s="11">
        <v>0</v>
      </c>
      <c r="AD100" s="11">
        <v>0</v>
      </c>
      <c r="AE100" s="11">
        <v>0</v>
      </c>
      <c r="AF100" s="11">
        <f>IF(Tableau_Lancer_la_requête_à_partir_de_AS4003[[#This Row],[POL_SEX_ASSURE]]="M",0,1)</f>
        <v>0</v>
      </c>
      <c r="AG100" s="11" t="str">
        <f>IF(Tableau_Lancer_la_requête_à_partir_de_AS4003[[#This Row],[POL_SEX_ASSURE2]]="","",IF(Tableau_Lancer_la_requête_à_partir_de_AS4003[[#This Row],[POL_SEX_ASSURE2]]="M",0,1))</f>
        <v/>
      </c>
      <c r="AH10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00" s="11">
        <v>7500</v>
      </c>
      <c r="AJ100" s="11">
        <f>Tableau_Lancer_la_requête_à_partir_de_AS4003[[#This Row],[POL_DUREE_ASSUR]]*12</f>
        <v>1188</v>
      </c>
      <c r="AK100" s="11">
        <v>326.10000000000002</v>
      </c>
      <c r="AL100" s="11">
        <v>0</v>
      </c>
      <c r="AM100" s="11">
        <v>0</v>
      </c>
      <c r="AN100" s="11" t="s">
        <v>36</v>
      </c>
      <c r="AO100" s="11" t="s">
        <v>80</v>
      </c>
      <c r="AP100" s="11">
        <f>Tableau_Lancer_la_requête_à_partir_de_AS4003[[#This Row],[POL_TERM_M]]-Tableau_Lancer_la_requête_à_partir_de_AS4003[[#This Row],[Duration IF]]</f>
        <v>1179</v>
      </c>
      <c r="AQ100" s="11" t="s">
        <v>36</v>
      </c>
      <c r="AR100" s="11" t="s">
        <v>36</v>
      </c>
      <c r="AS100" s="11" t="s">
        <v>36</v>
      </c>
      <c r="AT100" s="11" t="s">
        <v>36</v>
      </c>
      <c r="AU100" s="11" t="s">
        <v>36</v>
      </c>
      <c r="AV100" s="11">
        <v>0</v>
      </c>
      <c r="AW100" s="11">
        <v>11</v>
      </c>
      <c r="AX100" s="11">
        <v>1</v>
      </c>
      <c r="AY100" s="11">
        <v>20180401</v>
      </c>
      <c r="AZ100" s="80">
        <f t="shared" ref="AZ100:AZ131" si="6">DATE(VALUE(LEFT(AY100,4)),VALUE(MID(AY100,5,2)),VALUE(RIGHT(AY100,2)))</f>
        <v>43191</v>
      </c>
      <c r="BA100" s="11">
        <v>19560516</v>
      </c>
      <c r="BB100" s="80">
        <f t="shared" ref="BB100:BB131" si="7">DATE(VALUE(LEFT(BA100,4)),VALUE(MID(BA100,5,2)),VALUE(RIGHT(BA100,2)))</f>
        <v>20591</v>
      </c>
      <c r="BC100" s="11">
        <v>0</v>
      </c>
      <c r="BD100" s="11" t="s">
        <v>83</v>
      </c>
      <c r="BE100" s="11">
        <v>1</v>
      </c>
      <c r="BF100" s="11" t="s">
        <v>36</v>
      </c>
      <c r="BG100" s="11">
        <v>615.1</v>
      </c>
      <c r="BH100" s="11">
        <v>467.1</v>
      </c>
      <c r="BI100" s="11">
        <v>0</v>
      </c>
      <c r="BJ100" s="11" t="s">
        <v>82</v>
      </c>
      <c r="BK100" s="11">
        <v>1</v>
      </c>
      <c r="BL100" s="11">
        <v>0</v>
      </c>
      <c r="BM100" s="11">
        <v>0</v>
      </c>
      <c r="BN100" s="11">
        <v>69402</v>
      </c>
      <c r="BO100" s="11">
        <v>0</v>
      </c>
      <c r="BP100" s="11" t="s">
        <v>82</v>
      </c>
      <c r="BQ100" s="11">
        <v>0</v>
      </c>
      <c r="BR100" s="11"/>
      <c r="BT100" s="11"/>
      <c r="BU100" s="11"/>
      <c r="CA100" s="11"/>
      <c r="CD100" s="11"/>
    </row>
    <row r="101" spans="2:82" ht="12.75" x14ac:dyDescent="0.2">
      <c r="B101" s="11">
        <v>84903</v>
      </c>
      <c r="C101" s="11">
        <f>ROUND(DAYS360(Tableau_Lancer_la_requête_à_partir_de_AS4003[[#This Row],[Date naissance 1]],Tableau_Lancer_la_requête_à_partir_de_AS4003[[#This Row],[Date début]])/360,0)</f>
        <v>61</v>
      </c>
      <c r="D101" s="11">
        <v>0</v>
      </c>
      <c r="E101" s="11">
        <v>0</v>
      </c>
      <c r="F101" s="11">
        <v>0</v>
      </c>
      <c r="G101" s="11">
        <v>12</v>
      </c>
      <c r="H101" s="11">
        <f>ROUND(DAYS360(Tableau_Lancer_la_requête_à_partir_de_AS4003[[#This Row],[Date début]],'Cash flows par police'!$C$4)/30,0)</f>
        <v>2</v>
      </c>
      <c r="I101" s="11">
        <v>0</v>
      </c>
      <c r="J101" s="11">
        <v>0</v>
      </c>
      <c r="K101" s="11">
        <v>0</v>
      </c>
      <c r="L101" s="11">
        <v>27.9</v>
      </c>
      <c r="M101" s="11">
        <v>0</v>
      </c>
      <c r="N101" s="11">
        <v>0</v>
      </c>
      <c r="O101" s="11">
        <v>0</v>
      </c>
      <c r="P101" s="11">
        <v>0</v>
      </c>
      <c r="Q101" s="11">
        <v>0</v>
      </c>
      <c r="R101" s="11">
        <v>0</v>
      </c>
      <c r="S101" s="11">
        <f>SUM(Tableau_Lancer_la_requête_à_partir_de_AS4003[[#This Row],[POLPRCPL2]:[POLPRCPL9]])</f>
        <v>27.9</v>
      </c>
      <c r="T101" s="11">
        <v>99</v>
      </c>
      <c r="U101" s="11">
        <v>12</v>
      </c>
      <c r="V101" s="11">
        <v>0</v>
      </c>
      <c r="W101" s="11">
        <v>432</v>
      </c>
      <c r="X101" s="11">
        <v>0</v>
      </c>
      <c r="Y101" s="11">
        <v>0</v>
      </c>
      <c r="Z101" s="11">
        <v>1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f>IF(Tableau_Lancer_la_requête_à_partir_de_AS4003[[#This Row],[POL_SEX_ASSURE]]="M",0,1)</f>
        <v>0</v>
      </c>
      <c r="AG101" s="11" t="str">
        <f>IF(Tableau_Lancer_la_requête_à_partir_de_AS4003[[#This Row],[POL_SEX_ASSURE2]]="","",IF(Tableau_Lancer_la_requête_à_partir_de_AS4003[[#This Row],[POL_SEX_ASSURE2]]="M",0,1))</f>
        <v/>
      </c>
      <c r="AH10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01" s="11">
        <v>5063.2</v>
      </c>
      <c r="AJ101" s="11">
        <f>Tableau_Lancer_la_requête_à_partir_de_AS4003[[#This Row],[POL_DUREE_ASSUR]]*12</f>
        <v>1188</v>
      </c>
      <c r="AK101" s="11">
        <v>211</v>
      </c>
      <c r="AL101" s="11">
        <v>0</v>
      </c>
      <c r="AM101" s="11">
        <v>0</v>
      </c>
      <c r="AN101" s="11" t="s">
        <v>36</v>
      </c>
      <c r="AO101" s="11" t="s">
        <v>80</v>
      </c>
      <c r="AP101" s="11">
        <f>Tableau_Lancer_la_requête_à_partir_de_AS4003[[#This Row],[POL_TERM_M]]-Tableau_Lancer_la_requête_à_partir_de_AS4003[[#This Row],[Duration IF]]</f>
        <v>1186</v>
      </c>
      <c r="AQ101" s="11" t="s">
        <v>36</v>
      </c>
      <c r="AR101" s="11" t="s">
        <v>36</v>
      </c>
      <c r="AS101" s="11" t="s">
        <v>36</v>
      </c>
      <c r="AT101" s="11" t="s">
        <v>36</v>
      </c>
      <c r="AU101" s="11" t="s">
        <v>36</v>
      </c>
      <c r="AV101" s="11">
        <v>0</v>
      </c>
      <c r="AW101" s="11">
        <v>11</v>
      </c>
      <c r="AX101" s="11">
        <v>1</v>
      </c>
      <c r="AY101" s="11">
        <v>20181101</v>
      </c>
      <c r="AZ101" s="80">
        <f t="shared" si="6"/>
        <v>43405</v>
      </c>
      <c r="BA101" s="11">
        <v>19571020</v>
      </c>
      <c r="BB101" s="80">
        <f t="shared" si="7"/>
        <v>21113</v>
      </c>
      <c r="BC101" s="11">
        <v>0</v>
      </c>
      <c r="BD101" s="11" t="s">
        <v>83</v>
      </c>
      <c r="BE101" s="11">
        <v>1</v>
      </c>
      <c r="BF101" s="11" t="s">
        <v>36</v>
      </c>
      <c r="BG101" s="11">
        <v>404.1</v>
      </c>
      <c r="BH101" s="11">
        <v>306.8</v>
      </c>
      <c r="BI101" s="11">
        <v>0</v>
      </c>
      <c r="BJ101" s="11" t="s">
        <v>82</v>
      </c>
      <c r="BK101" s="11">
        <v>1</v>
      </c>
      <c r="BL101" s="11">
        <v>0</v>
      </c>
      <c r="BM101" s="11">
        <v>0</v>
      </c>
      <c r="BN101" s="11">
        <v>84903</v>
      </c>
      <c r="BO101" s="11">
        <v>0</v>
      </c>
      <c r="BP101" s="11" t="s">
        <v>82</v>
      </c>
      <c r="BQ101" s="11">
        <v>0</v>
      </c>
      <c r="BR101" s="11"/>
      <c r="BT101" s="11"/>
      <c r="BU101" s="11"/>
      <c r="CA101" s="11"/>
      <c r="CD101" s="11"/>
    </row>
    <row r="102" spans="2:82" ht="12.75" x14ac:dyDescent="0.2">
      <c r="B102" s="11">
        <v>100805</v>
      </c>
      <c r="C102" s="11">
        <f>ROUND(DAYS360(Tableau_Lancer_la_requête_à_partir_de_AS4003[[#This Row],[Date naissance 1]],Tableau_Lancer_la_requête_à_partir_de_AS4003[[#This Row],[Date début]])/360,0)</f>
        <v>61</v>
      </c>
      <c r="D102" s="11">
        <v>0</v>
      </c>
      <c r="E102" s="11">
        <v>0</v>
      </c>
      <c r="F102" s="11">
        <v>0</v>
      </c>
      <c r="G102" s="11">
        <v>12</v>
      </c>
      <c r="H102" s="11">
        <f>ROUND(DAYS360(Tableau_Lancer_la_requête_à_partir_de_AS4003[[#This Row],[Date début]],'Cash flows par police'!$C$4)/30,0)</f>
        <v>2</v>
      </c>
      <c r="I102" s="11">
        <v>0</v>
      </c>
      <c r="J102" s="11">
        <v>0</v>
      </c>
      <c r="K102" s="11">
        <v>0</v>
      </c>
      <c r="L102" s="11">
        <v>41.8</v>
      </c>
      <c r="M102" s="11">
        <v>0</v>
      </c>
      <c r="N102" s="11">
        <v>0</v>
      </c>
      <c r="O102" s="11">
        <v>0</v>
      </c>
      <c r="P102" s="11">
        <v>0</v>
      </c>
      <c r="Q102" s="11">
        <v>0</v>
      </c>
      <c r="R102" s="11">
        <v>0</v>
      </c>
      <c r="S102" s="11">
        <f>SUM(Tableau_Lancer_la_requête_à_partir_de_AS4003[[#This Row],[POLPRCPL2]:[POLPRCPL9]])</f>
        <v>41.8</v>
      </c>
      <c r="T102" s="11">
        <v>99</v>
      </c>
      <c r="U102" s="11">
        <v>12</v>
      </c>
      <c r="V102" s="11">
        <v>0</v>
      </c>
      <c r="W102" s="11">
        <v>648</v>
      </c>
      <c r="X102" s="11">
        <v>0</v>
      </c>
      <c r="Y102" s="11">
        <v>0</v>
      </c>
      <c r="Z102" s="11">
        <v>1</v>
      </c>
      <c r="AA102" s="11">
        <v>0</v>
      </c>
      <c r="AB102" s="11">
        <v>0</v>
      </c>
      <c r="AC102" s="11">
        <v>0</v>
      </c>
      <c r="AD102" s="11">
        <v>0</v>
      </c>
      <c r="AE102" s="11">
        <v>0</v>
      </c>
      <c r="AF102" s="11">
        <f>IF(Tableau_Lancer_la_requête_à_partir_de_AS4003[[#This Row],[POL_SEX_ASSURE]]="M",0,1)</f>
        <v>0</v>
      </c>
      <c r="AG102" s="11" t="str">
        <f>IF(Tableau_Lancer_la_requête_à_partir_de_AS4003[[#This Row],[POL_SEX_ASSURE2]]="","",IF(Tableau_Lancer_la_requête_à_partir_de_AS4003[[#This Row],[POL_SEX_ASSURE2]]="M",0,1))</f>
        <v/>
      </c>
      <c r="AH10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02" s="11">
        <v>7594.9</v>
      </c>
      <c r="AJ102" s="11">
        <f>Tableau_Lancer_la_requête_à_partir_de_AS4003[[#This Row],[POL_DUREE_ASSUR]]*12</f>
        <v>1188</v>
      </c>
      <c r="AK102" s="11">
        <v>316.5</v>
      </c>
      <c r="AL102" s="11">
        <v>0</v>
      </c>
      <c r="AM102" s="11">
        <v>0</v>
      </c>
      <c r="AN102" s="11" t="s">
        <v>36</v>
      </c>
      <c r="AO102" s="11" t="s">
        <v>80</v>
      </c>
      <c r="AP102" s="11">
        <f>Tableau_Lancer_la_requête_à_partir_de_AS4003[[#This Row],[POL_TERM_M]]-Tableau_Lancer_la_requête_à_partir_de_AS4003[[#This Row],[Duration IF]]</f>
        <v>1186</v>
      </c>
      <c r="AQ102" s="11" t="s">
        <v>36</v>
      </c>
      <c r="AR102" s="11" t="s">
        <v>36</v>
      </c>
      <c r="AS102" s="11" t="s">
        <v>36</v>
      </c>
      <c r="AT102" s="11" t="s">
        <v>36</v>
      </c>
      <c r="AU102" s="11" t="s">
        <v>36</v>
      </c>
      <c r="AV102" s="11">
        <v>0</v>
      </c>
      <c r="AW102" s="11">
        <v>11</v>
      </c>
      <c r="AX102" s="11">
        <v>1</v>
      </c>
      <c r="AY102" s="11">
        <v>20181101</v>
      </c>
      <c r="AZ102" s="80">
        <f t="shared" si="6"/>
        <v>43405</v>
      </c>
      <c r="BA102" s="11">
        <v>19570514</v>
      </c>
      <c r="BB102" s="80">
        <f t="shared" si="7"/>
        <v>20954</v>
      </c>
      <c r="BC102" s="11">
        <v>0</v>
      </c>
      <c r="BD102" s="11" t="s">
        <v>83</v>
      </c>
      <c r="BE102" s="11">
        <v>1</v>
      </c>
      <c r="BF102" s="11" t="s">
        <v>36</v>
      </c>
      <c r="BG102" s="11">
        <v>606.20000000000005</v>
      </c>
      <c r="BH102" s="11">
        <v>460.2</v>
      </c>
      <c r="BI102" s="11">
        <v>0</v>
      </c>
      <c r="BJ102" s="11" t="s">
        <v>82</v>
      </c>
      <c r="BK102" s="11">
        <v>1</v>
      </c>
      <c r="BL102" s="11">
        <v>0</v>
      </c>
      <c r="BM102" s="11">
        <v>0</v>
      </c>
      <c r="BN102" s="11">
        <v>100805</v>
      </c>
      <c r="BO102" s="11">
        <v>0</v>
      </c>
      <c r="BP102" s="11" t="s">
        <v>82</v>
      </c>
      <c r="BQ102" s="11">
        <v>0</v>
      </c>
      <c r="BR102" s="11"/>
      <c r="BT102" s="11"/>
      <c r="BU102" s="11"/>
      <c r="CA102" s="11"/>
      <c r="CD102" s="11"/>
    </row>
    <row r="103" spans="2:82" ht="12.75" x14ac:dyDescent="0.2">
      <c r="B103" s="11">
        <v>117303</v>
      </c>
      <c r="C103" s="11">
        <f>ROUND(DAYS360(Tableau_Lancer_la_requête_à_partir_de_AS4003[[#This Row],[Date naissance 1]],Tableau_Lancer_la_requête_à_partir_de_AS4003[[#This Row],[Date début]])/360,0)</f>
        <v>55</v>
      </c>
      <c r="D103" s="11">
        <v>0</v>
      </c>
      <c r="E103" s="11">
        <v>0</v>
      </c>
      <c r="F103" s="11">
        <v>0</v>
      </c>
      <c r="G103" s="11">
        <v>12</v>
      </c>
      <c r="H103" s="11">
        <f>ROUND(DAYS360(Tableau_Lancer_la_requête_à_partir_de_AS4003[[#This Row],[Date début]],'Cash flows par police'!$C$4)/30,0)</f>
        <v>1</v>
      </c>
      <c r="I103" s="11">
        <v>0</v>
      </c>
      <c r="J103" s="11">
        <v>0</v>
      </c>
      <c r="K103" s="11">
        <v>0</v>
      </c>
      <c r="L103" s="11">
        <v>27.5</v>
      </c>
      <c r="M103" s="11">
        <v>0</v>
      </c>
      <c r="N103" s="11">
        <v>0</v>
      </c>
      <c r="O103" s="11">
        <v>0</v>
      </c>
      <c r="P103" s="11">
        <v>0</v>
      </c>
      <c r="Q103" s="11">
        <v>0</v>
      </c>
      <c r="R103" s="11">
        <v>0</v>
      </c>
      <c r="S103" s="11">
        <f>SUM(Tableau_Lancer_la_requête_à_partir_de_AS4003[[#This Row],[POLPRCPL2]:[POLPRCPL9]])</f>
        <v>27.5</v>
      </c>
      <c r="T103" s="11">
        <v>99</v>
      </c>
      <c r="U103" s="11">
        <v>12</v>
      </c>
      <c r="V103" s="11">
        <v>0</v>
      </c>
      <c r="W103" s="11">
        <v>343.2</v>
      </c>
      <c r="X103" s="11">
        <v>0</v>
      </c>
      <c r="Y103" s="11">
        <v>0</v>
      </c>
      <c r="Z103" s="11">
        <v>1</v>
      </c>
      <c r="AA103" s="11">
        <v>0</v>
      </c>
      <c r="AB103" s="11">
        <v>0</v>
      </c>
      <c r="AC103" s="11">
        <v>0</v>
      </c>
      <c r="AD103" s="11">
        <v>0</v>
      </c>
      <c r="AE103" s="11">
        <v>0</v>
      </c>
      <c r="AF103" s="11">
        <f>IF(Tableau_Lancer_la_requête_à_partir_de_AS4003[[#This Row],[POL_SEX_ASSURE]]="M",0,1)</f>
        <v>0</v>
      </c>
      <c r="AG103" s="11" t="str">
        <f>IF(Tableau_Lancer_la_requête_à_partir_de_AS4003[[#This Row],[POL_SEX_ASSURE2]]="","",IF(Tableau_Lancer_la_requête_à_partir_de_AS4003[[#This Row],[POL_SEX_ASSURE2]]="M",0,1))</f>
        <v/>
      </c>
      <c r="AH10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03" s="11">
        <v>5000</v>
      </c>
      <c r="AJ103" s="11">
        <f>Tableau_Lancer_la_requête_à_partir_de_AS4003[[#This Row],[POL_DUREE_ASSUR]]*12</f>
        <v>1188</v>
      </c>
      <c r="AK103" s="11">
        <v>161.30000000000001</v>
      </c>
      <c r="AL103" s="11">
        <v>0</v>
      </c>
      <c r="AM103" s="11">
        <v>0</v>
      </c>
      <c r="AN103" s="11" t="s">
        <v>36</v>
      </c>
      <c r="AO103" s="11" t="s">
        <v>80</v>
      </c>
      <c r="AP103" s="11">
        <f>Tableau_Lancer_la_requête_à_partir_de_AS4003[[#This Row],[POL_TERM_M]]-Tableau_Lancer_la_requête_à_partir_de_AS4003[[#This Row],[Duration IF]]</f>
        <v>1187</v>
      </c>
      <c r="AQ103" s="11" t="s">
        <v>36</v>
      </c>
      <c r="AR103" s="11" t="s">
        <v>36</v>
      </c>
      <c r="AS103" s="11" t="s">
        <v>36</v>
      </c>
      <c r="AT103" s="11" t="s">
        <v>36</v>
      </c>
      <c r="AU103" s="11" t="s">
        <v>36</v>
      </c>
      <c r="AV103" s="11">
        <v>0</v>
      </c>
      <c r="AW103" s="11">
        <v>11</v>
      </c>
      <c r="AX103" s="11">
        <v>1</v>
      </c>
      <c r="AY103" s="11">
        <v>20181201</v>
      </c>
      <c r="AZ103" s="80">
        <f t="shared" si="6"/>
        <v>43435</v>
      </c>
      <c r="BA103" s="11">
        <v>19640101</v>
      </c>
      <c r="BB103" s="80">
        <f t="shared" si="7"/>
        <v>23377</v>
      </c>
      <c r="BC103" s="11">
        <v>0</v>
      </c>
      <c r="BD103" s="11" t="s">
        <v>83</v>
      </c>
      <c r="BE103" s="11">
        <v>1</v>
      </c>
      <c r="BF103" s="11" t="s">
        <v>36</v>
      </c>
      <c r="BG103" s="11">
        <v>315.7</v>
      </c>
      <c r="BH103" s="11">
        <v>240.1</v>
      </c>
      <c r="BI103" s="11">
        <v>0</v>
      </c>
      <c r="BJ103" s="11" t="s">
        <v>82</v>
      </c>
      <c r="BK103" s="11">
        <v>1</v>
      </c>
      <c r="BL103" s="11">
        <v>0</v>
      </c>
      <c r="BM103" s="11">
        <v>0</v>
      </c>
      <c r="BN103" s="11">
        <v>117303</v>
      </c>
      <c r="BO103" s="11">
        <v>0</v>
      </c>
      <c r="BP103" s="11" t="s">
        <v>82</v>
      </c>
      <c r="BQ103" s="11">
        <v>0</v>
      </c>
      <c r="BR103" s="11"/>
      <c r="BT103" s="11"/>
      <c r="BU103" s="11"/>
      <c r="CA103" s="11"/>
      <c r="CD103" s="11"/>
    </row>
    <row r="104" spans="2:82" ht="12.75" x14ac:dyDescent="0.2">
      <c r="B104" s="11">
        <v>124603</v>
      </c>
      <c r="C104" s="11">
        <f>ROUND(DAYS360(Tableau_Lancer_la_requête_à_partir_de_AS4003[[#This Row],[Date naissance 1]],Tableau_Lancer_la_requête_à_partir_de_AS4003[[#This Row],[Date début]])/360,0)</f>
        <v>59</v>
      </c>
      <c r="D104" s="11">
        <v>0</v>
      </c>
      <c r="E104" s="11">
        <v>0</v>
      </c>
      <c r="F104" s="11">
        <v>0</v>
      </c>
      <c r="G104" s="11">
        <v>12</v>
      </c>
      <c r="H104" s="11">
        <f>ROUND(DAYS360(Tableau_Lancer_la_requête_à_partir_de_AS4003[[#This Row],[Date début]],'Cash flows par police'!$C$4)/30,0)</f>
        <v>2</v>
      </c>
      <c r="I104" s="11">
        <v>0</v>
      </c>
      <c r="J104" s="11">
        <v>0</v>
      </c>
      <c r="K104" s="11">
        <v>0</v>
      </c>
      <c r="L104" s="11">
        <v>46.4</v>
      </c>
      <c r="M104" s="11">
        <v>0</v>
      </c>
      <c r="N104" s="11">
        <v>0</v>
      </c>
      <c r="O104" s="11">
        <v>0</v>
      </c>
      <c r="P104" s="11">
        <v>0</v>
      </c>
      <c r="Q104" s="11">
        <v>0</v>
      </c>
      <c r="R104" s="11">
        <v>0</v>
      </c>
      <c r="S104" s="11">
        <f>SUM(Tableau_Lancer_la_requête_à_partir_de_AS4003[[#This Row],[POLPRCPL2]:[POLPRCPL9]])</f>
        <v>46.4</v>
      </c>
      <c r="T104" s="11">
        <v>99</v>
      </c>
      <c r="U104" s="11">
        <v>12</v>
      </c>
      <c r="V104" s="11">
        <v>0</v>
      </c>
      <c r="W104" s="11">
        <v>648</v>
      </c>
      <c r="X104" s="11">
        <v>16.100000000000001</v>
      </c>
      <c r="Y104" s="11">
        <v>0</v>
      </c>
      <c r="Z104" s="11">
        <v>1</v>
      </c>
      <c r="AA104" s="11">
        <v>0</v>
      </c>
      <c r="AB104" s="11">
        <v>0</v>
      </c>
      <c r="AC104" s="11">
        <v>0</v>
      </c>
      <c r="AD104" s="11">
        <v>0</v>
      </c>
      <c r="AE104" s="11">
        <v>0</v>
      </c>
      <c r="AF104" s="11">
        <f>IF(Tableau_Lancer_la_requête_à_partir_de_AS4003[[#This Row],[POL_SEX_ASSURE]]="M",0,1)</f>
        <v>0</v>
      </c>
      <c r="AG104" s="11" t="str">
        <f>IF(Tableau_Lancer_la_requête_à_partir_de_AS4003[[#This Row],[POL_SEX_ASSURE2]]="","",IF(Tableau_Lancer_la_requête_à_partir_de_AS4003[[#This Row],[POL_SEX_ASSURE2]]="M",0,1))</f>
        <v/>
      </c>
      <c r="AH10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04" s="11">
        <v>8419.9</v>
      </c>
      <c r="AJ104" s="11">
        <f>Tableau_Lancer_la_requête_à_partir_de_AS4003[[#This Row],[POL_DUREE_ASSUR]]*12</f>
        <v>1188</v>
      </c>
      <c r="AK104" s="11">
        <v>323.8</v>
      </c>
      <c r="AL104" s="11">
        <v>16.100000000000001</v>
      </c>
      <c r="AM104" s="11">
        <v>0</v>
      </c>
      <c r="AN104" s="11" t="s">
        <v>36</v>
      </c>
      <c r="AO104" s="11" t="s">
        <v>80</v>
      </c>
      <c r="AP104" s="11">
        <f>Tableau_Lancer_la_requête_à_partir_de_AS4003[[#This Row],[POL_TERM_M]]-Tableau_Lancer_la_requête_à_partir_de_AS4003[[#This Row],[Duration IF]]</f>
        <v>1186</v>
      </c>
      <c r="AQ104" s="11" t="s">
        <v>36</v>
      </c>
      <c r="AR104" s="11" t="s">
        <v>36</v>
      </c>
      <c r="AS104" s="11" t="s">
        <v>36</v>
      </c>
      <c r="AT104" s="11" t="s">
        <v>36</v>
      </c>
      <c r="AU104" s="11" t="s">
        <v>36</v>
      </c>
      <c r="AV104" s="11">
        <v>0</v>
      </c>
      <c r="AW104" s="11">
        <v>11</v>
      </c>
      <c r="AX104" s="11">
        <v>1</v>
      </c>
      <c r="AY104" s="11">
        <v>20181101</v>
      </c>
      <c r="AZ104" s="80">
        <f t="shared" si="6"/>
        <v>43405</v>
      </c>
      <c r="BA104" s="11">
        <v>19590807</v>
      </c>
      <c r="BB104" s="80">
        <f t="shared" si="7"/>
        <v>21769</v>
      </c>
      <c r="BC104" s="11">
        <v>0</v>
      </c>
      <c r="BD104" s="11" t="s">
        <v>83</v>
      </c>
      <c r="BE104" s="11">
        <v>1</v>
      </c>
      <c r="BF104" s="11" t="s">
        <v>36</v>
      </c>
      <c r="BG104" s="11">
        <v>601.6</v>
      </c>
      <c r="BH104" s="11">
        <v>456.8</v>
      </c>
      <c r="BI104" s="11">
        <v>0</v>
      </c>
      <c r="BJ104" s="11" t="s">
        <v>82</v>
      </c>
      <c r="BK104" s="11">
        <v>1</v>
      </c>
      <c r="BL104" s="11">
        <v>0</v>
      </c>
      <c r="BM104" s="11">
        <v>0</v>
      </c>
      <c r="BN104" s="11">
        <v>124603</v>
      </c>
      <c r="BO104" s="11">
        <v>0</v>
      </c>
      <c r="BP104" s="11" t="s">
        <v>82</v>
      </c>
      <c r="BQ104" s="11">
        <v>0</v>
      </c>
      <c r="BR104" s="11"/>
      <c r="BT104" s="11"/>
      <c r="BU104" s="11"/>
      <c r="CA104" s="11"/>
      <c r="CD104" s="11"/>
    </row>
    <row r="105" spans="2:82" ht="12.75" x14ac:dyDescent="0.2">
      <c r="B105" s="11">
        <v>147503</v>
      </c>
      <c r="C105" s="11">
        <f>ROUND(DAYS360(Tableau_Lancer_la_requête_à_partir_de_AS4003[[#This Row],[Date naissance 1]],Tableau_Lancer_la_requête_à_partir_de_AS4003[[#This Row],[Date début]])/360,0)</f>
        <v>63</v>
      </c>
      <c r="D105" s="11">
        <v>0</v>
      </c>
      <c r="E105" s="11">
        <v>0</v>
      </c>
      <c r="F105" s="11">
        <v>0</v>
      </c>
      <c r="G105" s="11">
        <v>12</v>
      </c>
      <c r="H105" s="11">
        <f>ROUND(DAYS360(Tableau_Lancer_la_requête_à_partir_de_AS4003[[#This Row],[Date début]],'Cash flows par police'!$C$4)/30,0)</f>
        <v>1</v>
      </c>
      <c r="I105" s="11">
        <v>0</v>
      </c>
      <c r="J105" s="11">
        <v>0</v>
      </c>
      <c r="K105" s="11">
        <v>0</v>
      </c>
      <c r="L105" s="11">
        <v>41.3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1">
        <v>0</v>
      </c>
      <c r="S105" s="11">
        <f>SUM(Tableau_Lancer_la_requête_à_partir_de_AS4003[[#This Row],[POLPRCPL2]:[POLPRCPL9]])</f>
        <v>41.3</v>
      </c>
      <c r="T105" s="11">
        <v>99</v>
      </c>
      <c r="U105" s="11">
        <v>12</v>
      </c>
      <c r="V105" s="11">
        <v>0</v>
      </c>
      <c r="W105" s="11">
        <v>674.4</v>
      </c>
      <c r="X105" s="11">
        <v>0</v>
      </c>
      <c r="Y105" s="11">
        <v>0</v>
      </c>
      <c r="Z105" s="11">
        <v>1</v>
      </c>
      <c r="AA105" s="11">
        <v>0</v>
      </c>
      <c r="AB105" s="11">
        <v>0</v>
      </c>
      <c r="AC105" s="11">
        <v>0</v>
      </c>
      <c r="AD105" s="11">
        <v>0</v>
      </c>
      <c r="AE105" s="11">
        <v>0</v>
      </c>
      <c r="AF105" s="11">
        <f>IF(Tableau_Lancer_la_requête_à_partir_de_AS4003[[#This Row],[POL_SEX_ASSURE]]="M",0,1)</f>
        <v>0</v>
      </c>
      <c r="AG105" s="11" t="str">
        <f>IF(Tableau_Lancer_la_requête_à_partir_de_AS4003[[#This Row],[POL_SEX_ASSURE2]]="","",IF(Tableau_Lancer_la_requête_à_partir_de_AS4003[[#This Row],[POL_SEX_ASSURE2]]="M",0,1))</f>
        <v/>
      </c>
      <c r="AH10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05" s="11">
        <v>7500</v>
      </c>
      <c r="AJ105" s="11">
        <f>Tableau_Lancer_la_requête_à_partir_de_AS4003[[#This Row],[POL_DUREE_ASSUR]]*12</f>
        <v>1188</v>
      </c>
      <c r="AK105" s="11">
        <v>340.9</v>
      </c>
      <c r="AL105" s="11">
        <v>0</v>
      </c>
      <c r="AM105" s="11">
        <v>0</v>
      </c>
      <c r="AN105" s="11" t="s">
        <v>36</v>
      </c>
      <c r="AO105" s="11" t="s">
        <v>80</v>
      </c>
      <c r="AP105" s="11">
        <f>Tableau_Lancer_la_requête_à_partir_de_AS4003[[#This Row],[POL_TERM_M]]-Tableau_Lancer_la_requête_à_partir_de_AS4003[[#This Row],[Duration IF]]</f>
        <v>1187</v>
      </c>
      <c r="AQ105" s="11" t="s">
        <v>36</v>
      </c>
      <c r="AR105" s="11" t="s">
        <v>36</v>
      </c>
      <c r="AS105" s="11" t="s">
        <v>36</v>
      </c>
      <c r="AT105" s="11" t="s">
        <v>36</v>
      </c>
      <c r="AU105" s="11" t="s">
        <v>36</v>
      </c>
      <c r="AV105" s="11">
        <v>0</v>
      </c>
      <c r="AW105" s="11">
        <v>11</v>
      </c>
      <c r="AX105" s="11">
        <v>1</v>
      </c>
      <c r="AY105" s="11">
        <v>20181201</v>
      </c>
      <c r="AZ105" s="80">
        <f t="shared" si="6"/>
        <v>43435</v>
      </c>
      <c r="BA105" s="11">
        <v>19551114</v>
      </c>
      <c r="BB105" s="80">
        <f t="shared" si="7"/>
        <v>20407</v>
      </c>
      <c r="BC105" s="11">
        <v>0</v>
      </c>
      <c r="BD105" s="11" t="s">
        <v>83</v>
      </c>
      <c r="BE105" s="11">
        <v>1</v>
      </c>
      <c r="BF105" s="11" t="s">
        <v>36</v>
      </c>
      <c r="BG105" s="11">
        <v>633.1</v>
      </c>
      <c r="BH105" s="11">
        <v>480.6</v>
      </c>
      <c r="BI105" s="11">
        <v>0</v>
      </c>
      <c r="BJ105" s="11" t="s">
        <v>82</v>
      </c>
      <c r="BK105" s="11">
        <v>1</v>
      </c>
      <c r="BL105" s="11">
        <v>0</v>
      </c>
      <c r="BM105" s="11">
        <v>0</v>
      </c>
      <c r="BN105" s="11">
        <v>147503</v>
      </c>
      <c r="BO105" s="11">
        <v>0</v>
      </c>
      <c r="BP105" s="11" t="s">
        <v>82</v>
      </c>
      <c r="BQ105" s="11">
        <v>0</v>
      </c>
      <c r="BR105" s="11"/>
      <c r="BT105" s="11"/>
      <c r="BU105" s="11"/>
      <c r="CA105" s="11"/>
      <c r="CD105" s="11"/>
    </row>
    <row r="106" spans="2:82" ht="12.75" x14ac:dyDescent="0.2">
      <c r="B106" s="11">
        <v>159505</v>
      </c>
      <c r="C106" s="11">
        <f>ROUND(DAYS360(Tableau_Lancer_la_requête_à_partir_de_AS4003[[#This Row],[Date naissance 1]],Tableau_Lancer_la_requête_à_partir_de_AS4003[[#This Row],[Date début]])/360,0)</f>
        <v>53</v>
      </c>
      <c r="D106" s="11">
        <v>0</v>
      </c>
      <c r="E106" s="11">
        <v>0</v>
      </c>
      <c r="F106" s="11">
        <v>0</v>
      </c>
      <c r="G106" s="11">
        <v>12</v>
      </c>
      <c r="H106" s="11">
        <f>ROUND(DAYS360(Tableau_Lancer_la_requête_à_partir_de_AS4003[[#This Row],[Date début]],'Cash flows par police'!$C$4)/30,0)</f>
        <v>2</v>
      </c>
      <c r="I106" s="11">
        <v>0</v>
      </c>
      <c r="J106" s="11">
        <v>0</v>
      </c>
      <c r="K106" s="11">
        <v>0</v>
      </c>
      <c r="L106" s="11">
        <v>27.5</v>
      </c>
      <c r="M106" s="11">
        <v>0</v>
      </c>
      <c r="N106" s="11">
        <v>0</v>
      </c>
      <c r="O106" s="11">
        <v>0</v>
      </c>
      <c r="P106" s="11">
        <v>0</v>
      </c>
      <c r="Q106" s="11">
        <v>0</v>
      </c>
      <c r="R106" s="11">
        <v>0</v>
      </c>
      <c r="S106" s="11">
        <f>SUM(Tableau_Lancer_la_requête_à_partir_de_AS4003[[#This Row],[POLPRCPL2]:[POLPRCPL9]])</f>
        <v>27.5</v>
      </c>
      <c r="T106" s="11">
        <v>99</v>
      </c>
      <c r="U106" s="11">
        <v>12</v>
      </c>
      <c r="V106" s="11">
        <v>0</v>
      </c>
      <c r="W106" s="11">
        <v>337.2</v>
      </c>
      <c r="X106" s="11">
        <v>0</v>
      </c>
      <c r="Y106" s="11">
        <v>0</v>
      </c>
      <c r="Z106" s="11">
        <v>1</v>
      </c>
      <c r="AA106" s="11">
        <v>0</v>
      </c>
      <c r="AB106" s="11">
        <v>0</v>
      </c>
      <c r="AC106" s="11">
        <v>0</v>
      </c>
      <c r="AD106" s="11">
        <v>0</v>
      </c>
      <c r="AE106" s="11">
        <v>0</v>
      </c>
      <c r="AF106" s="11">
        <f>IF(Tableau_Lancer_la_requête_à_partir_de_AS4003[[#This Row],[POL_SEX_ASSURE]]="M",0,1)</f>
        <v>0</v>
      </c>
      <c r="AG106" s="11" t="str">
        <f>IF(Tableau_Lancer_la_requête_à_partir_de_AS4003[[#This Row],[POL_SEX_ASSURE2]]="","",IF(Tableau_Lancer_la_requête_à_partir_de_AS4003[[#This Row],[POL_SEX_ASSURE2]]="M",0,1))</f>
        <v/>
      </c>
      <c r="AH10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06" s="11">
        <v>5000</v>
      </c>
      <c r="AJ106" s="11">
        <f>Tableau_Lancer_la_requête_à_partir_de_AS4003[[#This Row],[POL_DUREE_ASSUR]]*12</f>
        <v>1188</v>
      </c>
      <c r="AK106" s="11">
        <v>156.30000000000001</v>
      </c>
      <c r="AL106" s="11">
        <v>0</v>
      </c>
      <c r="AM106" s="11">
        <v>0</v>
      </c>
      <c r="AN106" s="11" t="s">
        <v>36</v>
      </c>
      <c r="AO106" s="11" t="s">
        <v>80</v>
      </c>
      <c r="AP106" s="11">
        <f>Tableau_Lancer_la_requête_à_partir_de_AS4003[[#This Row],[POL_TERM_M]]-Tableau_Lancer_la_requête_à_partir_de_AS4003[[#This Row],[Duration IF]]</f>
        <v>1186</v>
      </c>
      <c r="AQ106" s="11" t="s">
        <v>36</v>
      </c>
      <c r="AR106" s="11" t="s">
        <v>36</v>
      </c>
      <c r="AS106" s="11" t="s">
        <v>36</v>
      </c>
      <c r="AT106" s="11" t="s">
        <v>36</v>
      </c>
      <c r="AU106" s="11" t="s">
        <v>36</v>
      </c>
      <c r="AV106" s="11">
        <v>0</v>
      </c>
      <c r="AW106" s="11">
        <v>11</v>
      </c>
      <c r="AX106" s="11">
        <v>1</v>
      </c>
      <c r="AY106" s="11">
        <v>20181101</v>
      </c>
      <c r="AZ106" s="80">
        <f t="shared" si="6"/>
        <v>43405</v>
      </c>
      <c r="BA106" s="11">
        <v>19650717</v>
      </c>
      <c r="BB106" s="80">
        <f t="shared" si="7"/>
        <v>23940</v>
      </c>
      <c r="BC106" s="11">
        <v>0</v>
      </c>
      <c r="BD106" s="11" t="s">
        <v>83</v>
      </c>
      <c r="BE106" s="11">
        <v>1</v>
      </c>
      <c r="BF106" s="11" t="s">
        <v>36</v>
      </c>
      <c r="BG106" s="11">
        <v>309.7</v>
      </c>
      <c r="BH106" s="11">
        <v>234.8</v>
      </c>
      <c r="BI106" s="11">
        <v>0</v>
      </c>
      <c r="BJ106" s="11" t="s">
        <v>82</v>
      </c>
      <c r="BK106" s="11">
        <v>1</v>
      </c>
      <c r="BL106" s="11">
        <v>0</v>
      </c>
      <c r="BM106" s="11">
        <v>0</v>
      </c>
      <c r="BN106" s="11">
        <v>159505</v>
      </c>
      <c r="BO106" s="11">
        <v>0</v>
      </c>
      <c r="BP106" s="11" t="s">
        <v>82</v>
      </c>
      <c r="BQ106" s="11">
        <v>0</v>
      </c>
      <c r="BR106" s="11"/>
      <c r="BT106" s="11"/>
      <c r="BU106" s="11"/>
      <c r="CA106" s="11"/>
      <c r="CD106" s="11"/>
    </row>
    <row r="107" spans="2:82" ht="12.75" x14ac:dyDescent="0.2">
      <c r="B107" s="11">
        <v>185803</v>
      </c>
      <c r="C107" s="11">
        <f>ROUND(DAYS360(Tableau_Lancer_la_requête_à_partir_de_AS4003[[#This Row],[Date naissance 1]],Tableau_Lancer_la_requête_à_partir_de_AS4003[[#This Row],[Date début]])/360,0)</f>
        <v>52</v>
      </c>
      <c r="D107" s="11">
        <v>0</v>
      </c>
      <c r="E107" s="11">
        <v>0</v>
      </c>
      <c r="F107" s="11">
        <v>0</v>
      </c>
      <c r="G107" s="11">
        <v>12</v>
      </c>
      <c r="H107" s="11">
        <f>ROUND(DAYS360(Tableau_Lancer_la_requête_à_partir_de_AS4003[[#This Row],[Date début]],'Cash flows par police'!$C$4)/30,0)</f>
        <v>1</v>
      </c>
      <c r="I107" s="11">
        <v>0</v>
      </c>
      <c r="J107" s="11">
        <v>0</v>
      </c>
      <c r="K107" s="11">
        <v>0</v>
      </c>
      <c r="L107" s="11">
        <v>41.3</v>
      </c>
      <c r="M107" s="11">
        <v>0</v>
      </c>
      <c r="N107" s="11">
        <v>0</v>
      </c>
      <c r="O107" s="11">
        <v>0</v>
      </c>
      <c r="P107" s="11">
        <v>0</v>
      </c>
      <c r="Q107" s="11">
        <v>0</v>
      </c>
      <c r="R107" s="11">
        <v>0</v>
      </c>
      <c r="S107" s="11">
        <f>SUM(Tableau_Lancer_la_requête_à_partir_de_AS4003[[#This Row],[POLPRCPL2]:[POLPRCPL9]])</f>
        <v>41.3</v>
      </c>
      <c r="T107" s="11">
        <v>99</v>
      </c>
      <c r="U107" s="11">
        <v>12</v>
      </c>
      <c r="V107" s="11">
        <v>0</v>
      </c>
      <c r="W107" s="11">
        <v>432</v>
      </c>
      <c r="X107" s="11">
        <v>0</v>
      </c>
      <c r="Y107" s="11">
        <v>0</v>
      </c>
      <c r="Z107" s="11">
        <v>1</v>
      </c>
      <c r="AA107" s="11">
        <v>0</v>
      </c>
      <c r="AB107" s="11">
        <v>0</v>
      </c>
      <c r="AC107" s="11">
        <v>0</v>
      </c>
      <c r="AD107" s="11">
        <v>0</v>
      </c>
      <c r="AE107" s="11">
        <v>0</v>
      </c>
      <c r="AF107" s="11">
        <f>IF(Tableau_Lancer_la_requête_à_partir_de_AS4003[[#This Row],[POL_SEX_ASSURE]]="M",0,1)</f>
        <v>0</v>
      </c>
      <c r="AG107" s="11" t="str">
        <f>IF(Tableau_Lancer_la_requête_à_partir_de_AS4003[[#This Row],[POL_SEX_ASSURE2]]="","",IF(Tableau_Lancer_la_requête_à_partir_de_AS4003[[#This Row],[POL_SEX_ASSURE2]]="M",0,1))</f>
        <v/>
      </c>
      <c r="AH10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07" s="11">
        <v>7500</v>
      </c>
      <c r="AJ107" s="11">
        <f>Tableau_Lancer_la_requête_à_partir_de_AS4003[[#This Row],[POL_DUREE_ASSUR]]*12</f>
        <v>1188</v>
      </c>
      <c r="AK107" s="11">
        <v>220.6</v>
      </c>
      <c r="AL107" s="11">
        <v>0</v>
      </c>
      <c r="AM107" s="11">
        <v>0</v>
      </c>
      <c r="AN107" s="11" t="s">
        <v>36</v>
      </c>
      <c r="AO107" s="11" t="s">
        <v>80</v>
      </c>
      <c r="AP107" s="11">
        <f>Tableau_Lancer_la_requête_à_partir_de_AS4003[[#This Row],[POL_TERM_M]]-Tableau_Lancer_la_requête_à_partir_de_AS4003[[#This Row],[Duration IF]]</f>
        <v>1187</v>
      </c>
      <c r="AQ107" s="11" t="s">
        <v>36</v>
      </c>
      <c r="AR107" s="11" t="s">
        <v>36</v>
      </c>
      <c r="AS107" s="11" t="s">
        <v>36</v>
      </c>
      <c r="AT107" s="11" t="s">
        <v>36</v>
      </c>
      <c r="AU107" s="11" t="s">
        <v>36</v>
      </c>
      <c r="AV107" s="11">
        <v>0</v>
      </c>
      <c r="AW107" s="11">
        <v>11</v>
      </c>
      <c r="AX107" s="11">
        <v>1</v>
      </c>
      <c r="AY107" s="11">
        <v>20181201</v>
      </c>
      <c r="AZ107" s="80">
        <f t="shared" si="6"/>
        <v>43435</v>
      </c>
      <c r="BA107" s="11">
        <v>19670331</v>
      </c>
      <c r="BB107" s="80">
        <f t="shared" si="7"/>
        <v>24562</v>
      </c>
      <c r="BC107" s="11">
        <v>0</v>
      </c>
      <c r="BD107" s="11" t="s">
        <v>83</v>
      </c>
      <c r="BE107" s="11">
        <v>1</v>
      </c>
      <c r="BF107" s="11" t="s">
        <v>36</v>
      </c>
      <c r="BG107" s="11">
        <v>390.7</v>
      </c>
      <c r="BH107" s="11">
        <v>297</v>
      </c>
      <c r="BI107" s="11">
        <v>0</v>
      </c>
      <c r="BJ107" s="11" t="s">
        <v>82</v>
      </c>
      <c r="BK107" s="11">
        <v>1</v>
      </c>
      <c r="BL107" s="11">
        <v>0</v>
      </c>
      <c r="BM107" s="11">
        <v>0</v>
      </c>
      <c r="BN107" s="11">
        <v>185803</v>
      </c>
      <c r="BO107" s="11">
        <v>0</v>
      </c>
      <c r="BP107" s="11" t="s">
        <v>82</v>
      </c>
      <c r="BQ107" s="11">
        <v>0</v>
      </c>
      <c r="BR107" s="11"/>
      <c r="BT107" s="11"/>
      <c r="BU107" s="11"/>
      <c r="CA107" s="11"/>
      <c r="CD107" s="11"/>
    </row>
    <row r="108" spans="2:82" ht="12.75" x14ac:dyDescent="0.2">
      <c r="B108" s="11">
        <v>203305</v>
      </c>
      <c r="C108" s="11">
        <f>ROUND(DAYS360(Tableau_Lancer_la_requête_à_partir_de_AS4003[[#This Row],[Date naissance 1]],Tableau_Lancer_la_requête_à_partir_de_AS4003[[#This Row],[Date début]])/360,0)</f>
        <v>59</v>
      </c>
      <c r="D108" s="11">
        <v>0</v>
      </c>
      <c r="E108" s="11">
        <v>0</v>
      </c>
      <c r="F108" s="11">
        <v>0</v>
      </c>
      <c r="G108" s="11">
        <v>12</v>
      </c>
      <c r="H108" s="11">
        <f>ROUND(DAYS360(Tableau_Lancer_la_requête_à_partir_de_AS4003[[#This Row],[Date début]],'Cash flows par police'!$C$4)/30,0)</f>
        <v>3</v>
      </c>
      <c r="I108" s="11">
        <v>0</v>
      </c>
      <c r="J108" s="11">
        <v>0</v>
      </c>
      <c r="K108" s="11">
        <v>0</v>
      </c>
      <c r="L108" s="11">
        <v>30.9</v>
      </c>
      <c r="M108" s="11">
        <v>0</v>
      </c>
      <c r="N108" s="11">
        <v>0</v>
      </c>
      <c r="O108" s="11">
        <v>0</v>
      </c>
      <c r="P108" s="11">
        <v>0</v>
      </c>
      <c r="Q108" s="11">
        <v>0</v>
      </c>
      <c r="R108" s="11">
        <v>0</v>
      </c>
      <c r="S108" s="11">
        <f>SUM(Tableau_Lancer_la_requête_à_partir_de_AS4003[[#This Row],[POLPRCPL2]:[POLPRCPL9]])</f>
        <v>30.9</v>
      </c>
      <c r="T108" s="11">
        <v>99</v>
      </c>
      <c r="U108" s="11">
        <v>12</v>
      </c>
      <c r="V108" s="11">
        <v>0</v>
      </c>
      <c r="W108" s="11">
        <v>432</v>
      </c>
      <c r="X108" s="11">
        <v>21.5</v>
      </c>
      <c r="Y108" s="11">
        <v>0</v>
      </c>
      <c r="Z108" s="11">
        <v>1</v>
      </c>
      <c r="AA108" s="11">
        <v>0</v>
      </c>
      <c r="AB108" s="11">
        <v>0</v>
      </c>
      <c r="AC108" s="11">
        <v>0</v>
      </c>
      <c r="AD108" s="11">
        <v>0</v>
      </c>
      <c r="AE108" s="11">
        <v>0</v>
      </c>
      <c r="AF108" s="11">
        <f>IF(Tableau_Lancer_la_requête_à_partir_de_AS4003[[#This Row],[POL_SEX_ASSURE]]="M",0,1)</f>
        <v>0</v>
      </c>
      <c r="AG108" s="11" t="str">
        <f>IF(Tableau_Lancer_la_requête_à_partir_de_AS4003[[#This Row],[POL_SEX_ASSURE2]]="","",IF(Tableau_Lancer_la_requête_à_partir_de_AS4003[[#This Row],[POL_SEX_ASSURE2]]="M",0,1))</f>
        <v/>
      </c>
      <c r="AH10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08" s="11">
        <v>5613.2</v>
      </c>
      <c r="AJ108" s="11">
        <f>Tableau_Lancer_la_requête_à_partir_de_AS4003[[#This Row],[POL_DUREE_ASSUR]]*12</f>
        <v>1188</v>
      </c>
      <c r="AK108" s="11">
        <v>215.9</v>
      </c>
      <c r="AL108" s="11">
        <v>21.5</v>
      </c>
      <c r="AM108" s="11">
        <v>0</v>
      </c>
      <c r="AN108" s="11" t="s">
        <v>36</v>
      </c>
      <c r="AO108" s="11" t="s">
        <v>80</v>
      </c>
      <c r="AP108" s="11">
        <f>Tableau_Lancer_la_requête_à_partir_de_AS4003[[#This Row],[POL_TERM_M]]-Tableau_Lancer_la_requête_à_partir_de_AS4003[[#This Row],[Duration IF]]</f>
        <v>1185</v>
      </c>
      <c r="AQ108" s="11" t="s">
        <v>36</v>
      </c>
      <c r="AR108" s="11" t="s">
        <v>36</v>
      </c>
      <c r="AS108" s="11" t="s">
        <v>36</v>
      </c>
      <c r="AT108" s="11" t="s">
        <v>36</v>
      </c>
      <c r="AU108" s="11" t="s">
        <v>36</v>
      </c>
      <c r="AV108" s="11">
        <v>0</v>
      </c>
      <c r="AW108" s="11">
        <v>11</v>
      </c>
      <c r="AX108" s="11">
        <v>1</v>
      </c>
      <c r="AY108" s="11">
        <v>20181001</v>
      </c>
      <c r="AZ108" s="80">
        <f t="shared" si="6"/>
        <v>43374</v>
      </c>
      <c r="BA108" s="11">
        <v>19590912</v>
      </c>
      <c r="BB108" s="80">
        <f t="shared" si="7"/>
        <v>21805</v>
      </c>
      <c r="BC108" s="11">
        <v>0</v>
      </c>
      <c r="BD108" s="11" t="s">
        <v>83</v>
      </c>
      <c r="BE108" s="11">
        <v>1</v>
      </c>
      <c r="BF108" s="11" t="s">
        <v>36</v>
      </c>
      <c r="BG108" s="11">
        <v>401.1</v>
      </c>
      <c r="BH108" s="11">
        <v>304.5</v>
      </c>
      <c r="BI108" s="11">
        <v>0</v>
      </c>
      <c r="BJ108" s="11" t="s">
        <v>82</v>
      </c>
      <c r="BK108" s="11">
        <v>1</v>
      </c>
      <c r="BL108" s="11">
        <v>0</v>
      </c>
      <c r="BM108" s="11">
        <v>0</v>
      </c>
      <c r="BN108" s="11">
        <v>203305</v>
      </c>
      <c r="BO108" s="11">
        <v>0</v>
      </c>
      <c r="BP108" s="11" t="s">
        <v>82</v>
      </c>
      <c r="BQ108" s="11">
        <v>0</v>
      </c>
      <c r="BR108" s="11"/>
      <c r="BT108" s="11"/>
      <c r="BU108" s="11"/>
      <c r="CA108" s="11"/>
      <c r="CD108" s="11"/>
    </row>
    <row r="109" spans="2:82" ht="12.75" x14ac:dyDescent="0.2">
      <c r="B109" s="11">
        <v>236402</v>
      </c>
      <c r="C109" s="11">
        <f>ROUND(DAYS360(Tableau_Lancer_la_requête_à_partir_de_AS4003[[#This Row],[Date naissance 1]],Tableau_Lancer_la_requête_à_partir_de_AS4003[[#This Row],[Date début]])/360,0)</f>
        <v>63</v>
      </c>
      <c r="D109" s="11">
        <v>0</v>
      </c>
      <c r="E109" s="11">
        <v>0</v>
      </c>
      <c r="F109" s="11">
        <v>0</v>
      </c>
      <c r="G109" s="11">
        <v>12</v>
      </c>
      <c r="H109" s="11">
        <f>ROUND(DAYS360(Tableau_Lancer_la_requête_à_partir_de_AS4003[[#This Row],[Date début]],'Cash flows par police'!$C$4)/30,0)</f>
        <v>4</v>
      </c>
      <c r="I109" s="11">
        <v>0</v>
      </c>
      <c r="J109" s="11">
        <v>0</v>
      </c>
      <c r="K109" s="11">
        <v>0</v>
      </c>
      <c r="L109" s="11">
        <v>25.5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1">
        <v>0</v>
      </c>
      <c r="S109" s="11">
        <f>SUM(Tableau_Lancer_la_requête_à_partir_de_AS4003[[#This Row],[POLPRCPL2]:[POLPRCPL9]])</f>
        <v>25.5</v>
      </c>
      <c r="T109" s="11">
        <v>99</v>
      </c>
      <c r="U109" s="11">
        <v>1</v>
      </c>
      <c r="V109" s="11">
        <v>0</v>
      </c>
      <c r="W109" s="11">
        <v>405.2</v>
      </c>
      <c r="X109" s="11">
        <v>0</v>
      </c>
      <c r="Y109" s="11">
        <v>0</v>
      </c>
      <c r="Z109" s="11">
        <v>1</v>
      </c>
      <c r="AA109" s="11">
        <v>0</v>
      </c>
      <c r="AB109" s="11">
        <v>0</v>
      </c>
      <c r="AC109" s="11">
        <v>0</v>
      </c>
      <c r="AD109" s="11">
        <v>0</v>
      </c>
      <c r="AE109" s="11">
        <v>0</v>
      </c>
      <c r="AF109" s="11">
        <f>IF(Tableau_Lancer_la_requête_à_partir_de_AS4003[[#This Row],[POL_SEX_ASSURE]]="M",0,1)</f>
        <v>0</v>
      </c>
      <c r="AG109" s="11" t="str">
        <f>IF(Tableau_Lancer_la_requête_à_partir_de_AS4003[[#This Row],[POL_SEX_ASSURE2]]="","",IF(Tableau_Lancer_la_requête_à_partir_de_AS4003[[#This Row],[POL_SEX_ASSURE2]]="M",0,1))</f>
        <v/>
      </c>
      <c r="AH10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09" s="11">
        <v>5000</v>
      </c>
      <c r="AJ109" s="11">
        <f>Tableau_Lancer_la_requête_à_partir_de_AS4003[[#This Row],[POL_DUREE_ASSUR]]*12</f>
        <v>1188</v>
      </c>
      <c r="AK109" s="11">
        <v>217.4</v>
      </c>
      <c r="AL109" s="11">
        <v>0</v>
      </c>
      <c r="AM109" s="11">
        <v>0</v>
      </c>
      <c r="AN109" s="11" t="s">
        <v>36</v>
      </c>
      <c r="AO109" s="11" t="s">
        <v>80</v>
      </c>
      <c r="AP109" s="11">
        <f>Tableau_Lancer_la_requête_à_partir_de_AS4003[[#This Row],[POL_TERM_M]]-Tableau_Lancer_la_requête_à_partir_de_AS4003[[#This Row],[Duration IF]]</f>
        <v>1184</v>
      </c>
      <c r="AQ109" s="11" t="s">
        <v>36</v>
      </c>
      <c r="AR109" s="11" t="s">
        <v>36</v>
      </c>
      <c r="AS109" s="11" t="s">
        <v>36</v>
      </c>
      <c r="AT109" s="11" t="s">
        <v>36</v>
      </c>
      <c r="AU109" s="11" t="s">
        <v>36</v>
      </c>
      <c r="AV109" s="11">
        <v>0</v>
      </c>
      <c r="AW109" s="11">
        <v>11</v>
      </c>
      <c r="AX109" s="11">
        <v>1</v>
      </c>
      <c r="AY109" s="11">
        <v>20180901</v>
      </c>
      <c r="AZ109" s="80">
        <f t="shared" si="6"/>
        <v>43344</v>
      </c>
      <c r="BA109" s="11">
        <v>19560111</v>
      </c>
      <c r="BB109" s="80">
        <f t="shared" si="7"/>
        <v>20465</v>
      </c>
      <c r="BC109" s="11">
        <v>0</v>
      </c>
      <c r="BD109" s="11" t="s">
        <v>83</v>
      </c>
      <c r="BE109" s="11">
        <v>1</v>
      </c>
      <c r="BF109" s="11" t="s">
        <v>36</v>
      </c>
      <c r="BG109" s="11">
        <v>379.7</v>
      </c>
      <c r="BH109" s="11">
        <v>311.39999999999998</v>
      </c>
      <c r="BI109" s="11">
        <v>0</v>
      </c>
      <c r="BJ109" s="11" t="s">
        <v>82</v>
      </c>
      <c r="BK109" s="11">
        <v>1</v>
      </c>
      <c r="BL109" s="11">
        <v>206.7</v>
      </c>
      <c r="BM109" s="11">
        <v>13.9</v>
      </c>
      <c r="BN109" s="11">
        <v>236402</v>
      </c>
      <c r="BO109" s="11">
        <v>0</v>
      </c>
      <c r="BP109" s="11" t="s">
        <v>82</v>
      </c>
      <c r="BQ109" s="11">
        <v>0</v>
      </c>
      <c r="BR109" s="11"/>
      <c r="BT109" s="11"/>
      <c r="BU109" s="11"/>
      <c r="CA109" s="11"/>
      <c r="CD109" s="11"/>
    </row>
    <row r="110" spans="2:82" ht="12.75" x14ac:dyDescent="0.2">
      <c r="B110" s="11">
        <v>244804</v>
      </c>
      <c r="C110" s="11">
        <f>ROUND(DAYS360(Tableau_Lancer_la_requête_à_partir_de_AS4003[[#This Row],[Date naissance 1]],Tableau_Lancer_la_requête_à_partir_de_AS4003[[#This Row],[Date début]])/360,0)</f>
        <v>60</v>
      </c>
      <c r="D110" s="11">
        <v>0</v>
      </c>
      <c r="E110" s="11">
        <v>0</v>
      </c>
      <c r="F110" s="11">
        <v>0</v>
      </c>
      <c r="G110" s="11">
        <v>12</v>
      </c>
      <c r="H110" s="11">
        <f>ROUND(DAYS360(Tableau_Lancer_la_requête_à_partir_de_AS4003[[#This Row],[Date début]],'Cash flows par police'!$C$4)/30,0)</f>
        <v>2</v>
      </c>
      <c r="I110" s="11">
        <v>0</v>
      </c>
      <c r="J110" s="11">
        <v>0</v>
      </c>
      <c r="K110" s="11">
        <v>0</v>
      </c>
      <c r="L110" s="11">
        <v>55.1</v>
      </c>
      <c r="M110" s="11">
        <v>0</v>
      </c>
      <c r="N110" s="11">
        <v>0</v>
      </c>
      <c r="O110" s="11">
        <v>0</v>
      </c>
      <c r="P110" s="11">
        <v>0</v>
      </c>
      <c r="Q110" s="11">
        <v>0</v>
      </c>
      <c r="R110" s="11">
        <v>0</v>
      </c>
      <c r="S110" s="11">
        <f>SUM(Tableau_Lancer_la_requête_à_partir_de_AS4003[[#This Row],[POLPRCPL2]:[POLPRCPL9]])</f>
        <v>55.1</v>
      </c>
      <c r="T110" s="11">
        <v>99</v>
      </c>
      <c r="U110" s="11">
        <v>12</v>
      </c>
      <c r="V110" s="11">
        <v>0</v>
      </c>
      <c r="W110" s="11">
        <v>769.2</v>
      </c>
      <c r="X110" s="11">
        <v>19.2</v>
      </c>
      <c r="Y110" s="11">
        <v>0</v>
      </c>
      <c r="Z110" s="11">
        <v>1</v>
      </c>
      <c r="AA110" s="11">
        <v>0</v>
      </c>
      <c r="AB110" s="11">
        <v>0</v>
      </c>
      <c r="AC110" s="11">
        <v>0</v>
      </c>
      <c r="AD110" s="11">
        <v>0</v>
      </c>
      <c r="AE110" s="11">
        <v>0</v>
      </c>
      <c r="AF110" s="11">
        <f>IF(Tableau_Lancer_la_requête_à_partir_de_AS4003[[#This Row],[POL_SEX_ASSURE]]="M",0,1)</f>
        <v>0</v>
      </c>
      <c r="AG110" s="11" t="str">
        <f>IF(Tableau_Lancer_la_requête_à_partir_de_AS4003[[#This Row],[POL_SEX_ASSURE2]]="","",IF(Tableau_Lancer_la_requête_à_partir_de_AS4003[[#This Row],[POL_SEX_ASSURE2]]="M",0,1))</f>
        <v/>
      </c>
      <c r="AH11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10" s="11">
        <v>10000</v>
      </c>
      <c r="AJ110" s="11">
        <f>Tableau_Lancer_la_requête_à_partir_de_AS4003[[#This Row],[POL_DUREE_ASSUR]]*12</f>
        <v>1188</v>
      </c>
      <c r="AK110" s="11">
        <v>384.6</v>
      </c>
      <c r="AL110" s="11">
        <v>19.2</v>
      </c>
      <c r="AM110" s="11">
        <v>0</v>
      </c>
      <c r="AN110" s="11" t="s">
        <v>36</v>
      </c>
      <c r="AO110" s="11" t="s">
        <v>80</v>
      </c>
      <c r="AP110" s="11">
        <f>Tableau_Lancer_la_requête_à_partir_de_AS4003[[#This Row],[POL_TERM_M]]-Tableau_Lancer_la_requête_à_partir_de_AS4003[[#This Row],[Duration IF]]</f>
        <v>1186</v>
      </c>
      <c r="AQ110" s="11" t="s">
        <v>36</v>
      </c>
      <c r="AR110" s="11" t="s">
        <v>36</v>
      </c>
      <c r="AS110" s="11" t="s">
        <v>36</v>
      </c>
      <c r="AT110" s="11" t="s">
        <v>36</v>
      </c>
      <c r="AU110" s="11" t="s">
        <v>36</v>
      </c>
      <c r="AV110" s="11">
        <v>0</v>
      </c>
      <c r="AW110" s="11">
        <v>11</v>
      </c>
      <c r="AX110" s="11">
        <v>1</v>
      </c>
      <c r="AY110" s="11">
        <v>20181101</v>
      </c>
      <c r="AZ110" s="80">
        <f t="shared" si="6"/>
        <v>43405</v>
      </c>
      <c r="BA110" s="11">
        <v>19590318</v>
      </c>
      <c r="BB110" s="80">
        <f t="shared" si="7"/>
        <v>21627</v>
      </c>
      <c r="BC110" s="11">
        <v>0</v>
      </c>
      <c r="BD110" s="11" t="s">
        <v>83</v>
      </c>
      <c r="BE110" s="11">
        <v>1</v>
      </c>
      <c r="BF110" s="11" t="s">
        <v>36</v>
      </c>
      <c r="BG110" s="11">
        <v>714.1</v>
      </c>
      <c r="BH110" s="11">
        <v>542.5</v>
      </c>
      <c r="BI110" s="11">
        <v>0</v>
      </c>
      <c r="BJ110" s="11" t="s">
        <v>82</v>
      </c>
      <c r="BK110" s="11">
        <v>1</v>
      </c>
      <c r="BL110" s="11">
        <v>0</v>
      </c>
      <c r="BM110" s="11">
        <v>0</v>
      </c>
      <c r="BN110" s="11">
        <v>244804</v>
      </c>
      <c r="BO110" s="11">
        <v>0</v>
      </c>
      <c r="BP110" s="11" t="s">
        <v>82</v>
      </c>
      <c r="BQ110" s="11">
        <v>0</v>
      </c>
      <c r="BR110" s="11"/>
      <c r="BT110" s="11"/>
      <c r="BU110" s="11"/>
      <c r="CA110" s="11"/>
      <c r="CD110" s="11"/>
    </row>
    <row r="111" spans="2:82" ht="12.75" x14ac:dyDescent="0.2">
      <c r="B111" s="11">
        <v>246104</v>
      </c>
      <c r="C111" s="11">
        <f>ROUND(DAYS360(Tableau_Lancer_la_requête_à_partir_de_AS4003[[#This Row],[Date naissance 1]],Tableau_Lancer_la_requête_à_partir_de_AS4003[[#This Row],[Date début]])/360,0)</f>
        <v>60</v>
      </c>
      <c r="D111" s="11">
        <v>0</v>
      </c>
      <c r="E111" s="11">
        <v>0</v>
      </c>
      <c r="F111" s="11">
        <v>0</v>
      </c>
      <c r="G111" s="11">
        <v>12</v>
      </c>
      <c r="H111" s="11">
        <f>ROUND(DAYS360(Tableau_Lancer_la_requête_à_partir_de_AS4003[[#This Row],[Date début]],'Cash flows par police'!$C$4)/30,0)</f>
        <v>3</v>
      </c>
      <c r="I111" s="11">
        <v>0</v>
      </c>
      <c r="J111" s="11">
        <v>0</v>
      </c>
      <c r="K111" s="11">
        <v>0</v>
      </c>
      <c r="L111" s="11">
        <v>55.1</v>
      </c>
      <c r="M111" s="11">
        <v>0</v>
      </c>
      <c r="N111" s="11">
        <v>0</v>
      </c>
      <c r="O111" s="11">
        <v>0</v>
      </c>
      <c r="P111" s="11">
        <v>0</v>
      </c>
      <c r="Q111" s="11">
        <v>0</v>
      </c>
      <c r="R111" s="11">
        <v>0</v>
      </c>
      <c r="S111" s="11">
        <f>SUM(Tableau_Lancer_la_requête_à_partir_de_AS4003[[#This Row],[POLPRCPL2]:[POLPRCPL9]])</f>
        <v>55.1</v>
      </c>
      <c r="T111" s="11">
        <v>99</v>
      </c>
      <c r="U111" s="11">
        <v>12</v>
      </c>
      <c r="V111" s="11">
        <v>0</v>
      </c>
      <c r="W111" s="11">
        <v>789.6</v>
      </c>
      <c r="X111" s="11">
        <v>0</v>
      </c>
      <c r="Y111" s="11">
        <v>0</v>
      </c>
      <c r="Z111" s="11">
        <v>1</v>
      </c>
      <c r="AA111" s="11">
        <v>0</v>
      </c>
      <c r="AB111" s="11">
        <v>0</v>
      </c>
      <c r="AC111" s="11">
        <v>0</v>
      </c>
      <c r="AD111" s="11">
        <v>0</v>
      </c>
      <c r="AE111" s="11">
        <v>0</v>
      </c>
      <c r="AF111" s="11">
        <f>IF(Tableau_Lancer_la_requête_à_partir_de_AS4003[[#This Row],[POL_SEX_ASSURE]]="M",0,1)</f>
        <v>0</v>
      </c>
      <c r="AG111" s="11" t="str">
        <f>IF(Tableau_Lancer_la_requête_à_partir_de_AS4003[[#This Row],[POL_SEX_ASSURE2]]="","",IF(Tableau_Lancer_la_requête_à_partir_de_AS4003[[#This Row],[POL_SEX_ASSURE2]]="M",0,1))</f>
        <v/>
      </c>
      <c r="AH11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11" s="11">
        <v>10000</v>
      </c>
      <c r="AJ111" s="11">
        <f>Tableau_Lancer_la_requête_à_partir_de_AS4003[[#This Row],[POL_DUREE_ASSUR]]*12</f>
        <v>1188</v>
      </c>
      <c r="AK111" s="11">
        <v>400</v>
      </c>
      <c r="AL111" s="11">
        <v>0</v>
      </c>
      <c r="AM111" s="11">
        <v>0</v>
      </c>
      <c r="AN111" s="11" t="s">
        <v>36</v>
      </c>
      <c r="AO111" s="11" t="s">
        <v>80</v>
      </c>
      <c r="AP111" s="11">
        <f>Tableau_Lancer_la_requête_à_partir_de_AS4003[[#This Row],[POL_TERM_M]]-Tableau_Lancer_la_requête_à_partir_de_AS4003[[#This Row],[Duration IF]]</f>
        <v>1185</v>
      </c>
      <c r="AQ111" s="11" t="s">
        <v>36</v>
      </c>
      <c r="AR111" s="11" t="s">
        <v>36</v>
      </c>
      <c r="AS111" s="11" t="s">
        <v>36</v>
      </c>
      <c r="AT111" s="11" t="s">
        <v>36</v>
      </c>
      <c r="AU111" s="11" t="s">
        <v>36</v>
      </c>
      <c r="AV111" s="11">
        <v>0</v>
      </c>
      <c r="AW111" s="11">
        <v>11</v>
      </c>
      <c r="AX111" s="11">
        <v>1</v>
      </c>
      <c r="AY111" s="11">
        <v>20181001</v>
      </c>
      <c r="AZ111" s="80">
        <f t="shared" si="6"/>
        <v>43374</v>
      </c>
      <c r="BA111" s="11">
        <v>19580806</v>
      </c>
      <c r="BB111" s="80">
        <f t="shared" si="7"/>
        <v>21403</v>
      </c>
      <c r="BC111" s="11">
        <v>0</v>
      </c>
      <c r="BD111" s="11" t="s">
        <v>83</v>
      </c>
      <c r="BE111" s="11">
        <v>1</v>
      </c>
      <c r="BF111" s="11" t="s">
        <v>36</v>
      </c>
      <c r="BG111" s="11">
        <v>734.5</v>
      </c>
      <c r="BH111" s="11">
        <v>557.29999999999995</v>
      </c>
      <c r="BI111" s="11">
        <v>0</v>
      </c>
      <c r="BJ111" s="11" t="s">
        <v>82</v>
      </c>
      <c r="BK111" s="11">
        <v>1</v>
      </c>
      <c r="BL111" s="11">
        <v>0</v>
      </c>
      <c r="BM111" s="11">
        <v>0</v>
      </c>
      <c r="BN111" s="11">
        <v>246104</v>
      </c>
      <c r="BO111" s="11">
        <v>0</v>
      </c>
      <c r="BP111" s="11" t="s">
        <v>82</v>
      </c>
      <c r="BQ111" s="11">
        <v>0</v>
      </c>
      <c r="BR111" s="11"/>
      <c r="BT111" s="11"/>
      <c r="BU111" s="11"/>
      <c r="CA111" s="11"/>
      <c r="CD111" s="11"/>
    </row>
    <row r="112" spans="2:82" ht="12.75" x14ac:dyDescent="0.2">
      <c r="B112" s="11">
        <v>262503</v>
      </c>
      <c r="C112" s="11">
        <f>ROUND(DAYS360(Tableau_Lancer_la_requête_à_partir_de_AS4003[[#This Row],[Date naissance 1]],Tableau_Lancer_la_requête_à_partir_de_AS4003[[#This Row],[Date début]])/360,0)</f>
        <v>56</v>
      </c>
      <c r="D112" s="11">
        <v>0</v>
      </c>
      <c r="E112" s="11">
        <v>0</v>
      </c>
      <c r="F112" s="11">
        <v>0</v>
      </c>
      <c r="G112" s="11">
        <v>12</v>
      </c>
      <c r="H112" s="11">
        <f>ROUND(DAYS360(Tableau_Lancer_la_requête_à_partir_de_AS4003[[#This Row],[Date début]],'Cash flows par police'!$C$4)/30,0)</f>
        <v>2</v>
      </c>
      <c r="I112" s="11">
        <v>0</v>
      </c>
      <c r="J112" s="11">
        <v>0</v>
      </c>
      <c r="K112" s="11">
        <v>0</v>
      </c>
      <c r="L112" s="11">
        <v>49.7</v>
      </c>
      <c r="M112" s="11">
        <v>0</v>
      </c>
      <c r="N112" s="11">
        <v>0</v>
      </c>
      <c r="O112" s="11">
        <v>0</v>
      </c>
      <c r="P112" s="11">
        <v>0</v>
      </c>
      <c r="Q112" s="11">
        <v>0</v>
      </c>
      <c r="R112" s="11">
        <v>0</v>
      </c>
      <c r="S112" s="11">
        <f>SUM(Tableau_Lancer_la_requête_à_partir_de_AS4003[[#This Row],[POLPRCPL2]:[POLPRCPL9]])</f>
        <v>49.7</v>
      </c>
      <c r="T112" s="11">
        <v>99</v>
      </c>
      <c r="U112" s="11">
        <v>12</v>
      </c>
      <c r="V112" s="11">
        <v>0</v>
      </c>
      <c r="W112" s="11">
        <v>648</v>
      </c>
      <c r="X112" s="11">
        <v>16.100000000000001</v>
      </c>
      <c r="Y112" s="11">
        <v>0</v>
      </c>
      <c r="Z112" s="11">
        <v>1</v>
      </c>
      <c r="AA112" s="11">
        <v>0</v>
      </c>
      <c r="AB112" s="11">
        <v>0</v>
      </c>
      <c r="AC112" s="11">
        <v>0</v>
      </c>
      <c r="AD112" s="11">
        <v>0</v>
      </c>
      <c r="AE112" s="11">
        <v>0</v>
      </c>
      <c r="AF112" s="11">
        <f>IF(Tableau_Lancer_la_requête_à_partir_de_AS4003[[#This Row],[POL_SEX_ASSURE]]="M",0,1)</f>
        <v>0</v>
      </c>
      <c r="AG112" s="11" t="str">
        <f>IF(Tableau_Lancer_la_requête_à_partir_de_AS4003[[#This Row],[POL_SEX_ASSURE2]]="","",IF(Tableau_Lancer_la_requête_à_partir_de_AS4003[[#This Row],[POL_SEX_ASSURE2]]="M",0,1))</f>
        <v/>
      </c>
      <c r="AH11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12" s="11">
        <v>9030.1</v>
      </c>
      <c r="AJ112" s="11">
        <f>Tableau_Lancer_la_requête_à_partir_de_AS4003[[#This Row],[POL_DUREE_ASSUR]]*12</f>
        <v>1188</v>
      </c>
      <c r="AK112" s="11">
        <v>311.39999999999998</v>
      </c>
      <c r="AL112" s="11">
        <v>16.100000000000001</v>
      </c>
      <c r="AM112" s="11">
        <v>0</v>
      </c>
      <c r="AN112" s="11" t="s">
        <v>36</v>
      </c>
      <c r="AO112" s="11" t="s">
        <v>80</v>
      </c>
      <c r="AP112" s="11">
        <f>Tableau_Lancer_la_requête_à_partir_de_AS4003[[#This Row],[POL_TERM_M]]-Tableau_Lancer_la_requête_à_partir_de_AS4003[[#This Row],[Duration IF]]</f>
        <v>1186</v>
      </c>
      <c r="AQ112" s="11" t="s">
        <v>36</v>
      </c>
      <c r="AR112" s="11" t="s">
        <v>36</v>
      </c>
      <c r="AS112" s="11" t="s">
        <v>36</v>
      </c>
      <c r="AT112" s="11" t="s">
        <v>36</v>
      </c>
      <c r="AU112" s="11" t="s">
        <v>36</v>
      </c>
      <c r="AV112" s="11">
        <v>0</v>
      </c>
      <c r="AW112" s="11">
        <v>11</v>
      </c>
      <c r="AX112" s="11">
        <v>1</v>
      </c>
      <c r="AY112" s="11">
        <v>20181101</v>
      </c>
      <c r="AZ112" s="80">
        <f t="shared" si="6"/>
        <v>43405</v>
      </c>
      <c r="BA112" s="11">
        <v>19620526</v>
      </c>
      <c r="BB112" s="80">
        <f t="shared" si="7"/>
        <v>22792</v>
      </c>
      <c r="BC112" s="11">
        <v>0</v>
      </c>
      <c r="BD112" s="11" t="s">
        <v>83</v>
      </c>
      <c r="BE112" s="11">
        <v>1</v>
      </c>
      <c r="BF112" s="11" t="s">
        <v>36</v>
      </c>
      <c r="BG112" s="11">
        <v>598.29999999999995</v>
      </c>
      <c r="BH112" s="11">
        <v>454.2</v>
      </c>
      <c r="BI112" s="11">
        <v>0</v>
      </c>
      <c r="BJ112" s="11" t="s">
        <v>82</v>
      </c>
      <c r="BK112" s="11">
        <v>1</v>
      </c>
      <c r="BL112" s="11">
        <v>0</v>
      </c>
      <c r="BM112" s="11">
        <v>0</v>
      </c>
      <c r="BN112" s="11">
        <v>262503</v>
      </c>
      <c r="BO112" s="11">
        <v>0</v>
      </c>
      <c r="BP112" s="11" t="s">
        <v>82</v>
      </c>
      <c r="BQ112" s="11">
        <v>0</v>
      </c>
      <c r="BR112" s="11"/>
      <c r="BT112" s="11"/>
      <c r="BU112" s="11"/>
      <c r="CA112" s="11"/>
      <c r="CD112" s="11"/>
    </row>
    <row r="113" spans="2:82" ht="12.75" x14ac:dyDescent="0.2">
      <c r="B113" s="11">
        <v>284003</v>
      </c>
      <c r="C113" s="11">
        <f>ROUND(DAYS360(Tableau_Lancer_la_requête_à_partir_de_AS4003[[#This Row],[Date naissance 1]],Tableau_Lancer_la_requête_à_partir_de_AS4003[[#This Row],[Date début]])/360,0)</f>
        <v>62</v>
      </c>
      <c r="D113" s="11">
        <v>0</v>
      </c>
      <c r="E113" s="11">
        <v>0</v>
      </c>
      <c r="F113" s="11">
        <v>0</v>
      </c>
      <c r="G113" s="11">
        <v>12</v>
      </c>
      <c r="H113" s="11">
        <f>ROUND(DAYS360(Tableau_Lancer_la_requête_à_partir_de_AS4003[[#This Row],[Date début]],'Cash flows par police'!$C$4)/30,0)</f>
        <v>3</v>
      </c>
      <c r="I113" s="11">
        <v>0</v>
      </c>
      <c r="J113" s="11">
        <v>0</v>
      </c>
      <c r="K113" s="11">
        <v>0</v>
      </c>
      <c r="L113" s="11">
        <v>27.9</v>
      </c>
      <c r="M113" s="11">
        <v>0</v>
      </c>
      <c r="N113" s="11"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f>SUM(Tableau_Lancer_la_requête_à_partir_de_AS4003[[#This Row],[POLPRCPL2]:[POLPRCPL9]])</f>
        <v>27.9</v>
      </c>
      <c r="T113" s="11">
        <v>99</v>
      </c>
      <c r="U113" s="11">
        <v>12</v>
      </c>
      <c r="V113" s="11">
        <v>0</v>
      </c>
      <c r="W113" s="11">
        <v>432</v>
      </c>
      <c r="X113" s="11">
        <v>0</v>
      </c>
      <c r="Y113" s="11">
        <v>0</v>
      </c>
      <c r="Z113" s="11">
        <v>1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f>IF(Tableau_Lancer_la_requête_à_partir_de_AS4003[[#This Row],[POL_SEX_ASSURE]]="M",0,1)</f>
        <v>0</v>
      </c>
      <c r="AG113" s="11" t="str">
        <f>IF(Tableau_Lancer_la_requête_à_partir_de_AS4003[[#This Row],[POL_SEX_ASSURE2]]="","",IF(Tableau_Lancer_la_requête_à_partir_de_AS4003[[#This Row],[POL_SEX_ASSURE2]]="M",0,1))</f>
        <v/>
      </c>
      <c r="AH11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13" s="11">
        <v>5063.2</v>
      </c>
      <c r="AJ113" s="11">
        <f>Tableau_Lancer_la_requête_à_partir_de_AS4003[[#This Row],[POL_DUREE_ASSUR]]*12</f>
        <v>1188</v>
      </c>
      <c r="AK113" s="11">
        <v>211</v>
      </c>
      <c r="AL113" s="11">
        <v>0</v>
      </c>
      <c r="AM113" s="11">
        <v>0</v>
      </c>
      <c r="AN113" s="11" t="s">
        <v>36</v>
      </c>
      <c r="AO113" s="11" t="s">
        <v>80</v>
      </c>
      <c r="AP113" s="11">
        <f>Tableau_Lancer_la_requête_à_partir_de_AS4003[[#This Row],[POL_TERM_M]]-Tableau_Lancer_la_requête_à_partir_de_AS4003[[#This Row],[Duration IF]]</f>
        <v>1185</v>
      </c>
      <c r="AQ113" s="11" t="s">
        <v>36</v>
      </c>
      <c r="AR113" s="11" t="s">
        <v>36</v>
      </c>
      <c r="AS113" s="11" t="s">
        <v>36</v>
      </c>
      <c r="AT113" s="11" t="s">
        <v>36</v>
      </c>
      <c r="AU113" s="11" t="s">
        <v>36</v>
      </c>
      <c r="AV113" s="11">
        <v>0</v>
      </c>
      <c r="AW113" s="11">
        <v>11</v>
      </c>
      <c r="AX113" s="11">
        <v>1</v>
      </c>
      <c r="AY113" s="11">
        <v>20181001</v>
      </c>
      <c r="AZ113" s="80">
        <f t="shared" si="6"/>
        <v>43374</v>
      </c>
      <c r="BA113" s="11">
        <v>19570325</v>
      </c>
      <c r="BB113" s="80">
        <f t="shared" si="7"/>
        <v>20904</v>
      </c>
      <c r="BC113" s="11">
        <v>0</v>
      </c>
      <c r="BD113" s="11" t="s">
        <v>83</v>
      </c>
      <c r="BE113" s="11">
        <v>1</v>
      </c>
      <c r="BF113" s="11" t="s">
        <v>36</v>
      </c>
      <c r="BG113" s="11">
        <v>404.1</v>
      </c>
      <c r="BH113" s="11">
        <v>306.8</v>
      </c>
      <c r="BI113" s="11">
        <v>0</v>
      </c>
      <c r="BJ113" s="11" t="s">
        <v>82</v>
      </c>
      <c r="BK113" s="11">
        <v>1</v>
      </c>
      <c r="BL113" s="11">
        <v>0</v>
      </c>
      <c r="BM113" s="11">
        <v>0</v>
      </c>
      <c r="BN113" s="11">
        <v>284003</v>
      </c>
      <c r="BO113" s="11">
        <v>0</v>
      </c>
      <c r="BP113" s="11" t="s">
        <v>82</v>
      </c>
      <c r="BQ113" s="11">
        <v>0</v>
      </c>
      <c r="BR113" s="11"/>
      <c r="BT113" s="11"/>
      <c r="BU113" s="11"/>
      <c r="CA113" s="11"/>
      <c r="CD113" s="11"/>
    </row>
    <row r="114" spans="2:82" ht="12.75" x14ac:dyDescent="0.2">
      <c r="B114" s="11">
        <v>287805</v>
      </c>
      <c r="C114" s="11">
        <f>ROUND(DAYS360(Tableau_Lancer_la_requête_à_partir_de_AS4003[[#This Row],[Date naissance 1]],Tableau_Lancer_la_requête_à_partir_de_AS4003[[#This Row],[Date début]])/360,0)</f>
        <v>59</v>
      </c>
      <c r="D114" s="11">
        <v>0</v>
      </c>
      <c r="E114" s="11">
        <v>0</v>
      </c>
      <c r="F114" s="11">
        <v>0</v>
      </c>
      <c r="G114" s="11">
        <v>12</v>
      </c>
      <c r="H114" s="11">
        <f>ROUND(DAYS360(Tableau_Lancer_la_requête_à_partir_de_AS4003[[#This Row],[Date début]],'Cash flows par police'!$C$4)/30,0)</f>
        <v>1</v>
      </c>
      <c r="I114" s="11">
        <v>0</v>
      </c>
      <c r="J114" s="11">
        <v>0</v>
      </c>
      <c r="K114" s="11">
        <v>0</v>
      </c>
      <c r="L114" s="11">
        <v>15.8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f>SUM(Tableau_Lancer_la_requête_à_partir_de_AS4003[[#This Row],[POLPRCPL2]:[POLPRCPL9]])</f>
        <v>15.8</v>
      </c>
      <c r="T114" s="11">
        <v>99</v>
      </c>
      <c r="U114" s="11">
        <v>12</v>
      </c>
      <c r="V114" s="11">
        <v>0</v>
      </c>
      <c r="W114" s="11">
        <v>216</v>
      </c>
      <c r="X114" s="11">
        <v>0</v>
      </c>
      <c r="Y114" s="11">
        <v>0</v>
      </c>
      <c r="Z114" s="11">
        <v>1</v>
      </c>
      <c r="AA114" s="11">
        <v>0</v>
      </c>
      <c r="AB114" s="11">
        <v>0</v>
      </c>
      <c r="AC114" s="11">
        <v>0</v>
      </c>
      <c r="AD114" s="11">
        <v>0</v>
      </c>
      <c r="AE114" s="11">
        <v>0</v>
      </c>
      <c r="AF114" s="11">
        <f>IF(Tableau_Lancer_la_requête_à_partir_de_AS4003[[#This Row],[POL_SEX_ASSURE]]="M",0,1)</f>
        <v>0</v>
      </c>
      <c r="AG114" s="11" t="str">
        <f>IF(Tableau_Lancer_la_requête_à_partir_de_AS4003[[#This Row],[POL_SEX_ASSURE2]]="","",IF(Tableau_Lancer_la_requête_à_partir_de_AS4003[[#This Row],[POL_SEX_ASSURE2]]="M",0,1))</f>
        <v/>
      </c>
      <c r="AH11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14" s="11">
        <v>2875.1</v>
      </c>
      <c r="AJ114" s="11">
        <f>Tableau_Lancer_la_requête_à_partir_de_AS4003[[#This Row],[POL_DUREE_ASSUR]]*12</f>
        <v>1188</v>
      </c>
      <c r="AK114" s="11">
        <v>106.5</v>
      </c>
      <c r="AL114" s="11">
        <v>0</v>
      </c>
      <c r="AM114" s="11">
        <v>0</v>
      </c>
      <c r="AN114" s="11" t="s">
        <v>36</v>
      </c>
      <c r="AO114" s="11" t="s">
        <v>80</v>
      </c>
      <c r="AP114" s="11">
        <f>Tableau_Lancer_la_requête_à_partir_de_AS4003[[#This Row],[POL_TERM_M]]-Tableau_Lancer_la_requête_à_partir_de_AS4003[[#This Row],[Duration IF]]</f>
        <v>1187</v>
      </c>
      <c r="AQ114" s="11" t="s">
        <v>36</v>
      </c>
      <c r="AR114" s="11" t="s">
        <v>36</v>
      </c>
      <c r="AS114" s="11" t="s">
        <v>36</v>
      </c>
      <c r="AT114" s="11" t="s">
        <v>36</v>
      </c>
      <c r="AU114" s="11" t="s">
        <v>36</v>
      </c>
      <c r="AV114" s="11">
        <v>0</v>
      </c>
      <c r="AW114" s="11">
        <v>11</v>
      </c>
      <c r="AX114" s="11">
        <v>1</v>
      </c>
      <c r="AY114" s="11">
        <v>20181201</v>
      </c>
      <c r="AZ114" s="80">
        <f t="shared" si="6"/>
        <v>43435</v>
      </c>
      <c r="BA114" s="11">
        <v>19600320</v>
      </c>
      <c r="BB114" s="80">
        <f t="shared" si="7"/>
        <v>21995</v>
      </c>
      <c r="BC114" s="11">
        <v>0</v>
      </c>
      <c r="BD114" s="11" t="s">
        <v>83</v>
      </c>
      <c r="BE114" s="11">
        <v>1</v>
      </c>
      <c r="BF114" s="11" t="s">
        <v>36</v>
      </c>
      <c r="BG114" s="11">
        <v>200.2</v>
      </c>
      <c r="BH114" s="11">
        <v>152</v>
      </c>
      <c r="BI114" s="11">
        <v>0</v>
      </c>
      <c r="BJ114" s="11" t="s">
        <v>82</v>
      </c>
      <c r="BK114" s="11">
        <v>0</v>
      </c>
      <c r="BL114" s="11">
        <v>0</v>
      </c>
      <c r="BM114" s="11">
        <v>0</v>
      </c>
      <c r="BN114" s="11">
        <v>287805</v>
      </c>
      <c r="BO114" s="11">
        <v>0</v>
      </c>
      <c r="BP114" s="11" t="s">
        <v>82</v>
      </c>
      <c r="BQ114" s="11">
        <v>0</v>
      </c>
      <c r="BR114" s="11"/>
      <c r="BT114" s="11"/>
      <c r="BU114" s="11"/>
      <c r="CA114" s="11"/>
      <c r="CD114" s="11"/>
    </row>
    <row r="115" spans="2:82" ht="12.75" x14ac:dyDescent="0.2">
      <c r="B115" s="11">
        <v>317404</v>
      </c>
      <c r="C115" s="11">
        <f>ROUND(DAYS360(Tableau_Lancer_la_requête_à_partir_de_AS4003[[#This Row],[Date naissance 1]],Tableau_Lancer_la_requête_à_partir_de_AS4003[[#This Row],[Date début]])/360,0)</f>
        <v>64</v>
      </c>
      <c r="D115" s="11">
        <v>0</v>
      </c>
      <c r="E115" s="11">
        <v>0</v>
      </c>
      <c r="F115" s="11">
        <v>0</v>
      </c>
      <c r="G115" s="11">
        <v>12</v>
      </c>
      <c r="H115" s="11">
        <f>ROUND(DAYS360(Tableau_Lancer_la_requête_à_partir_de_AS4003[[#This Row],[Date début]],'Cash flows par police'!$C$4)/30,0)</f>
        <v>3</v>
      </c>
      <c r="I115" s="11">
        <v>0</v>
      </c>
      <c r="J115" s="11">
        <v>0</v>
      </c>
      <c r="K115" s="11">
        <v>0</v>
      </c>
      <c r="L115" s="11">
        <v>55.1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f>SUM(Tableau_Lancer_la_requête_à_partir_de_AS4003[[#This Row],[POLPRCPL2]:[POLPRCPL9]])</f>
        <v>55.1</v>
      </c>
      <c r="T115" s="11">
        <v>99</v>
      </c>
      <c r="U115" s="11">
        <v>12</v>
      </c>
      <c r="V115" s="11">
        <v>0</v>
      </c>
      <c r="W115" s="11">
        <v>924</v>
      </c>
      <c r="X115" s="11">
        <v>0</v>
      </c>
      <c r="Y115" s="11">
        <v>0</v>
      </c>
      <c r="Z115" s="11">
        <v>1</v>
      </c>
      <c r="AA115" s="11">
        <v>0</v>
      </c>
      <c r="AB115" s="11">
        <v>0</v>
      </c>
      <c r="AC115" s="11">
        <v>0</v>
      </c>
      <c r="AD115" s="11">
        <v>0</v>
      </c>
      <c r="AE115" s="11">
        <v>0</v>
      </c>
      <c r="AF115" s="11">
        <f>IF(Tableau_Lancer_la_requête_à_partir_de_AS4003[[#This Row],[POL_SEX_ASSURE]]="M",0,1)</f>
        <v>0</v>
      </c>
      <c r="AG115" s="11" t="str">
        <f>IF(Tableau_Lancer_la_requête_à_partir_de_AS4003[[#This Row],[POL_SEX_ASSURE2]]="","",IF(Tableau_Lancer_la_requête_à_partir_de_AS4003[[#This Row],[POL_SEX_ASSURE2]]="M",0,1))</f>
        <v/>
      </c>
      <c r="AH11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15" s="11">
        <v>10000</v>
      </c>
      <c r="AJ115" s="11">
        <f>Tableau_Lancer_la_requête_à_partir_de_AS4003[[#This Row],[POL_DUREE_ASSUR]]*12</f>
        <v>1188</v>
      </c>
      <c r="AK115" s="11">
        <v>476.2</v>
      </c>
      <c r="AL115" s="11">
        <v>0</v>
      </c>
      <c r="AM115" s="11">
        <v>0</v>
      </c>
      <c r="AN115" s="11" t="s">
        <v>36</v>
      </c>
      <c r="AO115" s="11" t="s">
        <v>80</v>
      </c>
      <c r="AP115" s="11">
        <f>Tableau_Lancer_la_requête_à_partir_de_AS4003[[#This Row],[POL_TERM_M]]-Tableau_Lancer_la_requête_à_partir_de_AS4003[[#This Row],[Duration IF]]</f>
        <v>1185</v>
      </c>
      <c r="AQ115" s="11" t="s">
        <v>36</v>
      </c>
      <c r="AR115" s="11" t="s">
        <v>36</v>
      </c>
      <c r="AS115" s="11" t="s">
        <v>36</v>
      </c>
      <c r="AT115" s="11" t="s">
        <v>36</v>
      </c>
      <c r="AU115" s="11" t="s">
        <v>36</v>
      </c>
      <c r="AV115" s="11">
        <v>0</v>
      </c>
      <c r="AW115" s="11">
        <v>11</v>
      </c>
      <c r="AX115" s="11">
        <v>1</v>
      </c>
      <c r="AY115" s="11">
        <v>20181001</v>
      </c>
      <c r="AZ115" s="80">
        <f t="shared" si="6"/>
        <v>43374</v>
      </c>
      <c r="BA115" s="11">
        <v>19541025</v>
      </c>
      <c r="BB115" s="80">
        <f t="shared" si="7"/>
        <v>20022</v>
      </c>
      <c r="BC115" s="11">
        <v>0</v>
      </c>
      <c r="BD115" s="11" t="s">
        <v>83</v>
      </c>
      <c r="BE115" s="11">
        <v>1</v>
      </c>
      <c r="BF115" s="11" t="s">
        <v>36</v>
      </c>
      <c r="BG115" s="11">
        <v>868.9</v>
      </c>
      <c r="BH115" s="11">
        <v>660.1</v>
      </c>
      <c r="BI115" s="11">
        <v>0</v>
      </c>
      <c r="BJ115" s="11" t="s">
        <v>82</v>
      </c>
      <c r="BK115" s="11">
        <v>1</v>
      </c>
      <c r="BL115" s="11">
        <v>0</v>
      </c>
      <c r="BM115" s="11">
        <v>0</v>
      </c>
      <c r="BN115" s="11">
        <v>317404</v>
      </c>
      <c r="BO115" s="11">
        <v>0</v>
      </c>
      <c r="BP115" s="11" t="s">
        <v>82</v>
      </c>
      <c r="BQ115" s="11">
        <v>0</v>
      </c>
      <c r="BR115" s="11"/>
      <c r="BT115" s="11"/>
      <c r="BU115" s="11"/>
      <c r="CA115" s="11"/>
      <c r="CD115" s="11"/>
    </row>
    <row r="116" spans="2:82" ht="12.75" x14ac:dyDescent="0.2">
      <c r="B116" s="11">
        <v>320006</v>
      </c>
      <c r="C116" s="11">
        <f>ROUND(DAYS360(Tableau_Lancer_la_requête_à_partir_de_AS4003[[#This Row],[Date naissance 1]],Tableau_Lancer_la_requête_à_partir_de_AS4003[[#This Row],[Date début]])/360,0)</f>
        <v>52</v>
      </c>
      <c r="D116" s="11">
        <v>0</v>
      </c>
      <c r="E116" s="11">
        <v>0</v>
      </c>
      <c r="F116" s="11">
        <v>0</v>
      </c>
      <c r="G116" s="11">
        <v>12</v>
      </c>
      <c r="H116" s="11">
        <f>ROUND(DAYS360(Tableau_Lancer_la_requête_à_partir_de_AS4003[[#This Row],[Date début]],'Cash flows par police'!$C$4)/30,0)</f>
        <v>4</v>
      </c>
      <c r="I116" s="11">
        <v>0</v>
      </c>
      <c r="J116" s="11">
        <v>0</v>
      </c>
      <c r="K116" s="11">
        <v>0</v>
      </c>
      <c r="L116" s="11">
        <v>33</v>
      </c>
      <c r="M116" s="11">
        <v>0</v>
      </c>
      <c r="N116" s="11"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f>SUM(Tableau_Lancer_la_requête_à_partir_de_AS4003[[#This Row],[POLPRCPL2]:[POLPRCPL9]])</f>
        <v>33</v>
      </c>
      <c r="T116" s="11">
        <v>99</v>
      </c>
      <c r="U116" s="11">
        <v>12</v>
      </c>
      <c r="V116" s="11">
        <v>0</v>
      </c>
      <c r="W116" s="11">
        <v>354</v>
      </c>
      <c r="X116" s="11">
        <v>29.5</v>
      </c>
      <c r="Y116" s="11">
        <v>0</v>
      </c>
      <c r="Z116" s="11">
        <v>1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f>IF(Tableau_Lancer_la_requête_à_partir_de_AS4003[[#This Row],[POL_SEX_ASSURE]]="M",0,1)</f>
        <v>0</v>
      </c>
      <c r="AG116" s="11" t="str">
        <f>IF(Tableau_Lancer_la_requête_à_partir_de_AS4003[[#This Row],[POL_SEX_ASSURE2]]="","",IF(Tableau_Lancer_la_requête_à_partir_de_AS4003[[#This Row],[POL_SEX_ASSURE2]]="M",0,1))</f>
        <v/>
      </c>
      <c r="AH11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16" s="11">
        <v>6000</v>
      </c>
      <c r="AJ116" s="11">
        <f>Tableau_Lancer_la_requête_à_partir_de_AS4003[[#This Row],[POL_DUREE_ASSUR]]*12</f>
        <v>1188</v>
      </c>
      <c r="AK116" s="11">
        <v>181.8</v>
      </c>
      <c r="AL116" s="11">
        <v>29.5</v>
      </c>
      <c r="AM116" s="11">
        <v>0</v>
      </c>
      <c r="AN116" s="11" t="s">
        <v>36</v>
      </c>
      <c r="AO116" s="11" t="s">
        <v>80</v>
      </c>
      <c r="AP116" s="11">
        <f>Tableau_Lancer_la_requête_à_partir_de_AS4003[[#This Row],[POL_TERM_M]]-Tableau_Lancer_la_requête_à_partir_de_AS4003[[#This Row],[Duration IF]]</f>
        <v>1184</v>
      </c>
      <c r="AQ116" s="11" t="s">
        <v>36</v>
      </c>
      <c r="AR116" s="11" t="s">
        <v>36</v>
      </c>
      <c r="AS116" s="11" t="s">
        <v>36</v>
      </c>
      <c r="AT116" s="11" t="s">
        <v>36</v>
      </c>
      <c r="AU116" s="11" t="s">
        <v>36</v>
      </c>
      <c r="AV116" s="11">
        <v>0</v>
      </c>
      <c r="AW116" s="11">
        <v>11</v>
      </c>
      <c r="AX116" s="11">
        <v>1</v>
      </c>
      <c r="AY116" s="11">
        <v>20180901</v>
      </c>
      <c r="AZ116" s="80">
        <f t="shared" si="6"/>
        <v>43344</v>
      </c>
      <c r="BA116" s="11">
        <v>19661106</v>
      </c>
      <c r="BB116" s="80">
        <f t="shared" si="7"/>
        <v>24417</v>
      </c>
      <c r="BC116" s="11">
        <v>0</v>
      </c>
      <c r="BD116" s="11" t="s">
        <v>83</v>
      </c>
      <c r="BE116" s="11">
        <v>1</v>
      </c>
      <c r="BF116" s="11" t="s">
        <v>36</v>
      </c>
      <c r="BG116" s="11">
        <v>321</v>
      </c>
      <c r="BH116" s="11">
        <v>243.3</v>
      </c>
      <c r="BI116" s="11">
        <v>0</v>
      </c>
      <c r="BJ116" s="11" t="s">
        <v>82</v>
      </c>
      <c r="BK116" s="11">
        <v>1</v>
      </c>
      <c r="BL116" s="11">
        <v>0</v>
      </c>
      <c r="BM116" s="11">
        <v>0</v>
      </c>
      <c r="BN116" s="11">
        <v>320006</v>
      </c>
      <c r="BO116" s="11">
        <v>0</v>
      </c>
      <c r="BP116" s="11" t="s">
        <v>82</v>
      </c>
      <c r="BQ116" s="11">
        <v>0</v>
      </c>
      <c r="BR116" s="11"/>
      <c r="BT116" s="11"/>
      <c r="BU116" s="11"/>
      <c r="CA116" s="11"/>
      <c r="CD116" s="11"/>
    </row>
    <row r="117" spans="2:82" ht="12.75" x14ac:dyDescent="0.2">
      <c r="B117" s="11">
        <v>346504</v>
      </c>
      <c r="C117" s="11">
        <f>ROUND(DAYS360(Tableau_Lancer_la_requête_à_partir_de_AS4003[[#This Row],[Date naissance 1]],Tableau_Lancer_la_requête_à_partir_de_AS4003[[#This Row],[Date début]])/360,0)</f>
        <v>59</v>
      </c>
      <c r="D117" s="11">
        <v>0</v>
      </c>
      <c r="E117" s="11">
        <v>0</v>
      </c>
      <c r="F117" s="11">
        <v>0</v>
      </c>
      <c r="G117" s="11">
        <v>12</v>
      </c>
      <c r="H117" s="11">
        <f>ROUND(DAYS360(Tableau_Lancer_la_requête_à_partir_de_AS4003[[#This Row],[Date début]],'Cash flows par police'!$C$4)/30,0)</f>
        <v>1</v>
      </c>
      <c r="I117" s="11">
        <v>0</v>
      </c>
      <c r="J117" s="11">
        <v>0</v>
      </c>
      <c r="K117" s="11">
        <v>0</v>
      </c>
      <c r="L117" s="11">
        <v>27.5</v>
      </c>
      <c r="M117" s="11">
        <v>0</v>
      </c>
      <c r="N117" s="11">
        <v>0</v>
      </c>
      <c r="O117" s="11">
        <v>0</v>
      </c>
      <c r="P117" s="11">
        <v>0</v>
      </c>
      <c r="Q117" s="11">
        <v>0</v>
      </c>
      <c r="R117" s="11">
        <v>0</v>
      </c>
      <c r="S117" s="11">
        <f>SUM(Tableau_Lancer_la_requête_à_partir_de_AS4003[[#This Row],[POLPRCPL2]:[POLPRCPL9]])</f>
        <v>27.5</v>
      </c>
      <c r="T117" s="11">
        <v>99</v>
      </c>
      <c r="U117" s="11">
        <v>12</v>
      </c>
      <c r="V117" s="11">
        <v>0</v>
      </c>
      <c r="W117" s="11">
        <v>375.6</v>
      </c>
      <c r="X117" s="11">
        <v>0</v>
      </c>
      <c r="Y117" s="11">
        <v>0</v>
      </c>
      <c r="Z117" s="11">
        <v>1</v>
      </c>
      <c r="AA117" s="11">
        <v>0</v>
      </c>
      <c r="AB117" s="11">
        <v>0</v>
      </c>
      <c r="AC117" s="11">
        <v>0</v>
      </c>
      <c r="AD117" s="11">
        <v>0</v>
      </c>
      <c r="AE117" s="11">
        <v>0</v>
      </c>
      <c r="AF117" s="11">
        <f>IF(Tableau_Lancer_la_requête_à_partir_de_AS4003[[#This Row],[POL_SEX_ASSURE]]="M",0,1)</f>
        <v>0</v>
      </c>
      <c r="AG117" s="11" t="str">
        <f>IF(Tableau_Lancer_la_requête_à_partir_de_AS4003[[#This Row],[POL_SEX_ASSURE2]]="","",IF(Tableau_Lancer_la_requête_à_partir_de_AS4003[[#This Row],[POL_SEX_ASSURE2]]="M",0,1))</f>
        <v/>
      </c>
      <c r="AH11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17" s="11">
        <v>5000</v>
      </c>
      <c r="AJ117" s="11">
        <f>Tableau_Lancer_la_requête_à_partir_de_AS4003[[#This Row],[POL_DUREE_ASSUR]]*12</f>
        <v>1188</v>
      </c>
      <c r="AK117" s="11">
        <v>185.2</v>
      </c>
      <c r="AL117" s="11">
        <v>0</v>
      </c>
      <c r="AM117" s="11">
        <v>0</v>
      </c>
      <c r="AN117" s="11" t="s">
        <v>36</v>
      </c>
      <c r="AO117" s="11" t="s">
        <v>80</v>
      </c>
      <c r="AP117" s="11">
        <f>Tableau_Lancer_la_requête_à_partir_de_AS4003[[#This Row],[POL_TERM_M]]-Tableau_Lancer_la_requête_à_partir_de_AS4003[[#This Row],[Duration IF]]</f>
        <v>1187</v>
      </c>
      <c r="AQ117" s="11" t="s">
        <v>36</v>
      </c>
      <c r="AR117" s="11" t="s">
        <v>36</v>
      </c>
      <c r="AS117" s="11" t="s">
        <v>36</v>
      </c>
      <c r="AT117" s="11" t="s">
        <v>36</v>
      </c>
      <c r="AU117" s="11" t="s">
        <v>36</v>
      </c>
      <c r="AV117" s="11">
        <v>0</v>
      </c>
      <c r="AW117" s="11">
        <v>11</v>
      </c>
      <c r="AX117" s="11">
        <v>1</v>
      </c>
      <c r="AY117" s="11">
        <v>20181201</v>
      </c>
      <c r="AZ117" s="80">
        <f t="shared" si="6"/>
        <v>43435</v>
      </c>
      <c r="BA117" s="11">
        <v>19600525</v>
      </c>
      <c r="BB117" s="80">
        <f t="shared" si="7"/>
        <v>22061</v>
      </c>
      <c r="BC117" s="11">
        <v>0</v>
      </c>
      <c r="BD117" s="11" t="s">
        <v>83</v>
      </c>
      <c r="BE117" s="11">
        <v>1</v>
      </c>
      <c r="BF117" s="11" t="s">
        <v>36</v>
      </c>
      <c r="BG117" s="11">
        <v>348.1</v>
      </c>
      <c r="BH117" s="11">
        <v>264.3</v>
      </c>
      <c r="BI117" s="11">
        <v>0</v>
      </c>
      <c r="BJ117" s="11" t="s">
        <v>82</v>
      </c>
      <c r="BK117" s="11">
        <v>1</v>
      </c>
      <c r="BL117" s="11">
        <v>0</v>
      </c>
      <c r="BM117" s="11">
        <v>0</v>
      </c>
      <c r="BN117" s="11">
        <v>346504</v>
      </c>
      <c r="BO117" s="11">
        <v>0</v>
      </c>
      <c r="BP117" s="11" t="s">
        <v>82</v>
      </c>
      <c r="BQ117" s="11">
        <v>0</v>
      </c>
      <c r="BR117" s="11"/>
      <c r="BT117" s="11"/>
      <c r="BU117" s="11"/>
      <c r="CA117" s="11"/>
      <c r="CD117" s="11"/>
    </row>
    <row r="118" spans="2:82" ht="12.75" x14ac:dyDescent="0.2">
      <c r="B118" s="11">
        <v>383903</v>
      </c>
      <c r="C118" s="11">
        <f>ROUND(DAYS360(Tableau_Lancer_la_requête_à_partir_de_AS4003[[#This Row],[Date naissance 1]],Tableau_Lancer_la_requête_à_partir_de_AS4003[[#This Row],[Date début]])/360,0)</f>
        <v>51</v>
      </c>
      <c r="D118" s="11">
        <v>0</v>
      </c>
      <c r="E118" s="11">
        <v>0</v>
      </c>
      <c r="F118" s="11">
        <v>0</v>
      </c>
      <c r="G118" s="11">
        <v>12</v>
      </c>
      <c r="H118" s="11">
        <f>ROUND(DAYS360(Tableau_Lancer_la_requête_à_partir_de_AS4003[[#This Row],[Date début]],'Cash flows par police'!$C$4)/30,0)</f>
        <v>3</v>
      </c>
      <c r="I118" s="11">
        <v>0</v>
      </c>
      <c r="J118" s="11">
        <v>0</v>
      </c>
      <c r="K118" s="11">
        <v>0</v>
      </c>
      <c r="L118" s="11">
        <v>27.5</v>
      </c>
      <c r="M118" s="11">
        <v>0</v>
      </c>
      <c r="N118" s="11"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f>SUM(Tableau_Lancer_la_requête_à_partir_de_AS4003[[#This Row],[POLPRCPL2]:[POLPRCPL9]])</f>
        <v>27.5</v>
      </c>
      <c r="T118" s="11">
        <v>99</v>
      </c>
      <c r="U118" s="11">
        <v>12</v>
      </c>
      <c r="V118" s="11">
        <v>0</v>
      </c>
      <c r="W118" s="11">
        <v>288</v>
      </c>
      <c r="X118" s="11">
        <v>0</v>
      </c>
      <c r="Y118" s="11">
        <v>0</v>
      </c>
      <c r="Z118" s="11">
        <v>1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f>IF(Tableau_Lancer_la_requête_à_partir_de_AS4003[[#This Row],[POL_SEX_ASSURE]]="M",0,1)</f>
        <v>0</v>
      </c>
      <c r="AG118" s="11" t="str">
        <f>IF(Tableau_Lancer_la_requête_à_partir_de_AS4003[[#This Row],[POL_SEX_ASSURE2]]="","",IF(Tableau_Lancer_la_requête_à_partir_de_AS4003[[#This Row],[POL_SEX_ASSURE2]]="M",0,1))</f>
        <v/>
      </c>
      <c r="AH11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18" s="11">
        <v>5000</v>
      </c>
      <c r="AJ118" s="11">
        <f>Tableau_Lancer_la_requête_à_partir_de_AS4003[[#This Row],[POL_DUREE_ASSUR]]*12</f>
        <v>1188</v>
      </c>
      <c r="AK118" s="11">
        <v>147.1</v>
      </c>
      <c r="AL118" s="11">
        <v>0</v>
      </c>
      <c r="AM118" s="11">
        <v>0</v>
      </c>
      <c r="AN118" s="11" t="s">
        <v>36</v>
      </c>
      <c r="AO118" s="11" t="s">
        <v>80</v>
      </c>
      <c r="AP118" s="11">
        <f>Tableau_Lancer_la_requête_à_partir_de_AS4003[[#This Row],[POL_TERM_M]]-Tableau_Lancer_la_requête_à_partir_de_AS4003[[#This Row],[Duration IF]]</f>
        <v>1185</v>
      </c>
      <c r="AQ118" s="11" t="s">
        <v>36</v>
      </c>
      <c r="AR118" s="11" t="s">
        <v>36</v>
      </c>
      <c r="AS118" s="11" t="s">
        <v>36</v>
      </c>
      <c r="AT118" s="11" t="s">
        <v>36</v>
      </c>
      <c r="AU118" s="11" t="s">
        <v>36</v>
      </c>
      <c r="AV118" s="11">
        <v>0</v>
      </c>
      <c r="AW118" s="11">
        <v>11</v>
      </c>
      <c r="AX118" s="11">
        <v>1</v>
      </c>
      <c r="AY118" s="11">
        <v>20181001</v>
      </c>
      <c r="AZ118" s="80">
        <f t="shared" si="6"/>
        <v>43374</v>
      </c>
      <c r="BA118" s="11">
        <v>19670625</v>
      </c>
      <c r="BB118" s="80">
        <f t="shared" si="7"/>
        <v>24648</v>
      </c>
      <c r="BC118" s="11">
        <v>0</v>
      </c>
      <c r="BD118" s="11" t="s">
        <v>83</v>
      </c>
      <c r="BE118" s="11">
        <v>1</v>
      </c>
      <c r="BF118" s="11" t="s">
        <v>36</v>
      </c>
      <c r="BG118" s="11">
        <v>260.5</v>
      </c>
      <c r="BH118" s="11">
        <v>198</v>
      </c>
      <c r="BI118" s="11">
        <v>0</v>
      </c>
      <c r="BJ118" s="11" t="s">
        <v>82</v>
      </c>
      <c r="BK118" s="11">
        <v>1</v>
      </c>
      <c r="BL118" s="11">
        <v>0</v>
      </c>
      <c r="BM118" s="11">
        <v>0</v>
      </c>
      <c r="BN118" s="11">
        <v>383903</v>
      </c>
      <c r="BO118" s="11">
        <v>0</v>
      </c>
      <c r="BP118" s="11" t="s">
        <v>82</v>
      </c>
      <c r="BQ118" s="11">
        <v>0</v>
      </c>
      <c r="BR118" s="11"/>
      <c r="BT118" s="11"/>
      <c r="BU118" s="11"/>
      <c r="CA118" s="11"/>
      <c r="CD118" s="11"/>
    </row>
    <row r="119" spans="2:82" ht="12.75" x14ac:dyDescent="0.2">
      <c r="B119" s="11">
        <v>413108</v>
      </c>
      <c r="C119" s="11">
        <f>ROUND(DAYS360(Tableau_Lancer_la_requête_à_partir_de_AS4003[[#This Row],[Date naissance 1]],Tableau_Lancer_la_requête_à_partir_de_AS4003[[#This Row],[Date début]])/360,0)</f>
        <v>58</v>
      </c>
      <c r="D119" s="11">
        <v>0</v>
      </c>
      <c r="E119" s="11">
        <v>0</v>
      </c>
      <c r="F119" s="11">
        <v>0</v>
      </c>
      <c r="G119" s="11">
        <v>12</v>
      </c>
      <c r="H119" s="11">
        <f>ROUND(DAYS360(Tableau_Lancer_la_requête_à_partir_de_AS4003[[#This Row],[Date début]],'Cash flows par police'!$C$4)/30,0)</f>
        <v>2</v>
      </c>
      <c r="I119" s="11">
        <v>0</v>
      </c>
      <c r="J119" s="11">
        <v>0</v>
      </c>
      <c r="K119" s="11">
        <v>0</v>
      </c>
      <c r="L119" s="11">
        <v>27.5</v>
      </c>
      <c r="M119" s="11">
        <v>0</v>
      </c>
      <c r="N119" s="11">
        <v>0</v>
      </c>
      <c r="O119" s="11">
        <v>0</v>
      </c>
      <c r="P119" s="11">
        <v>0</v>
      </c>
      <c r="Q119" s="11">
        <v>0</v>
      </c>
      <c r="R119" s="11">
        <v>0</v>
      </c>
      <c r="S119" s="11">
        <f>SUM(Tableau_Lancer_la_requête_à_partir_de_AS4003[[#This Row],[POLPRCPL2]:[POLPRCPL9]])</f>
        <v>27.5</v>
      </c>
      <c r="T119" s="11">
        <v>99</v>
      </c>
      <c r="U119" s="11">
        <v>12</v>
      </c>
      <c r="V119" s="11">
        <v>0</v>
      </c>
      <c r="W119" s="11">
        <v>367.2</v>
      </c>
      <c r="X119" s="11">
        <v>0</v>
      </c>
      <c r="Y119" s="11">
        <v>0</v>
      </c>
      <c r="Z119" s="11">
        <v>1</v>
      </c>
      <c r="AA119" s="11">
        <v>0</v>
      </c>
      <c r="AB119" s="11">
        <v>0</v>
      </c>
      <c r="AC119" s="11">
        <v>0</v>
      </c>
      <c r="AD119" s="11">
        <v>0</v>
      </c>
      <c r="AE119" s="11">
        <v>0</v>
      </c>
      <c r="AF119" s="11">
        <f>IF(Tableau_Lancer_la_requête_à_partir_de_AS4003[[#This Row],[POL_SEX_ASSURE]]="M",0,1)</f>
        <v>0</v>
      </c>
      <c r="AG119" s="11" t="str">
        <f>IF(Tableau_Lancer_la_requête_à_partir_de_AS4003[[#This Row],[POL_SEX_ASSURE2]]="","",IF(Tableau_Lancer_la_requête_à_partir_de_AS4003[[#This Row],[POL_SEX_ASSURE2]]="M",0,1))</f>
        <v/>
      </c>
      <c r="AH11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19" s="11">
        <v>5000</v>
      </c>
      <c r="AJ119" s="11">
        <f>Tableau_Lancer_la_requête_à_partir_de_AS4003[[#This Row],[POL_DUREE_ASSUR]]*12</f>
        <v>1188</v>
      </c>
      <c r="AK119" s="11">
        <v>178.6</v>
      </c>
      <c r="AL119" s="11">
        <v>0</v>
      </c>
      <c r="AM119" s="11">
        <v>0</v>
      </c>
      <c r="AN119" s="11" t="s">
        <v>36</v>
      </c>
      <c r="AO119" s="11" t="s">
        <v>80</v>
      </c>
      <c r="AP119" s="11">
        <f>Tableau_Lancer_la_requête_à_partir_de_AS4003[[#This Row],[POL_TERM_M]]-Tableau_Lancer_la_requête_à_partir_de_AS4003[[#This Row],[Duration IF]]</f>
        <v>1186</v>
      </c>
      <c r="AQ119" s="11" t="s">
        <v>36</v>
      </c>
      <c r="AR119" s="11" t="s">
        <v>36</v>
      </c>
      <c r="AS119" s="11" t="s">
        <v>36</v>
      </c>
      <c r="AT119" s="11" t="s">
        <v>36</v>
      </c>
      <c r="AU119" s="11" t="s">
        <v>36</v>
      </c>
      <c r="AV119" s="11">
        <v>0</v>
      </c>
      <c r="AW119" s="11">
        <v>11</v>
      </c>
      <c r="AX119" s="11">
        <v>1</v>
      </c>
      <c r="AY119" s="11">
        <v>20181101</v>
      </c>
      <c r="AZ119" s="80">
        <f t="shared" si="6"/>
        <v>43405</v>
      </c>
      <c r="BA119" s="11">
        <v>19610224</v>
      </c>
      <c r="BB119" s="80">
        <f t="shared" si="7"/>
        <v>22336</v>
      </c>
      <c r="BC119" s="11">
        <v>0</v>
      </c>
      <c r="BD119" s="11" t="s">
        <v>83</v>
      </c>
      <c r="BE119" s="11">
        <v>1</v>
      </c>
      <c r="BF119" s="11" t="s">
        <v>36</v>
      </c>
      <c r="BG119" s="11">
        <v>339.7</v>
      </c>
      <c r="BH119" s="11">
        <v>257.7</v>
      </c>
      <c r="BI119" s="11">
        <v>0</v>
      </c>
      <c r="BJ119" s="11" t="s">
        <v>82</v>
      </c>
      <c r="BK119" s="11">
        <v>1</v>
      </c>
      <c r="BL119" s="11">
        <v>0</v>
      </c>
      <c r="BM119" s="11">
        <v>0</v>
      </c>
      <c r="BN119" s="11">
        <v>413108</v>
      </c>
      <c r="BO119" s="11">
        <v>0</v>
      </c>
      <c r="BP119" s="11" t="s">
        <v>82</v>
      </c>
      <c r="BQ119" s="11">
        <v>0</v>
      </c>
      <c r="BR119" s="11"/>
      <c r="BT119" s="11"/>
      <c r="BU119" s="11"/>
      <c r="CA119" s="11"/>
      <c r="CD119" s="11"/>
    </row>
    <row r="120" spans="2:82" ht="12.75" x14ac:dyDescent="0.2">
      <c r="B120" s="11">
        <v>520603</v>
      </c>
      <c r="C120" s="11">
        <f>ROUND(DAYS360(Tableau_Lancer_la_requête_à_partir_de_AS4003[[#This Row],[Date naissance 1]],Tableau_Lancer_la_requête_à_partir_de_AS4003[[#This Row],[Date début]])/360,0)</f>
        <v>57</v>
      </c>
      <c r="D120" s="11">
        <v>0</v>
      </c>
      <c r="E120" s="11">
        <v>0</v>
      </c>
      <c r="F120" s="11">
        <v>0</v>
      </c>
      <c r="G120" s="11">
        <v>12</v>
      </c>
      <c r="H120" s="11">
        <f>ROUND(DAYS360(Tableau_Lancer_la_requête_à_partir_de_AS4003[[#This Row],[Date début]],'Cash flows par police'!$C$4)/30,0)</f>
        <v>1</v>
      </c>
      <c r="I120" s="11">
        <v>0</v>
      </c>
      <c r="J120" s="11">
        <v>0</v>
      </c>
      <c r="K120" s="11">
        <v>0</v>
      </c>
      <c r="L120" s="11">
        <v>16.600000000000001</v>
      </c>
      <c r="M120" s="11">
        <v>0</v>
      </c>
      <c r="N120" s="11">
        <v>0</v>
      </c>
      <c r="O120" s="11">
        <v>0</v>
      </c>
      <c r="P120" s="11">
        <v>0</v>
      </c>
      <c r="Q120" s="11">
        <v>0</v>
      </c>
      <c r="R120" s="11">
        <v>0</v>
      </c>
      <c r="S120" s="11">
        <f>SUM(Tableau_Lancer_la_requête_à_partir_de_AS4003[[#This Row],[POLPRCPL2]:[POLPRCPL9]])</f>
        <v>16.600000000000001</v>
      </c>
      <c r="T120" s="11">
        <v>99</v>
      </c>
      <c r="U120" s="11">
        <v>12</v>
      </c>
      <c r="V120" s="11">
        <v>0</v>
      </c>
      <c r="W120" s="11">
        <v>216</v>
      </c>
      <c r="X120" s="11">
        <v>0</v>
      </c>
      <c r="Y120" s="11">
        <v>0</v>
      </c>
      <c r="Z120" s="11">
        <v>1</v>
      </c>
      <c r="AA120" s="11">
        <v>0</v>
      </c>
      <c r="AB120" s="11">
        <v>0</v>
      </c>
      <c r="AC120" s="11">
        <v>0</v>
      </c>
      <c r="AD120" s="11">
        <v>0</v>
      </c>
      <c r="AE120" s="11">
        <v>0</v>
      </c>
      <c r="AF120" s="11">
        <f>IF(Tableau_Lancer_la_requête_à_partir_de_AS4003[[#This Row],[POL_SEX_ASSURE]]="M",0,1)</f>
        <v>0</v>
      </c>
      <c r="AG120" s="11" t="str">
        <f>IF(Tableau_Lancer_la_requête_à_partir_de_AS4003[[#This Row],[POL_SEX_ASSURE2]]="","",IF(Tableau_Lancer_la_requête_à_partir_de_AS4003[[#This Row],[POL_SEX_ASSURE2]]="M",0,1))</f>
        <v/>
      </c>
      <c r="AH12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20" s="11">
        <v>3010</v>
      </c>
      <c r="AJ120" s="11">
        <f>Tableau_Lancer_la_requête_à_partir_de_AS4003[[#This Row],[POL_DUREE_ASSUR]]*12</f>
        <v>1188</v>
      </c>
      <c r="AK120" s="11">
        <v>103.8</v>
      </c>
      <c r="AL120" s="11">
        <v>0</v>
      </c>
      <c r="AM120" s="11">
        <v>0</v>
      </c>
      <c r="AN120" s="11" t="s">
        <v>36</v>
      </c>
      <c r="AO120" s="11" t="s">
        <v>80</v>
      </c>
      <c r="AP120" s="11">
        <f>Tableau_Lancer_la_requête_à_partir_de_AS4003[[#This Row],[POL_TERM_M]]-Tableau_Lancer_la_requête_à_partir_de_AS4003[[#This Row],[Duration IF]]</f>
        <v>1187</v>
      </c>
      <c r="AQ120" s="11" t="s">
        <v>36</v>
      </c>
      <c r="AR120" s="11" t="s">
        <v>36</v>
      </c>
      <c r="AS120" s="11" t="s">
        <v>36</v>
      </c>
      <c r="AT120" s="11" t="s">
        <v>36</v>
      </c>
      <c r="AU120" s="11" t="s">
        <v>36</v>
      </c>
      <c r="AV120" s="11">
        <v>0</v>
      </c>
      <c r="AW120" s="11">
        <v>11</v>
      </c>
      <c r="AX120" s="11">
        <v>1</v>
      </c>
      <c r="AY120" s="11">
        <v>20181201</v>
      </c>
      <c r="AZ120" s="80">
        <f t="shared" si="6"/>
        <v>43435</v>
      </c>
      <c r="BA120" s="11">
        <v>19620410</v>
      </c>
      <c r="BB120" s="80">
        <f t="shared" si="7"/>
        <v>22746</v>
      </c>
      <c r="BC120" s="11">
        <v>0</v>
      </c>
      <c r="BD120" s="11" t="s">
        <v>83</v>
      </c>
      <c r="BE120" s="11">
        <v>1</v>
      </c>
      <c r="BF120" s="11" t="s">
        <v>36</v>
      </c>
      <c r="BG120" s="11">
        <v>199.4</v>
      </c>
      <c r="BH120" s="11">
        <v>151.4</v>
      </c>
      <c r="BI120" s="11">
        <v>0</v>
      </c>
      <c r="BJ120" s="11" t="s">
        <v>82</v>
      </c>
      <c r="BK120" s="11">
        <v>1</v>
      </c>
      <c r="BL120" s="11">
        <v>0</v>
      </c>
      <c r="BM120" s="11">
        <v>0</v>
      </c>
      <c r="BN120" s="11">
        <v>520603</v>
      </c>
      <c r="BO120" s="11">
        <v>0</v>
      </c>
      <c r="BP120" s="11" t="s">
        <v>82</v>
      </c>
      <c r="BQ120" s="11">
        <v>0</v>
      </c>
      <c r="BR120" s="11"/>
      <c r="BT120" s="11"/>
      <c r="BU120" s="11"/>
      <c r="CA120" s="11"/>
      <c r="CD120" s="11"/>
    </row>
    <row r="121" spans="2:82" ht="12.75" x14ac:dyDescent="0.2">
      <c r="B121" s="11">
        <v>524403</v>
      </c>
      <c r="C121" s="11">
        <f>ROUND(DAYS360(Tableau_Lancer_la_requête_à_partir_de_AS4003[[#This Row],[Date naissance 1]],Tableau_Lancer_la_requête_à_partir_de_AS4003[[#This Row],[Date début]])/360,0)</f>
        <v>59</v>
      </c>
      <c r="D121" s="11">
        <v>0</v>
      </c>
      <c r="E121" s="11">
        <v>0</v>
      </c>
      <c r="F121" s="11">
        <v>0</v>
      </c>
      <c r="G121" s="11">
        <v>12</v>
      </c>
      <c r="H121" s="11">
        <f>ROUND(DAYS360(Tableau_Lancer_la_requête_à_partir_de_AS4003[[#This Row],[Date début]],'Cash flows par police'!$C$4)/30,0)</f>
        <v>2</v>
      </c>
      <c r="I121" s="11">
        <v>0</v>
      </c>
      <c r="J121" s="11">
        <v>0</v>
      </c>
      <c r="K121" s="11">
        <v>0</v>
      </c>
      <c r="L121" s="11">
        <v>27.5</v>
      </c>
      <c r="M121" s="11">
        <v>0</v>
      </c>
      <c r="N121" s="11"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f>SUM(Tableau_Lancer_la_requête_à_partir_de_AS4003[[#This Row],[POLPRCPL2]:[POLPRCPL9]])</f>
        <v>27.5</v>
      </c>
      <c r="T121" s="11">
        <v>99</v>
      </c>
      <c r="U121" s="11">
        <v>12</v>
      </c>
      <c r="V121" s="11">
        <v>0</v>
      </c>
      <c r="W121" s="11">
        <v>385.2</v>
      </c>
      <c r="X121" s="11">
        <v>9.6</v>
      </c>
      <c r="Y121" s="11">
        <v>0</v>
      </c>
      <c r="Z121" s="11">
        <v>1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f>IF(Tableau_Lancer_la_requête_à_partir_de_AS4003[[#This Row],[POL_SEX_ASSURE]]="M",0,1)</f>
        <v>0</v>
      </c>
      <c r="AG121" s="11" t="str">
        <f>IF(Tableau_Lancer_la_requête_à_partir_de_AS4003[[#This Row],[POL_SEX_ASSURE2]]="","",IF(Tableau_Lancer_la_requête_à_partir_de_AS4003[[#This Row],[POL_SEX_ASSURE2]]="M",0,1))</f>
        <v/>
      </c>
      <c r="AH12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21" s="11">
        <v>5000</v>
      </c>
      <c r="AJ121" s="11">
        <f>Tableau_Lancer_la_requête_à_partir_de_AS4003[[#This Row],[POL_DUREE_ASSUR]]*12</f>
        <v>1188</v>
      </c>
      <c r="AK121" s="11">
        <v>192.3</v>
      </c>
      <c r="AL121" s="11">
        <v>9.6</v>
      </c>
      <c r="AM121" s="11">
        <v>0</v>
      </c>
      <c r="AN121" s="11" t="s">
        <v>36</v>
      </c>
      <c r="AO121" s="11" t="s">
        <v>80</v>
      </c>
      <c r="AP121" s="11">
        <f>Tableau_Lancer_la_requête_à_partir_de_AS4003[[#This Row],[POL_TERM_M]]-Tableau_Lancer_la_requête_à_partir_de_AS4003[[#This Row],[Duration IF]]</f>
        <v>1186</v>
      </c>
      <c r="AQ121" s="11" t="s">
        <v>36</v>
      </c>
      <c r="AR121" s="11" t="s">
        <v>36</v>
      </c>
      <c r="AS121" s="11" t="s">
        <v>36</v>
      </c>
      <c r="AT121" s="11" t="s">
        <v>36</v>
      </c>
      <c r="AU121" s="11" t="s">
        <v>36</v>
      </c>
      <c r="AV121" s="11">
        <v>0</v>
      </c>
      <c r="AW121" s="11">
        <v>11</v>
      </c>
      <c r="AX121" s="11">
        <v>1</v>
      </c>
      <c r="AY121" s="11">
        <v>20181101</v>
      </c>
      <c r="AZ121" s="80">
        <f t="shared" si="6"/>
        <v>43405</v>
      </c>
      <c r="BA121" s="11">
        <v>19590801</v>
      </c>
      <c r="BB121" s="80">
        <f t="shared" si="7"/>
        <v>21763</v>
      </c>
      <c r="BC121" s="11">
        <v>0</v>
      </c>
      <c r="BD121" s="11" t="s">
        <v>83</v>
      </c>
      <c r="BE121" s="11">
        <v>1</v>
      </c>
      <c r="BF121" s="11" t="s">
        <v>36</v>
      </c>
      <c r="BG121" s="11">
        <v>357.7</v>
      </c>
      <c r="BH121" s="11">
        <v>271.3</v>
      </c>
      <c r="BI121" s="11">
        <v>0</v>
      </c>
      <c r="BJ121" s="11" t="s">
        <v>82</v>
      </c>
      <c r="BK121" s="11">
        <v>1</v>
      </c>
      <c r="BL121" s="11">
        <v>0</v>
      </c>
      <c r="BM121" s="11">
        <v>0</v>
      </c>
      <c r="BN121" s="11">
        <v>524403</v>
      </c>
      <c r="BO121" s="11">
        <v>0</v>
      </c>
      <c r="BP121" s="11" t="s">
        <v>82</v>
      </c>
      <c r="BQ121" s="11">
        <v>0</v>
      </c>
      <c r="BR121" s="11"/>
      <c r="BT121" s="11"/>
      <c r="BU121" s="11"/>
      <c r="CA121" s="11"/>
      <c r="CD121" s="11"/>
    </row>
    <row r="122" spans="2:82" ht="12.75" x14ac:dyDescent="0.2">
      <c r="B122" s="11">
        <v>534205</v>
      </c>
      <c r="C122" s="11">
        <f>ROUND(DAYS360(Tableau_Lancer_la_requête_à_partir_de_AS4003[[#This Row],[Date naissance 1]],Tableau_Lancer_la_requête_à_partir_de_AS4003[[#This Row],[Date début]])/360,0)</f>
        <v>60</v>
      </c>
      <c r="D122" s="11">
        <v>0</v>
      </c>
      <c r="E122" s="11">
        <v>0</v>
      </c>
      <c r="F122" s="11">
        <v>0</v>
      </c>
      <c r="G122" s="11">
        <v>12</v>
      </c>
      <c r="H122" s="11">
        <f>ROUND(DAYS360(Tableau_Lancer_la_requête_à_partir_de_AS4003[[#This Row],[Date début]],'Cash flows par police'!$C$4)/30,0)</f>
        <v>1</v>
      </c>
      <c r="I122" s="11">
        <v>0</v>
      </c>
      <c r="J122" s="11">
        <v>0</v>
      </c>
      <c r="K122" s="11">
        <v>0</v>
      </c>
      <c r="L122" s="11">
        <v>15.1</v>
      </c>
      <c r="M122" s="11">
        <v>0</v>
      </c>
      <c r="N122" s="11">
        <v>0</v>
      </c>
      <c r="O122" s="11">
        <v>0</v>
      </c>
      <c r="P122" s="11">
        <v>0</v>
      </c>
      <c r="Q122" s="11">
        <v>0</v>
      </c>
      <c r="R122" s="11">
        <v>0</v>
      </c>
      <c r="S122" s="11">
        <f>SUM(Tableau_Lancer_la_requête_à_partir_de_AS4003[[#This Row],[POLPRCPL2]:[POLPRCPL9]])</f>
        <v>15.1</v>
      </c>
      <c r="T122" s="11">
        <v>99</v>
      </c>
      <c r="U122" s="11">
        <v>12</v>
      </c>
      <c r="V122" s="11">
        <v>0</v>
      </c>
      <c r="W122" s="11">
        <v>216</v>
      </c>
      <c r="X122" s="11">
        <v>0</v>
      </c>
      <c r="Y122" s="11">
        <v>0</v>
      </c>
      <c r="Z122" s="11">
        <v>1</v>
      </c>
      <c r="AA122" s="11">
        <v>0</v>
      </c>
      <c r="AB122" s="11">
        <v>0</v>
      </c>
      <c r="AC122" s="11">
        <v>0</v>
      </c>
      <c r="AD122" s="11">
        <v>0</v>
      </c>
      <c r="AE122" s="11">
        <v>0</v>
      </c>
      <c r="AF122" s="11">
        <f>IF(Tableau_Lancer_la_requête_à_partir_de_AS4003[[#This Row],[POL_SEX_ASSURE]]="M",0,1)</f>
        <v>0</v>
      </c>
      <c r="AG122" s="11" t="str">
        <f>IF(Tableau_Lancer_la_requête_à_partir_de_AS4003[[#This Row],[POL_SEX_ASSURE2]]="","",IF(Tableau_Lancer_la_requête_à_partir_de_AS4003[[#This Row],[POL_SEX_ASSURE2]]="M",0,1))</f>
        <v/>
      </c>
      <c r="AH12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22" s="11">
        <v>2737.5</v>
      </c>
      <c r="AJ122" s="11">
        <f>Tableau_Lancer_la_requête_à_partir_de_AS4003[[#This Row],[POL_DUREE_ASSUR]]*12</f>
        <v>1188</v>
      </c>
      <c r="AK122" s="11">
        <v>109.5</v>
      </c>
      <c r="AL122" s="11">
        <v>0</v>
      </c>
      <c r="AM122" s="11">
        <v>0</v>
      </c>
      <c r="AN122" s="11" t="s">
        <v>36</v>
      </c>
      <c r="AO122" s="11" t="s">
        <v>80</v>
      </c>
      <c r="AP122" s="11">
        <f>Tableau_Lancer_la_requête_à_partir_de_AS4003[[#This Row],[POL_TERM_M]]-Tableau_Lancer_la_requête_à_partir_de_AS4003[[#This Row],[Duration IF]]</f>
        <v>1187</v>
      </c>
      <c r="AQ122" s="11" t="s">
        <v>36</v>
      </c>
      <c r="AR122" s="11" t="s">
        <v>36</v>
      </c>
      <c r="AS122" s="11" t="s">
        <v>36</v>
      </c>
      <c r="AT122" s="11" t="s">
        <v>36</v>
      </c>
      <c r="AU122" s="11" t="s">
        <v>36</v>
      </c>
      <c r="AV122" s="11">
        <v>0</v>
      </c>
      <c r="AW122" s="11">
        <v>11</v>
      </c>
      <c r="AX122" s="11">
        <v>1</v>
      </c>
      <c r="AY122" s="11">
        <v>20181201</v>
      </c>
      <c r="AZ122" s="80">
        <f t="shared" si="6"/>
        <v>43435</v>
      </c>
      <c r="BA122" s="11">
        <v>19580713</v>
      </c>
      <c r="BB122" s="80">
        <f t="shared" si="7"/>
        <v>21379</v>
      </c>
      <c r="BC122" s="11">
        <v>0</v>
      </c>
      <c r="BD122" s="11" t="s">
        <v>83</v>
      </c>
      <c r="BE122" s="11">
        <v>1</v>
      </c>
      <c r="BF122" s="11" t="s">
        <v>36</v>
      </c>
      <c r="BG122" s="11">
        <v>200.9</v>
      </c>
      <c r="BH122" s="11">
        <v>152.6</v>
      </c>
      <c r="BI122" s="11">
        <v>0</v>
      </c>
      <c r="BJ122" s="11" t="s">
        <v>82</v>
      </c>
      <c r="BK122" s="11">
        <v>1</v>
      </c>
      <c r="BL122" s="11">
        <v>0</v>
      </c>
      <c r="BM122" s="11">
        <v>0</v>
      </c>
      <c r="BN122" s="11">
        <v>534205</v>
      </c>
      <c r="BO122" s="11">
        <v>0</v>
      </c>
      <c r="BP122" s="11" t="s">
        <v>82</v>
      </c>
      <c r="BQ122" s="11">
        <v>0</v>
      </c>
      <c r="BR122" s="11"/>
      <c r="BT122" s="11"/>
      <c r="BU122" s="11"/>
      <c r="CA122" s="11"/>
      <c r="CD122" s="11"/>
    </row>
    <row r="123" spans="2:82" ht="12.75" x14ac:dyDescent="0.2">
      <c r="B123" s="11">
        <v>552202</v>
      </c>
      <c r="C123" s="11">
        <f>ROUND(DAYS360(Tableau_Lancer_la_requête_à_partir_de_AS4003[[#This Row],[Date naissance 1]],Tableau_Lancer_la_requête_à_partir_de_AS4003[[#This Row],[Date début]])/360,0)</f>
        <v>66</v>
      </c>
      <c r="D123" s="11">
        <v>0</v>
      </c>
      <c r="E123" s="11">
        <v>0</v>
      </c>
      <c r="F123" s="11">
        <v>0</v>
      </c>
      <c r="G123" s="11">
        <v>12</v>
      </c>
      <c r="H123" s="11">
        <f>ROUND(DAYS360(Tableau_Lancer_la_requête_à_partir_de_AS4003[[#This Row],[Date début]],'Cash flows par police'!$C$4)/30,0)</f>
        <v>21</v>
      </c>
      <c r="I123" s="11">
        <v>0</v>
      </c>
      <c r="J123" s="11">
        <v>0</v>
      </c>
      <c r="K123" s="11">
        <v>0</v>
      </c>
      <c r="L123" s="11">
        <v>10.8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f>SUM(Tableau_Lancer_la_requête_à_partir_de_AS4003[[#This Row],[POLPRCPL2]:[POLPRCPL9]])</f>
        <v>10.8</v>
      </c>
      <c r="T123" s="11">
        <v>99</v>
      </c>
      <c r="U123" s="11">
        <v>1</v>
      </c>
      <c r="V123" s="11">
        <v>0</v>
      </c>
      <c r="W123" s="11">
        <v>200</v>
      </c>
      <c r="X123" s="11">
        <v>102.6</v>
      </c>
      <c r="Y123" s="11">
        <v>1.2</v>
      </c>
      <c r="Z123" s="11">
        <v>1</v>
      </c>
      <c r="AA123" s="11">
        <v>0</v>
      </c>
      <c r="AB123" s="11">
        <v>0</v>
      </c>
      <c r="AC123" s="11">
        <v>0</v>
      </c>
      <c r="AD123" s="11">
        <v>0</v>
      </c>
      <c r="AE123" s="11">
        <v>0</v>
      </c>
      <c r="AF123" s="11">
        <f>IF(Tableau_Lancer_la_requête_à_partir_de_AS4003[[#This Row],[POL_SEX_ASSURE]]="M",0,1)</f>
        <v>0</v>
      </c>
      <c r="AG123" s="11" t="str">
        <f>IF(Tableau_Lancer_la_requête_à_partir_de_AS4003[[#This Row],[POL_SEX_ASSURE2]]="","",IF(Tableau_Lancer_la_requête_à_partir_de_AS4003[[#This Row],[POL_SEX_ASSURE2]]="M",0,1))</f>
        <v/>
      </c>
      <c r="AH12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23" s="11">
        <v>2123.6999999999998</v>
      </c>
      <c r="AJ123" s="11">
        <f>Tableau_Lancer_la_requête_à_partir_de_AS4003[[#This Row],[POL_DUREE_ASSUR]]*12</f>
        <v>1188</v>
      </c>
      <c r="AK123" s="11">
        <v>111.8</v>
      </c>
      <c r="AL123" s="11">
        <v>102.6</v>
      </c>
      <c r="AM123" s="11">
        <v>4</v>
      </c>
      <c r="AN123" s="11" t="s">
        <v>36</v>
      </c>
      <c r="AO123" s="11" t="s">
        <v>80</v>
      </c>
      <c r="AP123" s="11">
        <f>Tableau_Lancer_la_requête_à_partir_de_AS4003[[#This Row],[POL_TERM_M]]-Tableau_Lancer_la_requête_à_partir_de_AS4003[[#This Row],[Duration IF]]</f>
        <v>1167</v>
      </c>
      <c r="AQ123" s="11" t="s">
        <v>36</v>
      </c>
      <c r="AR123" s="11" t="s">
        <v>36</v>
      </c>
      <c r="AS123" s="11" t="s">
        <v>36</v>
      </c>
      <c r="AT123" s="11" t="s">
        <v>36</v>
      </c>
      <c r="AU123" s="11" t="s">
        <v>36</v>
      </c>
      <c r="AV123" s="11">
        <v>0</v>
      </c>
      <c r="AW123" s="11">
        <v>11</v>
      </c>
      <c r="AX123" s="11">
        <v>1</v>
      </c>
      <c r="AY123" s="11">
        <v>20170401</v>
      </c>
      <c r="AZ123" s="80">
        <f t="shared" si="6"/>
        <v>42826</v>
      </c>
      <c r="BA123" s="11">
        <v>19510325</v>
      </c>
      <c r="BB123" s="80">
        <f t="shared" si="7"/>
        <v>18712</v>
      </c>
      <c r="BC123" s="11">
        <v>0</v>
      </c>
      <c r="BD123" s="11" t="s">
        <v>83</v>
      </c>
      <c r="BE123" s="11">
        <v>1</v>
      </c>
      <c r="BF123" s="11" t="s">
        <v>36</v>
      </c>
      <c r="BG123" s="11">
        <v>189.2</v>
      </c>
      <c r="BH123" s="11">
        <v>155.1</v>
      </c>
      <c r="BI123" s="11">
        <v>0</v>
      </c>
      <c r="BJ123" s="11" t="s">
        <v>82</v>
      </c>
      <c r="BK123" s="11">
        <v>1</v>
      </c>
      <c r="BL123" s="11">
        <v>0</v>
      </c>
      <c r="BM123" s="11">
        <v>0</v>
      </c>
      <c r="BN123" s="11">
        <v>552202</v>
      </c>
      <c r="BO123" s="11">
        <v>0</v>
      </c>
      <c r="BP123" s="11" t="s">
        <v>82</v>
      </c>
      <c r="BQ123" s="11">
        <v>4</v>
      </c>
      <c r="BR123" s="11"/>
      <c r="BT123" s="11"/>
      <c r="BU123" s="11"/>
      <c r="CA123" s="11"/>
      <c r="CD123" s="11"/>
    </row>
    <row r="124" spans="2:82" ht="12.75" x14ac:dyDescent="0.2">
      <c r="B124" s="11">
        <v>552402</v>
      </c>
      <c r="C124" s="11">
        <f>ROUND(DAYS360(Tableau_Lancer_la_requête_à_partir_de_AS4003[[#This Row],[Date naissance 1]],Tableau_Lancer_la_requête_à_partir_de_AS4003[[#This Row],[Date début]])/360,0)</f>
        <v>57</v>
      </c>
      <c r="D124" s="11">
        <v>0</v>
      </c>
      <c r="E124" s="11">
        <v>0</v>
      </c>
      <c r="F124" s="11">
        <v>0</v>
      </c>
      <c r="G124" s="11">
        <v>12</v>
      </c>
      <c r="H124" s="11">
        <f>ROUND(DAYS360(Tableau_Lancer_la_requête_à_partir_de_AS4003[[#This Row],[Date début]],'Cash flows par police'!$C$4)/30,0)</f>
        <v>20</v>
      </c>
      <c r="I124" s="11">
        <v>0</v>
      </c>
      <c r="J124" s="11">
        <v>0</v>
      </c>
      <c r="K124" s="11">
        <v>0</v>
      </c>
      <c r="L124" s="11">
        <v>76.5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f>SUM(Tableau_Lancer_la_requête_à_partir_de_AS4003[[#This Row],[POLPRCPL2]:[POLPRCPL9]])</f>
        <v>76.5</v>
      </c>
      <c r="T124" s="11">
        <v>99</v>
      </c>
      <c r="U124" s="11">
        <v>1</v>
      </c>
      <c r="V124" s="11">
        <v>0</v>
      </c>
      <c r="W124" s="11">
        <v>1019.4</v>
      </c>
      <c r="X124" s="11">
        <v>518.70000000000005</v>
      </c>
      <c r="Y124" s="11">
        <v>0</v>
      </c>
      <c r="Z124" s="11">
        <v>1</v>
      </c>
      <c r="AA124" s="11">
        <v>0</v>
      </c>
      <c r="AB124" s="11">
        <v>0</v>
      </c>
      <c r="AC124" s="11">
        <v>0</v>
      </c>
      <c r="AD124" s="11">
        <v>0</v>
      </c>
      <c r="AE124" s="11">
        <v>0</v>
      </c>
      <c r="AF124" s="11">
        <f>IF(Tableau_Lancer_la_requête_à_partir_de_AS4003[[#This Row],[POL_SEX_ASSURE]]="M",0,1)</f>
        <v>0</v>
      </c>
      <c r="AG124" s="11" t="str">
        <f>IF(Tableau_Lancer_la_requête_à_partir_de_AS4003[[#This Row],[POL_SEX_ASSURE2]]="","",IF(Tableau_Lancer_la_requête_à_partir_de_AS4003[[#This Row],[POL_SEX_ASSURE2]]="M",0,1))</f>
        <v/>
      </c>
      <c r="AH12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24" s="11">
        <v>15000</v>
      </c>
      <c r="AJ124" s="11">
        <f>Tableau_Lancer_la_requête_à_partir_de_AS4003[[#This Row],[POL_DUREE_ASSUR]]*12</f>
        <v>1188</v>
      </c>
      <c r="AK124" s="11">
        <v>535.70000000000005</v>
      </c>
      <c r="AL124" s="11">
        <v>518.70000000000005</v>
      </c>
      <c r="AM124" s="11">
        <v>0</v>
      </c>
      <c r="AN124" s="11" t="s">
        <v>36</v>
      </c>
      <c r="AO124" s="11" t="s">
        <v>80</v>
      </c>
      <c r="AP124" s="11">
        <f>Tableau_Lancer_la_requête_à_partir_de_AS4003[[#This Row],[POL_TERM_M]]-Tableau_Lancer_la_requête_à_partir_de_AS4003[[#This Row],[Duration IF]]</f>
        <v>1168</v>
      </c>
      <c r="AQ124" s="11" t="s">
        <v>36</v>
      </c>
      <c r="AR124" s="11" t="s">
        <v>36</v>
      </c>
      <c r="AS124" s="11" t="s">
        <v>36</v>
      </c>
      <c r="AT124" s="11" t="s">
        <v>36</v>
      </c>
      <c r="AU124" s="11" t="s">
        <v>36</v>
      </c>
      <c r="AV124" s="11">
        <v>0</v>
      </c>
      <c r="AW124" s="11">
        <v>11</v>
      </c>
      <c r="AX124" s="11">
        <v>1</v>
      </c>
      <c r="AY124" s="11">
        <v>20170501</v>
      </c>
      <c r="AZ124" s="80">
        <f t="shared" si="6"/>
        <v>42856</v>
      </c>
      <c r="BA124" s="11">
        <v>19600717</v>
      </c>
      <c r="BB124" s="80">
        <f t="shared" si="7"/>
        <v>22114</v>
      </c>
      <c r="BC124" s="11">
        <v>0</v>
      </c>
      <c r="BD124" s="11" t="s">
        <v>83</v>
      </c>
      <c r="BE124" s="11">
        <v>1</v>
      </c>
      <c r="BF124" s="11" t="s">
        <v>36</v>
      </c>
      <c r="BG124" s="11">
        <v>942.9</v>
      </c>
      <c r="BH124" s="11">
        <v>773.2</v>
      </c>
      <c r="BI124" s="11">
        <v>0</v>
      </c>
      <c r="BJ124" s="11" t="s">
        <v>82</v>
      </c>
      <c r="BK124" s="11">
        <v>1</v>
      </c>
      <c r="BL124" s="11">
        <v>253.5</v>
      </c>
      <c r="BM124" s="11">
        <v>20.6</v>
      </c>
      <c r="BN124" s="11">
        <v>552402</v>
      </c>
      <c r="BO124" s="11">
        <v>0</v>
      </c>
      <c r="BP124" s="11" t="s">
        <v>82</v>
      </c>
      <c r="BQ124" s="11">
        <v>0</v>
      </c>
      <c r="BR124" s="11"/>
      <c r="BT124" s="11"/>
      <c r="BU124" s="11"/>
      <c r="CA124" s="11"/>
      <c r="CD124" s="11"/>
    </row>
    <row r="125" spans="2:82" ht="12.75" x14ac:dyDescent="0.2">
      <c r="B125" s="11">
        <v>552902</v>
      </c>
      <c r="C125" s="11">
        <f>ROUND(DAYS360(Tableau_Lancer_la_requête_à_partir_de_AS4003[[#This Row],[Date naissance 1]],Tableau_Lancer_la_requête_à_partir_de_AS4003[[#This Row],[Date début]])/360,0)</f>
        <v>60</v>
      </c>
      <c r="D125" s="11">
        <v>0</v>
      </c>
      <c r="E125" s="11">
        <v>0</v>
      </c>
      <c r="F125" s="11">
        <v>0</v>
      </c>
      <c r="G125" s="11">
        <v>12</v>
      </c>
      <c r="H125" s="11">
        <f>ROUND(DAYS360(Tableau_Lancer_la_requête_à_partir_de_AS4003[[#This Row],[Date début]],'Cash flows par police'!$C$4)/30,0)</f>
        <v>2</v>
      </c>
      <c r="I125" s="11">
        <v>0</v>
      </c>
      <c r="J125" s="11">
        <v>0</v>
      </c>
      <c r="K125" s="11">
        <v>0</v>
      </c>
      <c r="L125" s="11">
        <v>41.3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f>SUM(Tableau_Lancer_la_requête_à_partir_de_AS4003[[#This Row],[POLPRCPL2]:[POLPRCPL9]])</f>
        <v>41.3</v>
      </c>
      <c r="T125" s="11">
        <v>99</v>
      </c>
      <c r="U125" s="11">
        <v>12</v>
      </c>
      <c r="V125" s="11">
        <v>0</v>
      </c>
      <c r="W125" s="11">
        <v>577.20000000000005</v>
      </c>
      <c r="X125" s="11">
        <v>14.4</v>
      </c>
      <c r="Y125" s="11">
        <v>0</v>
      </c>
      <c r="Z125" s="11">
        <v>1</v>
      </c>
      <c r="AA125" s="11">
        <v>0</v>
      </c>
      <c r="AB125" s="11">
        <v>0</v>
      </c>
      <c r="AC125" s="11">
        <v>0</v>
      </c>
      <c r="AD125" s="11">
        <v>0</v>
      </c>
      <c r="AE125" s="11">
        <v>0</v>
      </c>
      <c r="AF125" s="11">
        <f>IF(Tableau_Lancer_la_requête_à_partir_de_AS4003[[#This Row],[POL_SEX_ASSURE]]="M",0,1)</f>
        <v>0</v>
      </c>
      <c r="AG125" s="11" t="str">
        <f>IF(Tableau_Lancer_la_requête_à_partir_de_AS4003[[#This Row],[POL_SEX_ASSURE2]]="","",IF(Tableau_Lancer_la_requête_à_partir_de_AS4003[[#This Row],[POL_SEX_ASSURE2]]="M",0,1))</f>
        <v/>
      </c>
      <c r="AH12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25" s="11">
        <v>7500</v>
      </c>
      <c r="AJ125" s="11">
        <f>Tableau_Lancer_la_requête_à_partir_de_AS4003[[#This Row],[POL_DUREE_ASSUR]]*12</f>
        <v>1188</v>
      </c>
      <c r="AK125" s="11">
        <v>288.5</v>
      </c>
      <c r="AL125" s="11">
        <v>14.4</v>
      </c>
      <c r="AM125" s="11">
        <v>0</v>
      </c>
      <c r="AN125" s="11" t="s">
        <v>36</v>
      </c>
      <c r="AO125" s="11" t="s">
        <v>80</v>
      </c>
      <c r="AP125" s="11">
        <f>Tableau_Lancer_la_requête_à_partir_de_AS4003[[#This Row],[POL_TERM_M]]-Tableau_Lancer_la_requête_à_partir_de_AS4003[[#This Row],[Duration IF]]</f>
        <v>1186</v>
      </c>
      <c r="AQ125" s="11" t="s">
        <v>36</v>
      </c>
      <c r="AR125" s="11" t="s">
        <v>36</v>
      </c>
      <c r="AS125" s="11" t="s">
        <v>36</v>
      </c>
      <c r="AT125" s="11" t="s">
        <v>36</v>
      </c>
      <c r="AU125" s="11" t="s">
        <v>36</v>
      </c>
      <c r="AV125" s="11">
        <v>0</v>
      </c>
      <c r="AW125" s="11">
        <v>11</v>
      </c>
      <c r="AX125" s="11">
        <v>1</v>
      </c>
      <c r="AY125" s="11">
        <v>20181101</v>
      </c>
      <c r="AZ125" s="80">
        <f t="shared" si="6"/>
        <v>43405</v>
      </c>
      <c r="BA125" s="11">
        <v>19590428</v>
      </c>
      <c r="BB125" s="80">
        <f t="shared" si="7"/>
        <v>21668</v>
      </c>
      <c r="BC125" s="11">
        <v>0</v>
      </c>
      <c r="BD125" s="11" t="s">
        <v>83</v>
      </c>
      <c r="BE125" s="11">
        <v>1</v>
      </c>
      <c r="BF125" s="11" t="s">
        <v>36</v>
      </c>
      <c r="BG125" s="11">
        <v>535.9</v>
      </c>
      <c r="BH125" s="11">
        <v>406.9</v>
      </c>
      <c r="BI125" s="11">
        <v>0</v>
      </c>
      <c r="BJ125" s="11" t="s">
        <v>82</v>
      </c>
      <c r="BK125" s="11">
        <v>1</v>
      </c>
      <c r="BL125" s="11">
        <v>0</v>
      </c>
      <c r="BM125" s="11">
        <v>0</v>
      </c>
      <c r="BN125" s="11">
        <v>552902</v>
      </c>
      <c r="BO125" s="11">
        <v>0</v>
      </c>
      <c r="BP125" s="11" t="s">
        <v>82</v>
      </c>
      <c r="BQ125" s="11">
        <v>0</v>
      </c>
      <c r="BR125" s="11"/>
      <c r="BT125" s="11"/>
      <c r="BU125" s="11"/>
      <c r="CA125" s="11"/>
      <c r="CD125" s="11"/>
    </row>
    <row r="126" spans="2:82" ht="12.75" x14ac:dyDescent="0.2">
      <c r="B126" s="11">
        <v>562807</v>
      </c>
      <c r="C126" s="11">
        <f>ROUND(DAYS360(Tableau_Lancer_la_requête_à_partir_de_AS4003[[#This Row],[Date naissance 1]],Tableau_Lancer_la_requête_à_partir_de_AS4003[[#This Row],[Date début]])/360,0)</f>
        <v>60</v>
      </c>
      <c r="D126" s="11">
        <v>0</v>
      </c>
      <c r="E126" s="11">
        <v>0</v>
      </c>
      <c r="F126" s="11">
        <v>0</v>
      </c>
      <c r="G126" s="11">
        <v>12</v>
      </c>
      <c r="H126" s="11">
        <f>ROUND(DAYS360(Tableau_Lancer_la_requête_à_partir_de_AS4003[[#This Row],[Date début]],'Cash flows par police'!$C$4)/30,0)</f>
        <v>1</v>
      </c>
      <c r="I126" s="11">
        <v>0</v>
      </c>
      <c r="J126" s="11">
        <v>0</v>
      </c>
      <c r="K126" s="11">
        <v>0</v>
      </c>
      <c r="L126" s="11">
        <v>27.5</v>
      </c>
      <c r="M126" s="11">
        <v>0</v>
      </c>
      <c r="N126" s="11">
        <v>0</v>
      </c>
      <c r="O126" s="11">
        <v>0</v>
      </c>
      <c r="P126" s="11">
        <v>0</v>
      </c>
      <c r="Q126" s="11">
        <v>0</v>
      </c>
      <c r="R126" s="11">
        <v>0</v>
      </c>
      <c r="S126" s="11">
        <f>SUM(Tableau_Lancer_la_requête_à_partir_de_AS4003[[#This Row],[POLPRCPL2]:[POLPRCPL9]])</f>
        <v>27.5</v>
      </c>
      <c r="T126" s="11">
        <v>99</v>
      </c>
      <c r="U126" s="11">
        <v>12</v>
      </c>
      <c r="V126" s="11">
        <v>0</v>
      </c>
      <c r="W126" s="11">
        <v>385.2</v>
      </c>
      <c r="X126" s="11">
        <v>0</v>
      </c>
      <c r="Y126" s="11">
        <v>0</v>
      </c>
      <c r="Z126" s="11">
        <v>1</v>
      </c>
      <c r="AA126" s="11">
        <v>0</v>
      </c>
      <c r="AB126" s="11">
        <v>0</v>
      </c>
      <c r="AC126" s="11">
        <v>0</v>
      </c>
      <c r="AD126" s="11">
        <v>0</v>
      </c>
      <c r="AE126" s="11">
        <v>0</v>
      </c>
      <c r="AF126" s="11">
        <f>IF(Tableau_Lancer_la_requête_à_partir_de_AS4003[[#This Row],[POL_SEX_ASSURE]]="M",0,1)</f>
        <v>0</v>
      </c>
      <c r="AG126" s="11" t="str">
        <f>IF(Tableau_Lancer_la_requête_à_partir_de_AS4003[[#This Row],[POL_SEX_ASSURE2]]="","",IF(Tableau_Lancer_la_requête_à_partir_de_AS4003[[#This Row],[POL_SEX_ASSURE2]]="M",0,1))</f>
        <v/>
      </c>
      <c r="AH12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26" s="11">
        <v>5000</v>
      </c>
      <c r="AJ126" s="11">
        <f>Tableau_Lancer_la_requête_à_partir_de_AS4003[[#This Row],[POL_DUREE_ASSUR]]*12</f>
        <v>1188</v>
      </c>
      <c r="AK126" s="11">
        <v>192.3</v>
      </c>
      <c r="AL126" s="11">
        <v>0</v>
      </c>
      <c r="AM126" s="11">
        <v>0</v>
      </c>
      <c r="AN126" s="11" t="s">
        <v>36</v>
      </c>
      <c r="AO126" s="11" t="s">
        <v>80</v>
      </c>
      <c r="AP126" s="11">
        <f>Tableau_Lancer_la_requête_à_partir_de_AS4003[[#This Row],[POL_TERM_M]]-Tableau_Lancer_la_requête_à_partir_de_AS4003[[#This Row],[Duration IF]]</f>
        <v>1187</v>
      </c>
      <c r="AQ126" s="11" t="s">
        <v>36</v>
      </c>
      <c r="AR126" s="11" t="s">
        <v>36</v>
      </c>
      <c r="AS126" s="11" t="s">
        <v>36</v>
      </c>
      <c r="AT126" s="11" t="s">
        <v>36</v>
      </c>
      <c r="AU126" s="11" t="s">
        <v>36</v>
      </c>
      <c r="AV126" s="11">
        <v>0</v>
      </c>
      <c r="AW126" s="11">
        <v>11</v>
      </c>
      <c r="AX126" s="11">
        <v>1</v>
      </c>
      <c r="AY126" s="11">
        <v>20181201</v>
      </c>
      <c r="AZ126" s="80">
        <f t="shared" si="6"/>
        <v>43435</v>
      </c>
      <c r="BA126" s="11">
        <v>19590105</v>
      </c>
      <c r="BB126" s="80">
        <f t="shared" si="7"/>
        <v>21555</v>
      </c>
      <c r="BC126" s="11">
        <v>0</v>
      </c>
      <c r="BD126" s="11" t="s">
        <v>83</v>
      </c>
      <c r="BE126" s="11">
        <v>1</v>
      </c>
      <c r="BF126" s="11" t="s">
        <v>36</v>
      </c>
      <c r="BG126" s="11">
        <v>357.7</v>
      </c>
      <c r="BH126" s="11">
        <v>271.3</v>
      </c>
      <c r="BI126" s="11">
        <v>0</v>
      </c>
      <c r="BJ126" s="11" t="s">
        <v>82</v>
      </c>
      <c r="BK126" s="11">
        <v>1</v>
      </c>
      <c r="BL126" s="11">
        <v>0</v>
      </c>
      <c r="BM126" s="11">
        <v>0</v>
      </c>
      <c r="BN126" s="11">
        <v>562807</v>
      </c>
      <c r="BO126" s="11">
        <v>0</v>
      </c>
      <c r="BP126" s="11" t="s">
        <v>82</v>
      </c>
      <c r="BQ126" s="11">
        <v>0</v>
      </c>
      <c r="BR126" s="11"/>
      <c r="BT126" s="11"/>
      <c r="BU126" s="11"/>
      <c r="CA126" s="11"/>
      <c r="CD126" s="11"/>
    </row>
    <row r="127" spans="2:82" ht="12.75" x14ac:dyDescent="0.2">
      <c r="B127" s="11">
        <v>588005</v>
      </c>
      <c r="C127" s="11">
        <f>ROUND(DAYS360(Tableau_Lancer_la_requête_à_partir_de_AS4003[[#This Row],[Date naissance 1]],Tableau_Lancer_la_requête_à_partir_de_AS4003[[#This Row],[Date début]])/360,0)</f>
        <v>61</v>
      </c>
      <c r="D127" s="11">
        <v>0</v>
      </c>
      <c r="E127" s="11">
        <v>0</v>
      </c>
      <c r="F127" s="11">
        <v>0</v>
      </c>
      <c r="G127" s="11">
        <v>12</v>
      </c>
      <c r="H127" s="11">
        <f>ROUND(DAYS360(Tableau_Lancer_la_requête_à_partir_de_AS4003[[#This Row],[Date début]],'Cash flows par police'!$C$4)/30,0)</f>
        <v>1</v>
      </c>
      <c r="I127" s="11">
        <v>0</v>
      </c>
      <c r="J127" s="11">
        <v>0</v>
      </c>
      <c r="K127" s="11">
        <v>0</v>
      </c>
      <c r="L127" s="11">
        <v>27.5</v>
      </c>
      <c r="M127" s="11">
        <v>0</v>
      </c>
      <c r="N127" s="11">
        <v>0</v>
      </c>
      <c r="O127" s="11">
        <v>0</v>
      </c>
      <c r="P127" s="11">
        <v>0</v>
      </c>
      <c r="Q127" s="11">
        <v>0</v>
      </c>
      <c r="R127" s="11">
        <v>0</v>
      </c>
      <c r="S127" s="11">
        <f>SUM(Tableau_Lancer_la_requête_à_partir_de_AS4003[[#This Row],[POLPRCPL2]:[POLPRCPL9]])</f>
        <v>27.5</v>
      </c>
      <c r="T127" s="11">
        <v>99</v>
      </c>
      <c r="U127" s="11">
        <v>12</v>
      </c>
      <c r="V127" s="11">
        <v>0</v>
      </c>
      <c r="W127" s="11">
        <v>394.8</v>
      </c>
      <c r="X127" s="11">
        <v>0</v>
      </c>
      <c r="Y127" s="11">
        <v>0</v>
      </c>
      <c r="Z127" s="11">
        <v>1</v>
      </c>
      <c r="AA127" s="11">
        <v>0</v>
      </c>
      <c r="AB127" s="11">
        <v>0</v>
      </c>
      <c r="AC127" s="11">
        <v>0</v>
      </c>
      <c r="AD127" s="11">
        <v>0</v>
      </c>
      <c r="AE127" s="11">
        <v>0</v>
      </c>
      <c r="AF127" s="11">
        <f>IF(Tableau_Lancer_la_requête_à_partir_de_AS4003[[#This Row],[POL_SEX_ASSURE]]="M",0,1)</f>
        <v>0</v>
      </c>
      <c r="AG127" s="11" t="str">
        <f>IF(Tableau_Lancer_la_requête_à_partir_de_AS4003[[#This Row],[POL_SEX_ASSURE2]]="","",IF(Tableau_Lancer_la_requête_à_partir_de_AS4003[[#This Row],[POL_SEX_ASSURE2]]="M",0,1))</f>
        <v/>
      </c>
      <c r="AH12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27" s="11">
        <v>5000</v>
      </c>
      <c r="AJ127" s="11">
        <f>Tableau_Lancer_la_requête_à_partir_de_AS4003[[#This Row],[POL_DUREE_ASSUR]]*12</f>
        <v>1188</v>
      </c>
      <c r="AK127" s="11">
        <v>200</v>
      </c>
      <c r="AL127" s="11">
        <v>0</v>
      </c>
      <c r="AM127" s="11">
        <v>0</v>
      </c>
      <c r="AN127" s="11" t="s">
        <v>36</v>
      </c>
      <c r="AO127" s="11" t="s">
        <v>80</v>
      </c>
      <c r="AP127" s="11">
        <f>Tableau_Lancer_la_requête_à_partir_de_AS4003[[#This Row],[POL_TERM_M]]-Tableau_Lancer_la_requête_à_partir_de_AS4003[[#This Row],[Duration IF]]</f>
        <v>1187</v>
      </c>
      <c r="AQ127" s="11" t="s">
        <v>36</v>
      </c>
      <c r="AR127" s="11" t="s">
        <v>36</v>
      </c>
      <c r="AS127" s="11" t="s">
        <v>36</v>
      </c>
      <c r="AT127" s="11" t="s">
        <v>36</v>
      </c>
      <c r="AU127" s="11" t="s">
        <v>36</v>
      </c>
      <c r="AV127" s="11">
        <v>0</v>
      </c>
      <c r="AW127" s="11">
        <v>11</v>
      </c>
      <c r="AX127" s="11">
        <v>1</v>
      </c>
      <c r="AY127" s="11">
        <v>20181201</v>
      </c>
      <c r="AZ127" s="80">
        <f t="shared" si="6"/>
        <v>43435</v>
      </c>
      <c r="BA127" s="11">
        <v>19580401</v>
      </c>
      <c r="BB127" s="80">
        <f t="shared" si="7"/>
        <v>21276</v>
      </c>
      <c r="BC127" s="11">
        <v>0</v>
      </c>
      <c r="BD127" s="11" t="s">
        <v>83</v>
      </c>
      <c r="BE127" s="11">
        <v>1</v>
      </c>
      <c r="BF127" s="11" t="s">
        <v>36</v>
      </c>
      <c r="BG127" s="11">
        <v>367.3</v>
      </c>
      <c r="BH127" s="11">
        <v>278.60000000000002</v>
      </c>
      <c r="BI127" s="11">
        <v>0</v>
      </c>
      <c r="BJ127" s="11" t="s">
        <v>82</v>
      </c>
      <c r="BK127" s="11">
        <v>1</v>
      </c>
      <c r="BL127" s="11">
        <v>0</v>
      </c>
      <c r="BM127" s="11">
        <v>0</v>
      </c>
      <c r="BN127" s="11">
        <v>588005</v>
      </c>
      <c r="BO127" s="11">
        <v>0</v>
      </c>
      <c r="BP127" s="11" t="s">
        <v>82</v>
      </c>
      <c r="BQ127" s="11">
        <v>0</v>
      </c>
      <c r="BR127" s="11"/>
      <c r="BT127" s="11"/>
      <c r="BU127" s="11"/>
      <c r="CA127" s="11"/>
      <c r="CD127" s="11"/>
    </row>
    <row r="128" spans="2:82" ht="12.75" x14ac:dyDescent="0.2">
      <c r="B128" s="11">
        <v>609405</v>
      </c>
      <c r="C128" s="11">
        <f>ROUND(DAYS360(Tableau_Lancer_la_requête_à_partir_de_AS4003[[#This Row],[Date naissance 1]],Tableau_Lancer_la_requête_à_partir_de_AS4003[[#This Row],[Date début]])/360,0)</f>
        <v>51</v>
      </c>
      <c r="D128" s="11">
        <v>0</v>
      </c>
      <c r="E128" s="11">
        <v>0</v>
      </c>
      <c r="F128" s="11">
        <v>0</v>
      </c>
      <c r="G128" s="11">
        <v>12</v>
      </c>
      <c r="H128" s="11">
        <f>ROUND(DAYS360(Tableau_Lancer_la_requête_à_partir_de_AS4003[[#This Row],[Date début]],'Cash flows par police'!$C$4)/30,0)</f>
        <v>18</v>
      </c>
      <c r="I128" s="11">
        <v>0</v>
      </c>
      <c r="J128" s="11">
        <v>0</v>
      </c>
      <c r="K128" s="11">
        <v>0</v>
      </c>
      <c r="L128" s="11">
        <v>63.3</v>
      </c>
      <c r="M128" s="11">
        <v>0</v>
      </c>
      <c r="N128" s="11">
        <v>0</v>
      </c>
      <c r="O128" s="11">
        <v>0</v>
      </c>
      <c r="P128" s="11">
        <v>0</v>
      </c>
      <c r="Q128" s="11">
        <v>0</v>
      </c>
      <c r="R128" s="11">
        <v>0</v>
      </c>
      <c r="S128" s="11">
        <f>SUM(Tableau_Lancer_la_requête_à_partir_de_AS4003[[#This Row],[POLPRCPL2]:[POLPRCPL9]])</f>
        <v>63.3</v>
      </c>
      <c r="T128" s="11">
        <v>99</v>
      </c>
      <c r="U128" s="11">
        <v>12</v>
      </c>
      <c r="V128" s="11">
        <v>0</v>
      </c>
      <c r="W128" s="11">
        <v>663.6</v>
      </c>
      <c r="X128" s="11">
        <v>312.60000000000002</v>
      </c>
      <c r="Y128" s="11">
        <v>0</v>
      </c>
      <c r="Z128" s="11">
        <v>1</v>
      </c>
      <c r="AA128" s="11">
        <v>0</v>
      </c>
      <c r="AB128" s="11">
        <v>0</v>
      </c>
      <c r="AC128" s="11">
        <v>0</v>
      </c>
      <c r="AD128" s="11">
        <v>0</v>
      </c>
      <c r="AE128" s="11">
        <v>0</v>
      </c>
      <c r="AF128" s="11">
        <f>IF(Tableau_Lancer_la_requête_à_partir_de_AS4003[[#This Row],[POL_SEX_ASSURE]]="M",0,1)</f>
        <v>0</v>
      </c>
      <c r="AG128" s="11" t="str">
        <f>IF(Tableau_Lancer_la_requête_à_partir_de_AS4003[[#This Row],[POL_SEX_ASSURE2]]="","",IF(Tableau_Lancer_la_requête_à_partir_de_AS4003[[#This Row],[POL_SEX_ASSURE2]]="M",0,1))</f>
        <v/>
      </c>
      <c r="AH12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28" s="11">
        <v>11500</v>
      </c>
      <c r="AJ128" s="11">
        <f>Tableau_Lancer_la_requête_à_partir_de_AS4003[[#This Row],[POL_DUREE_ASSUR]]*12</f>
        <v>1188</v>
      </c>
      <c r="AK128" s="11">
        <v>338.2</v>
      </c>
      <c r="AL128" s="11">
        <v>312.60000000000002</v>
      </c>
      <c r="AM128" s="11">
        <v>0</v>
      </c>
      <c r="AN128" s="11" t="s">
        <v>36</v>
      </c>
      <c r="AO128" s="11" t="s">
        <v>80</v>
      </c>
      <c r="AP128" s="11">
        <f>Tableau_Lancer_la_requête_à_partir_de_AS4003[[#This Row],[POL_TERM_M]]-Tableau_Lancer_la_requête_à_partir_de_AS4003[[#This Row],[Duration IF]]</f>
        <v>1170</v>
      </c>
      <c r="AQ128" s="11" t="s">
        <v>36</v>
      </c>
      <c r="AR128" s="11" t="s">
        <v>36</v>
      </c>
      <c r="AS128" s="11" t="s">
        <v>36</v>
      </c>
      <c r="AT128" s="11" t="s">
        <v>36</v>
      </c>
      <c r="AU128" s="11" t="s">
        <v>36</v>
      </c>
      <c r="AV128" s="11">
        <v>0</v>
      </c>
      <c r="AW128" s="11">
        <v>11</v>
      </c>
      <c r="AX128" s="11">
        <v>1</v>
      </c>
      <c r="AY128" s="11">
        <v>20170701</v>
      </c>
      <c r="AZ128" s="80">
        <f t="shared" si="6"/>
        <v>42917</v>
      </c>
      <c r="BA128" s="11">
        <v>19660713</v>
      </c>
      <c r="BB128" s="80">
        <f t="shared" si="7"/>
        <v>24301</v>
      </c>
      <c r="BC128" s="11">
        <v>0</v>
      </c>
      <c r="BD128" s="11" t="s">
        <v>83</v>
      </c>
      <c r="BE128" s="11">
        <v>1</v>
      </c>
      <c r="BF128" s="11" t="s">
        <v>36</v>
      </c>
      <c r="BG128" s="11">
        <v>600.29999999999995</v>
      </c>
      <c r="BH128" s="11">
        <v>455.4</v>
      </c>
      <c r="BI128" s="11">
        <v>0</v>
      </c>
      <c r="BJ128" s="11" t="s">
        <v>82</v>
      </c>
      <c r="BK128" s="11">
        <v>1</v>
      </c>
      <c r="BL128" s="11">
        <v>0</v>
      </c>
      <c r="BM128" s="11">
        <v>0</v>
      </c>
      <c r="BN128" s="11">
        <v>609405</v>
      </c>
      <c r="BO128" s="11">
        <v>0</v>
      </c>
      <c r="BP128" s="11" t="s">
        <v>82</v>
      </c>
      <c r="BQ128" s="11">
        <v>0</v>
      </c>
      <c r="BR128" s="11"/>
      <c r="BT128" s="11"/>
      <c r="BU128" s="11"/>
      <c r="CA128" s="11"/>
      <c r="CD128" s="11"/>
    </row>
    <row r="129" spans="2:82" ht="12.75" x14ac:dyDescent="0.2">
      <c r="B129" s="11">
        <v>710703</v>
      </c>
      <c r="C129" s="11">
        <f>ROUND(DAYS360(Tableau_Lancer_la_requête_à_partir_de_AS4003[[#This Row],[Date naissance 1]],Tableau_Lancer_la_requête_à_partir_de_AS4003[[#This Row],[Date début]])/360,0)</f>
        <v>49</v>
      </c>
      <c r="D129" s="11">
        <v>0</v>
      </c>
      <c r="E129" s="11">
        <v>0</v>
      </c>
      <c r="F129" s="11">
        <v>0</v>
      </c>
      <c r="G129" s="11">
        <v>12</v>
      </c>
      <c r="H129" s="11">
        <f>ROUND(DAYS360(Tableau_Lancer_la_requête_à_partir_de_AS4003[[#This Row],[Date début]],'Cash flows par police'!$C$4)/30,0)</f>
        <v>21</v>
      </c>
      <c r="I129" s="11">
        <v>0</v>
      </c>
      <c r="J129" s="11">
        <v>0</v>
      </c>
      <c r="K129" s="11">
        <v>0</v>
      </c>
      <c r="L129" s="11">
        <v>19.5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1">
        <v>0</v>
      </c>
      <c r="S129" s="11">
        <f>SUM(Tableau_Lancer_la_requête_à_partir_de_AS4003[[#This Row],[POLPRCPL2]:[POLPRCPL9]])</f>
        <v>19.5</v>
      </c>
      <c r="T129" s="11">
        <v>99</v>
      </c>
      <c r="U129" s="11">
        <v>1</v>
      </c>
      <c r="V129" s="11">
        <v>0</v>
      </c>
      <c r="W129" s="11">
        <v>200</v>
      </c>
      <c r="X129" s="11">
        <v>119.7</v>
      </c>
      <c r="Y129" s="11">
        <v>1.4</v>
      </c>
      <c r="Z129" s="11">
        <v>1</v>
      </c>
      <c r="AA129" s="11">
        <v>0</v>
      </c>
      <c r="AB129" s="11">
        <v>0</v>
      </c>
      <c r="AC129" s="11">
        <v>0</v>
      </c>
      <c r="AD129" s="11">
        <v>0</v>
      </c>
      <c r="AE129" s="11">
        <v>0</v>
      </c>
      <c r="AF129" s="11">
        <f>IF(Tableau_Lancer_la_requête_à_partir_de_AS4003[[#This Row],[POL_SEX_ASSURE]]="M",0,1)</f>
        <v>0</v>
      </c>
      <c r="AG129" s="11" t="str">
        <f>IF(Tableau_Lancer_la_requête_à_partir_de_AS4003[[#This Row],[POL_SEX_ASSURE2]]="","",IF(Tableau_Lancer_la_requête_à_partir_de_AS4003[[#This Row],[POL_SEX_ASSURE2]]="M",0,1))</f>
        <v/>
      </c>
      <c r="AH12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29" s="11">
        <v>3825</v>
      </c>
      <c r="AJ129" s="11">
        <f>Tableau_Lancer_la_requête_à_partir_de_AS4003[[#This Row],[POL_DUREE_ASSUR]]*12</f>
        <v>1188</v>
      </c>
      <c r="AK129" s="11">
        <v>109.3</v>
      </c>
      <c r="AL129" s="11">
        <v>119.7</v>
      </c>
      <c r="AM129" s="11">
        <v>0</v>
      </c>
      <c r="AN129" s="11" t="s">
        <v>36</v>
      </c>
      <c r="AO129" s="11" t="s">
        <v>80</v>
      </c>
      <c r="AP129" s="11">
        <f>Tableau_Lancer_la_requête_à_partir_de_AS4003[[#This Row],[POL_TERM_M]]-Tableau_Lancer_la_requête_à_partir_de_AS4003[[#This Row],[Duration IF]]</f>
        <v>1167</v>
      </c>
      <c r="AQ129" s="11" t="s">
        <v>36</v>
      </c>
      <c r="AR129" s="11" t="s">
        <v>36</v>
      </c>
      <c r="AS129" s="11" t="s">
        <v>36</v>
      </c>
      <c r="AT129" s="11" t="s">
        <v>36</v>
      </c>
      <c r="AU129" s="11" t="s">
        <v>36</v>
      </c>
      <c r="AV129" s="11">
        <v>0</v>
      </c>
      <c r="AW129" s="11">
        <v>11</v>
      </c>
      <c r="AX129" s="11">
        <v>1</v>
      </c>
      <c r="AY129" s="11">
        <v>20170401</v>
      </c>
      <c r="AZ129" s="80">
        <f t="shared" si="6"/>
        <v>42826</v>
      </c>
      <c r="BA129" s="11">
        <v>19671129</v>
      </c>
      <c r="BB129" s="80">
        <f t="shared" si="7"/>
        <v>24805</v>
      </c>
      <c r="BC129" s="11">
        <v>0</v>
      </c>
      <c r="BD129" s="11" t="s">
        <v>83</v>
      </c>
      <c r="BE129" s="11">
        <v>1</v>
      </c>
      <c r="BF129" s="11" t="s">
        <v>36</v>
      </c>
      <c r="BG129" s="11">
        <v>180.5</v>
      </c>
      <c r="BH129" s="11">
        <v>148</v>
      </c>
      <c r="BI129" s="11">
        <v>0</v>
      </c>
      <c r="BJ129" s="11" t="s">
        <v>82</v>
      </c>
      <c r="BK129" s="11">
        <v>1</v>
      </c>
      <c r="BL129" s="11">
        <v>36.4</v>
      </c>
      <c r="BM129" s="11">
        <v>3.9</v>
      </c>
      <c r="BN129" s="11">
        <v>710703</v>
      </c>
      <c r="BO129" s="11">
        <v>0</v>
      </c>
      <c r="BP129" s="11" t="s">
        <v>82</v>
      </c>
      <c r="BQ129" s="11">
        <v>0</v>
      </c>
      <c r="BR129" s="11"/>
      <c r="BT129" s="11"/>
      <c r="BU129" s="11"/>
      <c r="CA129" s="11"/>
      <c r="CD129" s="11"/>
    </row>
    <row r="130" spans="2:82" ht="12.75" x14ac:dyDescent="0.2">
      <c r="B130" s="11">
        <v>719204</v>
      </c>
      <c r="C130" s="11">
        <f>ROUND(DAYS360(Tableau_Lancer_la_requête_à_partir_de_AS4003[[#This Row],[Date naissance 1]],Tableau_Lancer_la_requête_à_partir_de_AS4003[[#This Row],[Date début]])/360,0)</f>
        <v>50</v>
      </c>
      <c r="D130" s="11">
        <v>0</v>
      </c>
      <c r="E130" s="11">
        <v>0</v>
      </c>
      <c r="F130" s="11">
        <v>0</v>
      </c>
      <c r="G130" s="11">
        <v>12</v>
      </c>
      <c r="H130" s="11">
        <f>ROUND(DAYS360(Tableau_Lancer_la_requête_à_partir_de_AS4003[[#This Row],[Date début]],'Cash flows par police'!$C$4)/30,0)</f>
        <v>1</v>
      </c>
      <c r="I130" s="11">
        <v>0</v>
      </c>
      <c r="J130" s="11">
        <v>0</v>
      </c>
      <c r="K130" s="11">
        <v>0</v>
      </c>
      <c r="L130" s="11">
        <v>43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1">
        <v>0</v>
      </c>
      <c r="S130" s="11">
        <f>SUM(Tableau_Lancer_la_requête_à_partir_de_AS4003[[#This Row],[POLPRCPL2]:[POLPRCPL9]])</f>
        <v>43</v>
      </c>
      <c r="T130" s="11">
        <v>99</v>
      </c>
      <c r="U130" s="11">
        <v>12</v>
      </c>
      <c r="V130" s="11">
        <v>0</v>
      </c>
      <c r="W130" s="11">
        <v>432</v>
      </c>
      <c r="X130" s="11">
        <v>0</v>
      </c>
      <c r="Y130" s="11">
        <v>0</v>
      </c>
      <c r="Z130" s="11">
        <v>1</v>
      </c>
      <c r="AA130" s="11">
        <v>0</v>
      </c>
      <c r="AB130" s="11">
        <v>0</v>
      </c>
      <c r="AC130" s="11">
        <v>0</v>
      </c>
      <c r="AD130" s="11">
        <v>0</v>
      </c>
      <c r="AE130" s="11">
        <v>0</v>
      </c>
      <c r="AF130" s="11">
        <f>IF(Tableau_Lancer_la_requête_à_partir_de_AS4003[[#This Row],[POL_SEX_ASSURE]]="M",0,1)</f>
        <v>0</v>
      </c>
      <c r="AG130" s="11" t="str">
        <f>IF(Tableau_Lancer_la_requête_à_partir_de_AS4003[[#This Row],[POL_SEX_ASSURE2]]="","",IF(Tableau_Lancer_la_requête_à_partir_de_AS4003[[#This Row],[POL_SEX_ASSURE2]]="M",0,1))</f>
        <v/>
      </c>
      <c r="AH13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30" s="11">
        <v>7807.8</v>
      </c>
      <c r="AJ130" s="11">
        <f>Tableau_Lancer_la_requête_à_partir_de_AS4003[[#This Row],[POL_DUREE_ASSUR]]*12</f>
        <v>1188</v>
      </c>
      <c r="AK130" s="11">
        <v>216.9</v>
      </c>
      <c r="AL130" s="11">
        <v>0</v>
      </c>
      <c r="AM130" s="11">
        <v>0</v>
      </c>
      <c r="AN130" s="11" t="s">
        <v>36</v>
      </c>
      <c r="AO130" s="11" t="s">
        <v>80</v>
      </c>
      <c r="AP130" s="11">
        <f>Tableau_Lancer_la_requête_à_partir_de_AS4003[[#This Row],[POL_TERM_M]]-Tableau_Lancer_la_requête_à_partir_de_AS4003[[#This Row],[Duration IF]]</f>
        <v>1187</v>
      </c>
      <c r="AQ130" s="11" t="s">
        <v>36</v>
      </c>
      <c r="AR130" s="11" t="s">
        <v>36</v>
      </c>
      <c r="AS130" s="11" t="s">
        <v>36</v>
      </c>
      <c r="AT130" s="11" t="s">
        <v>36</v>
      </c>
      <c r="AU130" s="11" t="s">
        <v>36</v>
      </c>
      <c r="AV130" s="11">
        <v>0</v>
      </c>
      <c r="AW130" s="11">
        <v>11</v>
      </c>
      <c r="AX130" s="11">
        <v>1</v>
      </c>
      <c r="AY130" s="11">
        <v>20181201</v>
      </c>
      <c r="AZ130" s="80">
        <f t="shared" si="6"/>
        <v>43435</v>
      </c>
      <c r="BA130" s="11">
        <v>19690302</v>
      </c>
      <c r="BB130" s="80">
        <f t="shared" si="7"/>
        <v>25264</v>
      </c>
      <c r="BC130" s="11">
        <v>0</v>
      </c>
      <c r="BD130" s="11" t="s">
        <v>83</v>
      </c>
      <c r="BE130" s="11">
        <v>1</v>
      </c>
      <c r="BF130" s="11" t="s">
        <v>36</v>
      </c>
      <c r="BG130" s="11">
        <v>389</v>
      </c>
      <c r="BH130" s="11">
        <v>295.39999999999998</v>
      </c>
      <c r="BI130" s="11">
        <v>0</v>
      </c>
      <c r="BJ130" s="11" t="s">
        <v>82</v>
      </c>
      <c r="BK130" s="11">
        <v>1</v>
      </c>
      <c r="BL130" s="11">
        <v>0</v>
      </c>
      <c r="BM130" s="11">
        <v>0</v>
      </c>
      <c r="BN130" s="11">
        <v>719204</v>
      </c>
      <c r="BO130" s="11">
        <v>0</v>
      </c>
      <c r="BP130" s="11" t="s">
        <v>82</v>
      </c>
      <c r="BQ130" s="11">
        <v>0</v>
      </c>
      <c r="BR130" s="11"/>
      <c r="BT130" s="11"/>
      <c r="BU130" s="11"/>
      <c r="CA130" s="11"/>
      <c r="CD130" s="11"/>
    </row>
    <row r="131" spans="2:82" ht="12.75" x14ac:dyDescent="0.2">
      <c r="B131" s="11">
        <v>747402</v>
      </c>
      <c r="C131" s="11">
        <f>ROUND(DAYS360(Tableau_Lancer_la_requête_à_partir_de_AS4003[[#This Row],[Date naissance 1]],Tableau_Lancer_la_requête_à_partir_de_AS4003[[#This Row],[Date début]])/360,0)</f>
        <v>66</v>
      </c>
      <c r="D131" s="11">
        <v>0</v>
      </c>
      <c r="E131" s="11">
        <v>0</v>
      </c>
      <c r="F131" s="11">
        <v>0</v>
      </c>
      <c r="G131" s="11">
        <v>12</v>
      </c>
      <c r="H131" s="11">
        <f>ROUND(DAYS360(Tableau_Lancer_la_requête_à_partir_de_AS4003[[#This Row],[Date début]],'Cash flows par police'!$C$4)/30,0)</f>
        <v>9</v>
      </c>
      <c r="I131" s="11">
        <v>0</v>
      </c>
      <c r="J131" s="11">
        <v>0</v>
      </c>
      <c r="K131" s="11">
        <v>0</v>
      </c>
      <c r="L131" s="11">
        <v>35.1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1">
        <v>0</v>
      </c>
      <c r="S131" s="11">
        <f>SUM(Tableau_Lancer_la_requête_à_partir_de_AS4003[[#This Row],[POLPRCPL2]:[POLPRCPL9]])</f>
        <v>35.1</v>
      </c>
      <c r="T131" s="11">
        <v>99</v>
      </c>
      <c r="U131" s="11">
        <v>12</v>
      </c>
      <c r="V131" s="11">
        <v>0</v>
      </c>
      <c r="W131" s="11">
        <v>648</v>
      </c>
      <c r="X131" s="11">
        <v>125.1</v>
      </c>
      <c r="Y131" s="11">
        <v>0</v>
      </c>
      <c r="Z131" s="11">
        <v>1</v>
      </c>
      <c r="AA131" s="11">
        <v>0</v>
      </c>
      <c r="AB131" s="11">
        <v>0</v>
      </c>
      <c r="AC131" s="11">
        <v>0</v>
      </c>
      <c r="AD131" s="11">
        <v>0</v>
      </c>
      <c r="AE131" s="11">
        <v>0</v>
      </c>
      <c r="AF131" s="11">
        <f>IF(Tableau_Lancer_la_requête_à_partir_de_AS4003[[#This Row],[POL_SEX_ASSURE]]="M",0,1)</f>
        <v>0</v>
      </c>
      <c r="AG131" s="11" t="str">
        <f>IF(Tableau_Lancer_la_requête_à_partir_de_AS4003[[#This Row],[POL_SEX_ASSURE2]]="","",IF(Tableau_Lancer_la_requête_à_partir_de_AS4003[[#This Row],[POL_SEX_ASSURE2]]="M",0,1))</f>
        <v/>
      </c>
      <c r="AH13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31" s="11">
        <v>6371.2</v>
      </c>
      <c r="AJ131" s="11">
        <f>Tableau_Lancer_la_requête_à_partir_de_AS4003[[#This Row],[POL_DUREE_ASSUR]]*12</f>
        <v>1188</v>
      </c>
      <c r="AK131" s="11">
        <v>335.3</v>
      </c>
      <c r="AL131" s="11">
        <v>125.1</v>
      </c>
      <c r="AM131" s="11">
        <v>0</v>
      </c>
      <c r="AN131" s="11" t="s">
        <v>36</v>
      </c>
      <c r="AO131" s="11" t="s">
        <v>80</v>
      </c>
      <c r="AP131" s="11">
        <f>Tableau_Lancer_la_requête_à_partir_de_AS4003[[#This Row],[POL_TERM_M]]-Tableau_Lancer_la_requête_à_partir_de_AS4003[[#This Row],[Duration IF]]</f>
        <v>1179</v>
      </c>
      <c r="AQ131" s="11" t="s">
        <v>36</v>
      </c>
      <c r="AR131" s="11" t="s">
        <v>36</v>
      </c>
      <c r="AS131" s="11" t="s">
        <v>36</v>
      </c>
      <c r="AT131" s="11" t="s">
        <v>36</v>
      </c>
      <c r="AU131" s="11" t="s">
        <v>36</v>
      </c>
      <c r="AV131" s="11">
        <v>0</v>
      </c>
      <c r="AW131" s="11">
        <v>11</v>
      </c>
      <c r="AX131" s="11">
        <v>1</v>
      </c>
      <c r="AY131" s="11">
        <v>20180401</v>
      </c>
      <c r="AZ131" s="80">
        <f t="shared" si="6"/>
        <v>43191</v>
      </c>
      <c r="BA131" s="11">
        <v>19520528</v>
      </c>
      <c r="BB131" s="80">
        <f t="shared" si="7"/>
        <v>19142</v>
      </c>
      <c r="BC131" s="11">
        <v>0</v>
      </c>
      <c r="BD131" s="11" t="s">
        <v>83</v>
      </c>
      <c r="BE131" s="11">
        <v>1</v>
      </c>
      <c r="BF131" s="11" t="s">
        <v>36</v>
      </c>
      <c r="BG131" s="11">
        <v>612.9</v>
      </c>
      <c r="BH131" s="11">
        <v>465.4</v>
      </c>
      <c r="BI131" s="11">
        <v>0</v>
      </c>
      <c r="BJ131" s="11" t="s">
        <v>82</v>
      </c>
      <c r="BK131" s="11">
        <v>0</v>
      </c>
      <c r="BL131" s="11">
        <v>0</v>
      </c>
      <c r="BM131" s="11">
        <v>0</v>
      </c>
      <c r="BN131" s="11">
        <v>747402</v>
      </c>
      <c r="BO131" s="11">
        <v>0</v>
      </c>
      <c r="BP131" s="11" t="s">
        <v>82</v>
      </c>
      <c r="BQ131" s="11">
        <v>0</v>
      </c>
      <c r="BR131" s="11"/>
      <c r="BT131" s="11"/>
      <c r="BU131" s="11"/>
      <c r="CA131" s="11"/>
      <c r="CD131" s="11"/>
    </row>
    <row r="132" spans="2:82" ht="12.75" x14ac:dyDescent="0.2">
      <c r="B132" s="11">
        <v>764503</v>
      </c>
      <c r="C132" s="11">
        <f>ROUND(DAYS360(Tableau_Lancer_la_requête_à_partir_de_AS4003[[#This Row],[Date naissance 1]],Tableau_Lancer_la_requête_à_partir_de_AS4003[[#This Row],[Date début]])/360,0)</f>
        <v>54</v>
      </c>
      <c r="D132" s="11">
        <v>0</v>
      </c>
      <c r="E132" s="11">
        <v>0</v>
      </c>
      <c r="F132" s="11">
        <v>0</v>
      </c>
      <c r="G132" s="11">
        <v>12</v>
      </c>
      <c r="H132" s="11">
        <f>ROUND(DAYS360(Tableau_Lancer_la_requête_à_partir_de_AS4003[[#This Row],[Date début]],'Cash flows par police'!$C$4)/30,0)</f>
        <v>3</v>
      </c>
      <c r="I132" s="11">
        <v>0</v>
      </c>
      <c r="J132" s="11">
        <v>0</v>
      </c>
      <c r="K132" s="11">
        <v>0</v>
      </c>
      <c r="L132" s="11">
        <v>25.5</v>
      </c>
      <c r="M132" s="11">
        <v>0</v>
      </c>
      <c r="N132" s="11">
        <v>0</v>
      </c>
      <c r="O132" s="11">
        <v>0</v>
      </c>
      <c r="P132" s="11">
        <v>0</v>
      </c>
      <c r="Q132" s="11">
        <v>0</v>
      </c>
      <c r="R132" s="11">
        <v>0</v>
      </c>
      <c r="S132" s="11">
        <f>SUM(Tableau_Lancer_la_requête_à_partir_de_AS4003[[#This Row],[POLPRCPL2]:[POLPRCPL9]])</f>
        <v>25.5</v>
      </c>
      <c r="T132" s="11">
        <v>99</v>
      </c>
      <c r="U132" s="11">
        <v>1</v>
      </c>
      <c r="V132" s="11">
        <v>0</v>
      </c>
      <c r="W132" s="11">
        <v>318.3</v>
      </c>
      <c r="X132" s="11">
        <v>0</v>
      </c>
      <c r="Y132" s="11">
        <v>0</v>
      </c>
      <c r="Z132" s="11">
        <v>1</v>
      </c>
      <c r="AA132" s="11">
        <v>0</v>
      </c>
      <c r="AB132" s="11">
        <v>0</v>
      </c>
      <c r="AC132" s="11">
        <v>0</v>
      </c>
      <c r="AD132" s="11">
        <v>0</v>
      </c>
      <c r="AE132" s="11">
        <v>0</v>
      </c>
      <c r="AF132" s="11">
        <f>IF(Tableau_Lancer_la_requête_à_partir_de_AS4003[[#This Row],[POL_SEX_ASSURE]]="M",0,1)</f>
        <v>0</v>
      </c>
      <c r="AG132" s="11" t="str">
        <f>IF(Tableau_Lancer_la_requête_à_partir_de_AS4003[[#This Row],[POL_SEX_ASSURE2]]="","",IF(Tableau_Lancer_la_requête_à_partir_de_AS4003[[#This Row],[POL_SEX_ASSURE2]]="M",0,1))</f>
        <v/>
      </c>
      <c r="AH13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32" s="11">
        <v>5000</v>
      </c>
      <c r="AJ132" s="11">
        <f>Tableau_Lancer_la_requête_à_partir_de_AS4003[[#This Row],[POL_DUREE_ASSUR]]*12</f>
        <v>1188</v>
      </c>
      <c r="AK132" s="11">
        <v>161.30000000000001</v>
      </c>
      <c r="AL132" s="11">
        <v>0</v>
      </c>
      <c r="AM132" s="11">
        <v>0</v>
      </c>
      <c r="AN132" s="11" t="s">
        <v>36</v>
      </c>
      <c r="AO132" s="11" t="s">
        <v>80</v>
      </c>
      <c r="AP132" s="11">
        <f>Tableau_Lancer_la_requête_à_partir_de_AS4003[[#This Row],[POL_TERM_M]]-Tableau_Lancer_la_requête_à_partir_de_AS4003[[#This Row],[Duration IF]]</f>
        <v>1185</v>
      </c>
      <c r="AQ132" s="11" t="s">
        <v>36</v>
      </c>
      <c r="AR132" s="11" t="s">
        <v>36</v>
      </c>
      <c r="AS132" s="11" t="s">
        <v>36</v>
      </c>
      <c r="AT132" s="11" t="s">
        <v>36</v>
      </c>
      <c r="AU132" s="11" t="s">
        <v>36</v>
      </c>
      <c r="AV132" s="11">
        <v>0</v>
      </c>
      <c r="AW132" s="11">
        <v>11</v>
      </c>
      <c r="AX132" s="11">
        <v>1</v>
      </c>
      <c r="AY132" s="11">
        <v>20181001</v>
      </c>
      <c r="AZ132" s="80">
        <f t="shared" ref="AZ132:AZ161" si="8">DATE(VALUE(LEFT(AY132,4)),VALUE(MID(AY132,5,2)),VALUE(RIGHT(AY132,2)))</f>
        <v>43374</v>
      </c>
      <c r="BA132" s="11">
        <v>19640518</v>
      </c>
      <c r="BB132" s="80">
        <f t="shared" ref="BB132:BB161" si="9">DATE(VALUE(LEFT(BA132,4)),VALUE(MID(BA132,5,2)),VALUE(RIGHT(BA132,2)))</f>
        <v>23515</v>
      </c>
      <c r="BC132" s="11">
        <v>0</v>
      </c>
      <c r="BD132" s="11" t="s">
        <v>83</v>
      </c>
      <c r="BE132" s="11">
        <v>1</v>
      </c>
      <c r="BF132" s="11" t="s">
        <v>36</v>
      </c>
      <c r="BG132" s="11">
        <v>292.8</v>
      </c>
      <c r="BH132" s="11">
        <v>240.1</v>
      </c>
      <c r="BI132" s="11">
        <v>0</v>
      </c>
      <c r="BJ132" s="11" t="s">
        <v>82</v>
      </c>
      <c r="BK132" s="11">
        <v>1</v>
      </c>
      <c r="BL132" s="11">
        <v>179.1</v>
      </c>
      <c r="BM132" s="11">
        <v>15.6</v>
      </c>
      <c r="BN132" s="11">
        <v>764503</v>
      </c>
      <c r="BO132" s="11">
        <v>0</v>
      </c>
      <c r="BP132" s="11" t="s">
        <v>82</v>
      </c>
      <c r="BQ132" s="11">
        <v>0</v>
      </c>
      <c r="BR132" s="11"/>
      <c r="BT132" s="11"/>
      <c r="BU132" s="11"/>
      <c r="CA132" s="11"/>
      <c r="CD132" s="11"/>
    </row>
    <row r="133" spans="2:82" ht="12.75" x14ac:dyDescent="0.2">
      <c r="B133" s="11">
        <v>794403</v>
      </c>
      <c r="C133" s="11">
        <f>ROUND(DAYS360(Tableau_Lancer_la_requête_à_partir_de_AS4003[[#This Row],[Date naissance 1]],Tableau_Lancer_la_requête_à_partir_de_AS4003[[#This Row],[Date début]])/360,0)</f>
        <v>64</v>
      </c>
      <c r="D133" s="11">
        <v>0</v>
      </c>
      <c r="E133" s="11">
        <v>0</v>
      </c>
      <c r="F133" s="11">
        <v>0</v>
      </c>
      <c r="G133" s="11">
        <v>12</v>
      </c>
      <c r="H133" s="11">
        <f>ROUND(DAYS360(Tableau_Lancer_la_requête_à_partir_de_AS4003[[#This Row],[Date début]],'Cash flows par police'!$C$4)/30,0)</f>
        <v>2</v>
      </c>
      <c r="I133" s="11">
        <v>0</v>
      </c>
      <c r="J133" s="11">
        <v>0</v>
      </c>
      <c r="K133" s="11">
        <v>0</v>
      </c>
      <c r="L133" s="11">
        <v>38.6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1">
        <v>0</v>
      </c>
      <c r="S133" s="11">
        <f>SUM(Tableau_Lancer_la_requête_à_partir_de_AS4003[[#This Row],[POLPRCPL2]:[POLPRCPL9]])</f>
        <v>38.6</v>
      </c>
      <c r="T133" s="11">
        <v>99</v>
      </c>
      <c r="U133" s="11">
        <v>12</v>
      </c>
      <c r="V133" s="11">
        <v>0</v>
      </c>
      <c r="W133" s="11">
        <v>648</v>
      </c>
      <c r="X133" s="11">
        <v>0</v>
      </c>
      <c r="Y133" s="11">
        <v>0</v>
      </c>
      <c r="Z133" s="11">
        <v>1</v>
      </c>
      <c r="AA133" s="11">
        <v>0</v>
      </c>
      <c r="AB133" s="11">
        <v>0</v>
      </c>
      <c r="AC133" s="11">
        <v>0</v>
      </c>
      <c r="AD133" s="11">
        <v>0</v>
      </c>
      <c r="AE133" s="11">
        <v>0</v>
      </c>
      <c r="AF133" s="11">
        <f>IF(Tableau_Lancer_la_requête_à_partir_de_AS4003[[#This Row],[POL_SEX_ASSURE]]="M",0,1)</f>
        <v>0</v>
      </c>
      <c r="AG133" s="11" t="str">
        <f>IF(Tableau_Lancer_la_requête_à_partir_de_AS4003[[#This Row],[POL_SEX_ASSURE2]]="","",IF(Tableau_Lancer_la_requête_à_partir_de_AS4003[[#This Row],[POL_SEX_ASSURE2]]="M",0,1))</f>
        <v/>
      </c>
      <c r="AH13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33" s="11">
        <v>7009.9</v>
      </c>
      <c r="AJ133" s="11">
        <f>Tableau_Lancer_la_requête_à_partir_de_AS4003[[#This Row],[POL_DUREE_ASSUR]]*12</f>
        <v>1188</v>
      </c>
      <c r="AK133" s="11">
        <v>333.8</v>
      </c>
      <c r="AL133" s="11">
        <v>0</v>
      </c>
      <c r="AM133" s="11">
        <v>0</v>
      </c>
      <c r="AN133" s="11" t="s">
        <v>36</v>
      </c>
      <c r="AO133" s="11" t="s">
        <v>80</v>
      </c>
      <c r="AP133" s="11">
        <f>Tableau_Lancer_la_requête_à_partir_de_AS4003[[#This Row],[POL_TERM_M]]-Tableau_Lancer_la_requête_à_partir_de_AS4003[[#This Row],[Duration IF]]</f>
        <v>1186</v>
      </c>
      <c r="AQ133" s="11" t="s">
        <v>36</v>
      </c>
      <c r="AR133" s="11" t="s">
        <v>36</v>
      </c>
      <c r="AS133" s="11" t="s">
        <v>36</v>
      </c>
      <c r="AT133" s="11" t="s">
        <v>36</v>
      </c>
      <c r="AU133" s="11" t="s">
        <v>36</v>
      </c>
      <c r="AV133" s="11">
        <v>0</v>
      </c>
      <c r="AW133" s="11">
        <v>11</v>
      </c>
      <c r="AX133" s="11">
        <v>1</v>
      </c>
      <c r="AY133" s="11">
        <v>20181101</v>
      </c>
      <c r="AZ133" s="80">
        <f t="shared" si="8"/>
        <v>43405</v>
      </c>
      <c r="BA133" s="11">
        <v>19540607</v>
      </c>
      <c r="BB133" s="80">
        <f t="shared" si="9"/>
        <v>19882</v>
      </c>
      <c r="BC133" s="11">
        <v>0</v>
      </c>
      <c r="BD133" s="11" t="s">
        <v>83</v>
      </c>
      <c r="BE133" s="11">
        <v>1</v>
      </c>
      <c r="BF133" s="11" t="s">
        <v>36</v>
      </c>
      <c r="BG133" s="11">
        <v>609.4</v>
      </c>
      <c r="BH133" s="11">
        <v>462.7</v>
      </c>
      <c r="BI133" s="11">
        <v>0</v>
      </c>
      <c r="BJ133" s="11" t="s">
        <v>82</v>
      </c>
      <c r="BK133" s="11">
        <v>1</v>
      </c>
      <c r="BL133" s="11">
        <v>0</v>
      </c>
      <c r="BM133" s="11">
        <v>0</v>
      </c>
      <c r="BN133" s="11">
        <v>794403</v>
      </c>
      <c r="BO133" s="11">
        <v>0</v>
      </c>
      <c r="BP133" s="11" t="s">
        <v>82</v>
      </c>
      <c r="BQ133" s="11">
        <v>0</v>
      </c>
      <c r="BR133" s="11"/>
      <c r="BT133" s="11"/>
      <c r="BU133" s="11"/>
      <c r="CA133" s="11"/>
      <c r="CD133" s="11"/>
    </row>
    <row r="134" spans="2:82" ht="12.75" x14ac:dyDescent="0.2">
      <c r="B134" s="11">
        <v>858302</v>
      </c>
      <c r="C134" s="11">
        <f>ROUND(DAYS360(Tableau_Lancer_la_requête_à_partir_de_AS4003[[#This Row],[Date naissance 1]],Tableau_Lancer_la_requête_à_partir_de_AS4003[[#This Row],[Date début]])/360,0)</f>
        <v>63</v>
      </c>
      <c r="D134" s="11">
        <v>0</v>
      </c>
      <c r="E134" s="11">
        <v>0</v>
      </c>
      <c r="F134" s="11">
        <v>0</v>
      </c>
      <c r="G134" s="11">
        <v>12</v>
      </c>
      <c r="H134" s="11">
        <f>ROUND(DAYS360(Tableau_Lancer_la_requête_à_partir_de_AS4003[[#This Row],[Date début]],'Cash flows par police'!$C$4)/30,0)</f>
        <v>9</v>
      </c>
      <c r="I134" s="11">
        <v>0</v>
      </c>
      <c r="J134" s="11">
        <v>0</v>
      </c>
      <c r="K134" s="11">
        <v>0</v>
      </c>
      <c r="L134" s="11">
        <v>39</v>
      </c>
      <c r="M134" s="11">
        <v>0</v>
      </c>
      <c r="N134" s="11">
        <v>0</v>
      </c>
      <c r="O134" s="11">
        <v>0</v>
      </c>
      <c r="P134" s="11">
        <v>0</v>
      </c>
      <c r="Q134" s="11">
        <v>0</v>
      </c>
      <c r="R134" s="11">
        <v>0</v>
      </c>
      <c r="S134" s="11">
        <f>SUM(Tableau_Lancer_la_requête_à_partir_de_AS4003[[#This Row],[POLPRCPL2]:[POLPRCPL9]])</f>
        <v>39</v>
      </c>
      <c r="T134" s="11">
        <v>99</v>
      </c>
      <c r="U134" s="11">
        <v>6</v>
      </c>
      <c r="V134" s="11">
        <v>0</v>
      </c>
      <c r="W134" s="11">
        <v>636</v>
      </c>
      <c r="X134" s="11">
        <v>0</v>
      </c>
      <c r="Y134" s="11">
        <v>0</v>
      </c>
      <c r="Z134" s="11">
        <v>1</v>
      </c>
      <c r="AA134" s="11">
        <v>0</v>
      </c>
      <c r="AB134" s="11">
        <v>0</v>
      </c>
      <c r="AC134" s="11">
        <v>0</v>
      </c>
      <c r="AD134" s="11">
        <v>0</v>
      </c>
      <c r="AE134" s="11">
        <v>0</v>
      </c>
      <c r="AF134" s="11">
        <f>IF(Tableau_Lancer_la_requête_à_partir_de_AS4003[[#This Row],[POL_SEX_ASSURE]]="M",0,1)</f>
        <v>0</v>
      </c>
      <c r="AG134" s="11" t="str">
        <f>IF(Tableau_Lancer_la_requête_à_partir_de_AS4003[[#This Row],[POL_SEX_ASSURE2]]="","",IF(Tableau_Lancer_la_requête_à_partir_de_AS4003[[#This Row],[POL_SEX_ASSURE2]]="M",0,1))</f>
        <v/>
      </c>
      <c r="AH13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34" s="11">
        <v>7208.2</v>
      </c>
      <c r="AJ134" s="11">
        <f>Tableau_Lancer_la_requête_à_partir_de_AS4003[[#This Row],[POL_DUREE_ASSUR]]*12</f>
        <v>1188</v>
      </c>
      <c r="AK134" s="11">
        <v>327.7</v>
      </c>
      <c r="AL134" s="11">
        <v>0</v>
      </c>
      <c r="AM134" s="11">
        <v>0</v>
      </c>
      <c r="AN134" s="11" t="s">
        <v>36</v>
      </c>
      <c r="AO134" s="11" t="s">
        <v>80</v>
      </c>
      <c r="AP134" s="11">
        <f>Tableau_Lancer_la_requête_à_partir_de_AS4003[[#This Row],[POL_TERM_M]]-Tableau_Lancer_la_requête_à_partir_de_AS4003[[#This Row],[Duration IF]]</f>
        <v>1179</v>
      </c>
      <c r="AQ134" s="11" t="s">
        <v>36</v>
      </c>
      <c r="AR134" s="11" t="s">
        <v>36</v>
      </c>
      <c r="AS134" s="11" t="s">
        <v>36</v>
      </c>
      <c r="AT134" s="11" t="s">
        <v>36</v>
      </c>
      <c r="AU134" s="11" t="s">
        <v>36</v>
      </c>
      <c r="AV134" s="11">
        <v>0</v>
      </c>
      <c r="AW134" s="11">
        <v>11</v>
      </c>
      <c r="AX134" s="11">
        <v>1</v>
      </c>
      <c r="AY134" s="11">
        <v>20180401</v>
      </c>
      <c r="AZ134" s="80">
        <f t="shared" si="8"/>
        <v>43191</v>
      </c>
      <c r="BA134" s="11">
        <v>19550910</v>
      </c>
      <c r="BB134" s="80">
        <f t="shared" si="9"/>
        <v>20342</v>
      </c>
      <c r="BC134" s="11">
        <v>0</v>
      </c>
      <c r="BD134" s="11" t="s">
        <v>83</v>
      </c>
      <c r="BE134" s="11">
        <v>1</v>
      </c>
      <c r="BF134" s="11" t="s">
        <v>36</v>
      </c>
      <c r="BG134" s="11">
        <v>597</v>
      </c>
      <c r="BH134" s="11">
        <v>461.9</v>
      </c>
      <c r="BI134" s="11">
        <v>0</v>
      </c>
      <c r="BJ134" s="11" t="s">
        <v>82</v>
      </c>
      <c r="BK134" s="11">
        <v>0</v>
      </c>
      <c r="BL134" s="11">
        <v>37.9</v>
      </c>
      <c r="BM134" s="11">
        <v>2.6</v>
      </c>
      <c r="BN134" s="11">
        <v>858302</v>
      </c>
      <c r="BO134" s="11">
        <v>0</v>
      </c>
      <c r="BP134" s="11" t="s">
        <v>82</v>
      </c>
      <c r="BQ134" s="11">
        <v>0</v>
      </c>
      <c r="BR134" s="11"/>
      <c r="BT134" s="11"/>
      <c r="BU134" s="11"/>
      <c r="CA134" s="11"/>
      <c r="CD134" s="11"/>
    </row>
    <row r="135" spans="2:82" ht="12.75" x14ac:dyDescent="0.2">
      <c r="B135" s="11">
        <v>881702</v>
      </c>
      <c r="C135" s="11">
        <f>ROUND(DAYS360(Tableau_Lancer_la_requête_à_partir_de_AS4003[[#This Row],[Date naissance 1]],Tableau_Lancer_la_requête_à_partir_de_AS4003[[#This Row],[Date début]])/360,0)</f>
        <v>66</v>
      </c>
      <c r="D135" s="11">
        <v>0</v>
      </c>
      <c r="E135" s="11">
        <v>0</v>
      </c>
      <c r="F135" s="11">
        <v>0</v>
      </c>
      <c r="G135" s="11">
        <v>12</v>
      </c>
      <c r="H135" s="11">
        <f>ROUND(DAYS360(Tableau_Lancer_la_requête_à_partir_de_AS4003[[#This Row],[Date début]],'Cash flows par police'!$C$4)/30,0)</f>
        <v>13</v>
      </c>
      <c r="I135" s="11">
        <v>0</v>
      </c>
      <c r="J135" s="11">
        <v>0</v>
      </c>
      <c r="K135" s="11">
        <v>0</v>
      </c>
      <c r="L135" s="11">
        <v>55.1</v>
      </c>
      <c r="M135" s="11">
        <v>0</v>
      </c>
      <c r="N135" s="11">
        <v>0</v>
      </c>
      <c r="O135" s="11">
        <v>0</v>
      </c>
      <c r="P135" s="11">
        <v>0</v>
      </c>
      <c r="Q135" s="11">
        <v>0</v>
      </c>
      <c r="R135" s="11">
        <v>0</v>
      </c>
      <c r="S135" s="11">
        <f>SUM(Tableau_Lancer_la_requête_à_partir_de_AS4003[[#This Row],[POLPRCPL2]:[POLPRCPL9]])</f>
        <v>55.1</v>
      </c>
      <c r="T135" s="11">
        <v>99</v>
      </c>
      <c r="U135" s="11">
        <v>12</v>
      </c>
      <c r="V135" s="11">
        <v>0</v>
      </c>
      <c r="W135" s="11">
        <v>951.6</v>
      </c>
      <c r="X135" s="11">
        <v>276.8</v>
      </c>
      <c r="Y135" s="11">
        <v>0</v>
      </c>
      <c r="Z135" s="11">
        <v>1</v>
      </c>
      <c r="AA135" s="11">
        <v>0</v>
      </c>
      <c r="AB135" s="11">
        <v>0</v>
      </c>
      <c r="AC135" s="11">
        <v>0</v>
      </c>
      <c r="AD135" s="11">
        <v>0</v>
      </c>
      <c r="AE135" s="11">
        <v>0</v>
      </c>
      <c r="AF135" s="11">
        <f>IF(Tableau_Lancer_la_requête_à_partir_de_AS4003[[#This Row],[POL_SEX_ASSURE]]="M",0,1)</f>
        <v>0</v>
      </c>
      <c r="AG135" s="11" t="str">
        <f>IF(Tableau_Lancer_la_requête_à_partir_de_AS4003[[#This Row],[POL_SEX_ASSURE2]]="","",IF(Tableau_Lancer_la_requête_à_partir_de_AS4003[[#This Row],[POL_SEX_ASSURE2]]="M",0,1))</f>
        <v/>
      </c>
      <c r="AH13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35" s="11">
        <v>10000</v>
      </c>
      <c r="AJ135" s="11">
        <f>Tableau_Lancer_la_requête_à_partir_de_AS4003[[#This Row],[POL_DUREE_ASSUR]]*12</f>
        <v>1188</v>
      </c>
      <c r="AK135" s="11">
        <v>500</v>
      </c>
      <c r="AL135" s="11">
        <v>276.8</v>
      </c>
      <c r="AM135" s="11">
        <v>0</v>
      </c>
      <c r="AN135" s="11" t="s">
        <v>36</v>
      </c>
      <c r="AO135" s="11" t="s">
        <v>80</v>
      </c>
      <c r="AP135" s="11">
        <f>Tableau_Lancer_la_requête_à_partir_de_AS4003[[#This Row],[POL_TERM_M]]-Tableau_Lancer_la_requête_à_partir_de_AS4003[[#This Row],[Duration IF]]</f>
        <v>1175</v>
      </c>
      <c r="AQ135" s="11" t="s">
        <v>36</v>
      </c>
      <c r="AR135" s="11" t="s">
        <v>36</v>
      </c>
      <c r="AS135" s="11" t="s">
        <v>36</v>
      </c>
      <c r="AT135" s="11" t="s">
        <v>36</v>
      </c>
      <c r="AU135" s="11" t="s">
        <v>36</v>
      </c>
      <c r="AV135" s="11">
        <v>0</v>
      </c>
      <c r="AW135" s="11">
        <v>11</v>
      </c>
      <c r="AX135" s="11">
        <v>1</v>
      </c>
      <c r="AY135" s="11">
        <v>20171201</v>
      </c>
      <c r="AZ135" s="80">
        <f t="shared" si="8"/>
        <v>43070</v>
      </c>
      <c r="BA135" s="11">
        <v>19520314</v>
      </c>
      <c r="BB135" s="80">
        <f t="shared" si="9"/>
        <v>19067</v>
      </c>
      <c r="BC135" s="11">
        <v>0</v>
      </c>
      <c r="BD135" s="11" t="s">
        <v>83</v>
      </c>
      <c r="BE135" s="11">
        <v>1</v>
      </c>
      <c r="BF135" s="11" t="s">
        <v>36</v>
      </c>
      <c r="BG135" s="11">
        <v>896.5</v>
      </c>
      <c r="BH135" s="11">
        <v>680.9</v>
      </c>
      <c r="BI135" s="11">
        <v>0</v>
      </c>
      <c r="BJ135" s="11" t="s">
        <v>82</v>
      </c>
      <c r="BK135" s="11">
        <v>1</v>
      </c>
      <c r="BL135" s="11">
        <v>0</v>
      </c>
      <c r="BM135" s="11">
        <v>0</v>
      </c>
      <c r="BN135" s="11">
        <v>881702</v>
      </c>
      <c r="BO135" s="11">
        <v>0</v>
      </c>
      <c r="BP135" s="11" t="s">
        <v>82</v>
      </c>
      <c r="BQ135" s="11">
        <v>0</v>
      </c>
      <c r="BR135" s="11"/>
      <c r="BT135" s="11"/>
      <c r="BU135" s="11"/>
      <c r="CA135" s="11"/>
      <c r="CD135" s="11"/>
    </row>
    <row r="136" spans="2:82" ht="12.75" x14ac:dyDescent="0.2">
      <c r="B136" s="11">
        <v>883402</v>
      </c>
      <c r="C136" s="11">
        <f>ROUND(DAYS360(Tableau_Lancer_la_requête_à_partir_de_AS4003[[#This Row],[Date naissance 1]],Tableau_Lancer_la_requête_à_partir_de_AS4003[[#This Row],[Date début]])/360,0)</f>
        <v>58</v>
      </c>
      <c r="D136" s="11">
        <v>0</v>
      </c>
      <c r="E136" s="11">
        <v>0</v>
      </c>
      <c r="F136" s="11">
        <v>0</v>
      </c>
      <c r="G136" s="11">
        <v>12</v>
      </c>
      <c r="H136" s="11">
        <f>ROUND(DAYS360(Tableau_Lancer_la_requête_à_partir_de_AS4003[[#This Row],[Date début]],'Cash flows par police'!$C$4)/30,0)</f>
        <v>1</v>
      </c>
      <c r="I136" s="11">
        <v>0</v>
      </c>
      <c r="J136" s="11">
        <v>0</v>
      </c>
      <c r="K136" s="11">
        <v>0</v>
      </c>
      <c r="L136" s="11">
        <v>27.5</v>
      </c>
      <c r="M136" s="11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0</v>
      </c>
      <c r="S136" s="11">
        <f>SUM(Tableau_Lancer_la_requête_à_partir_de_AS4003[[#This Row],[POLPRCPL2]:[POLPRCPL9]])</f>
        <v>27.5</v>
      </c>
      <c r="T136" s="11">
        <v>99</v>
      </c>
      <c r="U136" s="11">
        <v>12</v>
      </c>
      <c r="V136" s="11">
        <v>0</v>
      </c>
      <c r="W136" s="11">
        <v>375.6</v>
      </c>
      <c r="X136" s="11">
        <v>0</v>
      </c>
      <c r="Y136" s="11">
        <v>0</v>
      </c>
      <c r="Z136" s="11">
        <v>1</v>
      </c>
      <c r="AA136" s="11">
        <v>0</v>
      </c>
      <c r="AB136" s="11">
        <v>0</v>
      </c>
      <c r="AC136" s="11">
        <v>0</v>
      </c>
      <c r="AD136" s="11">
        <v>0</v>
      </c>
      <c r="AE136" s="11">
        <v>0</v>
      </c>
      <c r="AF136" s="11">
        <f>IF(Tableau_Lancer_la_requête_à_partir_de_AS4003[[#This Row],[POL_SEX_ASSURE]]="M",0,1)</f>
        <v>0</v>
      </c>
      <c r="AG136" s="11" t="str">
        <f>IF(Tableau_Lancer_la_requête_à_partir_de_AS4003[[#This Row],[POL_SEX_ASSURE2]]="","",IF(Tableau_Lancer_la_requête_à_partir_de_AS4003[[#This Row],[POL_SEX_ASSURE2]]="M",0,1))</f>
        <v/>
      </c>
      <c r="AH13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36" s="11">
        <v>5000</v>
      </c>
      <c r="AJ136" s="11">
        <f>Tableau_Lancer_la_requête_à_partir_de_AS4003[[#This Row],[POL_DUREE_ASSUR]]*12</f>
        <v>1188</v>
      </c>
      <c r="AK136" s="11">
        <v>185.2</v>
      </c>
      <c r="AL136" s="11">
        <v>0</v>
      </c>
      <c r="AM136" s="11">
        <v>0</v>
      </c>
      <c r="AN136" s="11" t="s">
        <v>36</v>
      </c>
      <c r="AO136" s="11" t="s">
        <v>80</v>
      </c>
      <c r="AP136" s="11">
        <f>Tableau_Lancer_la_requête_à_partir_de_AS4003[[#This Row],[POL_TERM_M]]-Tableau_Lancer_la_requête_à_partir_de_AS4003[[#This Row],[Duration IF]]</f>
        <v>1187</v>
      </c>
      <c r="AQ136" s="11" t="s">
        <v>36</v>
      </c>
      <c r="AR136" s="11" t="s">
        <v>36</v>
      </c>
      <c r="AS136" s="11" t="s">
        <v>36</v>
      </c>
      <c r="AT136" s="11" t="s">
        <v>36</v>
      </c>
      <c r="AU136" s="11" t="s">
        <v>36</v>
      </c>
      <c r="AV136" s="11">
        <v>0</v>
      </c>
      <c r="AW136" s="11">
        <v>11</v>
      </c>
      <c r="AX136" s="11">
        <v>1</v>
      </c>
      <c r="AY136" s="11">
        <v>20181201</v>
      </c>
      <c r="AZ136" s="80">
        <f t="shared" si="8"/>
        <v>43435</v>
      </c>
      <c r="BA136" s="11">
        <v>19600725</v>
      </c>
      <c r="BB136" s="80">
        <f t="shared" si="9"/>
        <v>22122</v>
      </c>
      <c r="BC136" s="11">
        <v>0</v>
      </c>
      <c r="BD136" s="11" t="s">
        <v>83</v>
      </c>
      <c r="BE136" s="11">
        <v>1</v>
      </c>
      <c r="BF136" s="11" t="s">
        <v>36</v>
      </c>
      <c r="BG136" s="11">
        <v>348.1</v>
      </c>
      <c r="BH136" s="11">
        <v>264.3</v>
      </c>
      <c r="BI136" s="11">
        <v>0</v>
      </c>
      <c r="BJ136" s="11" t="s">
        <v>82</v>
      </c>
      <c r="BK136" s="11">
        <v>1</v>
      </c>
      <c r="BL136" s="11">
        <v>0</v>
      </c>
      <c r="BM136" s="11">
        <v>0</v>
      </c>
      <c r="BN136" s="11">
        <v>883402</v>
      </c>
      <c r="BO136" s="11">
        <v>0</v>
      </c>
      <c r="BP136" s="11" t="s">
        <v>82</v>
      </c>
      <c r="BQ136" s="11">
        <v>0</v>
      </c>
      <c r="BR136" s="11"/>
      <c r="BT136" s="11"/>
      <c r="BU136" s="11"/>
      <c r="CA136" s="11"/>
      <c r="CD136" s="11"/>
    </row>
    <row r="137" spans="2:82" ht="12.75" x14ac:dyDescent="0.2">
      <c r="B137" s="11">
        <v>936104</v>
      </c>
      <c r="C137" s="11">
        <f>ROUND(DAYS360(Tableau_Lancer_la_requête_à_partir_de_AS4003[[#This Row],[Date naissance 1]],Tableau_Lancer_la_requête_à_partir_de_AS4003[[#This Row],[Date début]])/360,0)</f>
        <v>56</v>
      </c>
      <c r="D137" s="11">
        <v>0</v>
      </c>
      <c r="E137" s="11">
        <v>0</v>
      </c>
      <c r="F137" s="11">
        <v>0</v>
      </c>
      <c r="G137" s="11">
        <v>12</v>
      </c>
      <c r="H137" s="11">
        <f>ROUND(DAYS360(Tableau_Lancer_la_requête_à_partir_de_AS4003[[#This Row],[Date début]],'Cash flows par police'!$C$4)/30,0)</f>
        <v>2</v>
      </c>
      <c r="I137" s="11">
        <v>0</v>
      </c>
      <c r="J137" s="11">
        <v>0</v>
      </c>
      <c r="K137" s="11">
        <v>0</v>
      </c>
      <c r="L137" s="11">
        <v>27.5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v>0</v>
      </c>
      <c r="S137" s="11">
        <f>SUM(Tableau_Lancer_la_requête_à_partir_de_AS4003[[#This Row],[POLPRCPL2]:[POLPRCPL9]])</f>
        <v>27.5</v>
      </c>
      <c r="T137" s="11">
        <v>99</v>
      </c>
      <c r="U137" s="11">
        <v>12</v>
      </c>
      <c r="V137" s="11">
        <v>0</v>
      </c>
      <c r="W137" s="11">
        <v>358.8</v>
      </c>
      <c r="X137" s="11">
        <v>8.9</v>
      </c>
      <c r="Y137" s="11">
        <v>0</v>
      </c>
      <c r="Z137" s="11">
        <v>1</v>
      </c>
      <c r="AA137" s="11">
        <v>0</v>
      </c>
      <c r="AB137" s="11">
        <v>0</v>
      </c>
      <c r="AC137" s="11">
        <v>0</v>
      </c>
      <c r="AD137" s="11">
        <v>0</v>
      </c>
      <c r="AE137" s="11">
        <v>0</v>
      </c>
      <c r="AF137" s="11">
        <f>IF(Tableau_Lancer_la_requête_à_partir_de_AS4003[[#This Row],[POL_SEX_ASSURE]]="M",0,1)</f>
        <v>0</v>
      </c>
      <c r="AG137" s="11" t="str">
        <f>IF(Tableau_Lancer_la_requête_à_partir_de_AS4003[[#This Row],[POL_SEX_ASSURE2]]="","",IF(Tableau_Lancer_la_requête_à_partir_de_AS4003[[#This Row],[POL_SEX_ASSURE2]]="M",0,1))</f>
        <v/>
      </c>
      <c r="AH13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37" s="11">
        <v>5000</v>
      </c>
      <c r="AJ137" s="11">
        <f>Tableau_Lancer_la_requête_à_partir_de_AS4003[[#This Row],[POL_DUREE_ASSUR]]*12</f>
        <v>1188</v>
      </c>
      <c r="AK137" s="11">
        <v>172.4</v>
      </c>
      <c r="AL137" s="11">
        <v>8.9</v>
      </c>
      <c r="AM137" s="11">
        <v>0</v>
      </c>
      <c r="AN137" s="11" t="s">
        <v>36</v>
      </c>
      <c r="AO137" s="11" t="s">
        <v>80</v>
      </c>
      <c r="AP137" s="11">
        <f>Tableau_Lancer_la_requête_à_partir_de_AS4003[[#This Row],[POL_TERM_M]]-Tableau_Lancer_la_requête_à_partir_de_AS4003[[#This Row],[Duration IF]]</f>
        <v>1186</v>
      </c>
      <c r="AQ137" s="11" t="s">
        <v>36</v>
      </c>
      <c r="AR137" s="11" t="s">
        <v>36</v>
      </c>
      <c r="AS137" s="11" t="s">
        <v>36</v>
      </c>
      <c r="AT137" s="11" t="s">
        <v>36</v>
      </c>
      <c r="AU137" s="11" t="s">
        <v>36</v>
      </c>
      <c r="AV137" s="11">
        <v>0</v>
      </c>
      <c r="AW137" s="11">
        <v>11</v>
      </c>
      <c r="AX137" s="11">
        <v>1</v>
      </c>
      <c r="AY137" s="11">
        <v>20181101</v>
      </c>
      <c r="AZ137" s="80">
        <f t="shared" si="8"/>
        <v>43405</v>
      </c>
      <c r="BA137" s="11">
        <v>19620810</v>
      </c>
      <c r="BB137" s="80">
        <f t="shared" si="9"/>
        <v>22868</v>
      </c>
      <c r="BC137" s="11">
        <v>0</v>
      </c>
      <c r="BD137" s="11" t="s">
        <v>83</v>
      </c>
      <c r="BE137" s="11">
        <v>1</v>
      </c>
      <c r="BF137" s="11" t="s">
        <v>36</v>
      </c>
      <c r="BG137" s="11">
        <v>331.3</v>
      </c>
      <c r="BH137" s="11">
        <v>251.5</v>
      </c>
      <c r="BI137" s="11">
        <v>0</v>
      </c>
      <c r="BJ137" s="11" t="s">
        <v>82</v>
      </c>
      <c r="BK137" s="11">
        <v>1</v>
      </c>
      <c r="BL137" s="11">
        <v>0</v>
      </c>
      <c r="BM137" s="11">
        <v>0</v>
      </c>
      <c r="BN137" s="11">
        <v>936104</v>
      </c>
      <c r="BO137" s="11">
        <v>0</v>
      </c>
      <c r="BP137" s="11" t="s">
        <v>82</v>
      </c>
      <c r="BQ137" s="11">
        <v>0</v>
      </c>
      <c r="BR137" s="11"/>
      <c r="BT137" s="11"/>
      <c r="BU137" s="11"/>
      <c r="CA137" s="11"/>
      <c r="CD137" s="11"/>
    </row>
    <row r="138" spans="2:82" ht="12.75" x14ac:dyDescent="0.2">
      <c r="B138" s="11">
        <v>948502</v>
      </c>
      <c r="C138" s="11">
        <f>ROUND(DAYS360(Tableau_Lancer_la_requête_à_partir_de_AS4003[[#This Row],[Date naissance 1]],Tableau_Lancer_la_requête_à_partir_de_AS4003[[#This Row],[Date début]])/360,0)</f>
        <v>56</v>
      </c>
      <c r="D138" s="11">
        <v>0</v>
      </c>
      <c r="E138" s="11">
        <v>0</v>
      </c>
      <c r="F138" s="11">
        <v>0</v>
      </c>
      <c r="G138" s="11">
        <v>12</v>
      </c>
      <c r="H138" s="11">
        <f>ROUND(DAYS360(Tableau_Lancer_la_requête_à_partir_de_AS4003[[#This Row],[Date début]],'Cash flows par police'!$C$4)/30,0)</f>
        <v>2</v>
      </c>
      <c r="I138" s="11">
        <v>0</v>
      </c>
      <c r="J138" s="11">
        <v>0</v>
      </c>
      <c r="K138" s="11">
        <v>0</v>
      </c>
      <c r="L138" s="11">
        <v>38.6</v>
      </c>
      <c r="M138" s="11">
        <v>0</v>
      </c>
      <c r="N138" s="11">
        <v>0</v>
      </c>
      <c r="O138" s="11">
        <v>0</v>
      </c>
      <c r="P138" s="11">
        <v>0</v>
      </c>
      <c r="Q138" s="11">
        <v>0</v>
      </c>
      <c r="R138" s="11">
        <v>0</v>
      </c>
      <c r="S138" s="11">
        <f>SUM(Tableau_Lancer_la_requête_à_partir_de_AS4003[[#This Row],[POLPRCPL2]:[POLPRCPL9]])</f>
        <v>38.6</v>
      </c>
      <c r="T138" s="11">
        <v>99</v>
      </c>
      <c r="U138" s="11">
        <v>12</v>
      </c>
      <c r="V138" s="11">
        <v>0</v>
      </c>
      <c r="W138" s="11">
        <v>502.8</v>
      </c>
      <c r="X138" s="11">
        <v>12.5</v>
      </c>
      <c r="Y138" s="11">
        <v>0</v>
      </c>
      <c r="Z138" s="11">
        <v>1</v>
      </c>
      <c r="AA138" s="11">
        <v>0</v>
      </c>
      <c r="AB138" s="11">
        <v>0</v>
      </c>
      <c r="AC138" s="11">
        <v>0</v>
      </c>
      <c r="AD138" s="11">
        <v>0</v>
      </c>
      <c r="AE138" s="11">
        <v>0</v>
      </c>
      <c r="AF138" s="11">
        <f>IF(Tableau_Lancer_la_requête_à_partir_de_AS4003[[#This Row],[POL_SEX_ASSURE]]="M",0,1)</f>
        <v>0</v>
      </c>
      <c r="AG138" s="11" t="str">
        <f>IF(Tableau_Lancer_la_requête_à_partir_de_AS4003[[#This Row],[POL_SEX_ASSURE2]]="","",IF(Tableau_Lancer_la_requête_à_partir_de_AS4003[[#This Row],[POL_SEX_ASSURE2]]="M",0,1))</f>
        <v/>
      </c>
      <c r="AH13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38" s="11">
        <v>7000</v>
      </c>
      <c r="AJ138" s="11">
        <f>Tableau_Lancer_la_requête_à_partir_de_AS4003[[#This Row],[POL_DUREE_ASSUR]]*12</f>
        <v>1188</v>
      </c>
      <c r="AK138" s="11">
        <v>241.4</v>
      </c>
      <c r="AL138" s="11">
        <v>12.5</v>
      </c>
      <c r="AM138" s="11">
        <v>0</v>
      </c>
      <c r="AN138" s="11" t="s">
        <v>36</v>
      </c>
      <c r="AO138" s="11" t="s">
        <v>80</v>
      </c>
      <c r="AP138" s="11">
        <f>Tableau_Lancer_la_requête_à_partir_de_AS4003[[#This Row],[POL_TERM_M]]-Tableau_Lancer_la_requête_à_partir_de_AS4003[[#This Row],[Duration IF]]</f>
        <v>1186</v>
      </c>
      <c r="AQ138" s="11" t="s">
        <v>36</v>
      </c>
      <c r="AR138" s="11" t="s">
        <v>36</v>
      </c>
      <c r="AS138" s="11" t="s">
        <v>36</v>
      </c>
      <c r="AT138" s="11" t="s">
        <v>36</v>
      </c>
      <c r="AU138" s="11" t="s">
        <v>36</v>
      </c>
      <c r="AV138" s="11">
        <v>0</v>
      </c>
      <c r="AW138" s="11">
        <v>11</v>
      </c>
      <c r="AX138" s="11">
        <v>1</v>
      </c>
      <c r="AY138" s="11">
        <v>20181101</v>
      </c>
      <c r="AZ138" s="80">
        <f t="shared" si="8"/>
        <v>43405</v>
      </c>
      <c r="BA138" s="11">
        <v>19620814</v>
      </c>
      <c r="BB138" s="80">
        <f t="shared" si="9"/>
        <v>22872</v>
      </c>
      <c r="BC138" s="11">
        <v>0</v>
      </c>
      <c r="BD138" s="11" t="s">
        <v>83</v>
      </c>
      <c r="BE138" s="11">
        <v>1</v>
      </c>
      <c r="BF138" s="11" t="s">
        <v>36</v>
      </c>
      <c r="BG138" s="11">
        <v>464.2</v>
      </c>
      <c r="BH138" s="11">
        <v>352.1</v>
      </c>
      <c r="BI138" s="11">
        <v>0</v>
      </c>
      <c r="BJ138" s="11" t="s">
        <v>82</v>
      </c>
      <c r="BK138" s="11">
        <v>1</v>
      </c>
      <c r="BL138" s="11">
        <v>0</v>
      </c>
      <c r="BM138" s="11">
        <v>0</v>
      </c>
      <c r="BN138" s="11">
        <v>948502</v>
      </c>
      <c r="BO138" s="11">
        <v>0</v>
      </c>
      <c r="BP138" s="11" t="s">
        <v>82</v>
      </c>
      <c r="BQ138" s="11">
        <v>0</v>
      </c>
      <c r="BR138" s="11"/>
      <c r="BT138" s="11"/>
      <c r="BU138" s="11"/>
      <c r="CA138" s="11"/>
      <c r="CD138" s="11"/>
    </row>
    <row r="139" spans="2:82" ht="12.75" x14ac:dyDescent="0.2">
      <c r="B139" s="11">
        <v>970003</v>
      </c>
      <c r="C139" s="11">
        <f>ROUND(DAYS360(Tableau_Lancer_la_requête_à_partir_de_AS4003[[#This Row],[Date naissance 1]],Tableau_Lancer_la_requête_à_partir_de_AS4003[[#This Row],[Date début]])/360,0)</f>
        <v>64</v>
      </c>
      <c r="D139" s="11">
        <v>0</v>
      </c>
      <c r="E139" s="11">
        <v>0</v>
      </c>
      <c r="F139" s="11">
        <v>0</v>
      </c>
      <c r="G139" s="11">
        <v>12</v>
      </c>
      <c r="H139" s="11">
        <f>ROUND(DAYS360(Tableau_Lancer_la_requête_à_partir_de_AS4003[[#This Row],[Date début]],'Cash flows par police'!$C$4)/30,0)</f>
        <v>1</v>
      </c>
      <c r="I139" s="11">
        <v>0</v>
      </c>
      <c r="J139" s="11">
        <v>0</v>
      </c>
      <c r="K139" s="11">
        <v>0</v>
      </c>
      <c r="L139" s="11">
        <v>13.2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1">
        <v>0</v>
      </c>
      <c r="S139" s="11">
        <f>SUM(Tableau_Lancer_la_requête_à_partir_de_AS4003[[#This Row],[POLPRCPL2]:[POLPRCPL9]])</f>
        <v>13.2</v>
      </c>
      <c r="T139" s="11">
        <v>99</v>
      </c>
      <c r="U139" s="11">
        <v>12</v>
      </c>
      <c r="V139" s="11">
        <v>0</v>
      </c>
      <c r="W139" s="11">
        <v>216</v>
      </c>
      <c r="X139" s="11">
        <v>0</v>
      </c>
      <c r="Y139" s="11">
        <v>0</v>
      </c>
      <c r="Z139" s="11">
        <v>1</v>
      </c>
      <c r="AA139" s="11">
        <v>0</v>
      </c>
      <c r="AB139" s="11">
        <v>0</v>
      </c>
      <c r="AC139" s="11">
        <v>0</v>
      </c>
      <c r="AD139" s="11">
        <v>0</v>
      </c>
      <c r="AE139" s="11">
        <v>0</v>
      </c>
      <c r="AF139" s="11">
        <f>IF(Tableau_Lancer_la_requête_à_partir_de_AS4003[[#This Row],[POL_SEX_ASSURE]]="M",0,1)</f>
        <v>0</v>
      </c>
      <c r="AG139" s="11" t="str">
        <f>IF(Tableau_Lancer_la_requête_à_partir_de_AS4003[[#This Row],[POL_SEX_ASSURE2]]="","",IF(Tableau_Lancer_la_requête_à_partir_de_AS4003[[#This Row],[POL_SEX_ASSURE2]]="M",0,1))</f>
        <v/>
      </c>
      <c r="AH13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39" s="11">
        <v>2402.6999999999998</v>
      </c>
      <c r="AJ139" s="11">
        <f>Tableau_Lancer_la_requête_à_partir_de_AS4003[[#This Row],[POL_DUREE_ASSUR]]*12</f>
        <v>1188</v>
      </c>
      <c r="AK139" s="11">
        <v>109.2</v>
      </c>
      <c r="AL139" s="11">
        <v>0</v>
      </c>
      <c r="AM139" s="11">
        <v>0</v>
      </c>
      <c r="AN139" s="11" t="s">
        <v>36</v>
      </c>
      <c r="AO139" s="11" t="s">
        <v>80</v>
      </c>
      <c r="AP139" s="11">
        <f>Tableau_Lancer_la_requête_à_partir_de_AS4003[[#This Row],[POL_TERM_M]]-Tableau_Lancer_la_requête_à_partir_de_AS4003[[#This Row],[Duration IF]]</f>
        <v>1187</v>
      </c>
      <c r="AQ139" s="11" t="s">
        <v>36</v>
      </c>
      <c r="AR139" s="11" t="s">
        <v>36</v>
      </c>
      <c r="AS139" s="11" t="s">
        <v>36</v>
      </c>
      <c r="AT139" s="11" t="s">
        <v>36</v>
      </c>
      <c r="AU139" s="11" t="s">
        <v>36</v>
      </c>
      <c r="AV139" s="11">
        <v>0</v>
      </c>
      <c r="AW139" s="11">
        <v>11</v>
      </c>
      <c r="AX139" s="11">
        <v>1</v>
      </c>
      <c r="AY139" s="11">
        <v>20181201</v>
      </c>
      <c r="AZ139" s="80">
        <f t="shared" si="8"/>
        <v>43435</v>
      </c>
      <c r="BA139" s="11">
        <v>19550506</v>
      </c>
      <c r="BB139" s="80">
        <f t="shared" si="9"/>
        <v>20215</v>
      </c>
      <c r="BC139" s="11">
        <v>0</v>
      </c>
      <c r="BD139" s="11" t="s">
        <v>83</v>
      </c>
      <c r="BE139" s="11">
        <v>1</v>
      </c>
      <c r="BF139" s="11" t="s">
        <v>36</v>
      </c>
      <c r="BG139" s="11">
        <v>202.8</v>
      </c>
      <c r="BH139" s="11">
        <v>153.9</v>
      </c>
      <c r="BI139" s="11">
        <v>0</v>
      </c>
      <c r="BJ139" s="11" t="s">
        <v>82</v>
      </c>
      <c r="BK139" s="11">
        <v>1</v>
      </c>
      <c r="BL139" s="11">
        <v>0</v>
      </c>
      <c r="BM139" s="11">
        <v>0</v>
      </c>
      <c r="BN139" s="11">
        <v>970003</v>
      </c>
      <c r="BO139" s="11">
        <v>0</v>
      </c>
      <c r="BP139" s="11" t="s">
        <v>82</v>
      </c>
      <c r="BQ139" s="11">
        <v>0</v>
      </c>
      <c r="BR139" s="11"/>
      <c r="BT139" s="11"/>
      <c r="BU139" s="11"/>
      <c r="CA139" s="11"/>
      <c r="CD139" s="11"/>
    </row>
    <row r="140" spans="2:82" ht="12.75" x14ac:dyDescent="0.2">
      <c r="B140" s="11">
        <v>979402</v>
      </c>
      <c r="C140" s="11">
        <f>ROUND(DAYS360(Tableau_Lancer_la_requête_à_partir_de_AS4003[[#This Row],[Date naissance 1]],Tableau_Lancer_la_requête_à_partir_de_AS4003[[#This Row],[Date début]])/360,0)</f>
        <v>55</v>
      </c>
      <c r="D140" s="11">
        <v>0</v>
      </c>
      <c r="E140" s="11">
        <v>0</v>
      </c>
      <c r="F140" s="11">
        <v>0</v>
      </c>
      <c r="G140" s="11">
        <v>12</v>
      </c>
      <c r="H140" s="11">
        <f>ROUND(DAYS360(Tableau_Lancer_la_requête_à_partir_de_AS4003[[#This Row],[Date début]],'Cash flows par police'!$C$4)/30,0)</f>
        <v>20</v>
      </c>
      <c r="I140" s="11">
        <v>0</v>
      </c>
      <c r="J140" s="11">
        <v>0</v>
      </c>
      <c r="K140" s="11">
        <v>0</v>
      </c>
      <c r="L140" s="11">
        <v>82.6</v>
      </c>
      <c r="M140" s="11">
        <v>0</v>
      </c>
      <c r="N140" s="11">
        <v>0</v>
      </c>
      <c r="O140" s="11">
        <v>0</v>
      </c>
      <c r="P140" s="11">
        <v>0</v>
      </c>
      <c r="Q140" s="11">
        <v>0</v>
      </c>
      <c r="R140" s="11">
        <v>0</v>
      </c>
      <c r="S140" s="11">
        <f>SUM(Tableau_Lancer_la_requête_à_partir_de_AS4003[[#This Row],[POLPRCPL2]:[POLPRCPL9]])</f>
        <v>82.6</v>
      </c>
      <c r="T140" s="11">
        <v>99</v>
      </c>
      <c r="U140" s="11">
        <v>12</v>
      </c>
      <c r="V140" s="11">
        <v>0</v>
      </c>
      <c r="W140" s="11">
        <v>1053.5999999999999</v>
      </c>
      <c r="X140" s="11">
        <v>496.2</v>
      </c>
      <c r="Y140" s="11">
        <v>5.4</v>
      </c>
      <c r="Z140" s="11">
        <v>1</v>
      </c>
      <c r="AA140" s="11">
        <v>0</v>
      </c>
      <c r="AB140" s="11">
        <v>0</v>
      </c>
      <c r="AC140" s="11">
        <v>0</v>
      </c>
      <c r="AD140" s="11">
        <v>0</v>
      </c>
      <c r="AE140" s="11">
        <v>0</v>
      </c>
      <c r="AF140" s="11">
        <f>IF(Tableau_Lancer_la_requête_à_partir_de_AS4003[[#This Row],[POL_SEX_ASSURE]]="M",0,1)</f>
        <v>0</v>
      </c>
      <c r="AG140" s="11" t="str">
        <f>IF(Tableau_Lancer_la_requête_à_partir_de_AS4003[[#This Row],[POL_SEX_ASSURE2]]="","",IF(Tableau_Lancer_la_requête_à_partir_de_AS4003[[#This Row],[POL_SEX_ASSURE2]]="M",0,1))</f>
        <v/>
      </c>
      <c r="AH14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40" s="11">
        <v>15000</v>
      </c>
      <c r="AJ140" s="11">
        <f>Tableau_Lancer_la_requête_à_partir_de_AS4003[[#This Row],[POL_DUREE_ASSUR]]*12</f>
        <v>1188</v>
      </c>
      <c r="AK140" s="11">
        <v>500</v>
      </c>
      <c r="AL140" s="11">
        <v>496.2</v>
      </c>
      <c r="AM140" s="11">
        <v>0</v>
      </c>
      <c r="AN140" s="11" t="s">
        <v>36</v>
      </c>
      <c r="AO140" s="11" t="s">
        <v>80</v>
      </c>
      <c r="AP140" s="11">
        <f>Tableau_Lancer_la_requête_à_partir_de_AS4003[[#This Row],[POL_TERM_M]]-Tableau_Lancer_la_requête_à_partir_de_AS4003[[#This Row],[Duration IF]]</f>
        <v>1168</v>
      </c>
      <c r="AQ140" s="11" t="s">
        <v>36</v>
      </c>
      <c r="AR140" s="11" t="s">
        <v>36</v>
      </c>
      <c r="AS140" s="11" t="s">
        <v>36</v>
      </c>
      <c r="AT140" s="11" t="s">
        <v>36</v>
      </c>
      <c r="AU140" s="11" t="s">
        <v>36</v>
      </c>
      <c r="AV140" s="11">
        <v>0</v>
      </c>
      <c r="AW140" s="11">
        <v>11</v>
      </c>
      <c r="AX140" s="11">
        <v>1</v>
      </c>
      <c r="AY140" s="11">
        <v>20170501</v>
      </c>
      <c r="AZ140" s="80">
        <f t="shared" si="8"/>
        <v>42856</v>
      </c>
      <c r="BA140" s="11">
        <v>19620516</v>
      </c>
      <c r="BB140" s="80">
        <f t="shared" si="9"/>
        <v>22782</v>
      </c>
      <c r="BC140" s="11">
        <v>0</v>
      </c>
      <c r="BD140" s="11" t="s">
        <v>83</v>
      </c>
      <c r="BE140" s="11">
        <v>1</v>
      </c>
      <c r="BF140" s="11" t="s">
        <v>36</v>
      </c>
      <c r="BG140" s="11">
        <v>971</v>
      </c>
      <c r="BH140" s="11">
        <v>736.9</v>
      </c>
      <c r="BI140" s="11">
        <v>0</v>
      </c>
      <c r="BJ140" s="11" t="s">
        <v>82</v>
      </c>
      <c r="BK140" s="11">
        <v>1</v>
      </c>
      <c r="BL140" s="11">
        <v>0</v>
      </c>
      <c r="BM140" s="11">
        <v>0</v>
      </c>
      <c r="BN140" s="11">
        <v>979402</v>
      </c>
      <c r="BO140" s="11">
        <v>0</v>
      </c>
      <c r="BP140" s="11" t="s">
        <v>82</v>
      </c>
      <c r="BQ140" s="11">
        <v>0</v>
      </c>
      <c r="BR140" s="11"/>
      <c r="BT140" s="11"/>
      <c r="BU140" s="11"/>
      <c r="CA140" s="11"/>
      <c r="CD140" s="11"/>
    </row>
    <row r="141" spans="2:82" ht="12.75" x14ac:dyDescent="0.2">
      <c r="B141" s="11">
        <v>1091503</v>
      </c>
      <c r="C141" s="11">
        <f>ROUND(DAYS360(Tableau_Lancer_la_requête_à_partir_de_AS4003[[#This Row],[Date naissance 1]],Tableau_Lancer_la_requête_à_partir_de_AS4003[[#This Row],[Date début]])/360,0)</f>
        <v>63</v>
      </c>
      <c r="D141" s="11">
        <v>0</v>
      </c>
      <c r="E141" s="11">
        <v>0</v>
      </c>
      <c r="F141" s="11">
        <v>0</v>
      </c>
      <c r="G141" s="11">
        <v>12</v>
      </c>
      <c r="H141" s="11">
        <f>ROUND(DAYS360(Tableau_Lancer_la_requête_à_partir_de_AS4003[[#This Row],[Date début]],'Cash flows par police'!$C$4)/30,0)</f>
        <v>1</v>
      </c>
      <c r="I141" s="11">
        <v>0</v>
      </c>
      <c r="J141" s="11">
        <v>0</v>
      </c>
      <c r="K141" s="11">
        <v>0</v>
      </c>
      <c r="L141" s="11">
        <v>13.2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1">
        <v>0</v>
      </c>
      <c r="S141" s="11">
        <f>SUM(Tableau_Lancer_la_requête_à_partir_de_AS4003[[#This Row],[POLPRCPL2]:[POLPRCPL9]])</f>
        <v>13.2</v>
      </c>
      <c r="T141" s="11">
        <v>99</v>
      </c>
      <c r="U141" s="11">
        <v>12</v>
      </c>
      <c r="V141" s="11">
        <v>0</v>
      </c>
      <c r="W141" s="11">
        <v>216</v>
      </c>
      <c r="X141" s="11">
        <v>0</v>
      </c>
      <c r="Y141" s="11">
        <v>0</v>
      </c>
      <c r="Z141" s="11">
        <v>1</v>
      </c>
      <c r="AA141" s="11">
        <v>0</v>
      </c>
      <c r="AB141" s="11">
        <v>0</v>
      </c>
      <c r="AC141" s="11">
        <v>0</v>
      </c>
      <c r="AD141" s="11">
        <v>0</v>
      </c>
      <c r="AE141" s="11">
        <v>0</v>
      </c>
      <c r="AF141" s="11">
        <f>IF(Tableau_Lancer_la_requête_à_partir_de_AS4003[[#This Row],[POL_SEX_ASSURE]]="M",0,1)</f>
        <v>0</v>
      </c>
      <c r="AG141" s="11" t="str">
        <f>IF(Tableau_Lancer_la_requête_à_partir_de_AS4003[[#This Row],[POL_SEX_ASSURE2]]="","",IF(Tableau_Lancer_la_requête_à_partir_de_AS4003[[#This Row],[POL_SEX_ASSURE2]]="M",0,1))</f>
        <v/>
      </c>
      <c r="AH14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41" s="11">
        <v>2402.6999999999998</v>
      </c>
      <c r="AJ141" s="11">
        <f>Tableau_Lancer_la_requête_à_partir_de_AS4003[[#This Row],[POL_DUREE_ASSUR]]*12</f>
        <v>1188</v>
      </c>
      <c r="AK141" s="11">
        <v>109.2</v>
      </c>
      <c r="AL141" s="11">
        <v>0</v>
      </c>
      <c r="AM141" s="11">
        <v>0</v>
      </c>
      <c r="AN141" s="11" t="s">
        <v>36</v>
      </c>
      <c r="AO141" s="11" t="s">
        <v>80</v>
      </c>
      <c r="AP141" s="11">
        <f>Tableau_Lancer_la_requête_à_partir_de_AS4003[[#This Row],[POL_TERM_M]]-Tableau_Lancer_la_requête_à_partir_de_AS4003[[#This Row],[Duration IF]]</f>
        <v>1187</v>
      </c>
      <c r="AQ141" s="11" t="s">
        <v>36</v>
      </c>
      <c r="AR141" s="11" t="s">
        <v>36</v>
      </c>
      <c r="AS141" s="11" t="s">
        <v>36</v>
      </c>
      <c r="AT141" s="11" t="s">
        <v>36</v>
      </c>
      <c r="AU141" s="11" t="s">
        <v>36</v>
      </c>
      <c r="AV141" s="11">
        <v>0</v>
      </c>
      <c r="AW141" s="11">
        <v>11</v>
      </c>
      <c r="AX141" s="11">
        <v>1</v>
      </c>
      <c r="AY141" s="11">
        <v>20181201</v>
      </c>
      <c r="AZ141" s="80">
        <f t="shared" si="8"/>
        <v>43435</v>
      </c>
      <c r="BA141" s="11">
        <v>19550812</v>
      </c>
      <c r="BB141" s="80">
        <f t="shared" si="9"/>
        <v>20313</v>
      </c>
      <c r="BC141" s="11">
        <v>0</v>
      </c>
      <c r="BD141" s="11" t="s">
        <v>83</v>
      </c>
      <c r="BE141" s="11">
        <v>1</v>
      </c>
      <c r="BF141" s="11" t="s">
        <v>36</v>
      </c>
      <c r="BG141" s="11">
        <v>202.8</v>
      </c>
      <c r="BH141" s="11">
        <v>153.9</v>
      </c>
      <c r="BI141" s="11">
        <v>0</v>
      </c>
      <c r="BJ141" s="11" t="s">
        <v>82</v>
      </c>
      <c r="BK141" s="11">
        <v>1</v>
      </c>
      <c r="BL141" s="11">
        <v>0</v>
      </c>
      <c r="BM141" s="11">
        <v>0</v>
      </c>
      <c r="BN141" s="11">
        <v>1091503</v>
      </c>
      <c r="BO141" s="11">
        <v>0</v>
      </c>
      <c r="BP141" s="11" t="s">
        <v>82</v>
      </c>
      <c r="BQ141" s="11">
        <v>0</v>
      </c>
      <c r="BR141" s="11"/>
      <c r="BT141" s="11"/>
      <c r="BU141" s="11"/>
      <c r="CA141" s="11"/>
      <c r="CD141" s="11"/>
    </row>
    <row r="142" spans="2:82" ht="12.75" x14ac:dyDescent="0.2">
      <c r="B142" s="11">
        <v>1130009</v>
      </c>
      <c r="C142" s="11">
        <f>ROUND(DAYS360(Tableau_Lancer_la_requête_à_partir_de_AS4003[[#This Row],[Date naissance 1]],Tableau_Lancer_la_requête_à_partir_de_AS4003[[#This Row],[Date début]])/360,0)</f>
        <v>53</v>
      </c>
      <c r="D142" s="11">
        <v>0</v>
      </c>
      <c r="E142" s="11">
        <v>0</v>
      </c>
      <c r="F142" s="11">
        <v>0</v>
      </c>
      <c r="G142" s="11">
        <v>12</v>
      </c>
      <c r="H142" s="11">
        <f>ROUND(DAYS360(Tableau_Lancer_la_requête_à_partir_de_AS4003[[#This Row],[Date début]],'Cash flows par police'!$C$4)/30,0)</f>
        <v>2</v>
      </c>
      <c r="I142" s="11">
        <v>0</v>
      </c>
      <c r="J142" s="11">
        <v>0</v>
      </c>
      <c r="K142" s="11">
        <v>0</v>
      </c>
      <c r="L142" s="11">
        <v>27.5</v>
      </c>
      <c r="M142" s="11">
        <v>0</v>
      </c>
      <c r="N142" s="11">
        <v>0</v>
      </c>
      <c r="O142" s="11">
        <v>0</v>
      </c>
      <c r="P142" s="11">
        <v>0</v>
      </c>
      <c r="Q142" s="11">
        <v>0</v>
      </c>
      <c r="R142" s="11">
        <v>0</v>
      </c>
      <c r="S142" s="11">
        <f>SUM(Tableau_Lancer_la_requête_à_partir_de_AS4003[[#This Row],[POLPRCPL2]:[POLPRCPL9]])</f>
        <v>27.5</v>
      </c>
      <c r="T142" s="11">
        <v>99</v>
      </c>
      <c r="U142" s="11">
        <v>12</v>
      </c>
      <c r="V142" s="11">
        <v>0</v>
      </c>
      <c r="W142" s="11">
        <v>295.2</v>
      </c>
      <c r="X142" s="11">
        <v>8.1999999999999993</v>
      </c>
      <c r="Y142" s="11">
        <v>0</v>
      </c>
      <c r="Z142" s="11">
        <v>1</v>
      </c>
      <c r="AA142" s="11">
        <v>0</v>
      </c>
      <c r="AB142" s="11">
        <v>0</v>
      </c>
      <c r="AC142" s="11">
        <v>0</v>
      </c>
      <c r="AD142" s="11">
        <v>0</v>
      </c>
      <c r="AE142" s="11">
        <v>0</v>
      </c>
      <c r="AF142" s="11">
        <f>IF(Tableau_Lancer_la_requête_à_partir_de_AS4003[[#This Row],[POL_SEX_ASSURE]]="M",0,1)</f>
        <v>0</v>
      </c>
      <c r="AG142" s="11" t="str">
        <f>IF(Tableau_Lancer_la_requête_à_partir_de_AS4003[[#This Row],[POL_SEX_ASSURE2]]="","",IF(Tableau_Lancer_la_requête_à_partir_de_AS4003[[#This Row],[POL_SEX_ASSURE2]]="M",0,1))</f>
        <v/>
      </c>
      <c r="AH14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42" s="11">
        <v>5000</v>
      </c>
      <c r="AJ142" s="11">
        <f>Tableau_Lancer_la_requête_à_partir_de_AS4003[[#This Row],[POL_DUREE_ASSUR]]*12</f>
        <v>1188</v>
      </c>
      <c r="AK142" s="11">
        <v>151.5</v>
      </c>
      <c r="AL142" s="11">
        <v>8.1999999999999993</v>
      </c>
      <c r="AM142" s="11">
        <v>0</v>
      </c>
      <c r="AN142" s="11" t="s">
        <v>36</v>
      </c>
      <c r="AO142" s="11" t="s">
        <v>80</v>
      </c>
      <c r="AP142" s="11">
        <f>Tableau_Lancer_la_requête_à_partir_de_AS4003[[#This Row],[POL_TERM_M]]-Tableau_Lancer_la_requête_à_partir_de_AS4003[[#This Row],[Duration IF]]</f>
        <v>1186</v>
      </c>
      <c r="AQ142" s="11" t="s">
        <v>36</v>
      </c>
      <c r="AR142" s="11" t="s">
        <v>36</v>
      </c>
      <c r="AS142" s="11" t="s">
        <v>36</v>
      </c>
      <c r="AT142" s="11" t="s">
        <v>36</v>
      </c>
      <c r="AU142" s="11" t="s">
        <v>36</v>
      </c>
      <c r="AV142" s="11">
        <v>0</v>
      </c>
      <c r="AW142" s="11">
        <v>11</v>
      </c>
      <c r="AX142" s="11">
        <v>1</v>
      </c>
      <c r="AY142" s="11">
        <v>20181101</v>
      </c>
      <c r="AZ142" s="80">
        <f t="shared" si="8"/>
        <v>43405</v>
      </c>
      <c r="BA142" s="11">
        <v>19660131</v>
      </c>
      <c r="BB142" s="80">
        <f t="shared" si="9"/>
        <v>24138</v>
      </c>
      <c r="BC142" s="11">
        <v>0</v>
      </c>
      <c r="BD142" s="11" t="s">
        <v>83</v>
      </c>
      <c r="BE142" s="11">
        <v>1</v>
      </c>
      <c r="BF142" s="11" t="s">
        <v>36</v>
      </c>
      <c r="BG142" s="11">
        <v>267.7</v>
      </c>
      <c r="BH142" s="11">
        <v>202.8</v>
      </c>
      <c r="BI142" s="11">
        <v>0</v>
      </c>
      <c r="BJ142" s="11" t="s">
        <v>82</v>
      </c>
      <c r="BK142" s="11">
        <v>1</v>
      </c>
      <c r="BL142" s="11">
        <v>0</v>
      </c>
      <c r="BM142" s="11">
        <v>0</v>
      </c>
      <c r="BN142" s="11">
        <v>1130009</v>
      </c>
      <c r="BO142" s="11">
        <v>0</v>
      </c>
      <c r="BP142" s="11" t="s">
        <v>82</v>
      </c>
      <c r="BQ142" s="11">
        <v>0</v>
      </c>
      <c r="BR142" s="11"/>
      <c r="BT142" s="11"/>
      <c r="BU142" s="11"/>
      <c r="CA142" s="11"/>
      <c r="CD142" s="11"/>
    </row>
    <row r="143" spans="2:82" ht="12.75" x14ac:dyDescent="0.2">
      <c r="B143" s="11">
        <v>1698604</v>
      </c>
      <c r="C143" s="11">
        <f>ROUND(DAYS360(Tableau_Lancer_la_requête_à_partir_de_AS4003[[#This Row],[Date naissance 1]],Tableau_Lancer_la_requête_à_partir_de_AS4003[[#This Row],[Date début]])/360,0)</f>
        <v>51</v>
      </c>
      <c r="D143" s="11">
        <v>0</v>
      </c>
      <c r="E143" s="11">
        <v>0</v>
      </c>
      <c r="F143" s="11">
        <v>0</v>
      </c>
      <c r="G143" s="11">
        <v>12</v>
      </c>
      <c r="H143" s="11">
        <f>ROUND(DAYS360(Tableau_Lancer_la_requête_à_partir_de_AS4003[[#This Row],[Date début]],'Cash flows par police'!$C$4)/30,0)</f>
        <v>1</v>
      </c>
      <c r="I143" s="11">
        <v>0</v>
      </c>
      <c r="J143" s="11">
        <v>0</v>
      </c>
      <c r="K143" s="11">
        <v>0</v>
      </c>
      <c r="L143" s="11">
        <v>21.1</v>
      </c>
      <c r="M143" s="11">
        <v>0</v>
      </c>
      <c r="N143" s="11">
        <v>0</v>
      </c>
      <c r="O143" s="11">
        <v>0</v>
      </c>
      <c r="P143" s="11">
        <v>0</v>
      </c>
      <c r="Q143" s="11">
        <v>0</v>
      </c>
      <c r="R143" s="11">
        <v>0</v>
      </c>
      <c r="S143" s="11">
        <f>SUM(Tableau_Lancer_la_requête_à_partir_de_AS4003[[#This Row],[POLPRCPL2]:[POLPRCPL9]])</f>
        <v>21.1</v>
      </c>
      <c r="T143" s="11">
        <v>99</v>
      </c>
      <c r="U143" s="11">
        <v>12</v>
      </c>
      <c r="V143" s="11">
        <v>0</v>
      </c>
      <c r="W143" s="11">
        <v>216</v>
      </c>
      <c r="X143" s="11">
        <v>0</v>
      </c>
      <c r="Y143" s="11">
        <v>0</v>
      </c>
      <c r="Z143" s="11">
        <v>1</v>
      </c>
      <c r="AA143" s="11">
        <v>0</v>
      </c>
      <c r="AB143" s="11">
        <v>0</v>
      </c>
      <c r="AC143" s="11">
        <v>0</v>
      </c>
      <c r="AD143" s="11">
        <v>0</v>
      </c>
      <c r="AE143" s="11">
        <v>0</v>
      </c>
      <c r="AF143" s="11">
        <f>IF(Tableau_Lancer_la_requête_à_partir_de_AS4003[[#This Row],[POL_SEX_ASSURE]]="M",0,1)</f>
        <v>0</v>
      </c>
      <c r="AG143" s="11" t="str">
        <f>IF(Tableau_Lancer_la_requête_à_partir_de_AS4003[[#This Row],[POL_SEX_ASSURE2]]="","",IF(Tableau_Lancer_la_requête_à_partir_de_AS4003[[#This Row],[POL_SEX_ASSURE2]]="M",0,1))</f>
        <v/>
      </c>
      <c r="AH14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43" s="11">
        <v>3825.2</v>
      </c>
      <c r="AJ143" s="11">
        <f>Tableau_Lancer_la_requête_à_partir_de_AS4003[[#This Row],[POL_DUREE_ASSUR]]*12</f>
        <v>1188</v>
      </c>
      <c r="AK143" s="11">
        <v>109.3</v>
      </c>
      <c r="AL143" s="11">
        <v>0</v>
      </c>
      <c r="AM143" s="11">
        <v>0</v>
      </c>
      <c r="AN143" s="11" t="s">
        <v>36</v>
      </c>
      <c r="AO143" s="11" t="s">
        <v>80</v>
      </c>
      <c r="AP143" s="11">
        <f>Tableau_Lancer_la_requête_à_partir_de_AS4003[[#This Row],[POL_TERM_M]]-Tableau_Lancer_la_requête_à_partir_de_AS4003[[#This Row],[Duration IF]]</f>
        <v>1187</v>
      </c>
      <c r="AQ143" s="11" t="s">
        <v>36</v>
      </c>
      <c r="AR143" s="11" t="s">
        <v>36</v>
      </c>
      <c r="AS143" s="11" t="s">
        <v>36</v>
      </c>
      <c r="AT143" s="11" t="s">
        <v>36</v>
      </c>
      <c r="AU143" s="11" t="s">
        <v>36</v>
      </c>
      <c r="AV143" s="11">
        <v>0</v>
      </c>
      <c r="AW143" s="11">
        <v>11</v>
      </c>
      <c r="AX143" s="11">
        <v>1</v>
      </c>
      <c r="AY143" s="11">
        <v>20181201</v>
      </c>
      <c r="AZ143" s="80">
        <f t="shared" si="8"/>
        <v>43435</v>
      </c>
      <c r="BA143" s="11">
        <v>19680414</v>
      </c>
      <c r="BB143" s="80">
        <f t="shared" si="9"/>
        <v>24942</v>
      </c>
      <c r="BC143" s="11">
        <v>0</v>
      </c>
      <c r="BD143" s="11" t="s">
        <v>83</v>
      </c>
      <c r="BE143" s="11">
        <v>1</v>
      </c>
      <c r="BF143" s="11" t="s">
        <v>36</v>
      </c>
      <c r="BG143" s="11">
        <v>194.9</v>
      </c>
      <c r="BH143" s="11">
        <v>148</v>
      </c>
      <c r="BI143" s="11">
        <v>0</v>
      </c>
      <c r="BJ143" s="11" t="s">
        <v>82</v>
      </c>
      <c r="BK143" s="11">
        <v>1</v>
      </c>
      <c r="BL143" s="11">
        <v>0</v>
      </c>
      <c r="BM143" s="11">
        <v>0</v>
      </c>
      <c r="BN143" s="11">
        <v>1698604</v>
      </c>
      <c r="BO143" s="11">
        <v>0</v>
      </c>
      <c r="BP143" s="11" t="s">
        <v>82</v>
      </c>
      <c r="BQ143" s="11">
        <v>0</v>
      </c>
      <c r="BR143" s="11"/>
      <c r="BT143" s="11"/>
      <c r="BU143" s="11"/>
      <c r="CA143" s="11"/>
      <c r="CD143" s="11"/>
    </row>
    <row r="144" spans="2:82" ht="12.75" x14ac:dyDescent="0.2">
      <c r="B144" s="11">
        <v>1703604</v>
      </c>
      <c r="C144" s="11">
        <f>ROUND(DAYS360(Tableau_Lancer_la_requête_à_partir_de_AS4003[[#This Row],[Date naissance 1]],Tableau_Lancer_la_requête_à_partir_de_AS4003[[#This Row],[Date début]])/360,0)</f>
        <v>57</v>
      </c>
      <c r="D144" s="11">
        <v>0</v>
      </c>
      <c r="E144" s="11">
        <v>0</v>
      </c>
      <c r="F144" s="11">
        <v>0</v>
      </c>
      <c r="G144" s="11">
        <v>12</v>
      </c>
      <c r="H144" s="11">
        <f>ROUND(DAYS360(Tableau_Lancer_la_requête_à_partir_de_AS4003[[#This Row],[Date début]],'Cash flows par police'!$C$4)/30,0)</f>
        <v>1</v>
      </c>
      <c r="I144" s="11">
        <v>0</v>
      </c>
      <c r="J144" s="11">
        <v>0</v>
      </c>
      <c r="K144" s="11">
        <v>0</v>
      </c>
      <c r="L144" s="11">
        <v>16.600000000000001</v>
      </c>
      <c r="M144" s="11">
        <v>0</v>
      </c>
      <c r="N144" s="11">
        <v>0</v>
      </c>
      <c r="O144" s="11">
        <v>0</v>
      </c>
      <c r="P144" s="11">
        <v>0</v>
      </c>
      <c r="Q144" s="11">
        <v>0</v>
      </c>
      <c r="R144" s="11">
        <v>0</v>
      </c>
      <c r="S144" s="11">
        <f>SUM(Tableau_Lancer_la_requête_à_partir_de_AS4003[[#This Row],[POLPRCPL2]:[POLPRCPL9]])</f>
        <v>16.600000000000001</v>
      </c>
      <c r="T144" s="11">
        <v>99</v>
      </c>
      <c r="U144" s="11">
        <v>12</v>
      </c>
      <c r="V144" s="11">
        <v>0</v>
      </c>
      <c r="W144" s="11">
        <v>216</v>
      </c>
      <c r="X144" s="11">
        <v>0</v>
      </c>
      <c r="Y144" s="11">
        <v>0</v>
      </c>
      <c r="Z144" s="11">
        <v>1</v>
      </c>
      <c r="AA144" s="11">
        <v>0</v>
      </c>
      <c r="AB144" s="11">
        <v>0</v>
      </c>
      <c r="AC144" s="11">
        <v>0</v>
      </c>
      <c r="AD144" s="11">
        <v>0</v>
      </c>
      <c r="AE144" s="11">
        <v>0</v>
      </c>
      <c r="AF144" s="11">
        <f>IF(Tableau_Lancer_la_requête_à_partir_de_AS4003[[#This Row],[POL_SEX_ASSURE]]="M",0,1)</f>
        <v>0</v>
      </c>
      <c r="AG144" s="11" t="str">
        <f>IF(Tableau_Lancer_la_requête_à_partir_de_AS4003[[#This Row],[POL_SEX_ASSURE2]]="","",IF(Tableau_Lancer_la_requête_à_partir_de_AS4003[[#This Row],[POL_SEX_ASSURE2]]="M",0,1))</f>
        <v/>
      </c>
      <c r="AH14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44" s="11">
        <v>3010</v>
      </c>
      <c r="AJ144" s="11">
        <f>Tableau_Lancer_la_requête_à_partir_de_AS4003[[#This Row],[POL_DUREE_ASSUR]]*12</f>
        <v>1188</v>
      </c>
      <c r="AK144" s="11">
        <v>103.8</v>
      </c>
      <c r="AL144" s="11">
        <v>0</v>
      </c>
      <c r="AM144" s="11">
        <v>0</v>
      </c>
      <c r="AN144" s="11" t="s">
        <v>36</v>
      </c>
      <c r="AO144" s="11" t="s">
        <v>80</v>
      </c>
      <c r="AP144" s="11">
        <f>Tableau_Lancer_la_requête_à_partir_de_AS4003[[#This Row],[POL_TERM_M]]-Tableau_Lancer_la_requête_à_partir_de_AS4003[[#This Row],[Duration IF]]</f>
        <v>1187</v>
      </c>
      <c r="AQ144" s="11" t="s">
        <v>36</v>
      </c>
      <c r="AR144" s="11" t="s">
        <v>36</v>
      </c>
      <c r="AS144" s="11" t="s">
        <v>36</v>
      </c>
      <c r="AT144" s="11" t="s">
        <v>36</v>
      </c>
      <c r="AU144" s="11" t="s">
        <v>36</v>
      </c>
      <c r="AV144" s="11">
        <v>0</v>
      </c>
      <c r="AW144" s="11">
        <v>11</v>
      </c>
      <c r="AX144" s="11">
        <v>1</v>
      </c>
      <c r="AY144" s="11">
        <v>20181201</v>
      </c>
      <c r="AZ144" s="80">
        <f t="shared" si="8"/>
        <v>43435</v>
      </c>
      <c r="BA144" s="11">
        <v>19620505</v>
      </c>
      <c r="BB144" s="80">
        <f t="shared" si="9"/>
        <v>22771</v>
      </c>
      <c r="BC144" s="11">
        <v>0</v>
      </c>
      <c r="BD144" s="11" t="s">
        <v>83</v>
      </c>
      <c r="BE144" s="11">
        <v>1</v>
      </c>
      <c r="BF144" s="11" t="s">
        <v>36</v>
      </c>
      <c r="BG144" s="11">
        <v>199.4</v>
      </c>
      <c r="BH144" s="11">
        <v>151.4</v>
      </c>
      <c r="BI144" s="11">
        <v>0</v>
      </c>
      <c r="BJ144" s="11" t="s">
        <v>82</v>
      </c>
      <c r="BK144" s="11">
        <v>1</v>
      </c>
      <c r="BL144" s="11">
        <v>0</v>
      </c>
      <c r="BM144" s="11">
        <v>0</v>
      </c>
      <c r="BN144" s="11">
        <v>1703604</v>
      </c>
      <c r="BO144" s="11">
        <v>0</v>
      </c>
      <c r="BP144" s="11" t="s">
        <v>82</v>
      </c>
      <c r="BQ144" s="11">
        <v>0</v>
      </c>
      <c r="BR144" s="11"/>
      <c r="BT144" s="11"/>
      <c r="BU144" s="11"/>
      <c r="CA144" s="11"/>
      <c r="CD144" s="11"/>
    </row>
    <row r="145" spans="2:82" ht="12.75" x14ac:dyDescent="0.2">
      <c r="B145" s="11">
        <v>1713903</v>
      </c>
      <c r="C145" s="11">
        <f>ROUND(DAYS360(Tableau_Lancer_la_requête_à_partir_de_AS4003[[#This Row],[Date naissance 1]],Tableau_Lancer_la_requête_à_partir_de_AS4003[[#This Row],[Date début]])/360,0)</f>
        <v>58</v>
      </c>
      <c r="D145" s="11">
        <v>0</v>
      </c>
      <c r="E145" s="11">
        <v>0</v>
      </c>
      <c r="F145" s="11">
        <v>0</v>
      </c>
      <c r="G145" s="11">
        <v>12</v>
      </c>
      <c r="H145" s="11">
        <f>ROUND(DAYS360(Tableau_Lancer_la_requête_à_partir_de_AS4003[[#This Row],[Date début]],'Cash flows par police'!$C$4)/30,0)</f>
        <v>4</v>
      </c>
      <c r="I145" s="11">
        <v>0</v>
      </c>
      <c r="J145" s="11">
        <v>0</v>
      </c>
      <c r="K145" s="11">
        <v>0</v>
      </c>
      <c r="L145" s="11">
        <v>54.1</v>
      </c>
      <c r="M145" s="11">
        <v>0</v>
      </c>
      <c r="N145" s="11">
        <v>0</v>
      </c>
      <c r="O145" s="11">
        <v>0</v>
      </c>
      <c r="P145" s="11">
        <v>0</v>
      </c>
      <c r="Q145" s="11">
        <v>0</v>
      </c>
      <c r="R145" s="11">
        <v>0</v>
      </c>
      <c r="S145" s="11">
        <f>SUM(Tableau_Lancer_la_requête_à_partir_de_AS4003[[#This Row],[POLPRCPL2]:[POLPRCPL9]])</f>
        <v>54.1</v>
      </c>
      <c r="T145" s="11">
        <v>99</v>
      </c>
      <c r="U145" s="11">
        <v>6</v>
      </c>
      <c r="V145" s="11">
        <v>0</v>
      </c>
      <c r="W145" s="11">
        <v>720.6</v>
      </c>
      <c r="X145" s="11">
        <v>0</v>
      </c>
      <c r="Y145" s="11">
        <v>0</v>
      </c>
      <c r="Z145" s="11">
        <v>1</v>
      </c>
      <c r="AA145" s="11">
        <v>0</v>
      </c>
      <c r="AB145" s="11">
        <v>0</v>
      </c>
      <c r="AC145" s="11">
        <v>0</v>
      </c>
      <c r="AD145" s="11">
        <v>0</v>
      </c>
      <c r="AE145" s="11">
        <v>0</v>
      </c>
      <c r="AF145" s="11">
        <f>IF(Tableau_Lancer_la_requête_à_partir_de_AS4003[[#This Row],[POL_SEX_ASSURE]]="M",0,1)</f>
        <v>0</v>
      </c>
      <c r="AG145" s="11" t="str">
        <f>IF(Tableau_Lancer_la_requête_à_partir_de_AS4003[[#This Row],[POL_SEX_ASSURE2]]="","",IF(Tableau_Lancer_la_requête_à_partir_de_AS4003[[#This Row],[POL_SEX_ASSURE2]]="M",0,1))</f>
        <v/>
      </c>
      <c r="AH14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45" s="11">
        <v>10000</v>
      </c>
      <c r="AJ145" s="11">
        <f>Tableau_Lancer_la_requête_à_partir_de_AS4003[[#This Row],[POL_DUREE_ASSUR]]*12</f>
        <v>1188</v>
      </c>
      <c r="AK145" s="11">
        <v>357.1</v>
      </c>
      <c r="AL145" s="11">
        <v>0</v>
      </c>
      <c r="AM145" s="11">
        <v>0</v>
      </c>
      <c r="AN145" s="11" t="s">
        <v>36</v>
      </c>
      <c r="AO145" s="11" t="s">
        <v>80</v>
      </c>
      <c r="AP145" s="11">
        <f>Tableau_Lancer_la_requête_à_partir_de_AS4003[[#This Row],[POL_TERM_M]]-Tableau_Lancer_la_requête_à_partir_de_AS4003[[#This Row],[Duration IF]]</f>
        <v>1184</v>
      </c>
      <c r="AQ145" s="11" t="s">
        <v>36</v>
      </c>
      <c r="AR145" s="11" t="s">
        <v>36</v>
      </c>
      <c r="AS145" s="11" t="s">
        <v>36</v>
      </c>
      <c r="AT145" s="11" t="s">
        <v>36</v>
      </c>
      <c r="AU145" s="11" t="s">
        <v>36</v>
      </c>
      <c r="AV145" s="11">
        <v>0</v>
      </c>
      <c r="AW145" s="11">
        <v>11</v>
      </c>
      <c r="AX145" s="11">
        <v>1</v>
      </c>
      <c r="AY145" s="11">
        <v>20180901</v>
      </c>
      <c r="AZ145" s="80">
        <f t="shared" si="8"/>
        <v>43344</v>
      </c>
      <c r="BA145" s="11">
        <v>19610206</v>
      </c>
      <c r="BB145" s="80">
        <f t="shared" si="9"/>
        <v>22318</v>
      </c>
      <c r="BC145" s="11">
        <v>0</v>
      </c>
      <c r="BD145" s="11" t="s">
        <v>83</v>
      </c>
      <c r="BE145" s="11">
        <v>1</v>
      </c>
      <c r="BF145" s="11" t="s">
        <v>36</v>
      </c>
      <c r="BG145" s="11">
        <v>666.5</v>
      </c>
      <c r="BH145" s="11">
        <v>515.5</v>
      </c>
      <c r="BI145" s="11">
        <v>0</v>
      </c>
      <c r="BJ145" s="11" t="s">
        <v>82</v>
      </c>
      <c r="BK145" s="11">
        <v>1</v>
      </c>
      <c r="BL145" s="11">
        <v>0</v>
      </c>
      <c r="BM145" s="11">
        <v>0</v>
      </c>
      <c r="BN145" s="11">
        <v>1713903</v>
      </c>
      <c r="BO145" s="11">
        <v>0</v>
      </c>
      <c r="BP145" s="11" t="s">
        <v>82</v>
      </c>
      <c r="BQ145" s="11">
        <v>0</v>
      </c>
      <c r="BR145" s="11"/>
      <c r="BT145" s="11"/>
      <c r="BU145" s="11"/>
      <c r="CA145" s="11"/>
      <c r="CD145" s="11"/>
    </row>
    <row r="146" spans="2:82" ht="12.75" x14ac:dyDescent="0.2">
      <c r="B146" s="11">
        <v>1761202</v>
      </c>
      <c r="C146" s="11">
        <f>ROUND(DAYS360(Tableau_Lancer_la_requête_à_partir_de_AS4003[[#This Row],[Date naissance 1]],Tableau_Lancer_la_requête_à_partir_de_AS4003[[#This Row],[Date début]])/360,0)</f>
        <v>59</v>
      </c>
      <c r="D146" s="11">
        <v>0</v>
      </c>
      <c r="E146" s="11">
        <v>0</v>
      </c>
      <c r="F146" s="11">
        <v>0</v>
      </c>
      <c r="G146" s="11">
        <v>12</v>
      </c>
      <c r="H146" s="11">
        <f>ROUND(DAYS360(Tableau_Lancer_la_requête_à_partir_de_AS4003[[#This Row],[Date début]],'Cash flows par police'!$C$4)/30,0)</f>
        <v>2</v>
      </c>
      <c r="I146" s="11">
        <v>0</v>
      </c>
      <c r="J146" s="11">
        <v>0</v>
      </c>
      <c r="K146" s="11">
        <v>0</v>
      </c>
      <c r="L146" s="11">
        <v>27.5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1">
        <v>0</v>
      </c>
      <c r="S146" s="11">
        <f>SUM(Tableau_Lancer_la_requête_à_partir_de_AS4003[[#This Row],[POLPRCPL2]:[POLPRCPL9]])</f>
        <v>27.5</v>
      </c>
      <c r="T146" s="11">
        <v>99</v>
      </c>
      <c r="U146" s="11">
        <v>12</v>
      </c>
      <c r="V146" s="11">
        <v>0</v>
      </c>
      <c r="W146" s="11">
        <v>385.2</v>
      </c>
      <c r="X146" s="11">
        <v>9.6</v>
      </c>
      <c r="Y146" s="11">
        <v>0</v>
      </c>
      <c r="Z146" s="11">
        <v>1</v>
      </c>
      <c r="AA146" s="11">
        <v>0</v>
      </c>
      <c r="AB146" s="11">
        <v>0</v>
      </c>
      <c r="AC146" s="11">
        <v>0</v>
      </c>
      <c r="AD146" s="11">
        <v>0</v>
      </c>
      <c r="AE146" s="11">
        <v>0</v>
      </c>
      <c r="AF146" s="11">
        <f>IF(Tableau_Lancer_la_requête_à_partir_de_AS4003[[#This Row],[POL_SEX_ASSURE]]="M",0,1)</f>
        <v>0</v>
      </c>
      <c r="AG146" s="11" t="str">
        <f>IF(Tableau_Lancer_la_requête_à_partir_de_AS4003[[#This Row],[POL_SEX_ASSURE2]]="","",IF(Tableau_Lancer_la_requête_à_partir_de_AS4003[[#This Row],[POL_SEX_ASSURE2]]="M",0,1))</f>
        <v/>
      </c>
      <c r="AH14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46" s="11">
        <v>5000</v>
      </c>
      <c r="AJ146" s="11">
        <f>Tableau_Lancer_la_requête_à_partir_de_AS4003[[#This Row],[POL_DUREE_ASSUR]]*12</f>
        <v>1188</v>
      </c>
      <c r="AK146" s="11">
        <v>192.3</v>
      </c>
      <c r="AL146" s="11">
        <v>9.6</v>
      </c>
      <c r="AM146" s="11">
        <v>0</v>
      </c>
      <c r="AN146" s="11" t="s">
        <v>36</v>
      </c>
      <c r="AO146" s="11" t="s">
        <v>80</v>
      </c>
      <c r="AP146" s="11">
        <f>Tableau_Lancer_la_requête_à_partir_de_AS4003[[#This Row],[POL_TERM_M]]-Tableau_Lancer_la_requête_à_partir_de_AS4003[[#This Row],[Duration IF]]</f>
        <v>1186</v>
      </c>
      <c r="AQ146" s="11" t="s">
        <v>36</v>
      </c>
      <c r="AR146" s="11" t="s">
        <v>36</v>
      </c>
      <c r="AS146" s="11" t="s">
        <v>36</v>
      </c>
      <c r="AT146" s="11" t="s">
        <v>36</v>
      </c>
      <c r="AU146" s="11" t="s">
        <v>36</v>
      </c>
      <c r="AV146" s="11">
        <v>0</v>
      </c>
      <c r="AW146" s="11">
        <v>11</v>
      </c>
      <c r="AX146" s="11">
        <v>1</v>
      </c>
      <c r="AY146" s="11">
        <v>20181101</v>
      </c>
      <c r="AZ146" s="80">
        <f t="shared" si="8"/>
        <v>43405</v>
      </c>
      <c r="BA146" s="11">
        <v>19591118</v>
      </c>
      <c r="BB146" s="80">
        <f t="shared" si="9"/>
        <v>21872</v>
      </c>
      <c r="BC146" s="11">
        <v>0</v>
      </c>
      <c r="BD146" s="11" t="s">
        <v>83</v>
      </c>
      <c r="BE146" s="11">
        <v>1</v>
      </c>
      <c r="BF146" s="11" t="s">
        <v>36</v>
      </c>
      <c r="BG146" s="11">
        <v>357.7</v>
      </c>
      <c r="BH146" s="11">
        <v>271.3</v>
      </c>
      <c r="BI146" s="11">
        <v>0</v>
      </c>
      <c r="BJ146" s="11" t="s">
        <v>82</v>
      </c>
      <c r="BK146" s="11">
        <v>1</v>
      </c>
      <c r="BL146" s="11">
        <v>0</v>
      </c>
      <c r="BM146" s="11">
        <v>0</v>
      </c>
      <c r="BN146" s="11">
        <v>1761202</v>
      </c>
      <c r="BO146" s="11">
        <v>0</v>
      </c>
      <c r="BP146" s="11" t="s">
        <v>82</v>
      </c>
      <c r="BQ146" s="11">
        <v>0</v>
      </c>
      <c r="BR146" s="11"/>
      <c r="BT146" s="11"/>
      <c r="BU146" s="11"/>
      <c r="CA146" s="11"/>
      <c r="CD146" s="11"/>
    </row>
    <row r="147" spans="2:82" ht="12.75" x14ac:dyDescent="0.2">
      <c r="B147" s="11">
        <v>1774702</v>
      </c>
      <c r="C147" s="11">
        <f>ROUND(DAYS360(Tableau_Lancer_la_requête_à_partir_de_AS4003[[#This Row],[Date naissance 1]],Tableau_Lancer_la_requête_à_partir_de_AS4003[[#This Row],[Date début]])/360,0)</f>
        <v>65</v>
      </c>
      <c r="D147" s="11">
        <v>0</v>
      </c>
      <c r="E147" s="11">
        <v>0</v>
      </c>
      <c r="F147" s="11">
        <v>0</v>
      </c>
      <c r="G147" s="11">
        <v>12</v>
      </c>
      <c r="H147" s="11">
        <f>ROUND(DAYS360(Tableau_Lancer_la_requête_à_partir_de_AS4003[[#This Row],[Date début]],'Cash flows par police'!$C$4)/30,0)</f>
        <v>1</v>
      </c>
      <c r="I147" s="11">
        <v>0</v>
      </c>
      <c r="J147" s="11">
        <v>0</v>
      </c>
      <c r="K147" s="11">
        <v>0</v>
      </c>
      <c r="L147" s="11">
        <v>27.5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1">
        <v>0</v>
      </c>
      <c r="S147" s="11">
        <f>SUM(Tableau_Lancer_la_requête_à_partir_de_AS4003[[#This Row],[POLPRCPL2]:[POLPRCPL9]])</f>
        <v>27.5</v>
      </c>
      <c r="T147" s="11">
        <v>99</v>
      </c>
      <c r="U147" s="11">
        <v>12</v>
      </c>
      <c r="V147" s="11">
        <v>0</v>
      </c>
      <c r="W147" s="11">
        <v>462</v>
      </c>
      <c r="X147" s="11">
        <v>0</v>
      </c>
      <c r="Y147" s="11">
        <v>0</v>
      </c>
      <c r="Z147" s="11">
        <v>1</v>
      </c>
      <c r="AA147" s="11">
        <v>0</v>
      </c>
      <c r="AB147" s="11">
        <v>0</v>
      </c>
      <c r="AC147" s="11">
        <v>0</v>
      </c>
      <c r="AD147" s="11">
        <v>0</v>
      </c>
      <c r="AE147" s="11">
        <v>0</v>
      </c>
      <c r="AF147" s="11">
        <f>IF(Tableau_Lancer_la_requête_à_partir_de_AS4003[[#This Row],[POL_SEX_ASSURE]]="M",0,1)</f>
        <v>0</v>
      </c>
      <c r="AG147" s="11" t="str">
        <f>IF(Tableau_Lancer_la_requête_à_partir_de_AS4003[[#This Row],[POL_SEX_ASSURE2]]="","",IF(Tableau_Lancer_la_requête_à_partir_de_AS4003[[#This Row],[POL_SEX_ASSURE2]]="M",0,1))</f>
        <v/>
      </c>
      <c r="AH14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47" s="11">
        <v>5000</v>
      </c>
      <c r="AJ147" s="11">
        <f>Tableau_Lancer_la_requête_à_partir_de_AS4003[[#This Row],[POL_DUREE_ASSUR]]*12</f>
        <v>1188</v>
      </c>
      <c r="AK147" s="11">
        <v>238.1</v>
      </c>
      <c r="AL147" s="11">
        <v>0</v>
      </c>
      <c r="AM147" s="11">
        <v>0</v>
      </c>
      <c r="AN147" s="11" t="s">
        <v>36</v>
      </c>
      <c r="AO147" s="11" t="s">
        <v>80</v>
      </c>
      <c r="AP147" s="11">
        <f>Tableau_Lancer_la_requête_à_partir_de_AS4003[[#This Row],[POL_TERM_M]]-Tableau_Lancer_la_requête_à_partir_de_AS4003[[#This Row],[Duration IF]]</f>
        <v>1187</v>
      </c>
      <c r="AQ147" s="11" t="s">
        <v>36</v>
      </c>
      <c r="AR147" s="11" t="s">
        <v>36</v>
      </c>
      <c r="AS147" s="11" t="s">
        <v>36</v>
      </c>
      <c r="AT147" s="11" t="s">
        <v>36</v>
      </c>
      <c r="AU147" s="11" t="s">
        <v>36</v>
      </c>
      <c r="AV147" s="11">
        <v>0</v>
      </c>
      <c r="AW147" s="11">
        <v>11</v>
      </c>
      <c r="AX147" s="11">
        <v>1</v>
      </c>
      <c r="AY147" s="11">
        <v>20181201</v>
      </c>
      <c r="AZ147" s="80">
        <f t="shared" si="8"/>
        <v>43435</v>
      </c>
      <c r="BA147" s="11">
        <v>19540428</v>
      </c>
      <c r="BB147" s="80">
        <f t="shared" si="9"/>
        <v>19842</v>
      </c>
      <c r="BC147" s="11">
        <v>0</v>
      </c>
      <c r="BD147" s="11" t="s">
        <v>83</v>
      </c>
      <c r="BE147" s="11">
        <v>1</v>
      </c>
      <c r="BF147" s="11" t="s">
        <v>36</v>
      </c>
      <c r="BG147" s="11">
        <v>434.5</v>
      </c>
      <c r="BH147" s="11">
        <v>330</v>
      </c>
      <c r="BI147" s="11">
        <v>0</v>
      </c>
      <c r="BJ147" s="11" t="s">
        <v>82</v>
      </c>
      <c r="BK147" s="11">
        <v>1</v>
      </c>
      <c r="BL147" s="11">
        <v>0</v>
      </c>
      <c r="BM147" s="11">
        <v>0</v>
      </c>
      <c r="BN147" s="11">
        <v>1774702</v>
      </c>
      <c r="BO147" s="11">
        <v>0</v>
      </c>
      <c r="BP147" s="11" t="s">
        <v>82</v>
      </c>
      <c r="BQ147" s="11">
        <v>0</v>
      </c>
      <c r="BR147" s="11"/>
      <c r="BT147" s="11"/>
      <c r="BU147" s="11"/>
      <c r="CA147" s="11"/>
      <c r="CD147" s="11"/>
    </row>
    <row r="148" spans="2:82" ht="12.75" x14ac:dyDescent="0.2">
      <c r="B148" s="11">
        <v>1819002</v>
      </c>
      <c r="C148" s="11">
        <f>ROUND(DAYS360(Tableau_Lancer_la_requête_à_partir_de_AS4003[[#This Row],[Date naissance 1]],Tableau_Lancer_la_requête_à_partir_de_AS4003[[#This Row],[Date début]])/360,0)</f>
        <v>45</v>
      </c>
      <c r="D148" s="11">
        <v>0</v>
      </c>
      <c r="E148" s="11">
        <v>0</v>
      </c>
      <c r="F148" s="11">
        <v>0</v>
      </c>
      <c r="G148" s="11">
        <v>12</v>
      </c>
      <c r="H148" s="11">
        <f>ROUND(DAYS360(Tableau_Lancer_la_requête_à_partir_de_AS4003[[#This Row],[Date début]],'Cash flows par police'!$C$4)/30,0)</f>
        <v>2</v>
      </c>
      <c r="I148" s="11">
        <v>0</v>
      </c>
      <c r="J148" s="11">
        <v>0</v>
      </c>
      <c r="K148" s="11">
        <v>0</v>
      </c>
      <c r="L148" s="11">
        <v>41.3</v>
      </c>
      <c r="M148" s="11">
        <v>0</v>
      </c>
      <c r="N148" s="11">
        <v>0</v>
      </c>
      <c r="O148" s="11">
        <v>0</v>
      </c>
      <c r="P148" s="11">
        <v>0</v>
      </c>
      <c r="Q148" s="11">
        <v>0</v>
      </c>
      <c r="R148" s="11">
        <v>0</v>
      </c>
      <c r="S148" s="11">
        <f>SUM(Tableau_Lancer_la_requête_à_partir_de_AS4003[[#This Row],[POLPRCPL2]:[POLPRCPL9]])</f>
        <v>41.3</v>
      </c>
      <c r="T148" s="11">
        <v>99</v>
      </c>
      <c r="U148" s="11">
        <v>12</v>
      </c>
      <c r="V148" s="11">
        <v>0</v>
      </c>
      <c r="W148" s="11">
        <v>385.2</v>
      </c>
      <c r="X148" s="11">
        <v>0</v>
      </c>
      <c r="Y148" s="11">
        <v>0</v>
      </c>
      <c r="Z148" s="11">
        <v>1</v>
      </c>
      <c r="AA148" s="11">
        <v>0</v>
      </c>
      <c r="AB148" s="11">
        <v>0</v>
      </c>
      <c r="AC148" s="11">
        <v>0</v>
      </c>
      <c r="AD148" s="11">
        <v>0</v>
      </c>
      <c r="AE148" s="11">
        <v>0</v>
      </c>
      <c r="AF148" s="11">
        <f>IF(Tableau_Lancer_la_requête_à_partir_de_AS4003[[#This Row],[POL_SEX_ASSURE]]="M",0,1)</f>
        <v>0</v>
      </c>
      <c r="AG148" s="11" t="str">
        <f>IF(Tableau_Lancer_la_requête_à_partir_de_AS4003[[#This Row],[POL_SEX_ASSURE2]]="","",IF(Tableau_Lancer_la_requête_à_partir_de_AS4003[[#This Row],[POL_SEX_ASSURE2]]="M",0,1))</f>
        <v/>
      </c>
      <c r="AH14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48" s="11">
        <v>7500</v>
      </c>
      <c r="AJ148" s="11">
        <f>Tableau_Lancer_la_requête_à_partir_de_AS4003[[#This Row],[POL_DUREE_ASSUR]]*12</f>
        <v>1188</v>
      </c>
      <c r="AK148" s="11">
        <v>187.5</v>
      </c>
      <c r="AL148" s="11">
        <v>0</v>
      </c>
      <c r="AM148" s="11">
        <v>0</v>
      </c>
      <c r="AN148" s="11" t="s">
        <v>36</v>
      </c>
      <c r="AO148" s="11" t="s">
        <v>80</v>
      </c>
      <c r="AP148" s="11">
        <f>Tableau_Lancer_la_requête_à_partir_de_AS4003[[#This Row],[POL_TERM_M]]-Tableau_Lancer_la_requête_à_partir_de_AS4003[[#This Row],[Duration IF]]</f>
        <v>1186</v>
      </c>
      <c r="AQ148" s="11" t="s">
        <v>36</v>
      </c>
      <c r="AR148" s="11" t="s">
        <v>36</v>
      </c>
      <c r="AS148" s="11" t="s">
        <v>36</v>
      </c>
      <c r="AT148" s="11" t="s">
        <v>36</v>
      </c>
      <c r="AU148" s="11" t="s">
        <v>36</v>
      </c>
      <c r="AV148" s="11">
        <v>0</v>
      </c>
      <c r="AW148" s="11">
        <v>11</v>
      </c>
      <c r="AX148" s="11">
        <v>1</v>
      </c>
      <c r="AY148" s="11">
        <v>20181101</v>
      </c>
      <c r="AZ148" s="80">
        <f t="shared" si="8"/>
        <v>43405</v>
      </c>
      <c r="BA148" s="11">
        <v>19730607</v>
      </c>
      <c r="BB148" s="80">
        <f t="shared" si="9"/>
        <v>26822</v>
      </c>
      <c r="BC148" s="11">
        <v>0</v>
      </c>
      <c r="BD148" s="11" t="s">
        <v>83</v>
      </c>
      <c r="BE148" s="11">
        <v>1</v>
      </c>
      <c r="BF148" s="11" t="s">
        <v>36</v>
      </c>
      <c r="BG148" s="11">
        <v>343.9</v>
      </c>
      <c r="BH148" s="11">
        <v>260.7</v>
      </c>
      <c r="BI148" s="11">
        <v>0</v>
      </c>
      <c r="BJ148" s="11" t="s">
        <v>82</v>
      </c>
      <c r="BK148" s="11">
        <v>1</v>
      </c>
      <c r="BL148" s="11">
        <v>0</v>
      </c>
      <c r="BM148" s="11">
        <v>0</v>
      </c>
      <c r="BN148" s="11">
        <v>1819002</v>
      </c>
      <c r="BO148" s="11">
        <v>0</v>
      </c>
      <c r="BP148" s="11" t="s">
        <v>82</v>
      </c>
      <c r="BQ148" s="11">
        <v>0</v>
      </c>
      <c r="BR148" s="11"/>
      <c r="BT148" s="11"/>
      <c r="BU148" s="11"/>
      <c r="CA148" s="11"/>
      <c r="CD148" s="11"/>
    </row>
    <row r="149" spans="2:82" ht="12.75" x14ac:dyDescent="0.2">
      <c r="B149" s="11">
        <v>1895703</v>
      </c>
      <c r="C149" s="11">
        <f>ROUND(DAYS360(Tableau_Lancer_la_requête_à_partir_de_AS4003[[#This Row],[Date naissance 1]],Tableau_Lancer_la_requête_à_partir_de_AS4003[[#This Row],[Date début]])/360,0)</f>
        <v>61</v>
      </c>
      <c r="D149" s="11">
        <v>0</v>
      </c>
      <c r="E149" s="11">
        <v>0</v>
      </c>
      <c r="F149" s="11">
        <v>0</v>
      </c>
      <c r="G149" s="11">
        <v>12</v>
      </c>
      <c r="H149" s="11">
        <f>ROUND(DAYS360(Tableau_Lancer_la_requête_à_partir_de_AS4003[[#This Row],[Date début]],'Cash flows par police'!$C$4)/30,0)</f>
        <v>3</v>
      </c>
      <c r="I149" s="11">
        <v>0</v>
      </c>
      <c r="J149" s="11">
        <v>0</v>
      </c>
      <c r="K149" s="11">
        <v>0</v>
      </c>
      <c r="L149" s="11">
        <v>27.5</v>
      </c>
      <c r="M149" s="11">
        <v>0</v>
      </c>
      <c r="N149" s="11">
        <v>0</v>
      </c>
      <c r="O149" s="11">
        <v>0</v>
      </c>
      <c r="P149" s="11">
        <v>0</v>
      </c>
      <c r="Q149" s="11">
        <v>0</v>
      </c>
      <c r="R149" s="11">
        <v>0</v>
      </c>
      <c r="S149" s="11">
        <f>SUM(Tableau_Lancer_la_requête_à_partir_de_AS4003[[#This Row],[POLPRCPL2]:[POLPRCPL9]])</f>
        <v>27.5</v>
      </c>
      <c r="T149" s="11">
        <v>99</v>
      </c>
      <c r="U149" s="11">
        <v>12</v>
      </c>
      <c r="V149" s="11">
        <v>0</v>
      </c>
      <c r="W149" s="11">
        <v>427.2</v>
      </c>
      <c r="X149" s="11">
        <v>0</v>
      </c>
      <c r="Y149" s="11">
        <v>0</v>
      </c>
      <c r="Z149" s="11">
        <v>1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f>IF(Tableau_Lancer_la_requête_à_partir_de_AS4003[[#This Row],[POL_SEX_ASSURE]]="M",0,1)</f>
        <v>0</v>
      </c>
      <c r="AG149" s="11" t="str">
        <f>IF(Tableau_Lancer_la_requête_à_partir_de_AS4003[[#This Row],[POL_SEX_ASSURE2]]="","",IF(Tableau_Lancer_la_requête_à_partir_de_AS4003[[#This Row],[POL_SEX_ASSURE2]]="M",0,1))</f>
        <v/>
      </c>
      <c r="AH14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49" s="11">
        <v>5000</v>
      </c>
      <c r="AJ149" s="11">
        <f>Tableau_Lancer_la_requête_à_partir_de_AS4003[[#This Row],[POL_DUREE_ASSUR]]*12</f>
        <v>1188</v>
      </c>
      <c r="AK149" s="11">
        <v>208.3</v>
      </c>
      <c r="AL149" s="11">
        <v>0</v>
      </c>
      <c r="AM149" s="11">
        <v>0</v>
      </c>
      <c r="AN149" s="11" t="s">
        <v>36</v>
      </c>
      <c r="AO149" s="11" t="s">
        <v>80</v>
      </c>
      <c r="AP149" s="11">
        <f>Tableau_Lancer_la_requête_à_partir_de_AS4003[[#This Row],[POL_TERM_M]]-Tableau_Lancer_la_requête_à_partir_de_AS4003[[#This Row],[Duration IF]]</f>
        <v>1185</v>
      </c>
      <c r="AQ149" s="11" t="s">
        <v>36</v>
      </c>
      <c r="AR149" s="11" t="s">
        <v>36</v>
      </c>
      <c r="AS149" s="11" t="s">
        <v>36</v>
      </c>
      <c r="AT149" s="11" t="s">
        <v>36</v>
      </c>
      <c r="AU149" s="11" t="s">
        <v>36</v>
      </c>
      <c r="AV149" s="11">
        <v>0</v>
      </c>
      <c r="AW149" s="11">
        <v>11</v>
      </c>
      <c r="AX149" s="11">
        <v>1</v>
      </c>
      <c r="AY149" s="11">
        <v>20181001</v>
      </c>
      <c r="AZ149" s="80">
        <f t="shared" si="8"/>
        <v>43374</v>
      </c>
      <c r="BA149" s="11">
        <v>19570820</v>
      </c>
      <c r="BB149" s="80">
        <f t="shared" si="9"/>
        <v>21052</v>
      </c>
      <c r="BC149" s="11">
        <v>0</v>
      </c>
      <c r="BD149" s="11" t="s">
        <v>83</v>
      </c>
      <c r="BE149" s="11">
        <v>1</v>
      </c>
      <c r="BF149" s="11" t="s">
        <v>36</v>
      </c>
      <c r="BG149" s="11">
        <v>399.7</v>
      </c>
      <c r="BH149" s="11">
        <v>303</v>
      </c>
      <c r="BI149" s="11">
        <v>0</v>
      </c>
      <c r="BJ149" s="11" t="s">
        <v>82</v>
      </c>
      <c r="BK149" s="11">
        <v>1</v>
      </c>
      <c r="BL149" s="11">
        <v>0</v>
      </c>
      <c r="BM149" s="11">
        <v>0</v>
      </c>
      <c r="BN149" s="11">
        <v>1895703</v>
      </c>
      <c r="BO149" s="11">
        <v>0</v>
      </c>
      <c r="BP149" s="11" t="s">
        <v>82</v>
      </c>
      <c r="BQ149" s="11">
        <v>0</v>
      </c>
      <c r="BR149" s="11"/>
      <c r="BT149" s="11"/>
      <c r="BU149" s="11"/>
      <c r="CA149" s="11"/>
      <c r="CD149" s="11"/>
    </row>
    <row r="150" spans="2:82" ht="12.75" x14ac:dyDescent="0.2">
      <c r="B150" s="11">
        <v>2057302</v>
      </c>
      <c r="C150" s="11">
        <f>ROUND(DAYS360(Tableau_Lancer_la_requête_à_partir_de_AS4003[[#This Row],[Date naissance 1]],Tableau_Lancer_la_requête_à_partir_de_AS4003[[#This Row],[Date début]])/360,0)</f>
        <v>64</v>
      </c>
      <c r="D150" s="11">
        <v>0</v>
      </c>
      <c r="E150" s="11">
        <v>0</v>
      </c>
      <c r="F150" s="11">
        <v>0</v>
      </c>
      <c r="G150" s="11">
        <v>12</v>
      </c>
      <c r="H150" s="11">
        <f>ROUND(DAYS360(Tableau_Lancer_la_requête_à_partir_de_AS4003[[#This Row],[Date début]],'Cash flows par police'!$C$4)/30,0)</f>
        <v>1</v>
      </c>
      <c r="I150" s="11">
        <v>0</v>
      </c>
      <c r="J150" s="11">
        <v>0</v>
      </c>
      <c r="K150" s="11">
        <v>0</v>
      </c>
      <c r="L150" s="11">
        <v>25.7</v>
      </c>
      <c r="M150" s="11">
        <v>0</v>
      </c>
      <c r="N150" s="11">
        <v>0</v>
      </c>
      <c r="O150" s="11">
        <v>0</v>
      </c>
      <c r="P150" s="11">
        <v>0</v>
      </c>
      <c r="Q150" s="11">
        <v>0</v>
      </c>
      <c r="R150" s="11">
        <v>0</v>
      </c>
      <c r="S150" s="11">
        <f>SUM(Tableau_Lancer_la_requête_à_partir_de_AS4003[[#This Row],[POLPRCPL2]:[POLPRCPL9]])</f>
        <v>25.7</v>
      </c>
      <c r="T150" s="11">
        <v>99</v>
      </c>
      <c r="U150" s="11">
        <v>12</v>
      </c>
      <c r="V150" s="11">
        <v>0</v>
      </c>
      <c r="W150" s="11">
        <v>432</v>
      </c>
      <c r="X150" s="11">
        <v>0</v>
      </c>
      <c r="Y150" s="11">
        <v>0</v>
      </c>
      <c r="Z150" s="11">
        <v>1</v>
      </c>
      <c r="AA150" s="11">
        <v>0</v>
      </c>
      <c r="AB150" s="11">
        <v>0</v>
      </c>
      <c r="AC150" s="11">
        <v>0</v>
      </c>
      <c r="AD150" s="11">
        <v>0</v>
      </c>
      <c r="AE150" s="11">
        <v>0</v>
      </c>
      <c r="AF150" s="11">
        <f>IF(Tableau_Lancer_la_requête_à_partir_de_AS4003[[#This Row],[POL_SEX_ASSURE]]="M",0,1)</f>
        <v>0</v>
      </c>
      <c r="AG150" s="11" t="str">
        <f>IF(Tableau_Lancer_la_requête_à_partir_de_AS4003[[#This Row],[POL_SEX_ASSURE2]]="","",IF(Tableau_Lancer_la_requête_à_partir_de_AS4003[[#This Row],[POL_SEX_ASSURE2]]="M",0,1))</f>
        <v/>
      </c>
      <c r="AH15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50" s="11">
        <v>4673.2</v>
      </c>
      <c r="AJ150" s="11">
        <f>Tableau_Lancer_la_requête_à_partir_de_AS4003[[#This Row],[POL_DUREE_ASSUR]]*12</f>
        <v>1188</v>
      </c>
      <c r="AK150" s="11">
        <v>222.5</v>
      </c>
      <c r="AL150" s="11">
        <v>0</v>
      </c>
      <c r="AM150" s="11">
        <v>0</v>
      </c>
      <c r="AN150" s="11" t="s">
        <v>36</v>
      </c>
      <c r="AO150" s="11" t="s">
        <v>80</v>
      </c>
      <c r="AP150" s="11">
        <f>Tableau_Lancer_la_requête_à_partir_de_AS4003[[#This Row],[POL_TERM_M]]-Tableau_Lancer_la_requête_à_partir_de_AS4003[[#This Row],[Duration IF]]</f>
        <v>1187</v>
      </c>
      <c r="AQ150" s="11" t="s">
        <v>36</v>
      </c>
      <c r="AR150" s="11" t="s">
        <v>36</v>
      </c>
      <c r="AS150" s="11" t="s">
        <v>36</v>
      </c>
      <c r="AT150" s="11" t="s">
        <v>36</v>
      </c>
      <c r="AU150" s="11" t="s">
        <v>36</v>
      </c>
      <c r="AV150" s="11">
        <v>0</v>
      </c>
      <c r="AW150" s="11">
        <v>11</v>
      </c>
      <c r="AX150" s="11">
        <v>1</v>
      </c>
      <c r="AY150" s="11">
        <v>20181201</v>
      </c>
      <c r="AZ150" s="80">
        <f t="shared" si="8"/>
        <v>43435</v>
      </c>
      <c r="BA150" s="11">
        <v>19541127</v>
      </c>
      <c r="BB150" s="80">
        <f t="shared" si="9"/>
        <v>20055</v>
      </c>
      <c r="BC150" s="11">
        <v>0</v>
      </c>
      <c r="BD150" s="11" t="s">
        <v>83</v>
      </c>
      <c r="BE150" s="11">
        <v>1</v>
      </c>
      <c r="BF150" s="11" t="s">
        <v>36</v>
      </c>
      <c r="BG150" s="11">
        <v>406.3</v>
      </c>
      <c r="BH150" s="11">
        <v>308.5</v>
      </c>
      <c r="BI150" s="11">
        <v>0</v>
      </c>
      <c r="BJ150" s="11" t="s">
        <v>82</v>
      </c>
      <c r="BK150" s="11">
        <v>1</v>
      </c>
      <c r="BL150" s="11">
        <v>0</v>
      </c>
      <c r="BM150" s="11">
        <v>0</v>
      </c>
      <c r="BN150" s="11">
        <v>2057302</v>
      </c>
      <c r="BO150" s="11">
        <v>0</v>
      </c>
      <c r="BP150" s="11" t="s">
        <v>82</v>
      </c>
      <c r="BQ150" s="11">
        <v>0</v>
      </c>
      <c r="BR150" s="11"/>
      <c r="BT150" s="11"/>
      <c r="BU150" s="11"/>
      <c r="CA150" s="11"/>
      <c r="CD150" s="11"/>
    </row>
    <row r="151" spans="2:82" ht="12.75" x14ac:dyDescent="0.2">
      <c r="B151" s="11">
        <v>2174403</v>
      </c>
      <c r="C151" s="11">
        <f>ROUND(DAYS360(Tableau_Lancer_la_requête_à_partir_de_AS4003[[#This Row],[Date naissance 1]],Tableau_Lancer_la_requête_à_partir_de_AS4003[[#This Row],[Date début]])/360,0)</f>
        <v>55</v>
      </c>
      <c r="D151" s="11">
        <v>0</v>
      </c>
      <c r="E151" s="11">
        <v>0</v>
      </c>
      <c r="F151" s="11">
        <v>0</v>
      </c>
      <c r="G151" s="11">
        <v>12</v>
      </c>
      <c r="H151" s="11">
        <f>ROUND(DAYS360(Tableau_Lancer_la_requête_à_partir_de_AS4003[[#This Row],[Date début]],'Cash flows par police'!$C$4)/30,0)</f>
        <v>1</v>
      </c>
      <c r="I151" s="11">
        <v>0</v>
      </c>
      <c r="J151" s="11">
        <v>0</v>
      </c>
      <c r="K151" s="11">
        <v>0</v>
      </c>
      <c r="L151" s="11">
        <v>67.8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1">
        <v>0</v>
      </c>
      <c r="S151" s="11">
        <f>SUM(Tableau_Lancer_la_requête_à_partir_de_AS4003[[#This Row],[POLPRCPL2]:[POLPRCPL9]])</f>
        <v>67.8</v>
      </c>
      <c r="T151" s="11">
        <v>99</v>
      </c>
      <c r="U151" s="11">
        <v>12</v>
      </c>
      <c r="V151" s="11">
        <v>0</v>
      </c>
      <c r="W151" s="11">
        <v>864</v>
      </c>
      <c r="X151" s="11">
        <v>0</v>
      </c>
      <c r="Y151" s="11">
        <v>0</v>
      </c>
      <c r="Z151" s="11">
        <v>1</v>
      </c>
      <c r="AA151" s="11">
        <v>0</v>
      </c>
      <c r="AB151" s="11">
        <v>0</v>
      </c>
      <c r="AC151" s="11">
        <v>0</v>
      </c>
      <c r="AD151" s="11">
        <v>0</v>
      </c>
      <c r="AE151" s="11">
        <v>0</v>
      </c>
      <c r="AF151" s="11">
        <f>IF(Tableau_Lancer_la_requête_à_partir_de_AS4003[[#This Row],[POL_SEX_ASSURE]]="M",0,1)</f>
        <v>0</v>
      </c>
      <c r="AG151" s="11" t="str">
        <f>IF(Tableau_Lancer_la_requête_à_partir_de_AS4003[[#This Row],[POL_SEX_ASSURE2]]="","",IF(Tableau_Lancer_la_requête_à_partir_de_AS4003[[#This Row],[POL_SEX_ASSURE2]]="M",0,1))</f>
        <v/>
      </c>
      <c r="AH15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51" s="11">
        <v>12305.8</v>
      </c>
      <c r="AJ151" s="11">
        <f>Tableau_Lancer_la_requête_à_partir_de_AS4003[[#This Row],[POL_DUREE_ASSUR]]*12</f>
        <v>1188</v>
      </c>
      <c r="AK151" s="11">
        <v>410.2</v>
      </c>
      <c r="AL151" s="11">
        <v>0</v>
      </c>
      <c r="AM151" s="11">
        <v>0</v>
      </c>
      <c r="AN151" s="11" t="s">
        <v>36</v>
      </c>
      <c r="AO151" s="11" t="s">
        <v>80</v>
      </c>
      <c r="AP151" s="11">
        <f>Tableau_Lancer_la_requête_à_partir_de_AS4003[[#This Row],[POL_TERM_M]]-Tableau_Lancer_la_requête_à_partir_de_AS4003[[#This Row],[Duration IF]]</f>
        <v>1187</v>
      </c>
      <c r="AQ151" s="11" t="s">
        <v>36</v>
      </c>
      <c r="AR151" s="11" t="s">
        <v>36</v>
      </c>
      <c r="AS151" s="11" t="s">
        <v>36</v>
      </c>
      <c r="AT151" s="11" t="s">
        <v>36</v>
      </c>
      <c r="AU151" s="11" t="s">
        <v>36</v>
      </c>
      <c r="AV151" s="11">
        <v>0</v>
      </c>
      <c r="AW151" s="11">
        <v>11</v>
      </c>
      <c r="AX151" s="11">
        <v>1</v>
      </c>
      <c r="AY151" s="11">
        <v>20181201</v>
      </c>
      <c r="AZ151" s="80">
        <f t="shared" si="8"/>
        <v>43435</v>
      </c>
      <c r="BA151" s="11">
        <v>19630801</v>
      </c>
      <c r="BB151" s="80">
        <f t="shared" si="9"/>
        <v>23224</v>
      </c>
      <c r="BC151" s="11">
        <v>0</v>
      </c>
      <c r="BD151" s="11" t="s">
        <v>83</v>
      </c>
      <c r="BE151" s="11">
        <v>1</v>
      </c>
      <c r="BF151" s="11" t="s">
        <v>36</v>
      </c>
      <c r="BG151" s="11">
        <v>796.2</v>
      </c>
      <c r="BH151" s="11">
        <v>604.5</v>
      </c>
      <c r="BI151" s="11">
        <v>0</v>
      </c>
      <c r="BJ151" s="11" t="s">
        <v>82</v>
      </c>
      <c r="BK151" s="11">
        <v>1</v>
      </c>
      <c r="BL151" s="11">
        <v>0</v>
      </c>
      <c r="BM151" s="11">
        <v>0</v>
      </c>
      <c r="BN151" s="11">
        <v>2174403</v>
      </c>
      <c r="BO151" s="11">
        <v>0</v>
      </c>
      <c r="BP151" s="11" t="s">
        <v>82</v>
      </c>
      <c r="BQ151" s="11">
        <v>0</v>
      </c>
      <c r="BR151" s="11"/>
      <c r="BT151" s="11"/>
      <c r="BU151" s="11"/>
      <c r="CA151" s="11"/>
      <c r="CD151" s="11"/>
    </row>
    <row r="152" spans="2:82" ht="12.75" x14ac:dyDescent="0.2">
      <c r="B152" s="11">
        <v>2303101</v>
      </c>
      <c r="C152" s="11">
        <f>ROUND(DAYS360(Tableau_Lancer_la_requête_à_partir_de_AS4003[[#This Row],[Date naissance 1]],Tableau_Lancer_la_requête_à_partir_de_AS4003[[#This Row],[Date début]])/360,0)</f>
        <v>54</v>
      </c>
      <c r="D152" s="11">
        <v>0</v>
      </c>
      <c r="E152" s="11">
        <v>0</v>
      </c>
      <c r="F152" s="11">
        <v>0</v>
      </c>
      <c r="G152" s="11">
        <v>12</v>
      </c>
      <c r="H152" s="11">
        <f>ROUND(DAYS360(Tableau_Lancer_la_requête_à_partir_de_AS4003[[#This Row],[Date début]],'Cash flows par police'!$C$4)/30,0)</f>
        <v>21</v>
      </c>
      <c r="I152" s="11">
        <v>0</v>
      </c>
      <c r="J152" s="11">
        <v>0</v>
      </c>
      <c r="K152" s="11">
        <v>0</v>
      </c>
      <c r="L152" s="11">
        <v>50.8</v>
      </c>
      <c r="M152" s="11">
        <v>0</v>
      </c>
      <c r="N152" s="11"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f>SUM(Tableau_Lancer_la_requête_à_partir_de_AS4003[[#This Row],[POLPRCPL2]:[POLPRCPL9]])</f>
        <v>50.8</v>
      </c>
      <c r="T152" s="11">
        <v>99</v>
      </c>
      <c r="U152" s="11">
        <v>12</v>
      </c>
      <c r="V152" s="11">
        <v>0</v>
      </c>
      <c r="W152" s="11">
        <v>648</v>
      </c>
      <c r="X152" s="11">
        <v>321.3</v>
      </c>
      <c r="Y152" s="11">
        <v>3.8</v>
      </c>
      <c r="Z152" s="11">
        <v>1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f>IF(Tableau_Lancer_la_requête_à_partir_de_AS4003[[#This Row],[POL_SEX_ASSURE]]="M",0,1)</f>
        <v>0</v>
      </c>
      <c r="AG152" s="11" t="str">
        <f>IF(Tableau_Lancer_la_requête_à_partir_de_AS4003[[#This Row],[POL_SEX_ASSURE2]]="","",IF(Tableau_Lancer_la_requête_à_partir_de_AS4003[[#This Row],[POL_SEX_ASSURE2]]="M",0,1))</f>
        <v/>
      </c>
      <c r="AH152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52" s="11">
        <v>9229.2999999999993</v>
      </c>
      <c r="AJ152" s="11">
        <f>Tableau_Lancer_la_requête_à_partir_de_AS4003[[#This Row],[POL_DUREE_ASSUR]]*12</f>
        <v>1188</v>
      </c>
      <c r="AK152" s="11">
        <v>307.60000000000002</v>
      </c>
      <c r="AL152" s="11">
        <v>321.3</v>
      </c>
      <c r="AM152" s="11">
        <v>0</v>
      </c>
      <c r="AN152" s="11" t="s">
        <v>36</v>
      </c>
      <c r="AO152" s="11" t="s">
        <v>80</v>
      </c>
      <c r="AP152" s="11">
        <f>Tableau_Lancer_la_requête_à_partir_de_AS4003[[#This Row],[POL_TERM_M]]-Tableau_Lancer_la_requête_à_partir_de_AS4003[[#This Row],[Duration IF]]</f>
        <v>1167</v>
      </c>
      <c r="AQ152" s="11" t="s">
        <v>36</v>
      </c>
      <c r="AR152" s="11" t="s">
        <v>36</v>
      </c>
      <c r="AS152" s="11" t="s">
        <v>36</v>
      </c>
      <c r="AT152" s="11" t="s">
        <v>36</v>
      </c>
      <c r="AU152" s="11" t="s">
        <v>36</v>
      </c>
      <c r="AV152" s="11">
        <v>0</v>
      </c>
      <c r="AW152" s="11">
        <v>11</v>
      </c>
      <c r="AX152" s="11">
        <v>1</v>
      </c>
      <c r="AY152" s="11">
        <v>20170401</v>
      </c>
      <c r="AZ152" s="80">
        <f t="shared" si="8"/>
        <v>42826</v>
      </c>
      <c r="BA152" s="11">
        <v>19621005</v>
      </c>
      <c r="BB152" s="80">
        <f t="shared" si="9"/>
        <v>22924</v>
      </c>
      <c r="BC152" s="11">
        <v>0</v>
      </c>
      <c r="BD152" s="11" t="s">
        <v>83</v>
      </c>
      <c r="BE152" s="11">
        <v>1</v>
      </c>
      <c r="BF152" s="11" t="s">
        <v>36</v>
      </c>
      <c r="BG152" s="11">
        <v>597.20000000000005</v>
      </c>
      <c r="BH152" s="11">
        <v>453.4</v>
      </c>
      <c r="BI152" s="11">
        <v>0</v>
      </c>
      <c r="BJ152" s="11" t="s">
        <v>82</v>
      </c>
      <c r="BK152" s="11">
        <v>1</v>
      </c>
      <c r="BL152" s="11">
        <v>0</v>
      </c>
      <c r="BM152" s="11">
        <v>0</v>
      </c>
      <c r="BN152" s="11">
        <v>2303101</v>
      </c>
      <c r="BO152" s="11">
        <v>0</v>
      </c>
      <c r="BP152" s="11" t="s">
        <v>82</v>
      </c>
      <c r="BQ152" s="11">
        <v>0</v>
      </c>
      <c r="BR152" s="11"/>
      <c r="BT152" s="11"/>
      <c r="BU152" s="11"/>
      <c r="CA152" s="11"/>
      <c r="CD152" s="11"/>
    </row>
    <row r="153" spans="2:82" ht="12.75" x14ac:dyDescent="0.2">
      <c r="B153" s="11">
        <v>2308801</v>
      </c>
      <c r="C153" s="11">
        <f>ROUND(DAYS360(Tableau_Lancer_la_requête_à_partir_de_AS4003[[#This Row],[Date naissance 1]],Tableau_Lancer_la_requête_à_partir_de_AS4003[[#This Row],[Date début]])/360,0)</f>
        <v>52</v>
      </c>
      <c r="D153" s="11">
        <v>0</v>
      </c>
      <c r="E153" s="11">
        <v>0</v>
      </c>
      <c r="F153" s="11">
        <v>0</v>
      </c>
      <c r="G153" s="11">
        <v>12</v>
      </c>
      <c r="H153" s="11">
        <f>ROUND(DAYS360(Tableau_Lancer_la_requête_à_partir_de_AS4003[[#This Row],[Date début]],'Cash flows par police'!$C$4)/30,0)</f>
        <v>21</v>
      </c>
      <c r="I153" s="11">
        <v>0</v>
      </c>
      <c r="J153" s="11">
        <v>0</v>
      </c>
      <c r="K153" s="11">
        <v>0</v>
      </c>
      <c r="L153" s="11">
        <v>82.6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f>SUM(Tableau_Lancer_la_requête_à_partir_de_AS4003[[#This Row],[POLPRCPL2]:[POLPRCPL9]])</f>
        <v>82.6</v>
      </c>
      <c r="T153" s="11">
        <v>99</v>
      </c>
      <c r="U153" s="11">
        <v>12</v>
      </c>
      <c r="V153" s="11">
        <v>0</v>
      </c>
      <c r="W153" s="11">
        <v>884.4</v>
      </c>
      <c r="X153" s="11">
        <v>489.3</v>
      </c>
      <c r="Y153" s="11">
        <v>5.8</v>
      </c>
      <c r="Z153" s="11">
        <v>1</v>
      </c>
      <c r="AA153" s="11">
        <v>0</v>
      </c>
      <c r="AB153" s="11">
        <v>0</v>
      </c>
      <c r="AC153" s="11">
        <v>0</v>
      </c>
      <c r="AD153" s="11">
        <v>0</v>
      </c>
      <c r="AE153" s="11">
        <v>0</v>
      </c>
      <c r="AF153" s="11">
        <f>IF(Tableau_Lancer_la_requête_à_partir_de_AS4003[[#This Row],[POL_SEX_ASSURE]]="M",0,1)</f>
        <v>0</v>
      </c>
      <c r="AG153" s="11" t="str">
        <f>IF(Tableau_Lancer_la_requête_à_partir_de_AS4003[[#This Row],[POL_SEX_ASSURE2]]="","",IF(Tableau_Lancer_la_requête_à_partir_de_AS4003[[#This Row],[POL_SEX_ASSURE2]]="M",0,1))</f>
        <v/>
      </c>
      <c r="AH153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53" s="11">
        <v>15000</v>
      </c>
      <c r="AJ153" s="11">
        <f>Tableau_Lancer_la_requête_à_partir_de_AS4003[[#This Row],[POL_DUREE_ASSUR]]*12</f>
        <v>1188</v>
      </c>
      <c r="AK153" s="11">
        <v>454.6</v>
      </c>
      <c r="AL153" s="11">
        <v>489.3</v>
      </c>
      <c r="AM153" s="11">
        <v>0</v>
      </c>
      <c r="AN153" s="11" t="s">
        <v>36</v>
      </c>
      <c r="AO153" s="11" t="s">
        <v>80</v>
      </c>
      <c r="AP153" s="11">
        <f>Tableau_Lancer_la_requête_à_partir_de_AS4003[[#This Row],[POL_TERM_M]]-Tableau_Lancer_la_requête_à_partir_de_AS4003[[#This Row],[Duration IF]]</f>
        <v>1167</v>
      </c>
      <c r="AQ153" s="11" t="s">
        <v>36</v>
      </c>
      <c r="AR153" s="11" t="s">
        <v>36</v>
      </c>
      <c r="AS153" s="11" t="s">
        <v>36</v>
      </c>
      <c r="AT153" s="11" t="s">
        <v>36</v>
      </c>
      <c r="AU153" s="11" t="s">
        <v>36</v>
      </c>
      <c r="AV153" s="11">
        <v>0</v>
      </c>
      <c r="AW153" s="11">
        <v>11</v>
      </c>
      <c r="AX153" s="11">
        <v>1</v>
      </c>
      <c r="AY153" s="11">
        <v>20170401</v>
      </c>
      <c r="AZ153" s="80">
        <f t="shared" si="8"/>
        <v>42826</v>
      </c>
      <c r="BA153" s="11">
        <v>19650930</v>
      </c>
      <c r="BB153" s="80">
        <f t="shared" si="9"/>
        <v>24015</v>
      </c>
      <c r="BC153" s="11">
        <v>0</v>
      </c>
      <c r="BD153" s="11" t="s">
        <v>83</v>
      </c>
      <c r="BE153" s="11">
        <v>1</v>
      </c>
      <c r="BF153" s="11" t="s">
        <v>36</v>
      </c>
      <c r="BG153" s="11">
        <v>801.8</v>
      </c>
      <c r="BH153" s="11">
        <v>608.29999999999995</v>
      </c>
      <c r="BI153" s="11">
        <v>0</v>
      </c>
      <c r="BJ153" s="11" t="s">
        <v>82</v>
      </c>
      <c r="BK153" s="11">
        <v>1</v>
      </c>
      <c r="BL153" s="11">
        <v>0</v>
      </c>
      <c r="BM153" s="11">
        <v>0</v>
      </c>
      <c r="BN153" s="11">
        <v>2308801</v>
      </c>
      <c r="BO153" s="11">
        <v>0</v>
      </c>
      <c r="BP153" s="11" t="s">
        <v>82</v>
      </c>
      <c r="BQ153" s="11">
        <v>0</v>
      </c>
      <c r="BR153" s="11"/>
      <c r="BT153" s="11"/>
      <c r="BU153" s="11"/>
      <c r="CA153" s="11"/>
      <c r="CD153" s="11"/>
    </row>
    <row r="154" spans="2:82" ht="12.75" x14ac:dyDescent="0.2">
      <c r="B154" s="11">
        <v>2320801</v>
      </c>
      <c r="C154" s="11">
        <f>ROUND(DAYS360(Tableau_Lancer_la_requête_à_partir_de_AS4003[[#This Row],[Date naissance 1]],Tableau_Lancer_la_requête_à_partir_de_AS4003[[#This Row],[Date début]])/360,0)</f>
        <v>58</v>
      </c>
      <c r="D154" s="11">
        <v>0</v>
      </c>
      <c r="E154" s="11">
        <v>0</v>
      </c>
      <c r="F154" s="11">
        <v>0</v>
      </c>
      <c r="G154" s="11">
        <v>12</v>
      </c>
      <c r="H154" s="11">
        <f>ROUND(DAYS360(Tableau_Lancer_la_requête_à_partir_de_AS4003[[#This Row],[Date début]],'Cash flows par police'!$C$4)/30,0)</f>
        <v>19</v>
      </c>
      <c r="I154" s="11">
        <v>0</v>
      </c>
      <c r="J154" s="11">
        <v>0</v>
      </c>
      <c r="K154" s="11">
        <v>0</v>
      </c>
      <c r="L154" s="11">
        <v>25.5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1">
        <v>0</v>
      </c>
      <c r="S154" s="11">
        <f>SUM(Tableau_Lancer_la_requête_à_partir_de_AS4003[[#This Row],[POLPRCPL2]:[POLPRCPL9]])</f>
        <v>25.5</v>
      </c>
      <c r="T154" s="11">
        <v>99</v>
      </c>
      <c r="U154" s="11">
        <v>1</v>
      </c>
      <c r="V154" s="11">
        <v>0</v>
      </c>
      <c r="W154" s="11">
        <v>347.8</v>
      </c>
      <c r="X154" s="11">
        <v>167.7</v>
      </c>
      <c r="Y154" s="11">
        <v>1.7</v>
      </c>
      <c r="Z154" s="11">
        <v>1</v>
      </c>
      <c r="AA154" s="11">
        <v>0</v>
      </c>
      <c r="AB154" s="11">
        <v>0</v>
      </c>
      <c r="AC154" s="11">
        <v>0</v>
      </c>
      <c r="AD154" s="11">
        <v>0</v>
      </c>
      <c r="AE154" s="11">
        <v>0</v>
      </c>
      <c r="AF154" s="11">
        <f>IF(Tableau_Lancer_la_requête_à_partir_de_AS4003[[#This Row],[POL_SEX_ASSURE]]="M",0,1)</f>
        <v>0</v>
      </c>
      <c r="AG154" s="11" t="str">
        <f>IF(Tableau_Lancer_la_requête_à_partir_de_AS4003[[#This Row],[POL_SEX_ASSURE2]]="","",IF(Tableau_Lancer_la_requête_à_partir_de_AS4003[[#This Row],[POL_SEX_ASSURE2]]="M",0,1))</f>
        <v/>
      </c>
      <c r="AH154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54" s="11">
        <v>5000</v>
      </c>
      <c r="AJ154" s="11">
        <f>Tableau_Lancer_la_requête_à_partir_de_AS4003[[#This Row],[POL_DUREE_ASSUR]]*12</f>
        <v>1188</v>
      </c>
      <c r="AK154" s="11">
        <v>185.2</v>
      </c>
      <c r="AL154" s="11">
        <v>167.7</v>
      </c>
      <c r="AM154" s="11">
        <v>0</v>
      </c>
      <c r="AN154" s="11" t="s">
        <v>36</v>
      </c>
      <c r="AO154" s="11" t="s">
        <v>80</v>
      </c>
      <c r="AP154" s="11">
        <f>Tableau_Lancer_la_requête_à_partir_de_AS4003[[#This Row],[POL_TERM_M]]-Tableau_Lancer_la_requête_à_partir_de_AS4003[[#This Row],[Duration IF]]</f>
        <v>1169</v>
      </c>
      <c r="AQ154" s="11" t="s">
        <v>36</v>
      </c>
      <c r="AR154" s="11" t="s">
        <v>36</v>
      </c>
      <c r="AS154" s="11" t="s">
        <v>36</v>
      </c>
      <c r="AT154" s="11" t="s">
        <v>36</v>
      </c>
      <c r="AU154" s="11" t="s">
        <v>36</v>
      </c>
      <c r="AV154" s="11">
        <v>0</v>
      </c>
      <c r="AW154" s="11">
        <v>11</v>
      </c>
      <c r="AX154" s="11">
        <v>1</v>
      </c>
      <c r="AY154" s="11">
        <v>20170601</v>
      </c>
      <c r="AZ154" s="80">
        <f t="shared" si="8"/>
        <v>42887</v>
      </c>
      <c r="BA154" s="11">
        <v>19590218</v>
      </c>
      <c r="BB154" s="80">
        <f t="shared" si="9"/>
        <v>21599</v>
      </c>
      <c r="BC154" s="11">
        <v>0</v>
      </c>
      <c r="BD154" s="11" t="s">
        <v>83</v>
      </c>
      <c r="BE154" s="11">
        <v>1</v>
      </c>
      <c r="BF154" s="11" t="s">
        <v>36</v>
      </c>
      <c r="BG154" s="11">
        <v>322.3</v>
      </c>
      <c r="BH154" s="11">
        <v>264.3</v>
      </c>
      <c r="BI154" s="11">
        <v>0</v>
      </c>
      <c r="BJ154" s="11" t="s">
        <v>82</v>
      </c>
      <c r="BK154" s="11">
        <v>1</v>
      </c>
      <c r="BL154" s="11">
        <v>109</v>
      </c>
      <c r="BM154" s="11">
        <v>8.6</v>
      </c>
      <c r="BN154" s="11">
        <v>2320801</v>
      </c>
      <c r="BO154" s="11">
        <v>0</v>
      </c>
      <c r="BP154" s="11" t="s">
        <v>82</v>
      </c>
      <c r="BQ154" s="11">
        <v>0</v>
      </c>
      <c r="BR154" s="11"/>
      <c r="BT154" s="11"/>
      <c r="BU154" s="11"/>
      <c r="CA154" s="11"/>
      <c r="CD154" s="11"/>
    </row>
    <row r="155" spans="2:82" ht="12.75" x14ac:dyDescent="0.2">
      <c r="B155" s="11">
        <v>2440501</v>
      </c>
      <c r="C155" s="11">
        <f>ROUND(DAYS360(Tableau_Lancer_la_requête_à_partir_de_AS4003[[#This Row],[Date naissance 1]],Tableau_Lancer_la_requête_à_partir_de_AS4003[[#This Row],[Date début]])/360,0)</f>
        <v>55</v>
      </c>
      <c r="D155" s="11">
        <v>0</v>
      </c>
      <c r="E155" s="11">
        <v>0</v>
      </c>
      <c r="F155" s="11">
        <v>0</v>
      </c>
      <c r="G155" s="11">
        <v>12</v>
      </c>
      <c r="H155" s="11">
        <f>ROUND(DAYS360(Tableau_Lancer_la_requête_à_partir_de_AS4003[[#This Row],[Date début]],'Cash flows par police'!$C$4)/30,0)</f>
        <v>10</v>
      </c>
      <c r="I155" s="11">
        <v>0</v>
      </c>
      <c r="J155" s="11">
        <v>0</v>
      </c>
      <c r="K155" s="11">
        <v>0</v>
      </c>
      <c r="L155" s="11">
        <v>26.8</v>
      </c>
      <c r="M155" s="11">
        <v>0</v>
      </c>
      <c r="N155" s="11">
        <v>0</v>
      </c>
      <c r="O155" s="11">
        <v>0</v>
      </c>
      <c r="P155" s="11">
        <v>0</v>
      </c>
      <c r="Q155" s="11">
        <v>0</v>
      </c>
      <c r="R155" s="11">
        <v>0</v>
      </c>
      <c r="S155" s="11">
        <f>SUM(Tableau_Lancer_la_requête_à_partir_de_AS4003[[#This Row],[POLPRCPL2]:[POLPRCPL9]])</f>
        <v>26.8</v>
      </c>
      <c r="T155" s="11">
        <v>99</v>
      </c>
      <c r="U155" s="11">
        <v>4</v>
      </c>
      <c r="V155" s="11">
        <v>0</v>
      </c>
      <c r="W155" s="11">
        <v>348.8</v>
      </c>
      <c r="X155" s="11">
        <v>80.400000000000006</v>
      </c>
      <c r="Y155" s="11">
        <v>0</v>
      </c>
      <c r="Z155" s="11">
        <v>1</v>
      </c>
      <c r="AA155" s="11">
        <v>0</v>
      </c>
      <c r="AB155" s="11">
        <v>0</v>
      </c>
      <c r="AC155" s="11">
        <v>0</v>
      </c>
      <c r="AD155" s="11">
        <v>0</v>
      </c>
      <c r="AE155" s="11">
        <v>0</v>
      </c>
      <c r="AF155" s="11">
        <f>IF(Tableau_Lancer_la_requête_à_partir_de_AS4003[[#This Row],[POL_SEX_ASSURE]]="M",0,1)</f>
        <v>0</v>
      </c>
      <c r="AG155" s="11" t="str">
        <f>IF(Tableau_Lancer_la_requête_à_partir_de_AS4003[[#This Row],[POL_SEX_ASSURE2]]="","",IF(Tableau_Lancer_la_requête_à_partir_de_AS4003[[#This Row],[POL_SEX_ASSURE2]]="M",0,1))</f>
        <v/>
      </c>
      <c r="AH155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55" s="11">
        <v>5000</v>
      </c>
      <c r="AJ155" s="11">
        <f>Tableau_Lancer_la_requête_à_partir_de_AS4003[[#This Row],[POL_DUREE_ASSUR]]*12</f>
        <v>1188</v>
      </c>
      <c r="AK155" s="11">
        <v>172.4</v>
      </c>
      <c r="AL155" s="11">
        <v>80.400000000000006</v>
      </c>
      <c r="AM155" s="11">
        <v>0</v>
      </c>
      <c r="AN155" s="11" t="s">
        <v>36</v>
      </c>
      <c r="AO155" s="11" t="s">
        <v>80</v>
      </c>
      <c r="AP155" s="11">
        <f>Tableau_Lancer_la_requête_à_partir_de_AS4003[[#This Row],[POL_TERM_M]]-Tableau_Lancer_la_requête_à_partir_de_AS4003[[#This Row],[Duration IF]]</f>
        <v>1178</v>
      </c>
      <c r="AQ155" s="11" t="s">
        <v>36</v>
      </c>
      <c r="AR155" s="11" t="s">
        <v>36</v>
      </c>
      <c r="AS155" s="11" t="s">
        <v>36</v>
      </c>
      <c r="AT155" s="11" t="s">
        <v>36</v>
      </c>
      <c r="AU155" s="11" t="s">
        <v>36</v>
      </c>
      <c r="AV155" s="11">
        <v>0</v>
      </c>
      <c r="AW155" s="11">
        <v>11</v>
      </c>
      <c r="AX155" s="11">
        <v>1</v>
      </c>
      <c r="AY155" s="11">
        <v>20180301</v>
      </c>
      <c r="AZ155" s="80">
        <f t="shared" si="8"/>
        <v>43160</v>
      </c>
      <c r="BA155" s="11">
        <v>19621116</v>
      </c>
      <c r="BB155" s="80">
        <f t="shared" si="9"/>
        <v>22966</v>
      </c>
      <c r="BC155" s="11">
        <v>0</v>
      </c>
      <c r="BD155" s="11" t="s">
        <v>83</v>
      </c>
      <c r="BE155" s="11">
        <v>1</v>
      </c>
      <c r="BF155" s="11" t="s">
        <v>36</v>
      </c>
      <c r="BG155" s="11">
        <v>322</v>
      </c>
      <c r="BH155" s="11">
        <v>251.5</v>
      </c>
      <c r="BI155" s="11">
        <v>0</v>
      </c>
      <c r="BJ155" s="11" t="s">
        <v>82</v>
      </c>
      <c r="BK155" s="11">
        <v>1</v>
      </c>
      <c r="BL155" s="11">
        <v>40.799999999999997</v>
      </c>
      <c r="BM155" s="11">
        <v>3.6</v>
      </c>
      <c r="BN155" s="11">
        <v>2440501</v>
      </c>
      <c r="BO155" s="11">
        <v>0</v>
      </c>
      <c r="BP155" s="11" t="s">
        <v>82</v>
      </c>
      <c r="BQ155" s="11">
        <v>0</v>
      </c>
      <c r="BR155" s="11"/>
      <c r="BT155" s="11"/>
      <c r="BU155" s="11"/>
      <c r="CA155" s="11"/>
      <c r="CD155" s="11"/>
    </row>
    <row r="156" spans="2:82" ht="12.75" x14ac:dyDescent="0.2">
      <c r="B156" s="11">
        <v>2441001</v>
      </c>
      <c r="C156" s="11">
        <f>ROUND(DAYS360(Tableau_Lancer_la_requête_à_partir_de_AS4003[[#This Row],[Date naissance 1]],Tableau_Lancer_la_requête_à_partir_de_AS4003[[#This Row],[Date début]])/360,0)</f>
        <v>68</v>
      </c>
      <c r="D156" s="11">
        <v>0</v>
      </c>
      <c r="E156" s="11">
        <v>0</v>
      </c>
      <c r="F156" s="11">
        <v>0</v>
      </c>
      <c r="G156" s="11">
        <v>12</v>
      </c>
      <c r="H156" s="11">
        <f>ROUND(DAYS360(Tableau_Lancer_la_requête_à_partir_de_AS4003[[#This Row],[Date début]],'Cash flows par police'!$C$4)/30,0)</f>
        <v>10</v>
      </c>
      <c r="I156" s="11">
        <v>0</v>
      </c>
      <c r="J156" s="11">
        <v>0</v>
      </c>
      <c r="K156" s="11">
        <v>0</v>
      </c>
      <c r="L156" s="11">
        <v>55.1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f>SUM(Tableau_Lancer_la_requête_à_partir_de_AS4003[[#This Row],[POLPRCPL2]:[POLPRCPL9]])</f>
        <v>55.1</v>
      </c>
      <c r="T156" s="11">
        <v>99</v>
      </c>
      <c r="U156" s="11">
        <v>12</v>
      </c>
      <c r="V156" s="11">
        <v>0</v>
      </c>
      <c r="W156" s="11">
        <v>1084.8</v>
      </c>
      <c r="X156" s="11">
        <v>0</v>
      </c>
      <c r="Y156" s="11">
        <v>0</v>
      </c>
      <c r="Z156" s="11">
        <v>1</v>
      </c>
      <c r="AA156" s="11">
        <v>0</v>
      </c>
      <c r="AB156" s="11">
        <v>0</v>
      </c>
      <c r="AC156" s="11">
        <v>0</v>
      </c>
      <c r="AD156" s="11">
        <v>0</v>
      </c>
      <c r="AE156" s="11">
        <v>0</v>
      </c>
      <c r="AF156" s="11">
        <f>IF(Tableau_Lancer_la_requête_à_partir_de_AS4003[[#This Row],[POL_SEX_ASSURE]]="M",0,1)</f>
        <v>0</v>
      </c>
      <c r="AG156" s="11" t="str">
        <f>IF(Tableau_Lancer_la_requête_à_partir_de_AS4003[[#This Row],[POL_SEX_ASSURE2]]="","",IF(Tableau_Lancer_la_requête_à_partir_de_AS4003[[#This Row],[POL_SEX_ASSURE2]]="M",0,1))</f>
        <v/>
      </c>
      <c r="AH156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56" s="11">
        <v>10000</v>
      </c>
      <c r="AJ156" s="11">
        <f>Tableau_Lancer_la_requête_à_partir_de_AS4003[[#This Row],[POL_DUREE_ASSUR]]*12</f>
        <v>1188</v>
      </c>
      <c r="AK156" s="11">
        <v>588.20000000000005</v>
      </c>
      <c r="AL156" s="11">
        <v>0</v>
      </c>
      <c r="AM156" s="11">
        <v>0</v>
      </c>
      <c r="AN156" s="11" t="s">
        <v>36</v>
      </c>
      <c r="AO156" s="11" t="s">
        <v>80</v>
      </c>
      <c r="AP156" s="11">
        <f>Tableau_Lancer_la_requête_à_partir_de_AS4003[[#This Row],[POL_TERM_M]]-Tableau_Lancer_la_requête_à_partir_de_AS4003[[#This Row],[Duration IF]]</f>
        <v>1178</v>
      </c>
      <c r="AQ156" s="11" t="s">
        <v>36</v>
      </c>
      <c r="AR156" s="11" t="s">
        <v>36</v>
      </c>
      <c r="AS156" s="11" t="s">
        <v>36</v>
      </c>
      <c r="AT156" s="11" t="s">
        <v>36</v>
      </c>
      <c r="AU156" s="11" t="s">
        <v>36</v>
      </c>
      <c r="AV156" s="11">
        <v>0</v>
      </c>
      <c r="AW156" s="11">
        <v>11</v>
      </c>
      <c r="AX156" s="11">
        <v>1</v>
      </c>
      <c r="AY156" s="11">
        <v>20180301</v>
      </c>
      <c r="AZ156" s="80">
        <f t="shared" si="8"/>
        <v>43160</v>
      </c>
      <c r="BA156" s="11">
        <v>19500408</v>
      </c>
      <c r="BB156" s="80">
        <f t="shared" si="9"/>
        <v>18361</v>
      </c>
      <c r="BC156" s="11">
        <v>0</v>
      </c>
      <c r="BD156" s="11" t="s">
        <v>83</v>
      </c>
      <c r="BE156" s="11">
        <v>1</v>
      </c>
      <c r="BF156" s="11" t="s">
        <v>36</v>
      </c>
      <c r="BG156" s="11">
        <v>1029.7</v>
      </c>
      <c r="BH156" s="11">
        <v>781.7</v>
      </c>
      <c r="BI156" s="11">
        <v>0</v>
      </c>
      <c r="BJ156" s="11" t="s">
        <v>82</v>
      </c>
      <c r="BK156" s="11">
        <v>1</v>
      </c>
      <c r="BL156" s="11">
        <v>0</v>
      </c>
      <c r="BM156" s="11">
        <v>0</v>
      </c>
      <c r="BN156" s="11">
        <v>2441001</v>
      </c>
      <c r="BO156" s="11">
        <v>0</v>
      </c>
      <c r="BP156" s="11" t="s">
        <v>82</v>
      </c>
      <c r="BQ156" s="11">
        <v>0</v>
      </c>
      <c r="BR156" s="11"/>
      <c r="BT156" s="11"/>
      <c r="BU156" s="11"/>
      <c r="CA156" s="11"/>
      <c r="CD156" s="11"/>
    </row>
    <row r="157" spans="2:82" ht="12.75" x14ac:dyDescent="0.2">
      <c r="B157" s="11">
        <v>2543801</v>
      </c>
      <c r="C157" s="11">
        <f>ROUND(DAYS360(Tableau_Lancer_la_requête_à_partir_de_AS4003[[#This Row],[Date naissance 1]],Tableau_Lancer_la_requête_à_partir_de_AS4003[[#This Row],[Date début]])/360,0)</f>
        <v>66</v>
      </c>
      <c r="D157" s="11">
        <v>0</v>
      </c>
      <c r="E157" s="11">
        <v>0</v>
      </c>
      <c r="F157" s="11">
        <v>0</v>
      </c>
      <c r="G157" s="11">
        <v>12</v>
      </c>
      <c r="H157" s="11">
        <f>ROUND(DAYS360(Tableau_Lancer_la_requête_à_partir_de_AS4003[[#This Row],[Date début]],'Cash flows par police'!$C$4)/30,0)</f>
        <v>3</v>
      </c>
      <c r="I157" s="11">
        <v>0</v>
      </c>
      <c r="J157" s="11">
        <v>0</v>
      </c>
      <c r="K157" s="11">
        <v>0</v>
      </c>
      <c r="L157" s="11">
        <v>54.1</v>
      </c>
      <c r="M157" s="11">
        <v>0</v>
      </c>
      <c r="N157" s="11">
        <v>0</v>
      </c>
      <c r="O157" s="11">
        <v>0</v>
      </c>
      <c r="P157" s="11">
        <v>0</v>
      </c>
      <c r="Q157" s="11">
        <v>0</v>
      </c>
      <c r="R157" s="11">
        <v>0</v>
      </c>
      <c r="S157" s="11">
        <f>SUM(Tableau_Lancer_la_requête_à_partir_de_AS4003[[#This Row],[POLPRCPL2]:[POLPRCPL9]])</f>
        <v>54.1</v>
      </c>
      <c r="T157" s="11">
        <v>99</v>
      </c>
      <c r="U157" s="11">
        <v>6</v>
      </c>
      <c r="V157" s="11">
        <v>0</v>
      </c>
      <c r="W157" s="11">
        <v>998.4</v>
      </c>
      <c r="X157" s="11">
        <v>49.1</v>
      </c>
      <c r="Y157" s="11">
        <v>0</v>
      </c>
      <c r="Z157" s="11">
        <v>1</v>
      </c>
      <c r="AA157" s="11">
        <v>0</v>
      </c>
      <c r="AB157" s="11">
        <v>0</v>
      </c>
      <c r="AC157" s="11">
        <v>0</v>
      </c>
      <c r="AD157" s="11">
        <v>0</v>
      </c>
      <c r="AE157" s="11">
        <v>0</v>
      </c>
      <c r="AF157" s="11">
        <f>IF(Tableau_Lancer_la_requête_à_partir_de_AS4003[[#This Row],[POL_SEX_ASSURE]]="M",0,1)</f>
        <v>0</v>
      </c>
      <c r="AG157" s="11" t="str">
        <f>IF(Tableau_Lancer_la_requête_à_partir_de_AS4003[[#This Row],[POL_SEX_ASSURE2]]="","",IF(Tableau_Lancer_la_requête_à_partir_de_AS4003[[#This Row],[POL_SEX_ASSURE2]]="M",0,1))</f>
        <v/>
      </c>
      <c r="AH157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57" s="11">
        <v>10000</v>
      </c>
      <c r="AJ157" s="11">
        <f>Tableau_Lancer_la_requête_à_partir_de_AS4003[[#This Row],[POL_DUREE_ASSUR]]*12</f>
        <v>1188</v>
      </c>
      <c r="AK157" s="11">
        <v>526.29999999999995</v>
      </c>
      <c r="AL157" s="11">
        <v>49.1</v>
      </c>
      <c r="AM157" s="11">
        <v>0</v>
      </c>
      <c r="AN157" s="11" t="s">
        <v>36</v>
      </c>
      <c r="AO157" s="11" t="s">
        <v>80</v>
      </c>
      <c r="AP157" s="11">
        <f>Tableau_Lancer_la_requête_à_partir_de_AS4003[[#This Row],[POL_TERM_M]]-Tableau_Lancer_la_requête_à_partir_de_AS4003[[#This Row],[Duration IF]]</f>
        <v>1185</v>
      </c>
      <c r="AQ157" s="11" t="s">
        <v>36</v>
      </c>
      <c r="AR157" s="11" t="s">
        <v>36</v>
      </c>
      <c r="AS157" s="11" t="s">
        <v>36</v>
      </c>
      <c r="AT157" s="11" t="s">
        <v>36</v>
      </c>
      <c r="AU157" s="11" t="s">
        <v>36</v>
      </c>
      <c r="AV157" s="11">
        <v>0</v>
      </c>
      <c r="AW157" s="11">
        <v>11</v>
      </c>
      <c r="AX157" s="11">
        <v>1</v>
      </c>
      <c r="AY157" s="11">
        <v>20181001</v>
      </c>
      <c r="AZ157" s="80">
        <f t="shared" si="8"/>
        <v>43374</v>
      </c>
      <c r="BA157" s="11">
        <v>19520812</v>
      </c>
      <c r="BB157" s="80">
        <f t="shared" si="9"/>
        <v>19218</v>
      </c>
      <c r="BC157" s="11">
        <v>0</v>
      </c>
      <c r="BD157" s="11" t="s">
        <v>83</v>
      </c>
      <c r="BE157" s="11">
        <v>1</v>
      </c>
      <c r="BF157" s="11" t="s">
        <v>36</v>
      </c>
      <c r="BG157" s="11">
        <v>944.3</v>
      </c>
      <c r="BH157" s="11">
        <v>730.4</v>
      </c>
      <c r="BI157" s="11">
        <v>0</v>
      </c>
      <c r="BJ157" s="11" t="s">
        <v>82</v>
      </c>
      <c r="BK157" s="11">
        <v>1</v>
      </c>
      <c r="BL157" s="11">
        <v>59.9</v>
      </c>
      <c r="BM157" s="11">
        <v>3.6</v>
      </c>
      <c r="BN157" s="11">
        <v>2543801</v>
      </c>
      <c r="BO157" s="11">
        <v>0</v>
      </c>
      <c r="BP157" s="11" t="s">
        <v>82</v>
      </c>
      <c r="BQ157" s="11">
        <v>0</v>
      </c>
      <c r="BR157" s="11"/>
      <c r="BT157" s="11"/>
      <c r="BU157" s="11"/>
      <c r="CA157" s="11"/>
      <c r="CD157" s="11"/>
    </row>
    <row r="158" spans="2:82" ht="12.75" x14ac:dyDescent="0.2">
      <c r="B158" s="11">
        <v>2549001</v>
      </c>
      <c r="C158" s="11">
        <f>ROUND(DAYS360(Tableau_Lancer_la_requête_à_partir_de_AS4003[[#This Row],[Date naissance 1]],Tableau_Lancer_la_requête_à_partir_de_AS4003[[#This Row],[Date début]])/360,0)</f>
        <v>56</v>
      </c>
      <c r="D158" s="11">
        <v>0</v>
      </c>
      <c r="E158" s="11">
        <v>0</v>
      </c>
      <c r="F158" s="11">
        <v>0</v>
      </c>
      <c r="G158" s="11">
        <v>12</v>
      </c>
      <c r="H158" s="11">
        <f>ROUND(DAYS360(Tableau_Lancer_la_requête_à_partir_de_AS4003[[#This Row],[Date début]],'Cash flows par police'!$C$4)/30,0)</f>
        <v>3</v>
      </c>
      <c r="I158" s="11">
        <v>0</v>
      </c>
      <c r="J158" s="11">
        <v>0</v>
      </c>
      <c r="K158" s="11">
        <v>0</v>
      </c>
      <c r="L158" s="11">
        <v>41.3</v>
      </c>
      <c r="M158" s="11">
        <v>0</v>
      </c>
      <c r="N158" s="11">
        <v>0</v>
      </c>
      <c r="O158" s="11">
        <v>0</v>
      </c>
      <c r="P158" s="11">
        <v>0</v>
      </c>
      <c r="Q158" s="11">
        <v>0</v>
      </c>
      <c r="R158" s="11">
        <v>0</v>
      </c>
      <c r="S158" s="11">
        <f>SUM(Tableau_Lancer_la_requête_à_partir_de_AS4003[[#This Row],[POLPRCPL2]:[POLPRCPL9]])</f>
        <v>41.3</v>
      </c>
      <c r="T158" s="11">
        <v>99</v>
      </c>
      <c r="U158" s="11">
        <v>12</v>
      </c>
      <c r="V158" s="11">
        <v>0</v>
      </c>
      <c r="W158" s="11">
        <v>538.79999999999995</v>
      </c>
      <c r="X158" s="11">
        <v>26.8</v>
      </c>
      <c r="Y158" s="11">
        <v>0</v>
      </c>
      <c r="Z158" s="11">
        <v>1</v>
      </c>
      <c r="AA158" s="11">
        <v>0</v>
      </c>
      <c r="AB158" s="11">
        <v>0</v>
      </c>
      <c r="AC158" s="11">
        <v>0</v>
      </c>
      <c r="AD158" s="11">
        <v>0</v>
      </c>
      <c r="AE158" s="11">
        <v>0</v>
      </c>
      <c r="AF158" s="11">
        <f>IF(Tableau_Lancer_la_requête_à_partir_de_AS4003[[#This Row],[POL_SEX_ASSURE]]="M",0,1)</f>
        <v>0</v>
      </c>
      <c r="AG158" s="11" t="str">
        <f>IF(Tableau_Lancer_la_requête_à_partir_de_AS4003[[#This Row],[POL_SEX_ASSURE2]]="","",IF(Tableau_Lancer_la_requête_à_partir_de_AS4003[[#This Row],[POL_SEX_ASSURE2]]="M",0,1))</f>
        <v/>
      </c>
      <c r="AH158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58" s="11">
        <v>7500</v>
      </c>
      <c r="AJ158" s="11">
        <f>Tableau_Lancer_la_requête_à_partir_de_AS4003[[#This Row],[POL_DUREE_ASSUR]]*12</f>
        <v>1188</v>
      </c>
      <c r="AK158" s="11">
        <v>258.60000000000002</v>
      </c>
      <c r="AL158" s="11">
        <v>26.8</v>
      </c>
      <c r="AM158" s="11">
        <v>0</v>
      </c>
      <c r="AN158" s="11" t="s">
        <v>36</v>
      </c>
      <c r="AO158" s="11" t="s">
        <v>80</v>
      </c>
      <c r="AP158" s="11">
        <f>Tableau_Lancer_la_requête_à_partir_de_AS4003[[#This Row],[POL_TERM_M]]-Tableau_Lancer_la_requête_à_partir_de_AS4003[[#This Row],[Duration IF]]</f>
        <v>1185</v>
      </c>
      <c r="AQ158" s="11" t="s">
        <v>36</v>
      </c>
      <c r="AR158" s="11" t="s">
        <v>36</v>
      </c>
      <c r="AS158" s="11" t="s">
        <v>36</v>
      </c>
      <c r="AT158" s="11" t="s">
        <v>36</v>
      </c>
      <c r="AU158" s="11" t="s">
        <v>36</v>
      </c>
      <c r="AV158" s="11">
        <v>0</v>
      </c>
      <c r="AW158" s="11">
        <v>11</v>
      </c>
      <c r="AX158" s="11">
        <v>1</v>
      </c>
      <c r="AY158" s="11">
        <v>20181001</v>
      </c>
      <c r="AZ158" s="80">
        <f t="shared" si="8"/>
        <v>43374</v>
      </c>
      <c r="BA158" s="11">
        <v>19620419</v>
      </c>
      <c r="BB158" s="80">
        <f t="shared" si="9"/>
        <v>22755</v>
      </c>
      <c r="BC158" s="11">
        <v>0</v>
      </c>
      <c r="BD158" s="11" t="s">
        <v>83</v>
      </c>
      <c r="BE158" s="11">
        <v>1</v>
      </c>
      <c r="BF158" s="11" t="s">
        <v>36</v>
      </c>
      <c r="BG158" s="11">
        <v>497.5</v>
      </c>
      <c r="BH158" s="11">
        <v>377.3</v>
      </c>
      <c r="BI158" s="11">
        <v>0</v>
      </c>
      <c r="BJ158" s="11" t="s">
        <v>82</v>
      </c>
      <c r="BK158" s="11">
        <v>1</v>
      </c>
      <c r="BL158" s="11">
        <v>0</v>
      </c>
      <c r="BM158" s="11">
        <v>0</v>
      </c>
      <c r="BN158" s="11">
        <v>2549001</v>
      </c>
      <c r="BO158" s="11">
        <v>0</v>
      </c>
      <c r="BP158" s="11" t="s">
        <v>82</v>
      </c>
      <c r="BQ158" s="11">
        <v>0</v>
      </c>
      <c r="BR158" s="11"/>
      <c r="BT158" s="11"/>
      <c r="BU158" s="11"/>
      <c r="CA158" s="11"/>
      <c r="CD158" s="11"/>
    </row>
    <row r="159" spans="2:82" ht="12.75" x14ac:dyDescent="0.2">
      <c r="B159" s="11">
        <v>2557201</v>
      </c>
      <c r="C159" s="11">
        <f>ROUND(DAYS360(Tableau_Lancer_la_requête_à_partir_de_AS4003[[#This Row],[Date naissance 1]],Tableau_Lancer_la_requête_à_partir_de_AS4003[[#This Row],[Date début]])/360,0)</f>
        <v>59</v>
      </c>
      <c r="D159" s="11">
        <v>0</v>
      </c>
      <c r="E159" s="11">
        <v>0</v>
      </c>
      <c r="F159" s="11">
        <v>0</v>
      </c>
      <c r="G159" s="11">
        <v>12</v>
      </c>
      <c r="H159" s="11">
        <f>ROUND(DAYS360(Tableau_Lancer_la_requête_à_partir_de_AS4003[[#This Row],[Date début]],'Cash flows par police'!$C$4)/30,0)</f>
        <v>2</v>
      </c>
      <c r="I159" s="11">
        <v>0</v>
      </c>
      <c r="J159" s="11">
        <v>0</v>
      </c>
      <c r="K159" s="11">
        <v>0</v>
      </c>
      <c r="L159" s="11">
        <v>55.1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1">
        <v>0</v>
      </c>
      <c r="S159" s="11">
        <f>SUM(Tableau_Lancer_la_requête_à_partir_de_AS4003[[#This Row],[POLPRCPL2]:[POLPRCPL9]])</f>
        <v>55.1</v>
      </c>
      <c r="T159" s="11">
        <v>99</v>
      </c>
      <c r="U159" s="11">
        <v>12</v>
      </c>
      <c r="V159" s="11">
        <v>0</v>
      </c>
      <c r="W159" s="11">
        <v>751.2</v>
      </c>
      <c r="X159" s="11">
        <v>18.7</v>
      </c>
      <c r="Y159" s="11">
        <v>0</v>
      </c>
      <c r="Z159" s="11">
        <v>1</v>
      </c>
      <c r="AA159" s="11">
        <v>0</v>
      </c>
      <c r="AB159" s="11">
        <v>0</v>
      </c>
      <c r="AC159" s="11">
        <v>0</v>
      </c>
      <c r="AD159" s="11">
        <v>0</v>
      </c>
      <c r="AE159" s="11">
        <v>0</v>
      </c>
      <c r="AF159" s="11">
        <f>IF(Tableau_Lancer_la_requête_à_partir_de_AS4003[[#This Row],[POL_SEX_ASSURE]]="M",0,1)</f>
        <v>0</v>
      </c>
      <c r="AG159" s="11" t="str">
        <f>IF(Tableau_Lancer_la_requête_à_partir_de_AS4003[[#This Row],[POL_SEX_ASSURE2]]="","",IF(Tableau_Lancer_la_requête_à_partir_de_AS4003[[#This Row],[POL_SEX_ASSURE2]]="M",0,1))</f>
        <v/>
      </c>
      <c r="AH159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59" s="11">
        <v>10000</v>
      </c>
      <c r="AJ159" s="11">
        <f>Tableau_Lancer_la_requête_à_partir_de_AS4003[[#This Row],[POL_DUREE_ASSUR]]*12</f>
        <v>1188</v>
      </c>
      <c r="AK159" s="11">
        <v>370.4</v>
      </c>
      <c r="AL159" s="11">
        <v>18.7</v>
      </c>
      <c r="AM159" s="11">
        <v>0</v>
      </c>
      <c r="AN159" s="11" t="s">
        <v>36</v>
      </c>
      <c r="AO159" s="11" t="s">
        <v>80</v>
      </c>
      <c r="AP159" s="11">
        <f>Tableau_Lancer_la_requête_à_partir_de_AS4003[[#This Row],[POL_TERM_M]]-Tableau_Lancer_la_requête_à_partir_de_AS4003[[#This Row],[Duration IF]]</f>
        <v>1186</v>
      </c>
      <c r="AQ159" s="11" t="s">
        <v>36</v>
      </c>
      <c r="AR159" s="11" t="s">
        <v>36</v>
      </c>
      <c r="AS159" s="11" t="s">
        <v>36</v>
      </c>
      <c r="AT159" s="11" t="s">
        <v>36</v>
      </c>
      <c r="AU159" s="11" t="s">
        <v>36</v>
      </c>
      <c r="AV159" s="11">
        <v>0</v>
      </c>
      <c r="AW159" s="11">
        <v>11</v>
      </c>
      <c r="AX159" s="11">
        <v>1</v>
      </c>
      <c r="AY159" s="11">
        <v>20181101</v>
      </c>
      <c r="AZ159" s="80">
        <f t="shared" si="8"/>
        <v>43405</v>
      </c>
      <c r="BA159" s="11">
        <v>19600118</v>
      </c>
      <c r="BB159" s="80">
        <f t="shared" si="9"/>
        <v>21933</v>
      </c>
      <c r="BC159" s="11">
        <v>0</v>
      </c>
      <c r="BD159" s="11" t="s">
        <v>83</v>
      </c>
      <c r="BE159" s="11">
        <v>1</v>
      </c>
      <c r="BF159" s="11" t="s">
        <v>36</v>
      </c>
      <c r="BG159" s="11">
        <v>696.1</v>
      </c>
      <c r="BH159" s="11">
        <v>528.6</v>
      </c>
      <c r="BI159" s="11">
        <v>0</v>
      </c>
      <c r="BJ159" s="11" t="s">
        <v>82</v>
      </c>
      <c r="BK159" s="11">
        <v>1</v>
      </c>
      <c r="BL159" s="11">
        <v>0</v>
      </c>
      <c r="BM159" s="11">
        <v>0</v>
      </c>
      <c r="BN159" s="11">
        <v>2557201</v>
      </c>
      <c r="BO159" s="11">
        <v>0</v>
      </c>
      <c r="BP159" s="11" t="s">
        <v>82</v>
      </c>
      <c r="BQ159" s="11">
        <v>0</v>
      </c>
      <c r="BR159" s="11"/>
      <c r="BT159" s="11"/>
      <c r="BU159" s="11"/>
      <c r="CA159" s="11"/>
      <c r="CD159" s="11"/>
    </row>
    <row r="160" spans="2:82" ht="12.75" x14ac:dyDescent="0.2">
      <c r="B160" s="11">
        <v>2561002</v>
      </c>
      <c r="C160" s="11">
        <f>ROUND(DAYS360(Tableau_Lancer_la_requête_à_partir_de_AS4003[[#This Row],[Date naissance 1]],Tableau_Lancer_la_requête_à_partir_de_AS4003[[#This Row],[Date début]])/360,0)</f>
        <v>60</v>
      </c>
      <c r="D160" s="11">
        <v>0</v>
      </c>
      <c r="E160" s="11">
        <v>0</v>
      </c>
      <c r="F160" s="11">
        <v>0</v>
      </c>
      <c r="G160" s="11">
        <v>12</v>
      </c>
      <c r="H160" s="11">
        <f>ROUND(DAYS360(Tableau_Lancer_la_requête_à_partir_de_AS4003[[#This Row],[Date début]],'Cash flows par police'!$C$4)/30,0)</f>
        <v>1</v>
      </c>
      <c r="I160" s="11">
        <v>0</v>
      </c>
      <c r="J160" s="11">
        <v>0</v>
      </c>
      <c r="K160" s="11">
        <v>0</v>
      </c>
      <c r="L160" s="11">
        <v>61.8</v>
      </c>
      <c r="M160" s="11">
        <v>0</v>
      </c>
      <c r="N160" s="11">
        <v>0</v>
      </c>
      <c r="O160" s="11">
        <v>0</v>
      </c>
      <c r="P160" s="11">
        <v>0</v>
      </c>
      <c r="Q160" s="11">
        <v>0</v>
      </c>
      <c r="R160" s="11">
        <v>0</v>
      </c>
      <c r="S160" s="11">
        <f>SUM(Tableau_Lancer_la_requête_à_partir_de_AS4003[[#This Row],[POLPRCPL2]:[POLPRCPL9]])</f>
        <v>61.8</v>
      </c>
      <c r="T160" s="11">
        <v>99</v>
      </c>
      <c r="U160" s="11">
        <v>12</v>
      </c>
      <c r="V160" s="11">
        <v>0</v>
      </c>
      <c r="W160" s="11">
        <v>864</v>
      </c>
      <c r="X160" s="11">
        <v>0</v>
      </c>
      <c r="Y160" s="11">
        <v>0</v>
      </c>
      <c r="Z160" s="11">
        <v>1</v>
      </c>
      <c r="AA160" s="11">
        <v>0</v>
      </c>
      <c r="AB160" s="11">
        <v>0</v>
      </c>
      <c r="AC160" s="11">
        <v>0</v>
      </c>
      <c r="AD160" s="11">
        <v>0</v>
      </c>
      <c r="AE160" s="11">
        <v>0</v>
      </c>
      <c r="AF160" s="11">
        <f>IF(Tableau_Lancer_la_requête_à_partir_de_AS4003[[#This Row],[POL_SEX_ASSURE]]="M",0,1)</f>
        <v>0</v>
      </c>
      <c r="AG160" s="11" t="str">
        <f>IF(Tableau_Lancer_la_requête_à_partir_de_AS4003[[#This Row],[POL_SEX_ASSURE2]]="","",IF(Tableau_Lancer_la_requête_à_partir_de_AS4003[[#This Row],[POL_SEX_ASSURE2]]="M",0,1))</f>
        <v/>
      </c>
      <c r="AH160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60" s="11">
        <v>11226.5</v>
      </c>
      <c r="AJ160" s="11">
        <f>Tableau_Lancer_la_requête_à_partir_de_AS4003[[#This Row],[POL_DUREE_ASSUR]]*12</f>
        <v>1188</v>
      </c>
      <c r="AK160" s="11">
        <v>431.8</v>
      </c>
      <c r="AL160" s="11">
        <v>0</v>
      </c>
      <c r="AM160" s="11">
        <v>0</v>
      </c>
      <c r="AN160" s="11" t="s">
        <v>36</v>
      </c>
      <c r="AO160" s="11" t="s">
        <v>80</v>
      </c>
      <c r="AP160" s="11">
        <f>Tableau_Lancer_la_requête_à_partir_de_AS4003[[#This Row],[POL_TERM_M]]-Tableau_Lancer_la_requête_à_partir_de_AS4003[[#This Row],[Duration IF]]</f>
        <v>1187</v>
      </c>
      <c r="AQ160" s="11" t="s">
        <v>36</v>
      </c>
      <c r="AR160" s="11" t="s">
        <v>36</v>
      </c>
      <c r="AS160" s="11" t="s">
        <v>36</v>
      </c>
      <c r="AT160" s="11" t="s">
        <v>36</v>
      </c>
      <c r="AU160" s="11" t="s">
        <v>36</v>
      </c>
      <c r="AV160" s="11">
        <v>0</v>
      </c>
      <c r="AW160" s="11">
        <v>11</v>
      </c>
      <c r="AX160" s="11">
        <v>1</v>
      </c>
      <c r="AY160" s="11">
        <v>20181201</v>
      </c>
      <c r="AZ160" s="80">
        <f t="shared" si="8"/>
        <v>43435</v>
      </c>
      <c r="BA160" s="11">
        <v>19590115</v>
      </c>
      <c r="BB160" s="80">
        <f t="shared" si="9"/>
        <v>21565</v>
      </c>
      <c r="BC160" s="11">
        <v>0</v>
      </c>
      <c r="BD160" s="11" t="s">
        <v>83</v>
      </c>
      <c r="BE160" s="11">
        <v>1</v>
      </c>
      <c r="BF160" s="11" t="s">
        <v>36</v>
      </c>
      <c r="BG160" s="11">
        <v>802.2</v>
      </c>
      <c r="BH160" s="11">
        <v>609.1</v>
      </c>
      <c r="BI160" s="11">
        <v>0</v>
      </c>
      <c r="BJ160" s="11" t="s">
        <v>82</v>
      </c>
      <c r="BK160" s="11">
        <v>1</v>
      </c>
      <c r="BL160" s="11">
        <v>0</v>
      </c>
      <c r="BM160" s="11">
        <v>0</v>
      </c>
      <c r="BN160" s="11">
        <v>2561002</v>
      </c>
      <c r="BO160" s="11">
        <v>0</v>
      </c>
      <c r="BP160" s="11" t="s">
        <v>82</v>
      </c>
      <c r="BQ160" s="11">
        <v>0</v>
      </c>
      <c r="BR160" s="11"/>
      <c r="BT160" s="11"/>
      <c r="BU160" s="11"/>
      <c r="CA160" s="11"/>
      <c r="CD160" s="11"/>
    </row>
    <row r="161" spans="2:82" ht="12.75" x14ac:dyDescent="0.2">
      <c r="B161" s="11">
        <v>2566801</v>
      </c>
      <c r="C161" s="11">
        <f>ROUND(DAYS360(Tableau_Lancer_la_requête_à_partir_de_AS4003[[#This Row],[Date naissance 1]],Tableau_Lancer_la_requête_à_partir_de_AS4003[[#This Row],[Date début]])/360,0)</f>
        <v>52</v>
      </c>
      <c r="D161" s="11">
        <v>0</v>
      </c>
      <c r="E161" s="11">
        <v>0</v>
      </c>
      <c r="F161" s="11">
        <v>0</v>
      </c>
      <c r="G161" s="11">
        <v>12</v>
      </c>
      <c r="H161" s="11">
        <f>ROUND(DAYS360(Tableau_Lancer_la_requête_à_partir_de_AS4003[[#This Row],[Date début]],'Cash flows par police'!$C$4)/30,0)</f>
        <v>1</v>
      </c>
      <c r="I161" s="11">
        <v>0</v>
      </c>
      <c r="J161" s="11">
        <v>0</v>
      </c>
      <c r="K161" s="11">
        <v>0</v>
      </c>
      <c r="L161" s="11">
        <v>27.5</v>
      </c>
      <c r="M161" s="11">
        <v>0</v>
      </c>
      <c r="N161" s="11">
        <v>0</v>
      </c>
      <c r="O161" s="11">
        <v>0</v>
      </c>
      <c r="P161" s="11">
        <v>0</v>
      </c>
      <c r="Q161" s="11">
        <v>0</v>
      </c>
      <c r="R161" s="11">
        <v>0</v>
      </c>
      <c r="S161" s="11">
        <f>SUM(Tableau_Lancer_la_requête_à_partir_de_AS4003[[#This Row],[POLPRCPL2]:[POLPRCPL9]])</f>
        <v>27.5</v>
      </c>
      <c r="T161" s="11">
        <v>99</v>
      </c>
      <c r="U161" s="11">
        <v>12</v>
      </c>
      <c r="V161" s="11">
        <v>0</v>
      </c>
      <c r="W161" s="11">
        <v>288</v>
      </c>
      <c r="X161" s="11">
        <v>0</v>
      </c>
      <c r="Y161" s="11">
        <v>0</v>
      </c>
      <c r="Z161" s="11">
        <v>1</v>
      </c>
      <c r="AA161" s="11">
        <v>0</v>
      </c>
      <c r="AB161" s="11">
        <v>0</v>
      </c>
      <c r="AC161" s="11">
        <v>0</v>
      </c>
      <c r="AD161" s="11">
        <v>0</v>
      </c>
      <c r="AE161" s="11">
        <v>0</v>
      </c>
      <c r="AF161" s="11">
        <f>IF(Tableau_Lancer_la_requête_à_partir_de_AS4003[[#This Row],[POL_SEX_ASSURE]]="M",0,1)</f>
        <v>0</v>
      </c>
      <c r="AG161" s="11" t="str">
        <f>IF(Tableau_Lancer_la_requête_à_partir_de_AS4003[[#This Row],[POL_SEX_ASSURE2]]="","",IF(Tableau_Lancer_la_requête_à_partir_de_AS4003[[#This Row],[POL_SEX_ASSURE2]]="M",0,1))</f>
        <v/>
      </c>
      <c r="AH161" s="11">
        <f>IF(Tableau_Lancer_la_requête_à_partir_de_AS4003[[#This Row],[POLTBMORT]]="GKM1995",1,IF(Tableau_Lancer_la_requête_à_partir_de_AS4003[[#This Row],[POLTBMORT]]="GFK1995",2,IF(Tableau_Lancer_la_requête_à_partir_de_AS4003[[#This Row],[POLTBMORT]]="EKM1995",3,IF(Tableau_Lancer_la_requête_à_partir_de_AS4003[[#This Row],[POLTBMORT]]="EKF1995",4,5))))</f>
        <v>5</v>
      </c>
      <c r="AI161" s="11">
        <v>5000</v>
      </c>
      <c r="AJ161" s="11">
        <f>Tableau_Lancer_la_requête_à_partir_de_AS4003[[#This Row],[POL_DUREE_ASSUR]]*12</f>
        <v>1188</v>
      </c>
      <c r="AK161" s="11">
        <v>147.1</v>
      </c>
      <c r="AL161" s="11">
        <v>0</v>
      </c>
      <c r="AM161" s="11">
        <v>0</v>
      </c>
      <c r="AN161" s="11" t="s">
        <v>36</v>
      </c>
      <c r="AO161" s="11" t="s">
        <v>80</v>
      </c>
      <c r="AP161" s="11">
        <f>Tableau_Lancer_la_requête_à_partir_de_AS4003[[#This Row],[POL_TERM_M]]-Tableau_Lancer_la_requête_à_partir_de_AS4003[[#This Row],[Duration IF]]</f>
        <v>1187</v>
      </c>
      <c r="AQ161" s="11" t="s">
        <v>36</v>
      </c>
      <c r="AR161" s="11" t="s">
        <v>36</v>
      </c>
      <c r="AS161" s="11" t="s">
        <v>36</v>
      </c>
      <c r="AT161" s="11" t="s">
        <v>36</v>
      </c>
      <c r="AU161" s="11" t="s">
        <v>36</v>
      </c>
      <c r="AV161" s="11">
        <v>0</v>
      </c>
      <c r="AW161" s="11">
        <v>11</v>
      </c>
      <c r="AX161" s="11">
        <v>1</v>
      </c>
      <c r="AY161" s="11">
        <v>20181201</v>
      </c>
      <c r="AZ161" s="80">
        <f t="shared" si="8"/>
        <v>43435</v>
      </c>
      <c r="BA161" s="11">
        <v>19670311</v>
      </c>
      <c r="BB161" s="80">
        <f t="shared" si="9"/>
        <v>24542</v>
      </c>
      <c r="BC161" s="11">
        <v>0</v>
      </c>
      <c r="BD161" s="11" t="s">
        <v>83</v>
      </c>
      <c r="BE161" s="11">
        <v>1</v>
      </c>
      <c r="BF161" s="11" t="s">
        <v>36</v>
      </c>
      <c r="BG161" s="11">
        <v>260.5</v>
      </c>
      <c r="BH161" s="11">
        <v>198</v>
      </c>
      <c r="BI161" s="11">
        <v>0</v>
      </c>
      <c r="BJ161" s="11" t="s">
        <v>82</v>
      </c>
      <c r="BK161" s="11">
        <v>1</v>
      </c>
      <c r="BL161" s="11">
        <v>0</v>
      </c>
      <c r="BM161" s="11">
        <v>0</v>
      </c>
      <c r="BN161" s="11">
        <v>2566801</v>
      </c>
      <c r="BO161" s="11">
        <v>0</v>
      </c>
      <c r="BP161" s="11" t="s">
        <v>82</v>
      </c>
      <c r="BQ161" s="11">
        <v>0</v>
      </c>
      <c r="BR161" s="11"/>
      <c r="BT161" s="11"/>
      <c r="BU161" s="11"/>
      <c r="CA161" s="11"/>
      <c r="CD161" s="1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FC5E2-E8CB-417E-80DD-D5E3936B6ADA}">
  <sheetPr codeName="Feuil8">
    <tabColor rgb="FFFFFF00"/>
  </sheetPr>
  <dimension ref="A1:AM58"/>
  <sheetViews>
    <sheetView showGridLines="0" topLeftCell="A22" workbookViewId="0">
      <selection activeCell="C57" sqref="C57"/>
    </sheetView>
  </sheetViews>
  <sheetFormatPr baseColWidth="10" defaultColWidth="11.42578125" defaultRowHeight="12.75" x14ac:dyDescent="0.2"/>
  <cols>
    <col min="1" max="1" width="36.140625" style="11" customWidth="1"/>
    <col min="2" max="14" width="11.42578125" style="11"/>
    <col min="15" max="15" width="19.85546875" style="11" customWidth="1"/>
    <col min="16" max="16" width="16.7109375" style="11" bestFit="1" customWidth="1"/>
    <col min="17" max="16384" width="11.42578125" style="11"/>
  </cols>
  <sheetData>
    <row r="1" spans="1:16" x14ac:dyDescent="0.2">
      <c r="A1" s="9" t="s">
        <v>99</v>
      </c>
      <c r="B1" s="10">
        <v>0.4173</v>
      </c>
      <c r="C1" s="11" t="s">
        <v>100</v>
      </c>
    </row>
    <row r="2" spans="1:16" x14ac:dyDescent="0.2">
      <c r="A2" s="12" t="s">
        <v>101</v>
      </c>
      <c r="B2" s="13">
        <v>0</v>
      </c>
    </row>
    <row r="3" spans="1:16" x14ac:dyDescent="0.2">
      <c r="A3" s="14" t="s">
        <v>102</v>
      </c>
      <c r="B3" s="15">
        <f>(1+B2)*B1</f>
        <v>0.4173</v>
      </c>
    </row>
    <row r="5" spans="1:16" ht="15.75" x14ac:dyDescent="0.25">
      <c r="A5" s="16" t="s">
        <v>103</v>
      </c>
      <c r="B5" s="17">
        <v>0</v>
      </c>
      <c r="C5" s="17">
        <v>1</v>
      </c>
      <c r="D5" s="17">
        <v>2</v>
      </c>
      <c r="E5" s="17">
        <v>3</v>
      </c>
      <c r="F5" s="17">
        <v>4</v>
      </c>
      <c r="G5" s="17">
        <v>5</v>
      </c>
      <c r="H5" s="17">
        <v>6</v>
      </c>
      <c r="I5" s="17">
        <v>7</v>
      </c>
      <c r="J5" s="17">
        <v>8</v>
      </c>
      <c r="K5" s="17">
        <v>9</v>
      </c>
      <c r="L5" s="17"/>
    </row>
    <row r="6" spans="1:16" ht="15" x14ac:dyDescent="0.25">
      <c r="A6" s="18" t="s">
        <v>104</v>
      </c>
      <c r="B6" s="19">
        <v>2.7200000000000002E-2</v>
      </c>
      <c r="C6" s="19">
        <v>9.9000000000000005E-2</v>
      </c>
      <c r="D6" s="19">
        <v>7.5499999999999998E-2</v>
      </c>
      <c r="E6" s="19">
        <v>6.3700000000000007E-2</v>
      </c>
      <c r="F6" s="19">
        <v>6.25E-2</v>
      </c>
      <c r="G6" s="19">
        <v>5.6299999999999996E-2</v>
      </c>
      <c r="H6" s="19">
        <v>6.25E-2</v>
      </c>
      <c r="I6" s="19">
        <v>4.2599999999999999E-2</v>
      </c>
      <c r="J6" s="19">
        <v>5.4800000000000001E-2</v>
      </c>
      <c r="K6" s="19">
        <v>3.7900000000000003E-2</v>
      </c>
      <c r="L6" s="19"/>
      <c r="O6" s="85" t="s">
        <v>161</v>
      </c>
      <c r="P6" s="85" t="s">
        <v>163</v>
      </c>
    </row>
    <row r="7" spans="1:16" ht="15" x14ac:dyDescent="0.25">
      <c r="A7" s="20" t="s">
        <v>101</v>
      </c>
      <c r="B7" s="21">
        <v>0</v>
      </c>
      <c r="C7" s="21">
        <v>0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J7" s="21">
        <v>0</v>
      </c>
      <c r="K7" s="21">
        <v>0</v>
      </c>
      <c r="L7" s="21"/>
      <c r="N7" s="85" t="s">
        <v>164</v>
      </c>
      <c r="O7" s="22" t="s">
        <v>165</v>
      </c>
      <c r="P7" s="22">
        <f>4*'Cash flows par police'!AI2</f>
        <v>20000</v>
      </c>
    </row>
    <row r="8" spans="1:16" ht="15" x14ac:dyDescent="0.25">
      <c r="A8" s="18" t="s">
        <v>105</v>
      </c>
      <c r="B8" s="21">
        <f>B6 *(1+B7)</f>
        <v>2.7200000000000002E-2</v>
      </c>
      <c r="C8" s="21">
        <f>C6 *(1+C7)</f>
        <v>9.9000000000000005E-2</v>
      </c>
      <c r="D8" s="21">
        <f t="shared" ref="D8:K8" si="0">D6 *(1+D7)</f>
        <v>7.5499999999999998E-2</v>
      </c>
      <c r="E8" s="21">
        <f t="shared" si="0"/>
        <v>6.3700000000000007E-2</v>
      </c>
      <c r="F8" s="21">
        <f t="shared" si="0"/>
        <v>6.25E-2</v>
      </c>
      <c r="G8" s="21">
        <f t="shared" si="0"/>
        <v>5.6299999999999996E-2</v>
      </c>
      <c r="H8" s="21">
        <f t="shared" si="0"/>
        <v>6.25E-2</v>
      </c>
      <c r="I8" s="21">
        <f t="shared" si="0"/>
        <v>4.2599999999999999E-2</v>
      </c>
      <c r="J8" s="21">
        <f t="shared" si="0"/>
        <v>5.4800000000000001E-2</v>
      </c>
      <c r="K8" s="21">
        <f t="shared" si="0"/>
        <v>3.7900000000000003E-2</v>
      </c>
      <c r="L8" s="21"/>
      <c r="N8" s="85" t="s">
        <v>162</v>
      </c>
      <c r="O8" s="22">
        <f>'Cash flows par police'!AI2</f>
        <v>5000</v>
      </c>
      <c r="P8" s="22">
        <f>4*'Cash flows par police'!AI2</f>
        <v>20000</v>
      </c>
    </row>
    <row r="10" spans="1:16" x14ac:dyDescent="0.2">
      <c r="A10" s="11" t="s">
        <v>167</v>
      </c>
      <c r="B10" s="11">
        <v>999</v>
      </c>
    </row>
    <row r="12" spans="1:16" x14ac:dyDescent="0.2">
      <c r="D12" s="23"/>
      <c r="E12" s="23"/>
      <c r="F12" s="23"/>
      <c r="G12" s="23"/>
      <c r="H12" s="23"/>
      <c r="I12" s="23"/>
      <c r="J12" s="23"/>
      <c r="K12" s="23"/>
    </row>
    <row r="13" spans="1:16" ht="17.25" customHeight="1" x14ac:dyDescent="0.25">
      <c r="A13" s="16" t="s">
        <v>106</v>
      </c>
      <c r="B13" s="17">
        <v>0</v>
      </c>
      <c r="C13" s="17">
        <v>1</v>
      </c>
      <c r="D13" s="17">
        <v>2</v>
      </c>
      <c r="E13" s="17">
        <v>3</v>
      </c>
      <c r="F13" s="17">
        <v>4</v>
      </c>
      <c r="G13" s="17">
        <v>5</v>
      </c>
      <c r="H13" s="17">
        <v>6</v>
      </c>
      <c r="I13" s="17">
        <v>7</v>
      </c>
      <c r="J13" s="17">
        <v>8</v>
      </c>
      <c r="K13" s="17">
        <v>9</v>
      </c>
      <c r="L13" s="17"/>
    </row>
    <row r="14" spans="1:16" ht="15" x14ac:dyDescent="0.25">
      <c r="A14" s="18" t="s">
        <v>107</v>
      </c>
      <c r="B14" s="19">
        <v>0</v>
      </c>
      <c r="C14" s="19">
        <v>0</v>
      </c>
      <c r="D14" s="19">
        <v>0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  <c r="L14" s="24"/>
      <c r="N14" s="11" t="s">
        <v>108</v>
      </c>
    </row>
    <row r="15" spans="1:16" ht="15" x14ac:dyDescent="0.25">
      <c r="A15" s="20" t="s">
        <v>101</v>
      </c>
      <c r="B15" s="21">
        <v>0</v>
      </c>
      <c r="C15" s="21">
        <v>0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J15" s="21">
        <v>0</v>
      </c>
      <c r="K15" s="21">
        <v>0</v>
      </c>
      <c r="L15" s="21"/>
    </row>
    <row r="16" spans="1:16" ht="15" x14ac:dyDescent="0.25">
      <c r="A16" s="18" t="s">
        <v>109</v>
      </c>
      <c r="B16" s="21">
        <f>B14 *(1+B15)</f>
        <v>0</v>
      </c>
      <c r="C16" s="21">
        <f>C14 *(1+C15)</f>
        <v>0</v>
      </c>
      <c r="D16" s="21">
        <f t="shared" ref="D16:K16" si="1">D14 *(1+D15)</f>
        <v>0</v>
      </c>
      <c r="E16" s="21">
        <f t="shared" si="1"/>
        <v>0</v>
      </c>
      <c r="F16" s="21">
        <f t="shared" si="1"/>
        <v>0</v>
      </c>
      <c r="G16" s="21">
        <f t="shared" si="1"/>
        <v>0</v>
      </c>
      <c r="H16" s="21">
        <f t="shared" si="1"/>
        <v>0</v>
      </c>
      <c r="I16" s="21">
        <f t="shared" si="1"/>
        <v>0</v>
      </c>
      <c r="J16" s="21">
        <f t="shared" si="1"/>
        <v>0</v>
      </c>
      <c r="K16" s="21">
        <f t="shared" si="1"/>
        <v>0</v>
      </c>
      <c r="L16" s="21"/>
    </row>
    <row r="18" spans="1:39" ht="18.75" x14ac:dyDescent="0.3">
      <c r="A18" s="25" t="s">
        <v>110</v>
      </c>
      <c r="B18" s="26">
        <v>0.05</v>
      </c>
    </row>
    <row r="20" spans="1:39" ht="15.75" x14ac:dyDescent="0.25">
      <c r="A20" s="16" t="s">
        <v>111</v>
      </c>
    </row>
    <row r="21" spans="1:39" ht="15" x14ac:dyDescent="0.25">
      <c r="A21" s="30">
        <v>2018</v>
      </c>
      <c r="B21" s="30">
        <v>2019</v>
      </c>
      <c r="C21" s="30">
        <v>2020</v>
      </c>
      <c r="D21" s="30">
        <v>2021</v>
      </c>
      <c r="E21" s="30">
        <v>2022</v>
      </c>
      <c r="F21" s="30">
        <v>2023</v>
      </c>
      <c r="G21" s="30">
        <v>2024</v>
      </c>
      <c r="H21" s="30">
        <v>2025</v>
      </c>
      <c r="I21" s="30">
        <v>2026</v>
      </c>
      <c r="J21" s="30">
        <v>2027</v>
      </c>
      <c r="K21" s="30">
        <v>2028</v>
      </c>
      <c r="L21" s="30">
        <v>2029</v>
      </c>
      <c r="M21" s="30">
        <v>2030</v>
      </c>
      <c r="N21" s="30">
        <v>2031</v>
      </c>
      <c r="O21" s="30">
        <v>2032</v>
      </c>
      <c r="P21" s="30">
        <v>2033</v>
      </c>
      <c r="Q21" s="30">
        <v>2034</v>
      </c>
      <c r="R21" s="30">
        <v>2035</v>
      </c>
      <c r="S21" s="30">
        <v>2036</v>
      </c>
      <c r="T21" s="30">
        <v>2037</v>
      </c>
      <c r="U21" s="30">
        <v>2038</v>
      </c>
      <c r="V21" s="30">
        <v>2039</v>
      </c>
      <c r="W21" s="30">
        <v>2040</v>
      </c>
      <c r="X21" s="30">
        <v>2041</v>
      </c>
      <c r="Y21" s="30">
        <v>2042</v>
      </c>
      <c r="Z21" s="30">
        <v>2043</v>
      </c>
      <c r="AA21" s="30">
        <v>2044</v>
      </c>
      <c r="AB21" s="30">
        <v>2045</v>
      </c>
      <c r="AC21" s="30">
        <v>2046</v>
      </c>
      <c r="AD21" s="30">
        <v>2047</v>
      </c>
      <c r="AE21" s="30">
        <v>2048</v>
      </c>
      <c r="AF21" s="30">
        <v>2049</v>
      </c>
      <c r="AG21" s="30">
        <v>2050</v>
      </c>
      <c r="AH21" s="30">
        <v>2051</v>
      </c>
      <c r="AI21" s="30">
        <v>2052</v>
      </c>
      <c r="AJ21" s="30">
        <v>2053</v>
      </c>
      <c r="AK21" s="30">
        <v>2054</v>
      </c>
      <c r="AL21" s="30"/>
    </row>
    <row r="22" spans="1:39" x14ac:dyDescent="0.2">
      <c r="A22" s="27">
        <v>1.3936999999999999</v>
      </c>
      <c r="B22" s="28">
        <v>1.4138999999999999</v>
      </c>
      <c r="C22" s="28">
        <v>1.6095999999999999</v>
      </c>
      <c r="D22" s="28">
        <v>1.5581</v>
      </c>
      <c r="E22" s="28">
        <v>1.5793999999999999</v>
      </c>
      <c r="F22" s="28">
        <v>1.6083000000000001</v>
      </c>
      <c r="G22" s="28">
        <v>1.6029</v>
      </c>
      <c r="H22" s="28">
        <v>1.5951</v>
      </c>
      <c r="I22" s="28">
        <v>1.6633</v>
      </c>
      <c r="J22" s="28">
        <v>1.7271000000000001</v>
      </c>
      <c r="K22" s="28">
        <v>1.8131999999999999</v>
      </c>
      <c r="L22" s="28">
        <v>1.7849999999999999</v>
      </c>
      <c r="M22" s="28">
        <v>1.8658999999999999</v>
      </c>
      <c r="N22" s="28">
        <v>1.8266</v>
      </c>
      <c r="O22" s="28">
        <v>1.819</v>
      </c>
      <c r="P22" s="28">
        <v>1.9679</v>
      </c>
      <c r="Q22" s="28">
        <v>1.7808999999999999</v>
      </c>
      <c r="R22" s="28">
        <v>2.0796999999999999</v>
      </c>
      <c r="S22" s="28">
        <v>2.0600999999999998</v>
      </c>
      <c r="T22" s="28">
        <v>2.0488</v>
      </c>
      <c r="U22" s="28">
        <v>2.0550999999999999</v>
      </c>
      <c r="V22" s="28">
        <v>2.2315999999999998</v>
      </c>
      <c r="W22" s="28">
        <v>2.202</v>
      </c>
      <c r="X22" s="28">
        <v>2.1831</v>
      </c>
      <c r="Y22" s="28">
        <v>2.1678000000000002</v>
      </c>
      <c r="Z22" s="28">
        <v>2.1593</v>
      </c>
      <c r="AA22" s="28">
        <v>2.2875000000000001</v>
      </c>
      <c r="AB22" s="28">
        <v>2.8624000000000001</v>
      </c>
      <c r="AC22" s="28">
        <v>2.8624000000000001</v>
      </c>
      <c r="AD22" s="28">
        <v>2.8616000000000001</v>
      </c>
      <c r="AE22" s="28">
        <v>2.8616999999999999</v>
      </c>
      <c r="AF22" s="28">
        <v>2.8616000000000001</v>
      </c>
      <c r="AG22" s="28">
        <v>2.2197</v>
      </c>
      <c r="AH22" s="28">
        <v>2.2038000000000002</v>
      </c>
      <c r="AI22" s="28">
        <v>0</v>
      </c>
      <c r="AJ22" s="28">
        <v>0</v>
      </c>
      <c r="AK22" s="28">
        <v>0</v>
      </c>
      <c r="AL22" s="29"/>
      <c r="AM22" s="11" t="s">
        <v>112</v>
      </c>
    </row>
    <row r="23" spans="1:39" x14ac:dyDescent="0.2">
      <c r="A23" s="27">
        <v>4</v>
      </c>
      <c r="B23" s="28">
        <v>4</v>
      </c>
      <c r="C23" s="28">
        <v>4</v>
      </c>
      <c r="D23" s="28">
        <v>4</v>
      </c>
      <c r="E23" s="28">
        <v>4</v>
      </c>
      <c r="F23" s="28">
        <v>4</v>
      </c>
      <c r="G23" s="28">
        <v>4</v>
      </c>
      <c r="H23" s="28">
        <v>4</v>
      </c>
      <c r="I23" s="28">
        <v>4</v>
      </c>
      <c r="J23" s="28">
        <v>4</v>
      </c>
      <c r="K23" s="28">
        <v>4</v>
      </c>
      <c r="L23" s="28">
        <v>4</v>
      </c>
      <c r="M23" s="28">
        <v>4</v>
      </c>
      <c r="N23" s="28">
        <v>4</v>
      </c>
      <c r="O23" s="28">
        <v>4</v>
      </c>
      <c r="P23" s="28">
        <v>4</v>
      </c>
      <c r="Q23" s="28">
        <v>4</v>
      </c>
      <c r="R23" s="28">
        <v>4</v>
      </c>
      <c r="S23" s="28">
        <v>4</v>
      </c>
      <c r="T23" s="28">
        <v>4</v>
      </c>
      <c r="U23" s="28">
        <v>4</v>
      </c>
      <c r="V23" s="28">
        <v>4</v>
      </c>
      <c r="W23" s="28">
        <v>4</v>
      </c>
      <c r="X23" s="28">
        <v>4</v>
      </c>
      <c r="Y23" s="28">
        <v>4</v>
      </c>
      <c r="Z23" s="28">
        <v>4</v>
      </c>
      <c r="AA23" s="28">
        <v>4</v>
      </c>
      <c r="AB23" s="28">
        <v>4</v>
      </c>
      <c r="AC23" s="28">
        <v>4</v>
      </c>
      <c r="AD23" s="28">
        <v>4</v>
      </c>
      <c r="AE23" s="28">
        <v>4</v>
      </c>
      <c r="AF23" s="28">
        <v>4</v>
      </c>
      <c r="AG23" s="28">
        <v>4</v>
      </c>
      <c r="AH23" s="28">
        <v>4</v>
      </c>
      <c r="AI23" s="28">
        <v>4</v>
      </c>
      <c r="AJ23" s="28">
        <v>4</v>
      </c>
      <c r="AK23" s="28">
        <v>4</v>
      </c>
      <c r="AL23" s="29"/>
    </row>
    <row r="24" spans="1:39" x14ac:dyDescent="0.2">
      <c r="A24" s="31">
        <v>0.79365173434374225</v>
      </c>
      <c r="B24" s="32">
        <v>0.8138838732828263</v>
      </c>
      <c r="C24" s="32">
        <v>1.0095720341551586</v>
      </c>
      <c r="D24" s="32">
        <v>0.95806845175905908</v>
      </c>
      <c r="E24" s="32">
        <v>0.97938595438140841</v>
      </c>
      <c r="F24" s="32">
        <v>1.0082747709249213</v>
      </c>
      <c r="G24" s="32">
        <v>1.0029273312383502</v>
      </c>
      <c r="H24" s="32">
        <v>0.99514679266214789</v>
      </c>
      <c r="I24" s="32">
        <v>1.0632574320806767</v>
      </c>
      <c r="J24" s="32">
        <v>1.127133402618679</v>
      </c>
      <c r="K24" s="32">
        <v>1.2132420631367502</v>
      </c>
      <c r="L24" s="32">
        <v>1.1849923636365185</v>
      </c>
      <c r="M24" s="32">
        <v>1.2659292875901822</v>
      </c>
      <c r="N24" s="32">
        <v>1.2266056482391483</v>
      </c>
      <c r="O24" s="32">
        <v>1.2189969389817303</v>
      </c>
      <c r="P24" s="32">
        <v>1.3678760881182752</v>
      </c>
      <c r="Q24" s="32">
        <v>1.1809420271944635</v>
      </c>
      <c r="R24" s="32">
        <v>1.4797024759592148</v>
      </c>
      <c r="S24" s="32">
        <v>1.4600580933424689</v>
      </c>
      <c r="T24" s="32">
        <v>1.4488099065171944</v>
      </c>
      <c r="U24" s="32">
        <v>1.4550943424725782</v>
      </c>
      <c r="V24" s="32">
        <v>1.6315678578663571</v>
      </c>
      <c r="W24" s="32">
        <v>1.6019983137964817</v>
      </c>
      <c r="X24" s="32">
        <v>1.5830912699304047</v>
      </c>
      <c r="Y24" s="32">
        <v>1.5677636459240025</v>
      </c>
      <c r="Z24" s="32">
        <v>1.559339247731979</v>
      </c>
      <c r="AA24" s="32">
        <v>1.687517146375999</v>
      </c>
      <c r="AB24" s="32">
        <v>2.2624429358071834</v>
      </c>
      <c r="AC24" s="32">
        <v>2.2623682301280588</v>
      </c>
      <c r="AD24" s="32">
        <v>2.2616439954834733</v>
      </c>
      <c r="AE24" s="32">
        <v>2.2616896655388379</v>
      </c>
      <c r="AF24" s="32">
        <v>2.2616433458503851</v>
      </c>
      <c r="AG24" s="32">
        <v>1.6196987465538073</v>
      </c>
      <c r="AH24" s="32">
        <v>1.6037966589875849</v>
      </c>
      <c r="AI24" s="32">
        <v>-0.6</v>
      </c>
      <c r="AJ24" s="32">
        <v>-0.6</v>
      </c>
      <c r="AK24" s="32">
        <v>-0.6</v>
      </c>
      <c r="AL24" s="33"/>
    </row>
    <row r="26" spans="1:39" x14ac:dyDescent="0.2">
      <c r="B26" s="11" t="s">
        <v>113</v>
      </c>
    </row>
    <row r="27" spans="1:39" ht="15" x14ac:dyDescent="0.25">
      <c r="A27" s="34" t="s">
        <v>114</v>
      </c>
      <c r="B27" s="35" t="s">
        <v>115</v>
      </c>
      <c r="C27" s="36" t="s">
        <v>116</v>
      </c>
      <c r="D27" s="36" t="s">
        <v>117</v>
      </c>
      <c r="E27" s="36" t="s">
        <v>118</v>
      </c>
      <c r="F27" s="36" t="s">
        <v>119</v>
      </c>
      <c r="G27" s="36" t="s">
        <v>120</v>
      </c>
      <c r="H27" s="36" t="s">
        <v>121</v>
      </c>
      <c r="I27" s="36" t="s">
        <v>122</v>
      </c>
      <c r="J27" s="37" t="s">
        <v>123</v>
      </c>
    </row>
    <row r="28" spans="1:39" ht="15" x14ac:dyDescent="0.25">
      <c r="A28" s="38" t="s">
        <v>124</v>
      </c>
      <c r="B28" s="39">
        <v>0</v>
      </c>
      <c r="C28" s="40">
        <v>0</v>
      </c>
      <c r="D28" s="41">
        <v>0.25</v>
      </c>
      <c r="E28" s="41">
        <v>0</v>
      </c>
      <c r="F28" s="40">
        <v>0</v>
      </c>
      <c r="G28" s="40">
        <v>0</v>
      </c>
      <c r="H28" s="41">
        <v>0</v>
      </c>
      <c r="I28" s="40">
        <v>0</v>
      </c>
      <c r="J28" s="42">
        <v>0</v>
      </c>
      <c r="O28" s="39">
        <v>0</v>
      </c>
      <c r="P28" s="40">
        <v>0</v>
      </c>
      <c r="Q28" s="97">
        <v>88</v>
      </c>
      <c r="R28" s="41">
        <v>0</v>
      </c>
      <c r="S28" s="40">
        <v>0</v>
      </c>
      <c r="T28" s="40">
        <v>0</v>
      </c>
      <c r="U28" s="41">
        <v>0</v>
      </c>
      <c r="V28" s="40">
        <v>0</v>
      </c>
      <c r="W28" s="42">
        <v>0</v>
      </c>
    </row>
    <row r="29" spans="1:39" ht="15" x14ac:dyDescent="0.25">
      <c r="A29" s="43" t="s">
        <v>125</v>
      </c>
      <c r="B29" s="44">
        <v>0</v>
      </c>
      <c r="C29" s="45">
        <v>0</v>
      </c>
      <c r="D29" s="45">
        <v>0.25</v>
      </c>
      <c r="E29" s="45">
        <v>0</v>
      </c>
      <c r="F29" s="45">
        <v>0</v>
      </c>
      <c r="G29" s="45">
        <v>0</v>
      </c>
      <c r="H29" s="45">
        <v>0</v>
      </c>
      <c r="I29" s="45">
        <v>0</v>
      </c>
      <c r="J29" s="46">
        <v>0</v>
      </c>
      <c r="K29" s="11" t="s">
        <v>126</v>
      </c>
      <c r="M29" s="11" t="s">
        <v>127</v>
      </c>
    </row>
    <row r="30" spans="1:39" ht="15" x14ac:dyDescent="0.25">
      <c r="A30" s="47" t="s">
        <v>128</v>
      </c>
      <c r="B30" s="48">
        <f>1-B29</f>
        <v>1</v>
      </c>
      <c r="C30" s="49">
        <f>1-C29</f>
        <v>1</v>
      </c>
      <c r="D30" s="49">
        <f t="shared" ref="D30:J30" si="2">1-D29</f>
        <v>0.75</v>
      </c>
      <c r="E30" s="49">
        <f t="shared" si="2"/>
        <v>1</v>
      </c>
      <c r="F30" s="49">
        <f t="shared" si="2"/>
        <v>1</v>
      </c>
      <c r="G30" s="49">
        <f t="shared" si="2"/>
        <v>1</v>
      </c>
      <c r="H30" s="49">
        <f t="shared" si="2"/>
        <v>1</v>
      </c>
      <c r="I30" s="49">
        <f t="shared" si="2"/>
        <v>1</v>
      </c>
      <c r="J30" s="50">
        <f t="shared" si="2"/>
        <v>1</v>
      </c>
      <c r="K30" s="11" t="s">
        <v>129</v>
      </c>
      <c r="Q30" s="11">
        <f>SUMPRODUCT(O28:W28,B28:J28)</f>
        <v>22</v>
      </c>
    </row>
    <row r="32" spans="1:39" ht="15" x14ac:dyDescent="0.25">
      <c r="A32" s="51" t="s">
        <v>188</v>
      </c>
      <c r="B32" s="52">
        <v>345</v>
      </c>
    </row>
    <row r="33" spans="1:38" ht="15" x14ac:dyDescent="0.25">
      <c r="A33" s="51" t="s">
        <v>130</v>
      </c>
      <c r="B33" s="52">
        <v>120</v>
      </c>
    </row>
    <row r="34" spans="1:38" ht="15" x14ac:dyDescent="0.25">
      <c r="A34" s="53" t="s">
        <v>131</v>
      </c>
      <c r="B34" s="54">
        <f>0.328733769/1200</f>
        <v>2.739448075E-4</v>
      </c>
      <c r="C34" s="11" t="s">
        <v>132</v>
      </c>
    </row>
    <row r="35" spans="1:38" ht="15" x14ac:dyDescent="0.25">
      <c r="A35" s="55" t="s">
        <v>133</v>
      </c>
      <c r="B35" s="56">
        <v>1.2500000000000001E-2</v>
      </c>
      <c r="C35" s="11">
        <v>1.25</v>
      </c>
    </row>
    <row r="36" spans="1:38" x14ac:dyDescent="0.2">
      <c r="A36" s="23"/>
      <c r="B36" s="57"/>
      <c r="C36" s="23"/>
      <c r="D36" s="23"/>
      <c r="E36" s="57"/>
      <c r="F36" s="57"/>
      <c r="G36" s="23"/>
      <c r="H36" s="57"/>
      <c r="I36" s="23"/>
    </row>
    <row r="37" spans="1:38" ht="15" x14ac:dyDescent="0.25">
      <c r="A37" s="51" t="s">
        <v>134</v>
      </c>
      <c r="B37" s="52">
        <v>1189</v>
      </c>
      <c r="C37" s="57"/>
      <c r="D37" s="57"/>
      <c r="E37" s="57"/>
      <c r="F37" s="57"/>
      <c r="G37" s="57"/>
      <c r="H37" s="57"/>
      <c r="I37" s="57"/>
    </row>
    <row r="38" spans="1:38" ht="15" x14ac:dyDescent="0.25">
      <c r="A38" s="55" t="s">
        <v>135</v>
      </c>
      <c r="B38" s="58">
        <f>COUNT(Portfolio!B:B)</f>
        <v>159</v>
      </c>
    </row>
    <row r="41" spans="1:38" x14ac:dyDescent="0.2">
      <c r="B41" s="11" t="s">
        <v>193</v>
      </c>
    </row>
    <row r="42" spans="1:38" ht="18" x14ac:dyDescent="0.25">
      <c r="A42" s="59" t="s">
        <v>136</v>
      </c>
      <c r="B42" s="11">
        <v>1</v>
      </c>
      <c r="C42" s="11">
        <v>1</v>
      </c>
      <c r="D42" s="11">
        <v>1</v>
      </c>
      <c r="E42" s="11">
        <v>1</v>
      </c>
      <c r="F42" s="11">
        <v>1</v>
      </c>
      <c r="G42" s="11">
        <v>1</v>
      </c>
      <c r="H42" s="11">
        <v>1</v>
      </c>
      <c r="I42" s="11">
        <v>1</v>
      </c>
      <c r="J42" s="11">
        <v>1</v>
      </c>
      <c r="K42" s="11">
        <v>1</v>
      </c>
      <c r="L42" s="11">
        <v>1</v>
      </c>
      <c r="M42" s="11">
        <v>1</v>
      </c>
      <c r="N42" s="11">
        <v>2</v>
      </c>
      <c r="O42" s="11">
        <v>2</v>
      </c>
      <c r="P42" s="11">
        <v>2</v>
      </c>
      <c r="Q42" s="11">
        <v>2</v>
      </c>
      <c r="R42" s="11">
        <v>2</v>
      </c>
      <c r="S42" s="11">
        <v>2</v>
      </c>
      <c r="T42" s="11">
        <v>2</v>
      </c>
      <c r="U42" s="11">
        <v>2</v>
      </c>
      <c r="V42" s="11">
        <v>2</v>
      </c>
      <c r="W42" s="11">
        <v>2</v>
      </c>
      <c r="X42" s="11">
        <v>2</v>
      </c>
      <c r="Y42" s="11">
        <v>2</v>
      </c>
      <c r="Z42" s="11">
        <v>3</v>
      </c>
      <c r="AA42" s="11">
        <v>3</v>
      </c>
      <c r="AB42" s="11">
        <v>3</v>
      </c>
      <c r="AC42" s="11">
        <v>3</v>
      </c>
      <c r="AD42" s="11">
        <v>3</v>
      </c>
      <c r="AE42" s="11">
        <v>3</v>
      </c>
      <c r="AF42" s="11">
        <v>3</v>
      </c>
      <c r="AG42" s="11">
        <v>3</v>
      </c>
      <c r="AH42" s="11">
        <v>3</v>
      </c>
      <c r="AI42" s="11">
        <v>3</v>
      </c>
      <c r="AJ42" s="11">
        <v>3</v>
      </c>
      <c r="AK42" s="11">
        <v>3</v>
      </c>
    </row>
    <row r="43" spans="1:38" s="34" customFormat="1" x14ac:dyDescent="0.2">
      <c r="A43" s="60" t="s">
        <v>137</v>
      </c>
      <c r="B43" s="61">
        <v>1</v>
      </c>
      <c r="C43" s="62">
        <v>2</v>
      </c>
      <c r="D43" s="62">
        <v>3</v>
      </c>
      <c r="E43" s="62">
        <v>4</v>
      </c>
      <c r="F43" s="62">
        <v>5</v>
      </c>
      <c r="G43" s="62">
        <v>6</v>
      </c>
      <c r="H43" s="62">
        <v>7</v>
      </c>
      <c r="I43" s="62">
        <v>8</v>
      </c>
      <c r="J43" s="62">
        <v>9</v>
      </c>
      <c r="K43" s="62">
        <v>10</v>
      </c>
      <c r="L43" s="62">
        <v>11</v>
      </c>
      <c r="M43" s="62">
        <v>12</v>
      </c>
      <c r="N43" s="62">
        <v>13</v>
      </c>
      <c r="O43" s="62">
        <v>14</v>
      </c>
      <c r="P43" s="62">
        <v>15</v>
      </c>
      <c r="Q43" s="62">
        <v>16</v>
      </c>
      <c r="R43" s="62">
        <v>17</v>
      </c>
      <c r="S43" s="62">
        <v>18</v>
      </c>
      <c r="T43" s="62">
        <v>19</v>
      </c>
      <c r="U43" s="62">
        <v>20</v>
      </c>
      <c r="V43" s="62">
        <v>21</v>
      </c>
      <c r="W43" s="62">
        <v>22</v>
      </c>
      <c r="X43" s="62">
        <v>23</v>
      </c>
      <c r="Y43" s="62">
        <v>24</v>
      </c>
      <c r="Z43" s="62">
        <v>25</v>
      </c>
      <c r="AA43" s="62">
        <v>26</v>
      </c>
      <c r="AB43" s="62">
        <v>27</v>
      </c>
      <c r="AC43" s="62">
        <v>28</v>
      </c>
      <c r="AD43" s="62">
        <v>29</v>
      </c>
      <c r="AE43" s="62">
        <v>30</v>
      </c>
      <c r="AF43" s="62">
        <v>31</v>
      </c>
      <c r="AG43" s="62">
        <v>32</v>
      </c>
      <c r="AH43" s="62">
        <v>33</v>
      </c>
      <c r="AI43" s="62">
        <v>34</v>
      </c>
      <c r="AJ43" s="62">
        <v>35</v>
      </c>
      <c r="AK43" s="62">
        <v>36</v>
      </c>
      <c r="AL43" s="63">
        <v>37</v>
      </c>
    </row>
    <row r="44" spans="1:38" s="23" customFormat="1" x14ac:dyDescent="0.2">
      <c r="A44" s="64" t="s">
        <v>195</v>
      </c>
      <c r="B44" s="109">
        <f>HLOOKUP(B42,$B$47:$D$48,2,FALSE)*$B$50</f>
        <v>0.2</v>
      </c>
      <c r="C44" s="109">
        <f t="shared" ref="C44:AK44" si="3">HLOOKUP(C42,$B$47:$D$48,2,FALSE)*$B$50</f>
        <v>0.2</v>
      </c>
      <c r="D44" s="109">
        <f t="shared" si="3"/>
        <v>0.2</v>
      </c>
      <c r="E44" s="109">
        <f t="shared" si="3"/>
        <v>0.2</v>
      </c>
      <c r="F44" s="109">
        <f t="shared" si="3"/>
        <v>0.2</v>
      </c>
      <c r="G44" s="109">
        <f t="shared" si="3"/>
        <v>0.2</v>
      </c>
      <c r="H44" s="109">
        <f t="shared" si="3"/>
        <v>0.2</v>
      </c>
      <c r="I44" s="109">
        <f t="shared" si="3"/>
        <v>0.2</v>
      </c>
      <c r="J44" s="109">
        <f t="shared" si="3"/>
        <v>0.2</v>
      </c>
      <c r="K44" s="109">
        <f t="shared" si="3"/>
        <v>0.2</v>
      </c>
      <c r="L44" s="109">
        <f t="shared" si="3"/>
        <v>0.2</v>
      </c>
      <c r="M44" s="109">
        <f t="shared" si="3"/>
        <v>0.2</v>
      </c>
      <c r="N44" s="109">
        <f t="shared" si="3"/>
        <v>0.1</v>
      </c>
      <c r="O44" s="109">
        <f t="shared" si="3"/>
        <v>0.1</v>
      </c>
      <c r="P44" s="109">
        <f t="shared" si="3"/>
        <v>0.1</v>
      </c>
      <c r="Q44" s="109">
        <f t="shared" si="3"/>
        <v>0.1</v>
      </c>
      <c r="R44" s="109">
        <f t="shared" si="3"/>
        <v>0.1</v>
      </c>
      <c r="S44" s="109">
        <f t="shared" si="3"/>
        <v>0.1</v>
      </c>
      <c r="T44" s="109">
        <f t="shared" si="3"/>
        <v>0.1</v>
      </c>
      <c r="U44" s="109">
        <f t="shared" si="3"/>
        <v>0.1</v>
      </c>
      <c r="V44" s="109">
        <f t="shared" si="3"/>
        <v>0.1</v>
      </c>
      <c r="W44" s="109">
        <f t="shared" si="3"/>
        <v>0.1</v>
      </c>
      <c r="X44" s="109">
        <f t="shared" si="3"/>
        <v>0.1</v>
      </c>
      <c r="Y44" s="109">
        <f t="shared" si="3"/>
        <v>0.1</v>
      </c>
      <c r="Z44" s="109">
        <f t="shared" si="3"/>
        <v>0.1</v>
      </c>
      <c r="AA44" s="109">
        <f t="shared" si="3"/>
        <v>0.1</v>
      </c>
      <c r="AB44" s="109">
        <f t="shared" si="3"/>
        <v>0.1</v>
      </c>
      <c r="AC44" s="109">
        <f t="shared" si="3"/>
        <v>0.1</v>
      </c>
      <c r="AD44" s="109">
        <f t="shared" si="3"/>
        <v>0.1</v>
      </c>
      <c r="AE44" s="109">
        <f t="shared" si="3"/>
        <v>0.1</v>
      </c>
      <c r="AF44" s="109">
        <f t="shared" si="3"/>
        <v>0.1</v>
      </c>
      <c r="AG44" s="109">
        <f t="shared" si="3"/>
        <v>0.1</v>
      </c>
      <c r="AH44" s="109">
        <f t="shared" si="3"/>
        <v>0.1</v>
      </c>
      <c r="AI44" s="109">
        <f t="shared" si="3"/>
        <v>0.1</v>
      </c>
      <c r="AJ44" s="109">
        <f t="shared" si="3"/>
        <v>0.1</v>
      </c>
      <c r="AK44" s="109">
        <f t="shared" si="3"/>
        <v>0.1</v>
      </c>
      <c r="AL44" s="21">
        <f>B49</f>
        <v>0</v>
      </c>
    </row>
    <row r="47" spans="1:38" x14ac:dyDescent="0.2">
      <c r="A47" s="60" t="s">
        <v>193</v>
      </c>
      <c r="B47" s="34">
        <v>1</v>
      </c>
      <c r="C47" s="34">
        <v>2</v>
      </c>
      <c r="D47" s="34">
        <v>3</v>
      </c>
    </row>
    <row r="48" spans="1:38" ht="15" x14ac:dyDescent="0.25">
      <c r="A48" s="99" t="s">
        <v>194</v>
      </c>
      <c r="B48" s="105">
        <v>0.2</v>
      </c>
      <c r="C48" s="108">
        <v>0.1</v>
      </c>
      <c r="D48" s="104">
        <v>0.1</v>
      </c>
    </row>
    <row r="49" spans="1:2" ht="15" x14ac:dyDescent="0.25">
      <c r="A49" s="101" t="s">
        <v>191</v>
      </c>
      <c r="B49" s="106">
        <v>0</v>
      </c>
    </row>
    <row r="50" spans="1:2" ht="15" x14ac:dyDescent="0.25">
      <c r="A50" s="100" t="s">
        <v>190</v>
      </c>
      <c r="B50" s="107">
        <v>1</v>
      </c>
    </row>
    <row r="57" spans="1:2" ht="15" x14ac:dyDescent="0.25">
      <c r="A57" s="51" t="s">
        <v>246</v>
      </c>
      <c r="B57" s="126">
        <v>1201</v>
      </c>
    </row>
    <row r="58" spans="1:2" ht="15" x14ac:dyDescent="0.25">
      <c r="A58" s="55" t="s">
        <v>135</v>
      </c>
      <c r="B58" s="127">
        <f>COUNT(Portfolio!B:B)-1</f>
        <v>158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ADF16-1890-407D-9D49-0E4150456951}">
  <sheetPr codeName="Feuil4"/>
  <dimension ref="A1:D128"/>
  <sheetViews>
    <sheetView topLeftCell="A37" workbookViewId="0">
      <selection activeCell="C58" sqref="C58"/>
    </sheetView>
  </sheetViews>
  <sheetFormatPr baseColWidth="10" defaultColWidth="11.42578125" defaultRowHeight="12.75" x14ac:dyDescent="0.2"/>
  <cols>
    <col min="1" max="16384" width="11.42578125" style="11"/>
  </cols>
  <sheetData>
    <row r="1" spans="1:3" x14ac:dyDescent="0.2">
      <c r="A1" s="65"/>
      <c r="B1" s="66" t="s">
        <v>169</v>
      </c>
      <c r="C1" s="67" t="s">
        <v>168</v>
      </c>
    </row>
    <row r="2" spans="1:3" x14ac:dyDescent="0.2">
      <c r="A2" s="68" t="s">
        <v>138</v>
      </c>
      <c r="B2" s="69" t="s">
        <v>139</v>
      </c>
      <c r="C2" s="70" t="s">
        <v>140</v>
      </c>
    </row>
    <row r="3" spans="1:3" x14ac:dyDescent="0.2">
      <c r="A3" s="71">
        <v>0</v>
      </c>
      <c r="B3" s="72">
        <v>6.8435897435897433E-3</v>
      </c>
      <c r="C3" s="72">
        <v>5.3487179487179482E-3</v>
      </c>
    </row>
    <row r="4" spans="1:3" x14ac:dyDescent="0.2">
      <c r="A4" s="71">
        <f>A3+1</f>
        <v>1</v>
      </c>
      <c r="B4" s="73">
        <v>5.1666666666666668E-4</v>
      </c>
      <c r="C4" s="73">
        <v>4.4884615384615384E-4</v>
      </c>
    </row>
    <row r="5" spans="1:3" x14ac:dyDescent="0.2">
      <c r="A5" s="71">
        <f t="shared" ref="A5:A68" si="0">A4+1</f>
        <v>2</v>
      </c>
      <c r="B5" s="73">
        <v>4.7474358974358976E-4</v>
      </c>
      <c r="C5" s="73">
        <v>4.0205128205128202E-4</v>
      </c>
    </row>
    <row r="6" spans="1:3" x14ac:dyDescent="0.2">
      <c r="A6" s="71">
        <f t="shared" si="0"/>
        <v>3</v>
      </c>
      <c r="B6" s="73">
        <v>4.405128205128205E-4</v>
      </c>
      <c r="C6" s="73">
        <v>3.6666666666666662E-4</v>
      </c>
    </row>
    <row r="7" spans="1:3" x14ac:dyDescent="0.2">
      <c r="A7" s="71">
        <f t="shared" si="0"/>
        <v>4</v>
      </c>
      <c r="B7" s="73">
        <v>4.1461538461538459E-4</v>
      </c>
      <c r="C7" s="73">
        <v>3.4205128205128202E-4</v>
      </c>
    </row>
    <row r="8" spans="1:3" x14ac:dyDescent="0.2">
      <c r="A8" s="71">
        <f t="shared" si="0"/>
        <v>5</v>
      </c>
      <c r="B8" s="73">
        <v>3.9833333333333328E-4</v>
      </c>
      <c r="C8" s="73">
        <v>3.2717948717948711E-4</v>
      </c>
    </row>
    <row r="9" spans="1:3" x14ac:dyDescent="0.2">
      <c r="A9" s="71">
        <f t="shared" si="0"/>
        <v>6</v>
      </c>
      <c r="B9" s="73">
        <v>3.9333333333333337E-4</v>
      </c>
      <c r="C9" s="73">
        <v>3.207692307692307E-4</v>
      </c>
    </row>
    <row r="10" spans="1:3" x14ac:dyDescent="0.2">
      <c r="A10" s="71">
        <f t="shared" si="0"/>
        <v>7</v>
      </c>
      <c r="B10" s="73">
        <v>4.0153846153846148E-4</v>
      </c>
      <c r="C10" s="73">
        <v>3.221794871794872E-4</v>
      </c>
    </row>
    <row r="11" spans="1:3" x14ac:dyDescent="0.2">
      <c r="A11" s="71">
        <f t="shared" si="0"/>
        <v>8</v>
      </c>
      <c r="B11" s="73">
        <v>4.2500000000000003E-4</v>
      </c>
      <c r="C11" s="73">
        <v>3.3038461538461536E-4</v>
      </c>
    </row>
    <row r="12" spans="1:3" x14ac:dyDescent="0.2">
      <c r="A12" s="71">
        <f t="shared" si="0"/>
        <v>9</v>
      </c>
      <c r="B12" s="73">
        <v>4.6525641025641022E-4</v>
      </c>
      <c r="C12" s="73">
        <v>3.4487179487179492E-4</v>
      </c>
    </row>
    <row r="13" spans="1:3" x14ac:dyDescent="0.2">
      <c r="A13" s="71">
        <f t="shared" si="0"/>
        <v>10</v>
      </c>
      <c r="B13" s="73">
        <v>5.2294871794871791E-4</v>
      </c>
      <c r="C13" s="73">
        <v>3.6461538461538456E-4</v>
      </c>
    </row>
    <row r="14" spans="1:3" x14ac:dyDescent="0.2">
      <c r="A14" s="71">
        <f t="shared" si="0"/>
        <v>11</v>
      </c>
      <c r="B14" s="73">
        <v>5.9679487179487185E-4</v>
      </c>
      <c r="C14" s="73">
        <v>3.8910256410256409E-4</v>
      </c>
    </row>
    <row r="15" spans="1:3" x14ac:dyDescent="0.2">
      <c r="A15" s="71">
        <f t="shared" si="0"/>
        <v>12</v>
      </c>
      <c r="B15" s="73">
        <v>6.8397435897435898E-4</v>
      </c>
      <c r="C15" s="73">
        <v>4.1769230769230767E-4</v>
      </c>
    </row>
    <row r="16" spans="1:3" x14ac:dyDescent="0.2">
      <c r="A16" s="71">
        <f t="shared" si="0"/>
        <v>13</v>
      </c>
      <c r="B16" s="73">
        <v>7.8025641025641034E-4</v>
      </c>
      <c r="C16" s="73">
        <v>4.4910256410256408E-4</v>
      </c>
    </row>
    <row r="17" spans="1:3" x14ac:dyDescent="0.2">
      <c r="A17" s="71">
        <f t="shared" si="0"/>
        <v>14</v>
      </c>
      <c r="B17" s="73">
        <v>8.7935897435897426E-4</v>
      </c>
      <c r="C17" s="73">
        <v>4.8064102564102562E-4</v>
      </c>
    </row>
    <row r="18" spans="1:3" x14ac:dyDescent="0.2">
      <c r="A18" s="71">
        <f t="shared" si="0"/>
        <v>15</v>
      </c>
      <c r="B18" s="73">
        <v>9.7397435897435909E-4</v>
      </c>
      <c r="C18" s="73">
        <v>5.0935897435897437E-4</v>
      </c>
    </row>
    <row r="19" spans="1:3" x14ac:dyDescent="0.2">
      <c r="A19" s="71">
        <f t="shared" si="0"/>
        <v>16</v>
      </c>
      <c r="B19" s="73">
        <v>1.0564102564102563E-3</v>
      </c>
      <c r="C19" s="73">
        <v>5.3230769230769228E-4</v>
      </c>
    </row>
    <row r="20" spans="1:3" x14ac:dyDescent="0.2">
      <c r="A20" s="71">
        <f t="shared" si="0"/>
        <v>17</v>
      </c>
      <c r="B20" s="73">
        <v>1.1189743589743589E-3</v>
      </c>
      <c r="C20" s="73">
        <v>5.469230769230769E-4</v>
      </c>
    </row>
    <row r="21" spans="1:3" x14ac:dyDescent="0.2">
      <c r="A21" s="71">
        <f t="shared" si="0"/>
        <v>18</v>
      </c>
      <c r="B21" s="73">
        <v>1.1553846153846154E-3</v>
      </c>
      <c r="C21" s="73">
        <v>5.5076923076923076E-4</v>
      </c>
    </row>
    <row r="22" spans="1:3" x14ac:dyDescent="0.2">
      <c r="A22" s="71">
        <f t="shared" si="0"/>
        <v>19</v>
      </c>
      <c r="B22" s="73">
        <v>1.1614102564102564E-3</v>
      </c>
      <c r="C22" s="73">
        <v>5.4269230769230761E-4</v>
      </c>
    </row>
    <row r="23" spans="1:3" x14ac:dyDescent="0.2">
      <c r="A23" s="71">
        <f t="shared" si="0"/>
        <v>20</v>
      </c>
      <c r="B23" s="73">
        <v>1.1364102564102563E-3</v>
      </c>
      <c r="C23" s="73">
        <v>5.2243589743589743E-4</v>
      </c>
    </row>
    <row r="24" spans="1:3" x14ac:dyDescent="0.2">
      <c r="A24" s="71">
        <f t="shared" si="0"/>
        <v>21</v>
      </c>
      <c r="B24" s="73">
        <v>1.0839743589743588E-3</v>
      </c>
      <c r="C24" s="73">
        <v>4.9115384615384613E-4</v>
      </c>
    </row>
    <row r="25" spans="1:3" x14ac:dyDescent="0.2">
      <c r="A25" s="71">
        <f t="shared" si="0"/>
        <v>22</v>
      </c>
      <c r="B25" s="73">
        <v>1.0114102564102564E-3</v>
      </c>
      <c r="C25" s="73">
        <v>4.5128205128205126E-4</v>
      </c>
    </row>
    <row r="26" spans="1:3" x14ac:dyDescent="0.2">
      <c r="A26" s="71">
        <f t="shared" si="0"/>
        <v>23</v>
      </c>
      <c r="B26" s="73">
        <v>9.2833333333333331E-4</v>
      </c>
      <c r="C26" s="73">
        <v>4.0641025641025642E-4</v>
      </c>
    </row>
    <row r="27" spans="1:3" x14ac:dyDescent="0.2">
      <c r="A27" s="71">
        <f t="shared" si="0"/>
        <v>24</v>
      </c>
      <c r="B27" s="73">
        <v>8.4435897435897428E-4</v>
      </c>
      <c r="C27" s="73">
        <v>3.6076923076923075E-4</v>
      </c>
    </row>
    <row r="28" spans="1:3" x14ac:dyDescent="0.2">
      <c r="A28" s="71">
        <f t="shared" si="0"/>
        <v>25</v>
      </c>
      <c r="B28" s="73">
        <v>7.6730769230769235E-4</v>
      </c>
      <c r="C28" s="73">
        <v>3.1884615384615388E-4</v>
      </c>
    </row>
    <row r="29" spans="1:3" x14ac:dyDescent="0.2">
      <c r="A29" s="71">
        <f t="shared" si="0"/>
        <v>26</v>
      </c>
      <c r="B29" s="73">
        <v>7.0230769230769229E-4</v>
      </c>
      <c r="C29" s="73">
        <v>2.835897435897436E-4</v>
      </c>
    </row>
    <row r="30" spans="1:3" x14ac:dyDescent="0.2">
      <c r="A30" s="71">
        <f t="shared" si="0"/>
        <v>27</v>
      </c>
      <c r="B30" s="73">
        <v>6.5179487179487178E-4</v>
      </c>
      <c r="C30" s="73">
        <v>2.569230769230769E-4</v>
      </c>
    </row>
    <row r="31" spans="1:3" x14ac:dyDescent="0.2">
      <c r="A31" s="71">
        <f t="shared" si="0"/>
        <v>28</v>
      </c>
      <c r="B31" s="73">
        <v>6.1653846153846145E-4</v>
      </c>
      <c r="C31" s="73">
        <v>2.4051282051282047E-4</v>
      </c>
    </row>
    <row r="32" spans="1:3" x14ac:dyDescent="0.2">
      <c r="A32" s="71">
        <f t="shared" si="0"/>
        <v>29</v>
      </c>
      <c r="B32" s="73">
        <v>5.956410256410256E-4</v>
      </c>
      <c r="C32" s="73">
        <v>2.3512820512820514E-4</v>
      </c>
    </row>
    <row r="33" spans="1:3" x14ac:dyDescent="0.2">
      <c r="A33" s="71">
        <f t="shared" si="0"/>
        <v>30</v>
      </c>
      <c r="B33" s="73">
        <v>5.8756410256410256E-4</v>
      </c>
      <c r="C33" s="73">
        <v>2.4051282051282047E-4</v>
      </c>
    </row>
    <row r="34" spans="1:3" x14ac:dyDescent="0.2">
      <c r="A34" s="71">
        <f t="shared" si="0"/>
        <v>31</v>
      </c>
      <c r="B34" s="73">
        <v>5.9153846153846149E-4</v>
      </c>
      <c r="C34" s="73">
        <v>2.5525641025641021E-4</v>
      </c>
    </row>
    <row r="35" spans="1:3" x14ac:dyDescent="0.2">
      <c r="A35" s="71">
        <f t="shared" si="0"/>
        <v>32</v>
      </c>
      <c r="B35" s="73">
        <v>6.0782051282051285E-4</v>
      </c>
      <c r="C35" s="73">
        <v>2.7717948717948719E-4</v>
      </c>
    </row>
    <row r="36" spans="1:3" x14ac:dyDescent="0.2">
      <c r="A36" s="71">
        <f t="shared" si="0"/>
        <v>33</v>
      </c>
      <c r="B36" s="73">
        <v>6.3756410256410258E-4</v>
      </c>
      <c r="C36" s="73">
        <v>3.0346153846153847E-4</v>
      </c>
    </row>
    <row r="37" spans="1:3" x14ac:dyDescent="0.2">
      <c r="A37" s="71">
        <f t="shared" si="0"/>
        <v>34</v>
      </c>
      <c r="B37" s="73">
        <v>6.8128205128205126E-4</v>
      </c>
      <c r="C37" s="73">
        <v>3.3269230769230771E-4</v>
      </c>
    </row>
    <row r="38" spans="1:3" x14ac:dyDescent="0.2">
      <c r="A38" s="71">
        <f t="shared" si="0"/>
        <v>35</v>
      </c>
      <c r="B38" s="73">
        <v>7.3730769230769216E-4</v>
      </c>
      <c r="C38" s="73">
        <v>3.6615384615384613E-4</v>
      </c>
    </row>
    <row r="39" spans="1:3" x14ac:dyDescent="0.2">
      <c r="A39" s="71">
        <f t="shared" si="0"/>
        <v>36</v>
      </c>
      <c r="B39" s="73">
        <v>8.0192307692307681E-4</v>
      </c>
      <c r="C39" s="73">
        <v>4.0743589743589745E-4</v>
      </c>
    </row>
    <row r="40" spans="1:3" x14ac:dyDescent="0.2">
      <c r="A40" s="71">
        <f t="shared" si="0"/>
        <v>37</v>
      </c>
      <c r="B40" s="73">
        <v>8.714102564102564E-4</v>
      </c>
      <c r="C40" s="73">
        <v>4.6179487179487182E-4</v>
      </c>
    </row>
    <row r="41" spans="1:3" x14ac:dyDescent="0.2">
      <c r="A41" s="71">
        <f t="shared" si="0"/>
        <v>38</v>
      </c>
      <c r="B41" s="73">
        <v>9.4371794871794866E-4</v>
      </c>
      <c r="C41" s="73">
        <v>5.3269230769230759E-4</v>
      </c>
    </row>
    <row r="42" spans="1:3" x14ac:dyDescent="0.2">
      <c r="A42" s="71">
        <f t="shared" si="0"/>
        <v>39</v>
      </c>
      <c r="B42" s="73">
        <v>1.0202564102564102E-3</v>
      </c>
      <c r="C42" s="73">
        <v>6.1910256410256409E-4</v>
      </c>
    </row>
    <row r="43" spans="1:3" x14ac:dyDescent="0.2">
      <c r="A43" s="71">
        <f t="shared" si="0"/>
        <v>40</v>
      </c>
      <c r="B43" s="73">
        <v>1.1048717948717948E-3</v>
      </c>
      <c r="C43" s="73">
        <v>7.1666666666666667E-4</v>
      </c>
    </row>
    <row r="44" spans="1:3" x14ac:dyDescent="0.2">
      <c r="A44" s="71">
        <f t="shared" si="0"/>
        <v>41</v>
      </c>
      <c r="B44" s="73">
        <v>1.202948717948718E-3</v>
      </c>
      <c r="C44" s="73">
        <v>8.1961538461538456E-4</v>
      </c>
    </row>
    <row r="45" spans="1:3" x14ac:dyDescent="0.2">
      <c r="A45" s="71">
        <f t="shared" si="0"/>
        <v>42</v>
      </c>
      <c r="B45" s="73">
        <v>1.319358974358974E-3</v>
      </c>
      <c r="C45" s="73">
        <v>9.2346153846153847E-4</v>
      </c>
    </row>
    <row r="46" spans="1:3" x14ac:dyDescent="0.2">
      <c r="A46" s="71">
        <f t="shared" si="0"/>
        <v>43</v>
      </c>
      <c r="B46" s="73">
        <v>1.4564102564102561E-3</v>
      </c>
      <c r="C46" s="73">
        <v>1.0264102564102563E-3</v>
      </c>
    </row>
    <row r="47" spans="1:3" x14ac:dyDescent="0.2">
      <c r="A47" s="71">
        <f t="shared" si="0"/>
        <v>44</v>
      </c>
      <c r="B47" s="73">
        <v>1.6134615384615382E-3</v>
      </c>
      <c r="C47" s="73">
        <v>1.1288461538461539E-3</v>
      </c>
    </row>
    <row r="48" spans="1:3" x14ac:dyDescent="0.2">
      <c r="A48" s="71">
        <f t="shared" si="0"/>
        <v>45</v>
      </c>
      <c r="B48" s="73">
        <v>1.7883333333333334E-3</v>
      </c>
      <c r="C48" s="73">
        <v>1.2329487179487178E-3</v>
      </c>
    </row>
    <row r="49" spans="1:4" x14ac:dyDescent="0.2">
      <c r="A49" s="71">
        <f t="shared" si="0"/>
        <v>46</v>
      </c>
      <c r="B49" s="73">
        <v>1.98E-3</v>
      </c>
      <c r="C49" s="73">
        <v>1.3406410256410258E-3</v>
      </c>
    </row>
    <row r="50" spans="1:4" x14ac:dyDescent="0.2">
      <c r="A50" s="71">
        <f t="shared" si="0"/>
        <v>47</v>
      </c>
      <c r="B50" s="73">
        <v>2.1921794871794871E-3</v>
      </c>
      <c r="C50" s="73">
        <v>1.4558974358974356E-3</v>
      </c>
    </row>
    <row r="51" spans="1:4" x14ac:dyDescent="0.2">
      <c r="A51" s="71">
        <f t="shared" si="0"/>
        <v>48</v>
      </c>
      <c r="B51" s="73">
        <v>2.4308974358974358E-3</v>
      </c>
      <c r="C51" s="73">
        <v>1.5841025641025641E-3</v>
      </c>
    </row>
    <row r="52" spans="1:4" x14ac:dyDescent="0.2">
      <c r="A52" s="71">
        <f t="shared" si="0"/>
        <v>49</v>
      </c>
      <c r="B52" s="73">
        <v>2.7024358974358973E-3</v>
      </c>
      <c r="C52" s="73">
        <v>1.7314102564102566E-3</v>
      </c>
    </row>
    <row r="53" spans="1:4" x14ac:dyDescent="0.2">
      <c r="A53" s="71">
        <f t="shared" si="0"/>
        <v>50</v>
      </c>
      <c r="B53" s="73">
        <v>3.008589743589743E-3</v>
      </c>
      <c r="C53" s="73">
        <v>1.9041025641025641E-3</v>
      </c>
    </row>
    <row r="54" spans="1:4" x14ac:dyDescent="0.2">
      <c r="A54" s="71">
        <f t="shared" si="0"/>
        <v>51</v>
      </c>
      <c r="B54" s="73">
        <v>3.3453846153846151E-3</v>
      </c>
      <c r="C54" s="73">
        <v>2.1078205128205124E-3</v>
      </c>
    </row>
    <row r="55" spans="1:4" x14ac:dyDescent="0.2">
      <c r="A55" s="71">
        <f t="shared" si="0"/>
        <v>52</v>
      </c>
      <c r="B55" s="73">
        <v>3.7060256410256409E-3</v>
      </c>
      <c r="C55" s="73">
        <v>2.3458974358974362E-3</v>
      </c>
    </row>
    <row r="56" spans="1:4" x14ac:dyDescent="0.2">
      <c r="A56" s="71">
        <f t="shared" si="0"/>
        <v>53</v>
      </c>
      <c r="B56" s="73">
        <v>4.0861538461538461E-3</v>
      </c>
      <c r="C56" s="73">
        <v>2.6170512820512821E-3</v>
      </c>
    </row>
    <row r="57" spans="1:4" x14ac:dyDescent="0.2">
      <c r="A57" s="71">
        <f t="shared" si="0"/>
        <v>54</v>
      </c>
      <c r="B57" s="73">
        <v>4.4902564102564102E-3</v>
      </c>
      <c r="C57" s="73">
        <v>2.9155128205128203E-3</v>
      </c>
    </row>
    <row r="58" spans="1:4" x14ac:dyDescent="0.2">
      <c r="A58" s="71">
        <f t="shared" si="0"/>
        <v>55</v>
      </c>
      <c r="B58" s="73">
        <v>4.930128205128205E-3</v>
      </c>
      <c r="C58" s="73">
        <v>3.235E-3</v>
      </c>
      <c r="D58" s="11">
        <f>B58*0.4173</f>
        <v>2.0573424999999999E-3</v>
      </c>
    </row>
    <row r="59" spans="1:4" x14ac:dyDescent="0.2">
      <c r="A59" s="71">
        <f t="shared" si="0"/>
        <v>56</v>
      </c>
      <c r="B59" s="73">
        <v>5.4173076923076926E-3</v>
      </c>
      <c r="C59" s="73">
        <v>3.5684615384615377E-3</v>
      </c>
    </row>
    <row r="60" spans="1:4" x14ac:dyDescent="0.2">
      <c r="A60" s="71">
        <f t="shared" si="0"/>
        <v>57</v>
      </c>
      <c r="B60" s="73">
        <v>5.9537179487179487E-3</v>
      </c>
      <c r="C60" s="73">
        <v>3.9073076923076926E-3</v>
      </c>
    </row>
    <row r="61" spans="1:4" x14ac:dyDescent="0.2">
      <c r="A61" s="71">
        <f t="shared" si="0"/>
        <v>58</v>
      </c>
      <c r="B61" s="73">
        <v>6.5284615384615377E-3</v>
      </c>
      <c r="C61" s="73">
        <v>4.2407692307692311E-3</v>
      </c>
    </row>
    <row r="62" spans="1:4" x14ac:dyDescent="0.2">
      <c r="A62" s="71">
        <f t="shared" si="0"/>
        <v>59</v>
      </c>
      <c r="B62" s="73">
        <v>7.1228205128205119E-3</v>
      </c>
      <c r="C62" s="73">
        <v>4.5591025641025639E-3</v>
      </c>
    </row>
    <row r="63" spans="1:4" x14ac:dyDescent="0.2">
      <c r="A63" s="71">
        <f t="shared" si="0"/>
        <v>60</v>
      </c>
      <c r="B63" s="73">
        <v>7.7161538461538457E-3</v>
      </c>
      <c r="C63" s="73">
        <v>4.857307692307692E-3</v>
      </c>
    </row>
    <row r="64" spans="1:4" x14ac:dyDescent="0.2">
      <c r="A64" s="71">
        <f t="shared" si="0"/>
        <v>61</v>
      </c>
      <c r="B64" s="73">
        <v>8.2965384615384611E-3</v>
      </c>
      <c r="C64" s="73">
        <v>5.1396153846153831E-3</v>
      </c>
    </row>
    <row r="65" spans="1:3" x14ac:dyDescent="0.2">
      <c r="A65" s="71">
        <f t="shared" si="0"/>
        <v>62</v>
      </c>
      <c r="B65" s="73">
        <v>8.8687179487179496E-3</v>
      </c>
      <c r="C65" s="73">
        <v>5.4211538461538464E-3</v>
      </c>
    </row>
    <row r="66" spans="1:3" x14ac:dyDescent="0.2">
      <c r="A66" s="71">
        <f t="shared" si="0"/>
        <v>63</v>
      </c>
      <c r="B66" s="73">
        <v>9.4552564102564091E-3</v>
      </c>
      <c r="C66" s="73">
        <v>5.722692307692308E-3</v>
      </c>
    </row>
    <row r="67" spans="1:3" x14ac:dyDescent="0.2">
      <c r="A67" s="71">
        <f t="shared" si="0"/>
        <v>64</v>
      </c>
      <c r="B67" s="73">
        <v>9.9767948717948713E-3</v>
      </c>
      <c r="C67" s="73">
        <v>6.064102564102565E-3</v>
      </c>
    </row>
    <row r="68" spans="1:3" x14ac:dyDescent="0.2">
      <c r="A68" s="71">
        <f t="shared" si="0"/>
        <v>65</v>
      </c>
      <c r="B68" s="73">
        <v>1.0828205128205128E-2</v>
      </c>
      <c r="C68" s="73">
        <v>6.4612820512820503E-3</v>
      </c>
    </row>
    <row r="69" spans="1:3" x14ac:dyDescent="0.2">
      <c r="A69" s="71">
        <f t="shared" ref="A69:A128" si="1">A68+1</f>
        <v>66</v>
      </c>
      <c r="B69" s="73">
        <v>1.0438461538461539E-2</v>
      </c>
      <c r="C69" s="73">
        <v>6.9271794871794872E-3</v>
      </c>
    </row>
    <row r="70" spans="1:3" x14ac:dyDescent="0.2">
      <c r="A70" s="71">
        <f t="shared" si="1"/>
        <v>67</v>
      </c>
      <c r="B70" s="73">
        <v>1.282653846153846E-2</v>
      </c>
      <c r="C70" s="73">
        <v>7.4728205128205133E-3</v>
      </c>
    </row>
    <row r="71" spans="1:3" x14ac:dyDescent="0.2">
      <c r="A71" s="71">
        <f t="shared" si="1"/>
        <v>68</v>
      </c>
      <c r="B71" s="73">
        <v>1.4196794871794871E-2</v>
      </c>
      <c r="C71" s="73">
        <v>8.1107692307692304E-3</v>
      </c>
    </row>
    <row r="72" spans="1:3" x14ac:dyDescent="0.2">
      <c r="A72" s="71">
        <f t="shared" si="1"/>
        <v>69</v>
      </c>
      <c r="B72" s="73">
        <v>1.5872051282051283E-2</v>
      </c>
      <c r="C72" s="73">
        <v>8.8575641025641014E-3</v>
      </c>
    </row>
    <row r="73" spans="1:3" x14ac:dyDescent="0.2">
      <c r="A73" s="71">
        <f t="shared" si="1"/>
        <v>70</v>
      </c>
      <c r="B73" s="73">
        <v>1.7882435897435899E-2</v>
      </c>
      <c r="C73" s="73">
        <v>9.7365384615384614E-3</v>
      </c>
    </row>
    <row r="74" spans="1:3" x14ac:dyDescent="0.2">
      <c r="A74" s="71">
        <f t="shared" si="1"/>
        <v>71</v>
      </c>
      <c r="B74" s="73">
        <v>2.0249230769230769E-2</v>
      </c>
      <c r="C74" s="73">
        <v>1.0782692307692309E-2</v>
      </c>
    </row>
    <row r="75" spans="1:3" x14ac:dyDescent="0.2">
      <c r="A75" s="71">
        <f t="shared" si="1"/>
        <v>72</v>
      </c>
      <c r="B75" s="73">
        <v>2.2985641025641022E-2</v>
      </c>
      <c r="C75" s="73">
        <v>1.2043461538461538E-2</v>
      </c>
    </row>
    <row r="76" spans="1:3" x14ac:dyDescent="0.2">
      <c r="A76" s="71">
        <f t="shared" si="1"/>
        <v>73</v>
      </c>
      <c r="B76" s="73">
        <v>2.6098461538461539E-2</v>
      </c>
      <c r="C76" s="73">
        <v>1.3577435897435899E-2</v>
      </c>
    </row>
    <row r="77" spans="1:3" x14ac:dyDescent="0.2">
      <c r="A77" s="71">
        <f t="shared" si="1"/>
        <v>74</v>
      </c>
      <c r="B77" s="73">
        <v>2.9589358974358972E-2</v>
      </c>
      <c r="C77" s="73">
        <v>1.5451410256410255E-2</v>
      </c>
    </row>
    <row r="78" spans="1:3" x14ac:dyDescent="0.2">
      <c r="A78" s="71">
        <f t="shared" si="1"/>
        <v>75</v>
      </c>
      <c r="B78" s="73">
        <v>3.3457692307692306E-2</v>
      </c>
      <c r="C78" s="73">
        <v>1.7738589743589744E-2</v>
      </c>
    </row>
    <row r="79" spans="1:3" x14ac:dyDescent="0.2">
      <c r="A79" s="71">
        <f t="shared" si="1"/>
        <v>76</v>
      </c>
      <c r="B79" s="73">
        <v>3.7702692307692305E-2</v>
      </c>
      <c r="C79" s="73">
        <v>2.051576923076923E-2</v>
      </c>
    </row>
    <row r="80" spans="1:3" x14ac:dyDescent="0.2">
      <c r="A80" s="71">
        <f t="shared" si="1"/>
        <v>77</v>
      </c>
      <c r="B80" s="73">
        <v>4.232358974358974E-2</v>
      </c>
      <c r="C80" s="73">
        <v>2.3860769230769231E-2</v>
      </c>
    </row>
    <row r="81" spans="1:3" x14ac:dyDescent="0.2">
      <c r="A81" s="71">
        <f t="shared" si="1"/>
        <v>78</v>
      </c>
      <c r="B81" s="73">
        <v>4.7321282051282054E-2</v>
      </c>
      <c r="C81" s="73">
        <v>2.7848846153846155E-2</v>
      </c>
    </row>
    <row r="82" spans="1:3" x14ac:dyDescent="0.2">
      <c r="A82" s="71">
        <f t="shared" si="1"/>
        <v>79</v>
      </c>
      <c r="B82" s="73">
        <v>5.2700769230769232E-2</v>
      </c>
      <c r="C82" s="73">
        <v>3.2549871794871794E-2</v>
      </c>
    </row>
    <row r="83" spans="1:3" x14ac:dyDescent="0.2">
      <c r="A83" s="71">
        <f t="shared" si="1"/>
        <v>80</v>
      </c>
      <c r="B83" s="73">
        <v>5.8474871794871784E-2</v>
      </c>
      <c r="C83" s="73">
        <v>3.8025897435897439E-2</v>
      </c>
    </row>
    <row r="84" spans="1:3" x14ac:dyDescent="0.2">
      <c r="A84" s="71">
        <f t="shared" si="1"/>
        <v>81</v>
      </c>
      <c r="B84" s="73">
        <v>6.4666666666666664E-2</v>
      </c>
      <c r="C84" s="73">
        <v>4.4332564102564094E-2</v>
      </c>
    </row>
    <row r="85" spans="1:3" x14ac:dyDescent="0.2">
      <c r="A85" s="71">
        <f t="shared" si="1"/>
        <v>82</v>
      </c>
      <c r="B85" s="73">
        <v>7.1312564102564105E-2</v>
      </c>
      <c r="C85" s="73">
        <v>5.1520000000000003E-2</v>
      </c>
    </row>
    <row r="86" spans="1:3" x14ac:dyDescent="0.2">
      <c r="A86" s="71">
        <f t="shared" si="1"/>
        <v>83</v>
      </c>
      <c r="B86" s="73">
        <v>7.8464102564102564E-2</v>
      </c>
      <c r="C86" s="73">
        <v>5.9635000000000001E-2</v>
      </c>
    </row>
    <row r="87" spans="1:3" x14ac:dyDescent="0.2">
      <c r="A87" s="71">
        <f t="shared" si="1"/>
        <v>84</v>
      </c>
      <c r="B87" s="73">
        <v>8.6189102564102574E-2</v>
      </c>
      <c r="C87" s="73">
        <v>6.8722051282051277E-2</v>
      </c>
    </row>
    <row r="88" spans="1:3" x14ac:dyDescent="0.2">
      <c r="A88" s="71">
        <f t="shared" si="1"/>
        <v>85</v>
      </c>
      <c r="B88" s="73">
        <v>9.4572307692307706E-2</v>
      </c>
      <c r="C88" s="73">
        <v>7.8826410256410254E-2</v>
      </c>
    </row>
    <row r="89" spans="1:3" x14ac:dyDescent="0.2">
      <c r="A89" s="71">
        <f t="shared" si="1"/>
        <v>86</v>
      </c>
      <c r="B89" s="73">
        <v>0.10371474358974359</v>
      </c>
      <c r="C89" s="73">
        <v>8.9996410256410253E-2</v>
      </c>
    </row>
    <row r="90" spans="1:3" x14ac:dyDescent="0.2">
      <c r="A90" s="71">
        <f t="shared" si="1"/>
        <v>87</v>
      </c>
      <c r="B90" s="73">
        <v>0.11373346153846153</v>
      </c>
      <c r="C90" s="73">
        <v>0.10228551282051283</v>
      </c>
    </row>
    <row r="91" spans="1:3" x14ac:dyDescent="0.2">
      <c r="A91" s="71">
        <f t="shared" si="1"/>
        <v>88</v>
      </c>
      <c r="B91" s="73">
        <v>0.12475974358974358</v>
      </c>
      <c r="C91" s="73">
        <v>0.11575102564102564</v>
      </c>
    </row>
    <row r="92" spans="1:3" x14ac:dyDescent="0.2">
      <c r="A92" s="71">
        <f t="shared" si="1"/>
        <v>89</v>
      </c>
      <c r="B92" s="73">
        <v>0.13693730769230766</v>
      </c>
      <c r="C92" s="73">
        <v>0.13045358974358973</v>
      </c>
    </row>
    <row r="93" spans="1:3" x14ac:dyDescent="0.2">
      <c r="A93" s="71">
        <f t="shared" si="1"/>
        <v>90</v>
      </c>
      <c r="B93" s="73">
        <v>0.15042012820512818</v>
      </c>
      <c r="C93" s="73">
        <v>0.14645615384615385</v>
      </c>
    </row>
    <row r="94" spans="1:3" x14ac:dyDescent="0.2">
      <c r="A94" s="71">
        <f t="shared" si="1"/>
        <v>91</v>
      </c>
      <c r="B94" s="73">
        <v>0.16537012820512817</v>
      </c>
      <c r="C94" s="73">
        <v>0.16382371794871795</v>
      </c>
    </row>
    <row r="95" spans="1:3" x14ac:dyDescent="0.2">
      <c r="A95" s="71">
        <f t="shared" si="1"/>
        <v>92</v>
      </c>
      <c r="B95" s="73">
        <v>0.18195397435897434</v>
      </c>
      <c r="C95" s="73">
        <v>0.18262294871794871</v>
      </c>
    </row>
    <row r="96" spans="1:3" x14ac:dyDescent="0.2">
      <c r="A96" s="71">
        <f t="shared" si="1"/>
        <v>93</v>
      </c>
      <c r="B96" s="73">
        <v>0.20034076923076924</v>
      </c>
      <c r="C96" s="73">
        <v>0.20292166666666667</v>
      </c>
    </row>
    <row r="97" spans="1:3" x14ac:dyDescent="0.2">
      <c r="A97" s="71">
        <f t="shared" si="1"/>
        <v>94</v>
      </c>
      <c r="B97" s="73">
        <v>0.22069858974358975</v>
      </c>
      <c r="C97" s="73">
        <v>0.2247876923076923</v>
      </c>
    </row>
    <row r="98" spans="1:3" x14ac:dyDescent="0.2">
      <c r="A98" s="71">
        <f t="shared" si="1"/>
        <v>95</v>
      </c>
      <c r="B98" s="73">
        <v>0.24319243589743589</v>
      </c>
      <c r="C98" s="73">
        <v>0.24828794871794874</v>
      </c>
    </row>
    <row r="99" spans="1:3" x14ac:dyDescent="0.2">
      <c r="A99" s="71">
        <f t="shared" si="1"/>
        <v>96</v>
      </c>
      <c r="B99" s="73">
        <v>0.26798153846153844</v>
      </c>
      <c r="C99" s="73">
        <v>0.27348769230769227</v>
      </c>
    </row>
    <row r="100" spans="1:3" x14ac:dyDescent="0.2">
      <c r="A100" s="71">
        <f t="shared" si="1"/>
        <v>97</v>
      </c>
      <c r="B100" s="73">
        <v>0.29521782051282053</v>
      </c>
      <c r="C100" s="73">
        <v>0.30045012820512823</v>
      </c>
    </row>
    <row r="101" spans="1:3" x14ac:dyDescent="0.2">
      <c r="A101" s="71">
        <f t="shared" si="1"/>
        <v>98</v>
      </c>
      <c r="B101" s="73">
        <v>0.32504435897435896</v>
      </c>
      <c r="C101" s="73">
        <v>0.32923538461538465</v>
      </c>
    </row>
    <row r="102" spans="1:3" x14ac:dyDescent="0.2">
      <c r="A102" s="71">
        <f t="shared" si="1"/>
        <v>99</v>
      </c>
      <c r="B102" s="73">
        <v>0.35759371794871792</v>
      </c>
      <c r="C102" s="73">
        <v>0.35990025641025636</v>
      </c>
    </row>
    <row r="103" spans="1:3" x14ac:dyDescent="0.2">
      <c r="A103" s="71">
        <f t="shared" si="1"/>
        <v>100</v>
      </c>
      <c r="B103" s="73">
        <v>0.39298769230769226</v>
      </c>
      <c r="C103" s="73">
        <v>0.39249756410256409</v>
      </c>
    </row>
    <row r="104" spans="1:3" x14ac:dyDescent="0.2">
      <c r="A104" s="71">
        <f t="shared" si="1"/>
        <v>101</v>
      </c>
      <c r="B104" s="73">
        <v>0.43133692307692306</v>
      </c>
      <c r="C104" s="73">
        <v>0.42707576923076923</v>
      </c>
    </row>
    <row r="105" spans="1:3" x14ac:dyDescent="0.2">
      <c r="A105" s="71">
        <f t="shared" si="1"/>
        <v>102</v>
      </c>
      <c r="B105" s="73">
        <v>0.47274012820512817</v>
      </c>
      <c r="C105" s="73">
        <v>0.46367846153846148</v>
      </c>
    </row>
    <row r="106" spans="1:3" x14ac:dyDescent="0.2">
      <c r="A106" s="71">
        <f t="shared" si="1"/>
        <v>103</v>
      </c>
      <c r="B106" s="73">
        <v>0.5172848717948717</v>
      </c>
      <c r="C106" s="73">
        <v>0.50234487179487175</v>
      </c>
    </row>
    <row r="107" spans="1:3" x14ac:dyDescent="0.2">
      <c r="A107" s="71">
        <f t="shared" si="1"/>
        <v>104</v>
      </c>
      <c r="B107" s="73">
        <v>0.56504692307692306</v>
      </c>
      <c r="C107" s="73">
        <v>0.54310948717948726</v>
      </c>
    </row>
    <row r="108" spans="1:3" x14ac:dyDescent="0.2">
      <c r="A108" s="71">
        <f t="shared" si="1"/>
        <v>105</v>
      </c>
      <c r="B108" s="73">
        <v>0.61609051282051275</v>
      </c>
      <c r="C108" s="73">
        <v>0.58600205128205118</v>
      </c>
    </row>
    <row r="109" spans="1:3" x14ac:dyDescent="0.2">
      <c r="A109" s="71">
        <f t="shared" si="1"/>
        <v>106</v>
      </c>
      <c r="B109" s="73">
        <v>0.67046974358974365</v>
      </c>
      <c r="C109" s="73">
        <v>0.63104820512820503</v>
      </c>
    </row>
    <row r="110" spans="1:3" x14ac:dyDescent="0.2">
      <c r="A110" s="71">
        <f t="shared" si="1"/>
        <v>107</v>
      </c>
      <c r="B110" s="73">
        <v>0.72822833333333326</v>
      </c>
      <c r="C110" s="73">
        <v>0.67826935897435903</v>
      </c>
    </row>
    <row r="111" spans="1:3" x14ac:dyDescent="0.2">
      <c r="A111" s="71">
        <f t="shared" si="1"/>
        <v>108</v>
      </c>
      <c r="B111" s="73">
        <v>0.78940089743589748</v>
      </c>
      <c r="C111" s="73">
        <v>0.72768307692307688</v>
      </c>
    </row>
    <row r="112" spans="1:3" x14ac:dyDescent="0.2">
      <c r="A112" s="71">
        <f t="shared" si="1"/>
        <v>109</v>
      </c>
      <c r="B112" s="73">
        <v>0.85401410256410248</v>
      </c>
      <c r="C112" s="73">
        <v>0.77930384615384607</v>
      </c>
    </row>
    <row r="113" spans="1:3" x14ac:dyDescent="0.2">
      <c r="A113" s="71">
        <f t="shared" si="1"/>
        <v>110</v>
      </c>
      <c r="B113" s="73">
        <v>0.9220874358974358</v>
      </c>
      <c r="C113" s="73">
        <v>0.83314294871794869</v>
      </c>
    </row>
    <row r="114" spans="1:3" x14ac:dyDescent="0.2">
      <c r="A114" s="71">
        <f t="shared" si="1"/>
        <v>111</v>
      </c>
      <c r="B114" s="73">
        <v>0.99363435897435892</v>
      </c>
      <c r="C114" s="73">
        <v>0.88920910256410235</v>
      </c>
    </row>
    <row r="115" spans="1:3" x14ac:dyDescent="0.2">
      <c r="A115" s="71">
        <f t="shared" si="1"/>
        <v>112</v>
      </c>
      <c r="B115" s="73">
        <v>1</v>
      </c>
      <c r="C115" s="73">
        <v>0.94750858974358976</v>
      </c>
    </row>
    <row r="116" spans="1:3" x14ac:dyDescent="0.2">
      <c r="A116" s="71">
        <f t="shared" si="1"/>
        <v>113</v>
      </c>
      <c r="B116" s="73">
        <v>0</v>
      </c>
      <c r="C116" s="73">
        <v>1</v>
      </c>
    </row>
    <row r="117" spans="1:3" x14ac:dyDescent="0.2">
      <c r="A117" s="71">
        <f t="shared" si="1"/>
        <v>114</v>
      </c>
      <c r="B117" s="73">
        <v>1</v>
      </c>
      <c r="C117" s="73">
        <v>0</v>
      </c>
    </row>
    <row r="118" spans="1:3" x14ac:dyDescent="0.2">
      <c r="A118" s="71">
        <f t="shared" si="1"/>
        <v>115</v>
      </c>
      <c r="B118" s="73">
        <v>1</v>
      </c>
      <c r="C118" s="73">
        <v>0</v>
      </c>
    </row>
    <row r="119" spans="1:3" x14ac:dyDescent="0.2">
      <c r="A119" s="71">
        <f t="shared" si="1"/>
        <v>116</v>
      </c>
      <c r="B119" s="73">
        <v>1</v>
      </c>
      <c r="C119" s="73">
        <v>0</v>
      </c>
    </row>
    <row r="120" spans="1:3" x14ac:dyDescent="0.2">
      <c r="A120" s="71">
        <f t="shared" si="1"/>
        <v>117</v>
      </c>
      <c r="B120" s="74"/>
      <c r="C120" s="74"/>
    </row>
    <row r="121" spans="1:3" x14ac:dyDescent="0.2">
      <c r="A121" s="71">
        <f t="shared" si="1"/>
        <v>118</v>
      </c>
      <c r="B121" s="74"/>
      <c r="C121" s="74"/>
    </row>
    <row r="122" spans="1:3" x14ac:dyDescent="0.2">
      <c r="A122" s="71">
        <f t="shared" si="1"/>
        <v>119</v>
      </c>
      <c r="B122" s="74"/>
      <c r="C122" s="74"/>
    </row>
    <row r="123" spans="1:3" x14ac:dyDescent="0.2">
      <c r="A123" s="71">
        <f t="shared" si="1"/>
        <v>120</v>
      </c>
      <c r="B123" s="74"/>
      <c r="C123" s="74"/>
    </row>
    <row r="124" spans="1:3" x14ac:dyDescent="0.2">
      <c r="A124" s="71">
        <f t="shared" si="1"/>
        <v>121</v>
      </c>
      <c r="B124" s="74"/>
      <c r="C124" s="74"/>
    </row>
    <row r="125" spans="1:3" x14ac:dyDescent="0.2">
      <c r="A125" s="71">
        <f t="shared" si="1"/>
        <v>122</v>
      </c>
      <c r="B125" s="75"/>
      <c r="C125" s="74"/>
    </row>
    <row r="126" spans="1:3" x14ac:dyDescent="0.2">
      <c r="A126" s="71">
        <f t="shared" si="1"/>
        <v>123</v>
      </c>
      <c r="B126" s="74"/>
      <c r="C126" s="74"/>
    </row>
    <row r="127" spans="1:3" x14ac:dyDescent="0.2">
      <c r="A127" s="71">
        <f t="shared" si="1"/>
        <v>124</v>
      </c>
      <c r="B127" s="74"/>
      <c r="C127" s="74"/>
    </row>
    <row r="128" spans="1:3" x14ac:dyDescent="0.2">
      <c r="A128" s="76">
        <f t="shared" si="1"/>
        <v>125</v>
      </c>
      <c r="B128" s="77"/>
      <c r="C128" s="7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E3587-3359-4947-B116-52D5FCA676AF}">
  <sheetPr codeName="Feuil6"/>
  <dimension ref="A1:N130"/>
  <sheetViews>
    <sheetView workbookViewId="0">
      <selection activeCell="I10" sqref="I10"/>
    </sheetView>
  </sheetViews>
  <sheetFormatPr baseColWidth="10" defaultColWidth="11.42578125" defaultRowHeight="12.75" x14ac:dyDescent="0.2"/>
  <cols>
    <col min="1" max="1" width="11.42578125" style="83"/>
    <col min="2" max="2" width="13.85546875" style="11" customWidth="1"/>
    <col min="3" max="3" width="14.140625" style="11" customWidth="1"/>
    <col min="4" max="4" width="17" style="11" bestFit="1" customWidth="1"/>
    <col min="5" max="5" width="18.5703125" style="11" customWidth="1"/>
    <col min="6" max="11" width="11.42578125" style="84"/>
    <col min="12" max="16384" width="11.42578125" style="11"/>
  </cols>
  <sheetData>
    <row r="1" spans="1:13" ht="13.5" thickBot="1" x14ac:dyDescent="0.25">
      <c r="A1" s="81" t="s">
        <v>152</v>
      </c>
      <c r="B1" s="81" t="s">
        <v>139</v>
      </c>
      <c r="C1" s="81" t="s">
        <v>140</v>
      </c>
      <c r="D1" s="81" t="s">
        <v>153</v>
      </c>
      <c r="E1" s="81" t="s">
        <v>154</v>
      </c>
      <c r="F1" s="82" t="s">
        <v>155</v>
      </c>
      <c r="G1" s="82" t="s">
        <v>156</v>
      </c>
      <c r="H1" s="93" t="s">
        <v>157</v>
      </c>
      <c r="I1" s="93" t="s">
        <v>158</v>
      </c>
      <c r="J1" s="93" t="s">
        <v>159</v>
      </c>
      <c r="K1" s="93" t="s">
        <v>160</v>
      </c>
      <c r="L1" s="93" t="s">
        <v>171</v>
      </c>
      <c r="M1" s="93" t="s">
        <v>172</v>
      </c>
    </row>
    <row r="2" spans="1:13" ht="13.5" thickTop="1" x14ac:dyDescent="0.2">
      <c r="A2" s="83">
        <v>0</v>
      </c>
      <c r="B2" s="11">
        <v>6.8435897435897433E-3</v>
      </c>
      <c r="C2" s="11">
        <v>5.3487179487179482E-3</v>
      </c>
      <c r="D2" s="11">
        <f>B2/'Real assumptions'!$B$30</f>
        <v>6.8435897435897433E-3</v>
      </c>
      <c r="E2" s="11">
        <f>C2/'Real assumptions'!$B$30</f>
        <v>5.3487179487179482E-3</v>
      </c>
      <c r="F2" s="84">
        <v>10000</v>
      </c>
      <c r="G2" s="84">
        <v>10000</v>
      </c>
      <c r="H2" s="84">
        <v>100000</v>
      </c>
      <c r="I2" s="84">
        <v>100000</v>
      </c>
      <c r="J2" s="84">
        <v>7922061.1899999976</v>
      </c>
      <c r="K2" s="84">
        <v>8343283.7599999988</v>
      </c>
      <c r="L2" s="11">
        <v>100000</v>
      </c>
      <c r="M2" s="11">
        <v>100000</v>
      </c>
    </row>
    <row r="3" spans="1:13" x14ac:dyDescent="0.2">
      <c r="A3" s="83">
        <v>1</v>
      </c>
      <c r="B3" s="11">
        <v>5.1666666666666668E-4</v>
      </c>
      <c r="C3" s="11">
        <v>4.4884615384615384E-4</v>
      </c>
      <c r="D3" s="11">
        <f>B3/'Real assumptions'!$B$30</f>
        <v>5.1666666666666668E-4</v>
      </c>
      <c r="E3" s="11">
        <f>C3/'Real assumptions'!$B$30</f>
        <v>4.4884615384615384E-4</v>
      </c>
      <c r="F3" s="84">
        <f>F2*(1-B2)</f>
        <v>9931.5641025641016</v>
      </c>
      <c r="G3" s="84">
        <f>G2*(1-C2)</f>
        <v>9946.5128205128203</v>
      </c>
      <c r="H3" s="84">
        <v>99315.64</v>
      </c>
      <c r="I3" s="84">
        <v>99465.13</v>
      </c>
      <c r="J3" s="84">
        <v>7822061.1899999976</v>
      </c>
      <c r="K3" s="84">
        <v>8243283.7599999988</v>
      </c>
      <c r="L3" s="11">
        <v>99315.64</v>
      </c>
      <c r="M3" s="11">
        <v>99465.13</v>
      </c>
    </row>
    <row r="4" spans="1:13" x14ac:dyDescent="0.2">
      <c r="A4" s="83">
        <v>2</v>
      </c>
      <c r="B4" s="11">
        <v>4.7474358974358976E-4</v>
      </c>
      <c r="C4" s="11">
        <v>4.0205128205128202E-4</v>
      </c>
      <c r="D4" s="11">
        <f>B4/'Real assumptions'!$B$30</f>
        <v>4.7474358974358976E-4</v>
      </c>
      <c r="E4" s="11">
        <f>C4/'Real assumptions'!$B$30</f>
        <v>4.0205128205128202E-4</v>
      </c>
      <c r="F4" s="84">
        <f t="shared" ref="F4:G19" si="0">F3*(1-B3)</f>
        <v>9926.4327944444431</v>
      </c>
      <c r="G4" s="84">
        <f t="shared" si="0"/>
        <v>9942.0483664891526</v>
      </c>
      <c r="H4" s="84">
        <v>99264.33</v>
      </c>
      <c r="I4" s="84">
        <v>99420.479999999996</v>
      </c>
      <c r="J4" s="84">
        <v>7722745.549999998</v>
      </c>
      <c r="K4" s="84">
        <v>8143818.629999999</v>
      </c>
      <c r="L4" s="11">
        <v>99264.33</v>
      </c>
      <c r="M4" s="11">
        <v>99420.479999999996</v>
      </c>
    </row>
    <row r="5" spans="1:13" x14ac:dyDescent="0.2">
      <c r="A5" s="83">
        <v>3</v>
      </c>
      <c r="B5" s="11">
        <v>4.405128205128205E-4</v>
      </c>
      <c r="C5" s="11">
        <v>3.6666666666666662E-4</v>
      </c>
      <c r="D5" s="11">
        <f>B5/'Real assumptions'!$B$30</f>
        <v>4.405128205128205E-4</v>
      </c>
      <c r="E5" s="11">
        <f>C5/'Real assumptions'!$B$30</f>
        <v>3.6666666666666662E-4</v>
      </c>
      <c r="F5" s="84">
        <f t="shared" si="0"/>
        <v>9921.720284106259</v>
      </c>
      <c r="G5" s="84">
        <f t="shared" si="0"/>
        <v>9938.0511531971897</v>
      </c>
      <c r="H5" s="84">
        <v>99217.2</v>
      </c>
      <c r="I5" s="84">
        <v>99380.51</v>
      </c>
      <c r="J5" s="84">
        <v>7623481.2199999979</v>
      </c>
      <c r="K5" s="84">
        <v>8044398.1499999985</v>
      </c>
      <c r="L5" s="11">
        <v>99217.2</v>
      </c>
      <c r="M5" s="11">
        <v>99380.51</v>
      </c>
    </row>
    <row r="6" spans="1:13" x14ac:dyDescent="0.2">
      <c r="A6" s="83">
        <v>4</v>
      </c>
      <c r="B6" s="11">
        <v>4.1461538461538459E-4</v>
      </c>
      <c r="C6" s="11">
        <v>3.4205128205128202E-4</v>
      </c>
      <c r="D6" s="11">
        <f>B6/'Real assumptions'!$B$30</f>
        <v>4.1461538461538459E-4</v>
      </c>
      <c r="E6" s="11">
        <f>C6/'Real assumptions'!$B$30</f>
        <v>3.4205128205128202E-4</v>
      </c>
      <c r="F6" s="84">
        <f t="shared" si="0"/>
        <v>9917.3496391195677</v>
      </c>
      <c r="G6" s="84">
        <f t="shared" si="0"/>
        <v>9934.4072011076842</v>
      </c>
      <c r="H6" s="84">
        <v>99173.5</v>
      </c>
      <c r="I6" s="84">
        <v>99344.07</v>
      </c>
      <c r="J6" s="84">
        <v>7524264.0199999977</v>
      </c>
      <c r="K6" s="84">
        <v>7945017.6399999987</v>
      </c>
      <c r="L6" s="11">
        <v>99173.5</v>
      </c>
      <c r="M6" s="11">
        <v>99344.07</v>
      </c>
    </row>
    <row r="7" spans="1:13" x14ac:dyDescent="0.2">
      <c r="A7" s="83">
        <v>5</v>
      </c>
      <c r="B7" s="11">
        <v>3.9833333333333328E-4</v>
      </c>
      <c r="C7" s="11">
        <v>3.2717948717948711E-4</v>
      </c>
      <c r="D7" s="11">
        <f>B7/'Real assumptions'!$B$30</f>
        <v>3.9833333333333328E-4</v>
      </c>
      <c r="E7" s="11">
        <f>C7/'Real assumptions'!$B$30</f>
        <v>3.2717948717948711E-4</v>
      </c>
      <c r="F7" s="84">
        <f t="shared" si="0"/>
        <v>9913.2377533845793</v>
      </c>
      <c r="G7" s="84">
        <f t="shared" si="0"/>
        <v>9931.0091243881252</v>
      </c>
      <c r="H7" s="84">
        <v>99132.38</v>
      </c>
      <c r="I7" s="84">
        <v>99310.09</v>
      </c>
      <c r="J7" s="84">
        <v>7425090.5199999977</v>
      </c>
      <c r="K7" s="84">
        <v>7845673.5699999984</v>
      </c>
      <c r="L7" s="11">
        <v>99132.38</v>
      </c>
      <c r="M7" s="11">
        <v>99310.09</v>
      </c>
    </row>
    <row r="8" spans="1:13" x14ac:dyDescent="0.2">
      <c r="A8" s="83">
        <v>6</v>
      </c>
      <c r="B8" s="11">
        <v>3.9333333333333337E-4</v>
      </c>
      <c r="C8" s="11">
        <v>3.207692307692307E-4</v>
      </c>
      <c r="D8" s="11">
        <f>B8/'Real assumptions'!$B$30</f>
        <v>3.9333333333333337E-4</v>
      </c>
      <c r="E8" s="11">
        <f>C8/'Real assumptions'!$B$30</f>
        <v>3.207692307692307E-4</v>
      </c>
      <c r="F8" s="84">
        <f t="shared" si="0"/>
        <v>9909.2889803461476</v>
      </c>
      <c r="G8" s="84">
        <f t="shared" si="0"/>
        <v>9927.7599019156332</v>
      </c>
      <c r="H8" s="84">
        <v>99092.89</v>
      </c>
      <c r="I8" s="84">
        <v>99277.6</v>
      </c>
      <c r="J8" s="84">
        <v>7325958.1399999978</v>
      </c>
      <c r="K8" s="84">
        <v>7746363.4799999986</v>
      </c>
      <c r="L8" s="11">
        <v>99092.89</v>
      </c>
      <c r="M8" s="11">
        <v>99277.6</v>
      </c>
    </row>
    <row r="9" spans="1:13" x14ac:dyDescent="0.2">
      <c r="A9" s="83">
        <v>7</v>
      </c>
      <c r="B9" s="11">
        <v>4.0153846153846148E-4</v>
      </c>
      <c r="C9" s="11">
        <v>3.221794871794872E-4</v>
      </c>
      <c r="D9" s="11">
        <f>B9/'Real assumptions'!$B$30</f>
        <v>4.0153846153846148E-4</v>
      </c>
      <c r="E9" s="11">
        <f>C9/'Real assumptions'!$B$30</f>
        <v>3.221794871794872E-4</v>
      </c>
      <c r="F9" s="84">
        <f t="shared" si="0"/>
        <v>9905.3913266805448</v>
      </c>
      <c r="G9" s="84">
        <f t="shared" si="0"/>
        <v>9924.5753820086338</v>
      </c>
      <c r="H9" s="84">
        <v>99053.91</v>
      </c>
      <c r="I9" s="84">
        <v>99245.75</v>
      </c>
      <c r="J9" s="84">
        <v>7226865.2499999981</v>
      </c>
      <c r="K9" s="84">
        <v>7647085.879999999</v>
      </c>
      <c r="L9" s="11">
        <v>99053.91</v>
      </c>
      <c r="M9" s="11">
        <v>99245.75</v>
      </c>
    </row>
    <row r="10" spans="1:13" x14ac:dyDescent="0.2">
      <c r="A10" s="83">
        <v>8</v>
      </c>
      <c r="B10" s="11">
        <v>4.2500000000000003E-4</v>
      </c>
      <c r="C10" s="11">
        <v>3.3038461538461536E-4</v>
      </c>
      <c r="D10" s="11">
        <f>B10/'Real assumptions'!$B$30</f>
        <v>4.2500000000000003E-4</v>
      </c>
      <c r="E10" s="11">
        <f>C10/'Real assumptions'!$B$30</f>
        <v>3.3038461538461536E-4</v>
      </c>
      <c r="F10" s="84">
        <f t="shared" si="0"/>
        <v>9901.4139310862938</v>
      </c>
      <c r="G10" s="84">
        <f t="shared" si="0"/>
        <v>9921.3778874015843</v>
      </c>
      <c r="H10" s="84">
        <v>99014.14</v>
      </c>
      <c r="I10" s="84">
        <v>99213.78</v>
      </c>
      <c r="J10" s="84">
        <v>7127811.339999998</v>
      </c>
      <c r="K10" s="84">
        <v>7547840.129999999</v>
      </c>
      <c r="L10" s="11">
        <v>99014.14</v>
      </c>
      <c r="M10" s="11">
        <v>99213.78</v>
      </c>
    </row>
    <row r="11" spans="1:13" x14ac:dyDescent="0.2">
      <c r="A11" s="83">
        <v>9</v>
      </c>
      <c r="B11" s="11">
        <v>4.6525641025641022E-4</v>
      </c>
      <c r="C11" s="11">
        <v>3.4487179487179492E-4</v>
      </c>
      <c r="D11" s="11">
        <f>B11/'Real assumptions'!$B$30</f>
        <v>4.6525641025641022E-4</v>
      </c>
      <c r="E11" s="11">
        <f>C11/'Real assumptions'!$B$30</f>
        <v>3.4487179487179492E-4</v>
      </c>
      <c r="F11" s="84">
        <f>F10*(1-B10)</f>
        <v>9897.2058301655816</v>
      </c>
      <c r="G11" s="84">
        <f t="shared" si="0"/>
        <v>9918.1000167841703</v>
      </c>
      <c r="H11" s="84">
        <v>98972.06</v>
      </c>
      <c r="I11" s="84">
        <v>99181</v>
      </c>
      <c r="J11" s="84">
        <v>7028797.1999999983</v>
      </c>
      <c r="K11" s="84">
        <v>7448626.3499999987</v>
      </c>
      <c r="L11" s="11">
        <v>98972.06</v>
      </c>
      <c r="M11" s="11">
        <v>99181</v>
      </c>
    </row>
    <row r="12" spans="1:13" x14ac:dyDescent="0.2">
      <c r="A12" s="83">
        <v>10</v>
      </c>
      <c r="B12" s="11">
        <v>5.2294871794871791E-4</v>
      </c>
      <c r="C12" s="11">
        <v>3.6461538461538456E-4</v>
      </c>
      <c r="D12" s="11">
        <f>B12/'Real assumptions'!$B$30</f>
        <v>5.2294871794871791E-4</v>
      </c>
      <c r="E12" s="11">
        <f>C12/'Real assumptions'!$B$30</f>
        <v>3.6461538461538456E-4</v>
      </c>
      <c r="F12" s="84">
        <f t="shared" si="0"/>
        <v>9892.60109170947</v>
      </c>
      <c r="G12" s="84">
        <f t="shared" si="0"/>
        <v>9914.6795438296649</v>
      </c>
      <c r="H12" s="84">
        <v>98926.01</v>
      </c>
      <c r="I12" s="84">
        <v>99146.8</v>
      </c>
      <c r="J12" s="84">
        <v>6929825.1399999987</v>
      </c>
      <c r="K12" s="84">
        <v>7349445.3499999987</v>
      </c>
      <c r="L12" s="11">
        <v>98926.01</v>
      </c>
      <c r="M12" s="11">
        <v>99146.8</v>
      </c>
    </row>
    <row r="13" spans="1:13" x14ac:dyDescent="0.2">
      <c r="A13" s="83">
        <v>11</v>
      </c>
      <c r="B13" s="11">
        <v>5.9679487179487185E-4</v>
      </c>
      <c r="C13" s="11">
        <v>3.8910256410256409E-4</v>
      </c>
      <c r="D13" s="11">
        <f>B13/'Real assumptions'!$B$30</f>
        <v>5.9679487179487185E-4</v>
      </c>
      <c r="E13" s="11">
        <f>C13/'Real assumptions'!$B$30</f>
        <v>3.8910256410256409E-4</v>
      </c>
      <c r="F13" s="84">
        <f t="shared" si="0"/>
        <v>9887.4277686513833</v>
      </c>
      <c r="G13" s="84">
        <f t="shared" si="0"/>
        <v>9911.0644991344525</v>
      </c>
      <c r="H13" s="84">
        <v>98874.28</v>
      </c>
      <c r="I13" s="84">
        <v>99110.64</v>
      </c>
      <c r="J13" s="84">
        <v>6830899.129999999</v>
      </c>
      <c r="K13" s="84">
        <v>7250298.5499999989</v>
      </c>
      <c r="L13" s="11">
        <v>98874.28</v>
      </c>
      <c r="M13" s="11">
        <v>99110.64</v>
      </c>
    </row>
    <row r="14" spans="1:13" x14ac:dyDescent="0.2">
      <c r="A14" s="83">
        <v>12</v>
      </c>
      <c r="B14" s="11">
        <v>6.8397435897435898E-4</v>
      </c>
      <c r="C14" s="11">
        <v>4.1769230769230767E-4</v>
      </c>
      <c r="D14" s="11">
        <f>B14/'Real assumptions'!$B$30</f>
        <v>6.8397435897435898E-4</v>
      </c>
      <c r="E14" s="11">
        <f>C14/'Real assumptions'!$B$30</f>
        <v>4.1769230769230767E-4</v>
      </c>
      <c r="F14" s="84">
        <f t="shared" si="0"/>
        <v>9881.5270024638103</v>
      </c>
      <c r="G14" s="84">
        <f t="shared" si="0"/>
        <v>9907.2080785248545</v>
      </c>
      <c r="H14" s="84">
        <v>98815.27</v>
      </c>
      <c r="I14" s="84">
        <v>99072.08</v>
      </c>
      <c r="J14" s="84">
        <v>6732024.8499999987</v>
      </c>
      <c r="K14" s="84">
        <v>7151187.9099999992</v>
      </c>
      <c r="L14" s="11">
        <v>98815.27</v>
      </c>
      <c r="M14" s="11">
        <v>99072.08</v>
      </c>
    </row>
    <row r="15" spans="1:13" x14ac:dyDescent="0.2">
      <c r="A15" s="83">
        <v>13</v>
      </c>
      <c r="B15" s="11">
        <v>7.8025641025641034E-4</v>
      </c>
      <c r="C15" s="11">
        <v>4.4910256410256408E-4</v>
      </c>
      <c r="D15" s="11">
        <f>B15/'Real assumptions'!$B$30</f>
        <v>7.8025641025641034E-4</v>
      </c>
      <c r="E15" s="11">
        <f>C15/'Real assumptions'!$B$30</f>
        <v>4.4910256410256408E-4</v>
      </c>
      <c r="F15" s="84">
        <f t="shared" si="0"/>
        <v>9874.7682913666122</v>
      </c>
      <c r="G15" s="84">
        <f t="shared" si="0"/>
        <v>9903.0699139197477</v>
      </c>
      <c r="H15" s="84">
        <v>98747.68</v>
      </c>
      <c r="I15" s="84">
        <v>99030.7</v>
      </c>
      <c r="J15" s="84">
        <v>6633209.5799999991</v>
      </c>
      <c r="K15" s="84">
        <v>7052115.8299999991</v>
      </c>
      <c r="L15" s="11">
        <v>98747.68</v>
      </c>
      <c r="M15" s="11">
        <v>99030.7</v>
      </c>
    </row>
    <row r="16" spans="1:13" x14ac:dyDescent="0.2">
      <c r="A16" s="83">
        <v>14</v>
      </c>
      <c r="B16" s="11">
        <v>8.7935897435897426E-4</v>
      </c>
      <c r="C16" s="11">
        <v>4.8064102564102562E-4</v>
      </c>
      <c r="D16" s="11">
        <f>B16/'Real assumptions'!$B$30</f>
        <v>8.7935897435897426E-4</v>
      </c>
      <c r="E16" s="11">
        <f>C16/'Real assumptions'!$B$30</f>
        <v>4.8064102564102562E-4</v>
      </c>
      <c r="F16" s="84">
        <f t="shared" si="0"/>
        <v>9867.0634401074767</v>
      </c>
      <c r="G16" s="84">
        <f t="shared" si="0"/>
        <v>9898.6224198289201</v>
      </c>
      <c r="H16" s="84">
        <v>98670.63</v>
      </c>
      <c r="I16" s="84">
        <v>98986.22</v>
      </c>
      <c r="J16" s="84">
        <v>6534461.8999999994</v>
      </c>
      <c r="K16" s="84">
        <v>6953085.129999999</v>
      </c>
      <c r="L16" s="11">
        <v>98670.63</v>
      </c>
      <c r="M16" s="11">
        <v>98986.22</v>
      </c>
    </row>
    <row r="17" spans="1:13" x14ac:dyDescent="0.2">
      <c r="A17" s="83">
        <v>15</v>
      </c>
      <c r="B17" s="11">
        <v>9.7397435897435909E-4</v>
      </c>
      <c r="C17" s="11">
        <v>5.0935897435897437E-4</v>
      </c>
      <c r="D17" s="11">
        <f>B17/'Real assumptions'!$B$30</f>
        <v>9.7397435897435909E-4</v>
      </c>
      <c r="E17" s="11">
        <f>C17/'Real assumptions'!$B$30</f>
        <v>5.0935897435897437E-4</v>
      </c>
      <c r="F17" s="84">
        <f t="shared" si="0"/>
        <v>9858.386749320849</v>
      </c>
      <c r="G17" s="84">
        <f t="shared" si="0"/>
        <v>9893.8647357966202</v>
      </c>
      <c r="H17" s="84">
        <v>98583.87</v>
      </c>
      <c r="I17" s="84">
        <v>98938.65</v>
      </c>
      <c r="J17" s="84">
        <v>6435791.2699999996</v>
      </c>
      <c r="K17" s="84">
        <v>6854098.9099999992</v>
      </c>
      <c r="L17" s="11">
        <v>98583.87</v>
      </c>
      <c r="M17" s="11">
        <v>98938.65</v>
      </c>
    </row>
    <row r="18" spans="1:13" x14ac:dyDescent="0.2">
      <c r="A18" s="83">
        <v>16</v>
      </c>
      <c r="B18" s="11">
        <v>1.0564102564102563E-3</v>
      </c>
      <c r="C18" s="11">
        <v>5.3230769230769228E-4</v>
      </c>
      <c r="D18" s="11">
        <f>B18/'Real assumptions'!$B$30</f>
        <v>1.0564102564102563E-3</v>
      </c>
      <c r="E18" s="11">
        <f>C18/'Real assumptions'!$B$30</f>
        <v>5.3230769230769228E-4</v>
      </c>
      <c r="F18" s="84">
        <f t="shared" si="0"/>
        <v>9848.7849334061575</v>
      </c>
      <c r="G18" s="84">
        <f t="shared" si="0"/>
        <v>9888.8252070023482</v>
      </c>
      <c r="H18" s="84">
        <v>98487.85</v>
      </c>
      <c r="I18" s="84">
        <v>98888.25</v>
      </c>
      <c r="J18" s="84">
        <v>6337207.3999999994</v>
      </c>
      <c r="K18" s="84">
        <v>6755160.2599999988</v>
      </c>
      <c r="L18" s="11">
        <v>98487.85</v>
      </c>
      <c r="M18" s="11">
        <v>98888.25</v>
      </c>
    </row>
    <row r="19" spans="1:13" x14ac:dyDescent="0.2">
      <c r="A19" s="83">
        <v>17</v>
      </c>
      <c r="B19" s="11">
        <v>1.1189743589743589E-3</v>
      </c>
      <c r="C19" s="11">
        <v>5.469230769230769E-4</v>
      </c>
      <c r="D19" s="11">
        <f>B19/'Real assumptions'!$B$30</f>
        <v>1.1189743589743589E-3</v>
      </c>
      <c r="E19" s="11">
        <f>C19/'Real assumptions'!$B$30</f>
        <v>5.469230769230769E-4</v>
      </c>
      <c r="F19" s="84">
        <f t="shared" si="0"/>
        <v>9838.3805759893294</v>
      </c>
      <c r="G19" s="84">
        <f t="shared" si="0"/>
        <v>9883.5613092767744</v>
      </c>
      <c r="H19" s="84">
        <v>98383.81</v>
      </c>
      <c r="I19" s="84">
        <v>98835.61</v>
      </c>
      <c r="J19" s="84">
        <v>6238719.5499999998</v>
      </c>
      <c r="K19" s="84">
        <v>6656272.0099999988</v>
      </c>
      <c r="L19" s="11">
        <v>98383.81</v>
      </c>
      <c r="M19" s="11">
        <v>98835.61</v>
      </c>
    </row>
    <row r="20" spans="1:13" x14ac:dyDescent="0.2">
      <c r="A20" s="83">
        <v>18</v>
      </c>
      <c r="B20" s="11">
        <v>1.1553846153846154E-3</v>
      </c>
      <c r="C20" s="11">
        <v>5.5076923076923076E-4</v>
      </c>
      <c r="D20" s="11">
        <f>B20/'Real assumptions'!$B$30</f>
        <v>1.1553846153846154E-3</v>
      </c>
      <c r="E20" s="11">
        <f>C20/'Real assumptions'!$B$30</f>
        <v>5.5076923076923076E-4</v>
      </c>
      <c r="F20" s="84">
        <f t="shared" ref="F20:G35" si="1">F19*(1-B19)</f>
        <v>9827.3716803909665</v>
      </c>
      <c r="G20" s="84">
        <f t="shared" si="1"/>
        <v>9878.1557615145466</v>
      </c>
      <c r="H20" s="84">
        <v>98273.72</v>
      </c>
      <c r="I20" s="84">
        <v>98781.56</v>
      </c>
      <c r="J20" s="84">
        <v>6140335.7400000002</v>
      </c>
      <c r="K20" s="84">
        <v>6557436.3999999985</v>
      </c>
      <c r="L20" s="11">
        <v>98273.72</v>
      </c>
      <c r="M20" s="11">
        <v>98781.56</v>
      </c>
    </row>
    <row r="21" spans="1:13" x14ac:dyDescent="0.2">
      <c r="A21" s="83">
        <v>19</v>
      </c>
      <c r="B21" s="11">
        <v>1.1614102564102564E-3</v>
      </c>
      <c r="C21" s="11">
        <v>5.4269230769230761E-4</v>
      </c>
      <c r="D21" s="11">
        <f>B21/'Real assumptions'!$B$30</f>
        <v>1.1614102564102564E-3</v>
      </c>
      <c r="E21" s="11">
        <f>C21/'Real assumptions'!$B$30</f>
        <v>5.4269230769230761E-4</v>
      </c>
      <c r="F21" s="84">
        <f t="shared" si="1"/>
        <v>9816.0172863417756</v>
      </c>
      <c r="G21" s="84">
        <f t="shared" si="1"/>
        <v>9872.7151772643592</v>
      </c>
      <c r="H21" s="84">
        <v>98160.17</v>
      </c>
      <c r="I21" s="84">
        <v>98727.15</v>
      </c>
      <c r="J21" s="84">
        <v>6042062.0200000005</v>
      </c>
      <c r="K21" s="84">
        <v>6458654.8399999989</v>
      </c>
      <c r="L21" s="11">
        <v>98160.17</v>
      </c>
      <c r="M21" s="11">
        <v>98727.15</v>
      </c>
    </row>
    <row r="22" spans="1:13" x14ac:dyDescent="0.2">
      <c r="A22" s="83">
        <v>20</v>
      </c>
      <c r="B22" s="11">
        <v>1.1364102564102563E-3</v>
      </c>
      <c r="C22" s="11">
        <v>5.2243589743589743E-4</v>
      </c>
      <c r="D22" s="11">
        <f>B22/'Real assumptions'!$B$30</f>
        <v>1.1364102564102563E-3</v>
      </c>
      <c r="E22" s="11">
        <f>C22/'Real assumptions'!$B$30</f>
        <v>5.2243589743589743E-4</v>
      </c>
      <c r="F22" s="84">
        <f t="shared" si="1"/>
        <v>9804.6168631883174</v>
      </c>
      <c r="G22" s="84">
        <f t="shared" si="1"/>
        <v>9867.3573306816197</v>
      </c>
      <c r="H22" s="84">
        <v>98046.17</v>
      </c>
      <c r="I22" s="84">
        <v>98673.57</v>
      </c>
      <c r="J22" s="84">
        <v>5943901.8500000006</v>
      </c>
      <c r="K22" s="84">
        <v>6359927.6899999985</v>
      </c>
      <c r="L22" s="11">
        <v>98046.17</v>
      </c>
      <c r="M22" s="11">
        <v>98673.57</v>
      </c>
    </row>
    <row r="23" spans="1:13" x14ac:dyDescent="0.2">
      <c r="A23" s="83">
        <v>21</v>
      </c>
      <c r="B23" s="11">
        <v>1.0839743589743588E-3</v>
      </c>
      <c r="C23" s="11">
        <v>4.9115384615384613E-4</v>
      </c>
      <c r="D23" s="11">
        <f>B23/'Real assumptions'!$B$30</f>
        <v>1.0839743589743588E-3</v>
      </c>
      <c r="E23" s="11">
        <f>C23/'Real assumptions'!$B$30</f>
        <v>4.9115384615384613E-4</v>
      </c>
      <c r="F23" s="84">
        <f t="shared" si="1"/>
        <v>9793.4747960248169</v>
      </c>
      <c r="G23" s="84">
        <f t="shared" si="1"/>
        <v>9862.2022689992446</v>
      </c>
      <c r="H23" s="84">
        <v>97934.75</v>
      </c>
      <c r="I23" s="84">
        <v>98622.02</v>
      </c>
      <c r="J23" s="84">
        <v>5845855.6800000006</v>
      </c>
      <c r="K23" s="84">
        <v>6261254.1199999982</v>
      </c>
      <c r="L23" s="11">
        <v>97934.75</v>
      </c>
      <c r="M23" s="11">
        <v>98622.02</v>
      </c>
    </row>
    <row r="24" spans="1:13" x14ac:dyDescent="0.2">
      <c r="A24" s="83">
        <v>22</v>
      </c>
      <c r="B24" s="11">
        <v>1.0114102564102564E-3</v>
      </c>
      <c r="C24" s="11">
        <v>4.5128205128205126E-4</v>
      </c>
      <c r="D24" s="11">
        <f>B24/'Real assumptions'!$B$30</f>
        <v>1.0114102564102564E-3</v>
      </c>
      <c r="E24" s="11">
        <f>C24/'Real assumptions'!$B$30</f>
        <v>4.5128205128205126E-4</v>
      </c>
      <c r="F24" s="84">
        <f t="shared" si="1"/>
        <v>9782.8589204606651</v>
      </c>
      <c r="G24" s="84">
        <f t="shared" si="1"/>
        <v>9857.3584104232777</v>
      </c>
      <c r="H24" s="84">
        <v>97828.59</v>
      </c>
      <c r="I24" s="84">
        <v>98573.58</v>
      </c>
      <c r="J24" s="84">
        <v>5747920.9300000006</v>
      </c>
      <c r="K24" s="84">
        <v>6162632.0999999987</v>
      </c>
      <c r="L24" s="11">
        <v>97828.59</v>
      </c>
      <c r="M24" s="11">
        <v>98573.58</v>
      </c>
    </row>
    <row r="25" spans="1:13" x14ac:dyDescent="0.2">
      <c r="A25" s="83">
        <v>23</v>
      </c>
      <c r="B25" s="11">
        <v>9.2833333333333331E-4</v>
      </c>
      <c r="C25" s="11">
        <v>4.0641025641025642E-4</v>
      </c>
      <c r="D25" s="11">
        <f>B25/'Real assumptions'!$B$30</f>
        <v>9.2833333333333331E-4</v>
      </c>
      <c r="E25" s="11">
        <f>C25/'Real assumptions'!$B$30</f>
        <v>4.0641025641025642E-4</v>
      </c>
      <c r="F25" s="84">
        <f t="shared" si="1"/>
        <v>9772.9644366114971</v>
      </c>
      <c r="G25" s="84">
        <f t="shared" si="1"/>
        <v>9852.9099614995994</v>
      </c>
      <c r="H25" s="84">
        <v>97729.64</v>
      </c>
      <c r="I25" s="84">
        <v>98529.1</v>
      </c>
      <c r="J25" s="84">
        <v>5650092.3400000008</v>
      </c>
      <c r="K25" s="84">
        <v>6064058.5199999986</v>
      </c>
      <c r="L25" s="11">
        <v>97729.64</v>
      </c>
      <c r="M25" s="11">
        <v>98529.1</v>
      </c>
    </row>
    <row r="26" spans="1:13" x14ac:dyDescent="0.2">
      <c r="A26" s="83">
        <v>24</v>
      </c>
      <c r="B26" s="11">
        <v>8.4435897435897428E-4</v>
      </c>
      <c r="C26" s="11">
        <v>3.6076923076923075E-4</v>
      </c>
      <c r="D26" s="11">
        <f>B26/'Real assumptions'!$B$30</f>
        <v>8.4435897435897428E-4</v>
      </c>
      <c r="E26" s="11">
        <f>C26/'Real assumptions'!$B$30</f>
        <v>3.6076923076923075E-4</v>
      </c>
      <c r="F26" s="84">
        <f t="shared" si="1"/>
        <v>9763.8918679595099</v>
      </c>
      <c r="G26" s="84">
        <f t="shared" si="1"/>
        <v>9848.9056378357582</v>
      </c>
      <c r="H26" s="84">
        <v>97638.92</v>
      </c>
      <c r="I26" s="84">
        <v>98489.06</v>
      </c>
      <c r="J26" s="84">
        <v>5552362.7000000011</v>
      </c>
      <c r="K26" s="84">
        <v>5965529.419999999</v>
      </c>
      <c r="L26" s="11">
        <v>97638.92</v>
      </c>
      <c r="M26" s="11">
        <v>98489.06</v>
      </c>
    </row>
    <row r="27" spans="1:13" x14ac:dyDescent="0.2">
      <c r="A27" s="83">
        <v>25</v>
      </c>
      <c r="B27" s="11">
        <v>7.6730769230769235E-4</v>
      </c>
      <c r="C27" s="11">
        <v>3.1884615384615388E-4</v>
      </c>
      <c r="D27" s="11">
        <f>B27/'Real assumptions'!$B$30</f>
        <v>7.6730769230769235E-4</v>
      </c>
      <c r="E27" s="11">
        <f>C27/'Real assumptions'!$B$30</f>
        <v>3.1884615384615388E-4</v>
      </c>
      <c r="F27" s="84">
        <f t="shared" si="1"/>
        <v>9755.647638236127</v>
      </c>
      <c r="G27" s="84">
        <f t="shared" si="1"/>
        <v>9845.3524557248784</v>
      </c>
      <c r="H27" s="84">
        <v>97556.479999999996</v>
      </c>
      <c r="I27" s="84">
        <v>98453.52</v>
      </c>
      <c r="J27" s="84">
        <v>5454723.7800000012</v>
      </c>
      <c r="K27" s="84">
        <v>5867040.3599999994</v>
      </c>
      <c r="L27" s="11">
        <v>97556.479999999996</v>
      </c>
      <c r="M27" s="11">
        <v>98453.52</v>
      </c>
    </row>
    <row r="28" spans="1:13" x14ac:dyDescent="0.2">
      <c r="A28" s="83">
        <v>26</v>
      </c>
      <c r="B28" s="11">
        <v>7.0230769230769229E-4</v>
      </c>
      <c r="C28" s="11">
        <v>2.835897435897436E-4</v>
      </c>
      <c r="D28" s="11">
        <f>B28/'Real assumptions'!$B$30</f>
        <v>7.0230769230769229E-4</v>
      </c>
      <c r="E28" s="11">
        <f>C28/'Real assumptions'!$B$30</f>
        <v>2.835897435897436E-4</v>
      </c>
      <c r="F28" s="84">
        <f t="shared" si="1"/>
        <v>9748.162054759865</v>
      </c>
      <c r="G28" s="84">
        <f t="shared" si="1"/>
        <v>9842.2133029611105</v>
      </c>
      <c r="H28" s="84">
        <v>97481.62</v>
      </c>
      <c r="I28" s="84">
        <v>98422.13</v>
      </c>
      <c r="J28" s="84">
        <v>5357167.3000000007</v>
      </c>
      <c r="K28" s="84">
        <v>5768586.8399999999</v>
      </c>
      <c r="L28" s="11">
        <v>97481.62</v>
      </c>
      <c r="M28" s="11">
        <v>98422.13</v>
      </c>
    </row>
    <row r="29" spans="1:13" x14ac:dyDescent="0.2">
      <c r="A29" s="83">
        <v>27</v>
      </c>
      <c r="B29" s="11">
        <v>6.5179487179487178E-4</v>
      </c>
      <c r="C29" s="11">
        <v>2.569230769230769E-4</v>
      </c>
      <c r="D29" s="11">
        <f>B29/'Real assumptions'!$B$30</f>
        <v>6.5179487179487178E-4</v>
      </c>
      <c r="E29" s="11">
        <f>C29/'Real assumptions'!$B$30</f>
        <v>2.569230769230769E-4</v>
      </c>
      <c r="F29" s="84">
        <f t="shared" si="1"/>
        <v>9741.3158455629455</v>
      </c>
      <c r="G29" s="84">
        <f t="shared" si="1"/>
        <v>9839.422152214167</v>
      </c>
      <c r="H29" s="84">
        <v>97413.16</v>
      </c>
      <c r="I29" s="84">
        <v>98394.22</v>
      </c>
      <c r="J29" s="84">
        <v>5259685.6800000006</v>
      </c>
      <c r="K29" s="84">
        <v>5670164.71</v>
      </c>
      <c r="L29" s="11">
        <v>97413.16</v>
      </c>
      <c r="M29" s="11">
        <v>98394.22</v>
      </c>
    </row>
    <row r="30" spans="1:13" x14ac:dyDescent="0.2">
      <c r="A30" s="83">
        <v>28</v>
      </c>
      <c r="B30" s="11">
        <v>6.1653846153846145E-4</v>
      </c>
      <c r="C30" s="11">
        <v>2.4051282051282047E-4</v>
      </c>
      <c r="D30" s="11">
        <f>B30/'Real assumptions'!$B$30</f>
        <v>6.1653846153846145E-4</v>
      </c>
      <c r="E30" s="11">
        <f>C30/'Real assumptions'!$B$30</f>
        <v>2.4051282051282047E-4</v>
      </c>
      <c r="F30" s="84">
        <f t="shared" si="1"/>
        <v>9734.9665058502724</v>
      </c>
      <c r="G30" s="84">
        <f t="shared" si="1"/>
        <v>9836.8941775996755</v>
      </c>
      <c r="H30" s="84">
        <v>97349.67</v>
      </c>
      <c r="I30" s="84">
        <v>98368.94</v>
      </c>
      <c r="J30" s="84">
        <v>5162272.5200000005</v>
      </c>
      <c r="K30" s="84">
        <v>5571770.4900000002</v>
      </c>
      <c r="L30" s="11">
        <v>97349.67</v>
      </c>
      <c r="M30" s="11">
        <v>98368.94</v>
      </c>
    </row>
    <row r="31" spans="1:13" x14ac:dyDescent="0.2">
      <c r="A31" s="83">
        <v>29</v>
      </c>
      <c r="B31" s="11">
        <v>5.956410256410256E-4</v>
      </c>
      <c r="C31" s="11">
        <v>2.3512820512820514E-4</v>
      </c>
      <c r="D31" s="11">
        <f>B31/'Real assumptions'!$B$30</f>
        <v>5.956410256410256E-4</v>
      </c>
      <c r="E31" s="11">
        <f>C31/'Real assumptions'!$B$30</f>
        <v>2.3512820512820514E-4</v>
      </c>
      <c r="F31" s="84">
        <f t="shared" si="1"/>
        <v>9728.9645245776283</v>
      </c>
      <c r="G31" s="84">
        <f t="shared" si="1"/>
        <v>9834.5282784359351</v>
      </c>
      <c r="H31" s="84">
        <v>97289.65</v>
      </c>
      <c r="I31" s="84">
        <v>98345.279999999999</v>
      </c>
      <c r="J31" s="84">
        <v>5064922.8500000006</v>
      </c>
      <c r="K31" s="84">
        <v>5473401.5499999998</v>
      </c>
      <c r="L31" s="11">
        <v>97289.65</v>
      </c>
      <c r="M31" s="11">
        <v>98345.279999999999</v>
      </c>
    </row>
    <row r="32" spans="1:13" x14ac:dyDescent="0.2">
      <c r="A32" s="83">
        <v>30</v>
      </c>
      <c r="B32" s="11">
        <v>5.8756410256410256E-4</v>
      </c>
      <c r="C32" s="11">
        <v>2.4051282051282047E-4</v>
      </c>
      <c r="D32" s="11">
        <f>B32/'Real assumptions'!$B$30</f>
        <v>5.8756410256410256E-4</v>
      </c>
      <c r="E32" s="11">
        <f>C32/'Real assumptions'!$B$30</f>
        <v>2.4051282051282047E-4</v>
      </c>
      <c r="F32" s="84">
        <f t="shared" si="1"/>
        <v>9723.1695541697845</v>
      </c>
      <c r="G32" s="84">
        <f t="shared" si="1"/>
        <v>9832.2159034535434</v>
      </c>
      <c r="H32" s="84">
        <v>97231.7</v>
      </c>
      <c r="I32" s="84">
        <v>98322.16</v>
      </c>
      <c r="J32" s="84">
        <v>4967633.2</v>
      </c>
      <c r="K32" s="84">
        <v>5375056.2699999996</v>
      </c>
      <c r="L32" s="11">
        <v>97231.7</v>
      </c>
      <c r="M32" s="11">
        <v>98322.16</v>
      </c>
    </row>
    <row r="33" spans="1:13" x14ac:dyDescent="0.2">
      <c r="A33" s="83">
        <v>31</v>
      </c>
      <c r="B33" s="11">
        <v>5.9153846153846149E-4</v>
      </c>
      <c r="C33" s="11">
        <v>2.5525641025641021E-4</v>
      </c>
      <c r="D33" s="11">
        <f>B33/'Real assumptions'!$B$30</f>
        <v>5.9153846153846149E-4</v>
      </c>
      <c r="E33" s="11">
        <f>C33/'Real assumptions'!$B$30</f>
        <v>2.5525641025641021E-4</v>
      </c>
      <c r="F33" s="84">
        <f t="shared" si="1"/>
        <v>9717.4565687766099</v>
      </c>
      <c r="G33" s="84">
        <f t="shared" si="1"/>
        <v>9829.8511294747132</v>
      </c>
      <c r="H33" s="84">
        <v>97174.57</v>
      </c>
      <c r="I33" s="84">
        <v>98298.51</v>
      </c>
      <c r="J33" s="84">
        <v>4870401.5</v>
      </c>
      <c r="K33" s="84">
        <v>5276734.1099999994</v>
      </c>
      <c r="L33" s="11">
        <v>97174.57</v>
      </c>
      <c r="M33" s="11">
        <v>98298.51</v>
      </c>
    </row>
    <row r="34" spans="1:13" x14ac:dyDescent="0.2">
      <c r="A34" s="83">
        <v>32</v>
      </c>
      <c r="B34" s="11">
        <v>6.0782051282051285E-4</v>
      </c>
      <c r="C34" s="11">
        <v>2.7717948717948719E-4</v>
      </c>
      <c r="D34" s="11">
        <f>B34/'Real assumptions'!$B$30</f>
        <v>6.0782051282051285E-4</v>
      </c>
      <c r="E34" s="11">
        <f>C34/'Real assumptions'!$B$30</f>
        <v>2.7717948717948719E-4</v>
      </c>
      <c r="F34" s="84">
        <f t="shared" si="1"/>
        <v>9711.7083194678489</v>
      </c>
      <c r="G34" s="84">
        <f t="shared" si="1"/>
        <v>9827.3419969620481</v>
      </c>
      <c r="H34" s="84">
        <v>97117.08</v>
      </c>
      <c r="I34" s="84">
        <v>98273.42</v>
      </c>
      <c r="J34" s="84">
        <v>4773226.93</v>
      </c>
      <c r="K34" s="84">
        <v>5178435.5999999996</v>
      </c>
      <c r="L34" s="11">
        <v>97117.08</v>
      </c>
      <c r="M34" s="11">
        <v>98273.42</v>
      </c>
    </row>
    <row r="35" spans="1:13" x14ac:dyDescent="0.2">
      <c r="A35" s="83">
        <v>33</v>
      </c>
      <c r="B35" s="11">
        <v>6.3756410256410258E-4</v>
      </c>
      <c r="C35" s="11">
        <v>3.0346153846153847E-4</v>
      </c>
      <c r="D35" s="11">
        <f>B35/'Real assumptions'!$B$30</f>
        <v>6.3756410256410258E-4</v>
      </c>
      <c r="E35" s="11">
        <f>C35/'Real assumptions'!$B$30</f>
        <v>3.0346153846153847E-4</v>
      </c>
      <c r="F35" s="84">
        <f t="shared" si="1"/>
        <v>9705.8053439367468</v>
      </c>
      <c r="G35" s="84">
        <f t="shared" si="1"/>
        <v>9824.6180593469926</v>
      </c>
      <c r="H35" s="84">
        <v>97058.05</v>
      </c>
      <c r="I35" s="84">
        <v>98246.18</v>
      </c>
      <c r="J35" s="84">
        <v>4676109.8499999996</v>
      </c>
      <c r="K35" s="84">
        <v>5080162.18</v>
      </c>
      <c r="L35" s="11">
        <v>97058.05</v>
      </c>
      <c r="M35" s="11">
        <v>98246.18</v>
      </c>
    </row>
    <row r="36" spans="1:13" x14ac:dyDescent="0.2">
      <c r="A36" s="83">
        <v>34</v>
      </c>
      <c r="B36" s="11">
        <v>6.8128205128205126E-4</v>
      </c>
      <c r="C36" s="11">
        <v>3.3269230769230771E-4</v>
      </c>
      <c r="D36" s="11">
        <f>B36/'Real assumptions'!$B$30</f>
        <v>6.8128205128205126E-4</v>
      </c>
      <c r="E36" s="11">
        <f>C36/'Real assumptions'!$B$30</f>
        <v>3.3269230769230771E-4</v>
      </c>
      <c r="F36" s="84">
        <f t="shared" ref="F36:G51" si="2">F35*(1-B35)</f>
        <v>9699.6172708629783</v>
      </c>
      <c r="G36" s="84">
        <f t="shared" si="2"/>
        <v>9821.636665635906</v>
      </c>
      <c r="H36" s="84">
        <v>96996.17</v>
      </c>
      <c r="I36" s="84">
        <v>98216.37</v>
      </c>
      <c r="J36" s="84">
        <v>4579051.8</v>
      </c>
      <c r="K36" s="84">
        <v>4981916</v>
      </c>
      <c r="L36" s="11">
        <v>96996.17</v>
      </c>
      <c r="M36" s="11">
        <v>98216.37</v>
      </c>
    </row>
    <row r="37" spans="1:13" x14ac:dyDescent="0.2">
      <c r="A37" s="83">
        <v>35</v>
      </c>
      <c r="B37" s="11">
        <v>7.3730769230769216E-4</v>
      </c>
      <c r="C37" s="11">
        <v>3.6615384615384613E-4</v>
      </c>
      <c r="D37" s="11">
        <f>B37/'Real assumptions'!$B$30</f>
        <v>7.3730769230769216E-4</v>
      </c>
      <c r="E37" s="11">
        <f>C37/'Real assumptions'!$B$30</f>
        <v>3.6615384615384613E-4</v>
      </c>
      <c r="F37" s="84">
        <f t="shared" si="2"/>
        <v>9693.0090957120337</v>
      </c>
      <c r="G37" s="84">
        <f t="shared" si="2"/>
        <v>9818.3690826682996</v>
      </c>
      <c r="H37" s="84">
        <v>96930.09</v>
      </c>
      <c r="I37" s="84">
        <v>98183.69</v>
      </c>
      <c r="J37" s="84">
        <v>4482055.63</v>
      </c>
      <c r="K37" s="84">
        <v>4883699.63</v>
      </c>
      <c r="L37" s="11">
        <v>96930.09</v>
      </c>
      <c r="M37" s="11">
        <v>98183.69</v>
      </c>
    </row>
    <row r="38" spans="1:13" x14ac:dyDescent="0.2">
      <c r="A38" s="83">
        <v>36</v>
      </c>
      <c r="B38" s="11">
        <v>8.0192307692307681E-4</v>
      </c>
      <c r="C38" s="11">
        <v>4.0743589743589745E-4</v>
      </c>
      <c r="D38" s="11">
        <f>B38/'Real assumptions'!$B$30</f>
        <v>8.0192307692307681E-4</v>
      </c>
      <c r="E38" s="11">
        <f>C38/'Real assumptions'!$B$30</f>
        <v>4.0743589743589745E-4</v>
      </c>
      <c r="F38" s="84">
        <f t="shared" si="2"/>
        <v>9685.862365544157</v>
      </c>
      <c r="G38" s="84">
        <f t="shared" si="2"/>
        <v>9814.7740490657234</v>
      </c>
      <c r="H38" s="84">
        <v>96858.62</v>
      </c>
      <c r="I38" s="84">
        <v>98147.74</v>
      </c>
      <c r="J38" s="84">
        <v>4385125.54</v>
      </c>
      <c r="K38" s="84">
        <v>4785515.9399999995</v>
      </c>
      <c r="L38" s="11">
        <v>96858.62</v>
      </c>
      <c r="M38" s="11">
        <v>98147.74</v>
      </c>
    </row>
    <row r="39" spans="1:13" x14ac:dyDescent="0.2">
      <c r="A39" s="83">
        <v>37</v>
      </c>
      <c r="B39" s="11">
        <v>8.714102564102564E-4</v>
      </c>
      <c r="C39" s="11">
        <v>4.6179487179487182E-4</v>
      </c>
      <c r="D39" s="11">
        <f>B39/'Real assumptions'!$B$30</f>
        <v>8.714102564102564E-4</v>
      </c>
      <c r="E39" s="11">
        <f>C39/'Real assumptions'!$B$30</f>
        <v>4.6179487179487182E-4</v>
      </c>
      <c r="F39" s="84">
        <f t="shared" si="2"/>
        <v>9678.0950489933257</v>
      </c>
      <c r="G39" s="84">
        <f t="shared" si="2"/>
        <v>9810.7751577929121</v>
      </c>
      <c r="H39" s="84">
        <v>96780.95</v>
      </c>
      <c r="I39" s="84">
        <v>98107.75</v>
      </c>
      <c r="J39" s="84">
        <v>4288266.92</v>
      </c>
      <c r="K39" s="84">
        <v>4687368.1999999993</v>
      </c>
      <c r="L39" s="11">
        <v>96780.95</v>
      </c>
      <c r="M39" s="11">
        <v>98107.75</v>
      </c>
    </row>
    <row r="40" spans="1:13" x14ac:dyDescent="0.2">
      <c r="A40" s="83">
        <v>38</v>
      </c>
      <c r="B40" s="11">
        <v>9.4371794871794866E-4</v>
      </c>
      <c r="C40" s="11">
        <v>5.3269230769230759E-4</v>
      </c>
      <c r="D40" s="11">
        <f>B40/'Real assumptions'!$B$30</f>
        <v>9.4371794871794866E-4</v>
      </c>
      <c r="E40" s="11">
        <f>C40/'Real assumptions'!$B$30</f>
        <v>5.3269230769230759E-4</v>
      </c>
      <c r="F40" s="84">
        <f t="shared" si="2"/>
        <v>9669.6614577051205</v>
      </c>
      <c r="G40" s="84">
        <f t="shared" si="2"/>
        <v>9806.2445921367107</v>
      </c>
      <c r="H40" s="84">
        <v>96696.61</v>
      </c>
      <c r="I40" s="84">
        <v>98062.45</v>
      </c>
      <c r="J40" s="84">
        <v>4191485.97</v>
      </c>
      <c r="K40" s="84">
        <v>4589260.4499999993</v>
      </c>
      <c r="L40" s="11">
        <v>96696.61</v>
      </c>
      <c r="M40" s="11">
        <v>98062.45</v>
      </c>
    </row>
    <row r="41" spans="1:13" x14ac:dyDescent="0.2">
      <c r="A41" s="83">
        <v>39</v>
      </c>
      <c r="B41" s="11">
        <v>1.0202564102564102E-3</v>
      </c>
      <c r="C41" s="11">
        <v>6.1910256410256409E-4</v>
      </c>
      <c r="D41" s="11">
        <f>B41/'Real assumptions'!$B$30</f>
        <v>1.0202564102564102E-3</v>
      </c>
      <c r="E41" s="11">
        <f>C41/'Real assumptions'!$B$30</f>
        <v>6.1910256410256409E-4</v>
      </c>
      <c r="F41" s="84">
        <f t="shared" si="2"/>
        <v>9660.5360246294586</v>
      </c>
      <c r="G41" s="84">
        <f t="shared" si="2"/>
        <v>9801.0208810751301</v>
      </c>
      <c r="H41" s="84">
        <v>96605.36</v>
      </c>
      <c r="I41" s="84">
        <v>98010.21</v>
      </c>
      <c r="J41" s="84">
        <v>4094789.3600000003</v>
      </c>
      <c r="K41" s="84">
        <v>4491197.9999999991</v>
      </c>
      <c r="L41" s="11">
        <v>96605.36</v>
      </c>
      <c r="M41" s="11">
        <v>98010.21</v>
      </c>
    </row>
    <row r="42" spans="1:13" x14ac:dyDescent="0.2">
      <c r="A42" s="83">
        <v>40</v>
      </c>
      <c r="B42" s="11">
        <v>1.1048717948717948E-3</v>
      </c>
      <c r="C42" s="11">
        <v>7.1666666666666667E-4</v>
      </c>
      <c r="D42" s="11">
        <f>B42/'Real assumptions'!$B$30</f>
        <v>1.1048717948717948E-3</v>
      </c>
      <c r="E42" s="11">
        <f>C42/'Real assumptions'!$B$30</f>
        <v>7.1666666666666667E-4</v>
      </c>
      <c r="F42" s="84">
        <f t="shared" si="2"/>
        <v>9650.6798008238184</v>
      </c>
      <c r="G42" s="84">
        <f t="shared" si="2"/>
        <v>9794.9530439168338</v>
      </c>
      <c r="H42" s="84">
        <v>96506.8</v>
      </c>
      <c r="I42" s="84">
        <v>97949.53</v>
      </c>
      <c r="J42" s="84">
        <v>3998184.0000000005</v>
      </c>
      <c r="K42" s="84">
        <v>4393187.7899999991</v>
      </c>
      <c r="L42" s="11">
        <v>96506.8</v>
      </c>
      <c r="M42" s="11">
        <v>97949.53</v>
      </c>
    </row>
    <row r="43" spans="1:13" x14ac:dyDescent="0.2">
      <c r="A43" s="83">
        <v>41</v>
      </c>
      <c r="B43" s="11">
        <v>1.202948717948718E-3</v>
      </c>
      <c r="C43" s="11">
        <v>8.1961538461538456E-4</v>
      </c>
      <c r="D43" s="11">
        <f>B43/'Real assumptions'!$B$30</f>
        <v>1.202948717948718E-3</v>
      </c>
      <c r="E43" s="11">
        <f>C43/'Real assumptions'!$B$30</f>
        <v>8.1961538461538456E-4</v>
      </c>
      <c r="F43" s="84">
        <f t="shared" si="2"/>
        <v>9640.017036910549</v>
      </c>
      <c r="G43" s="84">
        <f t="shared" si="2"/>
        <v>9787.9333275686931</v>
      </c>
      <c r="H43" s="84">
        <v>96400.17</v>
      </c>
      <c r="I43" s="84">
        <v>97879.33</v>
      </c>
      <c r="J43" s="84">
        <v>3901677.2000000007</v>
      </c>
      <c r="K43" s="84">
        <v>4295238.2599999988</v>
      </c>
      <c r="L43" s="11">
        <v>96400.17</v>
      </c>
      <c r="M43" s="11">
        <v>97879.33</v>
      </c>
    </row>
    <row r="44" spans="1:13" x14ac:dyDescent="0.2">
      <c r="A44" s="83">
        <v>42</v>
      </c>
      <c r="B44" s="11">
        <v>1.319358974358974E-3</v>
      </c>
      <c r="C44" s="11">
        <v>9.2346153846153847E-4</v>
      </c>
      <c r="D44" s="11">
        <f>B44/'Real assumptions'!$B$30</f>
        <v>1.319358974358974E-3</v>
      </c>
      <c r="E44" s="11">
        <f>C44/'Real assumptions'!$B$30</f>
        <v>9.2346153846153847E-4</v>
      </c>
      <c r="F44" s="84">
        <f t="shared" si="2"/>
        <v>9628.4205907749947</v>
      </c>
      <c r="G44" s="84">
        <f t="shared" si="2"/>
        <v>9779.9109868298274</v>
      </c>
      <c r="H44" s="84">
        <v>96284.21</v>
      </c>
      <c r="I44" s="84">
        <v>97799.11</v>
      </c>
      <c r="J44" s="84">
        <v>3805277.0300000007</v>
      </c>
      <c r="K44" s="84">
        <v>4197358.9299999988</v>
      </c>
      <c r="L44" s="11">
        <v>96284.21</v>
      </c>
      <c r="M44" s="11">
        <v>97799.11</v>
      </c>
    </row>
    <row r="45" spans="1:13" x14ac:dyDescent="0.2">
      <c r="A45" s="83">
        <v>43</v>
      </c>
      <c r="B45" s="11">
        <v>1.4564102564102561E-3</v>
      </c>
      <c r="C45" s="11">
        <v>1.0264102564102563E-3</v>
      </c>
      <c r="D45" s="11">
        <f>B45/'Real assumptions'!$B$30</f>
        <v>1.4564102564102561E-3</v>
      </c>
      <c r="E45" s="11">
        <f>C45/'Real assumptions'!$B$30</f>
        <v>1.0264102564102563E-3</v>
      </c>
      <c r="F45" s="84">
        <f t="shared" si="2"/>
        <v>9615.7172476596534</v>
      </c>
      <c r="G45" s="84">
        <f t="shared" si="2"/>
        <v>9770.8796151839124</v>
      </c>
      <c r="H45" s="84">
        <v>96157.17</v>
      </c>
      <c r="I45" s="84">
        <v>97708.800000000003</v>
      </c>
      <c r="J45" s="84">
        <v>3708992.8200000008</v>
      </c>
      <c r="K45" s="84">
        <v>4099559.8199999989</v>
      </c>
      <c r="L45" s="11">
        <v>96157.17</v>
      </c>
      <c r="M45" s="11">
        <v>97708.800000000003</v>
      </c>
    </row>
    <row r="46" spans="1:13" x14ac:dyDescent="0.2">
      <c r="A46" s="83">
        <v>44</v>
      </c>
      <c r="B46" s="11">
        <v>1.6134615384615382E-3</v>
      </c>
      <c r="C46" s="11">
        <v>1.1288461538461539E-3</v>
      </c>
      <c r="D46" s="11">
        <f>B46/'Real assumptions'!$B$30</f>
        <v>1.6134615384615382E-3</v>
      </c>
      <c r="E46" s="11">
        <f>C46/'Real assumptions'!$B$30</f>
        <v>1.1288461538461539E-3</v>
      </c>
      <c r="F46" s="84">
        <f t="shared" si="2"/>
        <v>9601.7128184374196</v>
      </c>
      <c r="G46" s="84">
        <f t="shared" si="2"/>
        <v>9760.850684132738</v>
      </c>
      <c r="H46" s="84">
        <v>96017.13</v>
      </c>
      <c r="I46" s="84">
        <v>97608.51</v>
      </c>
      <c r="J46" s="84">
        <v>3612835.6500000008</v>
      </c>
      <c r="K46" s="84">
        <v>4001851.0199999991</v>
      </c>
      <c r="L46" s="11">
        <v>96017.13</v>
      </c>
      <c r="M46" s="11">
        <v>97608.51</v>
      </c>
    </row>
    <row r="47" spans="1:13" x14ac:dyDescent="0.2">
      <c r="A47" s="83">
        <v>45</v>
      </c>
      <c r="B47" s="11">
        <v>1.7883333333333334E-3</v>
      </c>
      <c r="C47" s="11">
        <v>1.2329487179487178E-3</v>
      </c>
      <c r="D47" s="11">
        <f>B47/'Real assumptions'!$B$30</f>
        <v>1.7883333333333334E-3</v>
      </c>
      <c r="E47" s="11">
        <f>C47/'Real assumptions'!$B$30</f>
        <v>1.2329487179487178E-3</v>
      </c>
      <c r="F47" s="84">
        <f t="shared" si="2"/>
        <v>9586.2208241015178</v>
      </c>
      <c r="G47" s="84">
        <f t="shared" si="2"/>
        <v>9749.8321853796879</v>
      </c>
      <c r="H47" s="84">
        <v>95862.21</v>
      </c>
      <c r="I47" s="84">
        <v>97498.32</v>
      </c>
      <c r="J47" s="84">
        <v>3516818.5200000009</v>
      </c>
      <c r="K47" s="84">
        <v>3904242.5099999993</v>
      </c>
      <c r="L47" s="11">
        <v>95862.21</v>
      </c>
      <c r="M47" s="11">
        <v>97498.32</v>
      </c>
    </row>
    <row r="48" spans="1:13" x14ac:dyDescent="0.2">
      <c r="A48" s="83">
        <v>46</v>
      </c>
      <c r="B48" s="11">
        <v>1.98E-3</v>
      </c>
      <c r="C48" s="11">
        <v>1.3406410256410258E-3</v>
      </c>
      <c r="D48" s="11">
        <f>B48/'Real assumptions'!$B$30</f>
        <v>1.98E-3</v>
      </c>
      <c r="E48" s="11">
        <f>C48/'Real assumptions'!$B$30</f>
        <v>1.3406410256410258E-3</v>
      </c>
      <c r="F48" s="84">
        <f t="shared" si="2"/>
        <v>9569.0774658610826</v>
      </c>
      <c r="G48" s="84">
        <f t="shared" si="2"/>
        <v>9737.8111422865077</v>
      </c>
      <c r="H48" s="84">
        <v>95690.77</v>
      </c>
      <c r="I48" s="84">
        <v>97378.11</v>
      </c>
      <c r="J48" s="84">
        <v>3420956.310000001</v>
      </c>
      <c r="K48" s="84">
        <v>3806744.1899999995</v>
      </c>
      <c r="L48" s="11">
        <v>95690.77</v>
      </c>
      <c r="M48" s="11">
        <v>97378.11</v>
      </c>
    </row>
    <row r="49" spans="1:14" x14ac:dyDescent="0.2">
      <c r="A49" s="83">
        <v>47</v>
      </c>
      <c r="B49" s="11">
        <v>2.1921794871794871E-3</v>
      </c>
      <c r="C49" s="11">
        <v>1.4558974358974356E-3</v>
      </c>
      <c r="D49" s="11">
        <f>B49/'Real assumptions'!$B$30</f>
        <v>2.1921794871794871E-3</v>
      </c>
      <c r="E49" s="11">
        <f>C49/'Real assumptions'!$B$30</f>
        <v>1.4558974358974356E-3</v>
      </c>
      <c r="F49" s="84">
        <f t="shared" si="2"/>
        <v>9550.1306924786786</v>
      </c>
      <c r="G49" s="84">
        <f t="shared" si="2"/>
        <v>9724.7562331692134</v>
      </c>
      <c r="H49" s="84">
        <v>95501.31</v>
      </c>
      <c r="I49" s="84">
        <v>97247.56</v>
      </c>
      <c r="J49" s="84">
        <v>3325265.540000001</v>
      </c>
      <c r="K49" s="84">
        <v>3709366.0799999996</v>
      </c>
      <c r="L49" s="11">
        <v>95501.31</v>
      </c>
      <c r="M49" s="11">
        <v>97247.56</v>
      </c>
      <c r="N49" s="11">
        <f>'[1]Premiums Rate'!$C$53/0.75</f>
        <v>3.6571761561286467E-3</v>
      </c>
    </row>
    <row r="50" spans="1:14" x14ac:dyDescent="0.2">
      <c r="A50" s="83">
        <v>48</v>
      </c>
      <c r="B50" s="11">
        <v>2.4308974358974358E-3</v>
      </c>
      <c r="C50" s="11">
        <v>1.5841025641025641E-3</v>
      </c>
      <c r="D50" s="11">
        <f>B50/'Real assumptions'!$B$30</f>
        <v>2.4308974358974358E-3</v>
      </c>
      <c r="E50" s="11">
        <f>C50/'Real assumptions'!$B$30</f>
        <v>1.5841025641025641E-3</v>
      </c>
      <c r="F50" s="84">
        <f t="shared" si="2"/>
        <v>9529.1950918747425</v>
      </c>
      <c r="G50" s="84">
        <f t="shared" si="2"/>
        <v>9710.5979855046153</v>
      </c>
      <c r="H50" s="84">
        <v>95291.95</v>
      </c>
      <c r="I50" s="84">
        <v>97105.98</v>
      </c>
      <c r="J50" s="84">
        <v>3229764.2300000009</v>
      </c>
      <c r="K50" s="84">
        <v>3612118.5199999996</v>
      </c>
      <c r="L50" s="11">
        <v>95291.95</v>
      </c>
      <c r="M50" s="11">
        <v>97105.98</v>
      </c>
    </row>
    <row r="51" spans="1:14" x14ac:dyDescent="0.2">
      <c r="A51" s="83">
        <v>49</v>
      </c>
      <c r="B51" s="11">
        <v>2.7024358974358973E-3</v>
      </c>
      <c r="C51" s="11">
        <v>1.7314102564102566E-3</v>
      </c>
      <c r="D51" s="11">
        <f>B51/'Real assumptions'!$B$30</f>
        <v>2.7024358974358973E-3</v>
      </c>
      <c r="E51" s="11">
        <f>C51/'Real assumptions'!$B$30</f>
        <v>1.7314102564102566E-3</v>
      </c>
      <c r="F51" s="84">
        <f t="shared" si="2"/>
        <v>9506.0305959597372</v>
      </c>
      <c r="G51" s="84">
        <f t="shared" si="2"/>
        <v>9695.2154023368075</v>
      </c>
      <c r="H51" s="84">
        <v>95060.31</v>
      </c>
      <c r="I51" s="84">
        <v>96952.15</v>
      </c>
      <c r="J51" s="84">
        <v>3134472.2800000007</v>
      </c>
      <c r="K51" s="84">
        <v>3515012.5399999996</v>
      </c>
      <c r="L51" s="11">
        <v>95060.31</v>
      </c>
      <c r="M51" s="11">
        <v>96952.15</v>
      </c>
    </row>
    <row r="52" spans="1:14" x14ac:dyDescent="0.2">
      <c r="A52" s="83">
        <v>50</v>
      </c>
      <c r="B52" s="11">
        <v>3.008589743589743E-3</v>
      </c>
      <c r="C52" s="11">
        <v>1.9041025641025641E-3</v>
      </c>
      <c r="D52" s="11">
        <f>B52/'Real assumptions'!$B$30</f>
        <v>3.008589743589743E-3</v>
      </c>
      <c r="E52" s="11">
        <f>C52/'Real assumptions'!$B$30</f>
        <v>1.9041025641025641E-3</v>
      </c>
      <c r="F52" s="84">
        <f t="shared" ref="F52:G67" si="3">F51*(1-B51)</f>
        <v>9480.3411576350918</v>
      </c>
      <c r="G52" s="84">
        <f t="shared" si="3"/>
        <v>9678.4290069510953</v>
      </c>
      <c r="H52" s="84">
        <v>94803.41</v>
      </c>
      <c r="I52" s="84">
        <v>96784.29</v>
      </c>
      <c r="J52" s="84">
        <v>3039411.9700000007</v>
      </c>
      <c r="K52" s="84">
        <v>3418060.3899999997</v>
      </c>
      <c r="L52" s="11">
        <v>94803.41</v>
      </c>
      <c r="M52" s="11">
        <v>96784.29</v>
      </c>
    </row>
    <row r="53" spans="1:14" x14ac:dyDescent="0.2">
      <c r="A53" s="83">
        <v>51</v>
      </c>
      <c r="B53" s="11">
        <v>3.3453846153846151E-3</v>
      </c>
      <c r="C53" s="11">
        <v>2.1078205128205124E-3</v>
      </c>
      <c r="D53" s="11">
        <f>B53/'Real assumptions'!$B$30</f>
        <v>3.3453846153846151E-3</v>
      </c>
      <c r="E53" s="11">
        <f>C53/'Real assumptions'!$B$30</f>
        <v>2.1078205128205124E-3</v>
      </c>
      <c r="F53" s="84">
        <f t="shared" si="3"/>
        <v>9451.8187004624997</v>
      </c>
      <c r="G53" s="84">
        <f t="shared" si="3"/>
        <v>9660.0002854624745</v>
      </c>
      <c r="H53" s="84">
        <v>94518.19</v>
      </c>
      <c r="I53" s="84">
        <v>96600</v>
      </c>
      <c r="J53" s="84">
        <v>2944608.5600000005</v>
      </c>
      <c r="K53" s="84">
        <v>3321276.0999999996</v>
      </c>
      <c r="L53" s="11">
        <v>94518.19</v>
      </c>
      <c r="M53" s="11">
        <v>96600</v>
      </c>
    </row>
    <row r="54" spans="1:14" x14ac:dyDescent="0.2">
      <c r="A54" s="83">
        <v>52</v>
      </c>
      <c r="B54" s="11">
        <v>3.7060256410256409E-3</v>
      </c>
      <c r="C54" s="11">
        <v>2.3458974358974362E-3</v>
      </c>
      <c r="D54" s="11">
        <f>B54/'Real assumptions'!$B$30</f>
        <v>3.7060256410256409E-3</v>
      </c>
      <c r="E54" s="11">
        <f>C54/'Real assumptions'!$B$30</f>
        <v>2.3458974358974362E-3</v>
      </c>
      <c r="F54" s="84">
        <f t="shared" si="3"/>
        <v>9420.198731594568</v>
      </c>
      <c r="G54" s="84">
        <f t="shared" si="3"/>
        <v>9639.6387387069244</v>
      </c>
      <c r="H54" s="84">
        <v>94201.99</v>
      </c>
      <c r="I54" s="84">
        <v>96396.39</v>
      </c>
      <c r="J54" s="84">
        <v>2850090.3700000006</v>
      </c>
      <c r="K54" s="84">
        <v>3224676.0999999996</v>
      </c>
      <c r="L54" s="11">
        <v>94201.99</v>
      </c>
      <c r="M54" s="11">
        <v>96396.39</v>
      </c>
    </row>
    <row r="55" spans="1:14" x14ac:dyDescent="0.2">
      <c r="A55" s="83">
        <v>53</v>
      </c>
      <c r="B55" s="11">
        <v>4.0861538461538461E-3</v>
      </c>
      <c r="C55" s="11">
        <v>2.6170512820512821E-3</v>
      </c>
      <c r="D55" s="11">
        <f>B55/'Real assumptions'!$B$30</f>
        <v>4.0861538461538461E-3</v>
      </c>
      <c r="E55" s="11">
        <f>C55/'Real assumptions'!$B$30</f>
        <v>2.6170512820512821E-3</v>
      </c>
      <c r="F55" s="84">
        <f t="shared" si="3"/>
        <v>9385.2872335517222</v>
      </c>
      <c r="G55" s="84">
        <f t="shared" si="3"/>
        <v>9617.0251349068149</v>
      </c>
      <c r="H55" s="84">
        <v>93852.87</v>
      </c>
      <c r="I55" s="84">
        <v>96170.25</v>
      </c>
      <c r="J55" s="84">
        <v>2755888.3800000004</v>
      </c>
      <c r="K55" s="84">
        <v>3128279.7099999995</v>
      </c>
      <c r="L55" s="11">
        <v>93852.87</v>
      </c>
      <c r="M55" s="11">
        <v>96170.25</v>
      </c>
    </row>
    <row r="56" spans="1:14" x14ac:dyDescent="0.2">
      <c r="A56" s="83">
        <v>54</v>
      </c>
      <c r="B56" s="11">
        <v>4.4902564102564102E-3</v>
      </c>
      <c r="C56" s="11">
        <v>2.9155128205128203E-3</v>
      </c>
      <c r="D56" s="11">
        <f>B56/'Real assumptions'!$B$30</f>
        <v>4.4902564102564102E-3</v>
      </c>
      <c r="E56" s="11">
        <f>C56/'Real assumptions'!$B$30</f>
        <v>2.9155128205128203E-3</v>
      </c>
      <c r="F56" s="84">
        <f t="shared" si="3"/>
        <v>9346.9375060250859</v>
      </c>
      <c r="G56" s="84">
        <f t="shared" si="3"/>
        <v>9591.8568869479877</v>
      </c>
      <c r="H56" s="84">
        <v>93469.38</v>
      </c>
      <c r="I56" s="84">
        <v>95918.57</v>
      </c>
      <c r="J56" s="84">
        <v>2662035.5100000002</v>
      </c>
      <c r="K56" s="84">
        <v>3032109.4599999995</v>
      </c>
      <c r="L56" s="11">
        <v>93469.38</v>
      </c>
      <c r="M56" s="11">
        <v>95918.57</v>
      </c>
    </row>
    <row r="57" spans="1:14" x14ac:dyDescent="0.2">
      <c r="A57" s="83">
        <v>55</v>
      </c>
      <c r="B57" s="11">
        <v>4.930128205128205E-3</v>
      </c>
      <c r="C57" s="11">
        <v>3.235E-3</v>
      </c>
      <c r="D57" s="11">
        <f>B57/'Real assumptions'!$B$30</f>
        <v>4.930128205128205E-3</v>
      </c>
      <c r="E57" s="11">
        <f>C57/'Real assumptions'!$B$30</f>
        <v>3.235E-3</v>
      </c>
      <c r="F57" s="84">
        <f t="shared" si="3"/>
        <v>9304.9673599723901</v>
      </c>
      <c r="G57" s="84">
        <f t="shared" si="3"/>
        <v>9563.8917052215675</v>
      </c>
      <c r="H57" s="84">
        <v>93049.67</v>
      </c>
      <c r="I57" s="84">
        <v>95638.92</v>
      </c>
      <c r="J57" s="84">
        <v>2568566.1300000004</v>
      </c>
      <c r="K57" s="84">
        <v>2936190.8899999997</v>
      </c>
      <c r="L57" s="11">
        <v>93049.67</v>
      </c>
      <c r="M57" s="11">
        <v>95638.92</v>
      </c>
    </row>
    <row r="58" spans="1:14" x14ac:dyDescent="0.2">
      <c r="A58" s="83">
        <v>56</v>
      </c>
      <c r="B58" s="11">
        <v>5.4173076923076926E-3</v>
      </c>
      <c r="C58" s="11">
        <v>3.5684615384615377E-3</v>
      </c>
      <c r="D58" s="11">
        <f>B58/'Real assumptions'!$B$30</f>
        <v>5.4173076923076926E-3</v>
      </c>
      <c r="E58" s="11">
        <f>C58/'Real assumptions'!$B$30</f>
        <v>3.5684615384615377E-3</v>
      </c>
      <c r="F58" s="84">
        <f t="shared" si="3"/>
        <v>9259.0926779431938</v>
      </c>
      <c r="G58" s="84">
        <f t="shared" si="3"/>
        <v>9532.9525155551764</v>
      </c>
      <c r="H58" s="84">
        <v>92590.93</v>
      </c>
      <c r="I58" s="84">
        <v>95329.53</v>
      </c>
      <c r="J58" s="84">
        <v>2475516.4600000004</v>
      </c>
      <c r="K58" s="84">
        <v>2840551.9699999997</v>
      </c>
      <c r="L58" s="11">
        <v>92590.93</v>
      </c>
      <c r="M58" s="11">
        <v>95329.53</v>
      </c>
    </row>
    <row r="59" spans="1:14" x14ac:dyDescent="0.2">
      <c r="A59" s="83">
        <v>57</v>
      </c>
      <c r="B59" s="11">
        <v>5.9537179487179487E-3</v>
      </c>
      <c r="C59" s="11">
        <v>3.9073076923076926E-3</v>
      </c>
      <c r="D59" s="11">
        <f>B59/'Real assumptions'!$B$30</f>
        <v>5.9537179487179487E-3</v>
      </c>
      <c r="E59" s="11">
        <f>C59/'Real assumptions'!$B$30</f>
        <v>3.9073076923076926E-3</v>
      </c>
      <c r="F59" s="84">
        <f t="shared" si="3"/>
        <v>9208.9333239551834</v>
      </c>
      <c r="G59" s="84">
        <f t="shared" si="3"/>
        <v>9498.9345411554368</v>
      </c>
      <c r="H59" s="84">
        <v>92089.33</v>
      </c>
      <c r="I59" s="84">
        <v>94989.35</v>
      </c>
      <c r="J59" s="84">
        <v>2382925.5300000003</v>
      </c>
      <c r="K59" s="84">
        <v>2745222.44</v>
      </c>
      <c r="L59" s="11">
        <v>92089.33</v>
      </c>
      <c r="M59" s="11">
        <v>94989.35</v>
      </c>
    </row>
    <row r="60" spans="1:14" x14ac:dyDescent="0.2">
      <c r="A60" s="83">
        <v>58</v>
      </c>
      <c r="B60" s="11">
        <v>6.5284615384615377E-3</v>
      </c>
      <c r="C60" s="11">
        <v>4.2407692307692311E-3</v>
      </c>
      <c r="D60" s="11">
        <f>B60/'Real assumptions'!$B$30</f>
        <v>6.5284615384615377E-3</v>
      </c>
      <c r="E60" s="11">
        <f>C60/'Real assumptions'!$B$30</f>
        <v>4.2407692307692311E-3</v>
      </c>
      <c r="F60" s="84">
        <f t="shared" si="3"/>
        <v>9154.1059323358058</v>
      </c>
      <c r="G60" s="84">
        <f t="shared" si="3"/>
        <v>9461.8192811540521</v>
      </c>
      <c r="H60" s="84">
        <v>91541.06</v>
      </c>
      <c r="I60" s="84">
        <v>94618.19</v>
      </c>
      <c r="J60" s="84">
        <v>2290836.2000000002</v>
      </c>
      <c r="K60" s="84">
        <v>2650233.09</v>
      </c>
      <c r="L60" s="11">
        <v>91541.06</v>
      </c>
      <c r="M60" s="11">
        <v>94618.19</v>
      </c>
    </row>
    <row r="61" spans="1:14" x14ac:dyDescent="0.2">
      <c r="A61" s="83">
        <v>59</v>
      </c>
      <c r="B61" s="11">
        <v>7.1228205128205119E-3</v>
      </c>
      <c r="C61" s="11">
        <v>4.5591025641025639E-3</v>
      </c>
      <c r="D61" s="11">
        <f>B61/'Real assumptions'!$B$30</f>
        <v>7.1228205128205119E-3</v>
      </c>
      <c r="E61" s="11">
        <f>C61/'Real assumptions'!$B$30</f>
        <v>4.5591025641025639E-3</v>
      </c>
      <c r="F61" s="84">
        <f t="shared" si="3"/>
        <v>9094.3437038375487</v>
      </c>
      <c r="G61" s="84">
        <f t="shared" si="3"/>
        <v>9421.6938890794354</v>
      </c>
      <c r="H61" s="84">
        <v>90943.44</v>
      </c>
      <c r="I61" s="84">
        <v>94216.94</v>
      </c>
      <c r="J61" s="84">
        <v>2199295.14</v>
      </c>
      <c r="K61" s="84">
        <v>2555614.9</v>
      </c>
      <c r="L61" s="11">
        <v>90943.44</v>
      </c>
      <c r="M61" s="11">
        <v>94216.94</v>
      </c>
    </row>
    <row r="62" spans="1:14" x14ac:dyDescent="0.2">
      <c r="A62" s="83">
        <v>60</v>
      </c>
      <c r="B62" s="11">
        <v>7.7161538461538457E-3</v>
      </c>
      <c r="C62" s="11">
        <v>4.857307692307692E-3</v>
      </c>
      <c r="D62" s="11">
        <f>B62/'Real assumptions'!$B$30</f>
        <v>7.7161538461538457E-3</v>
      </c>
      <c r="E62" s="11">
        <f>C62/'Real assumptions'!$B$30</f>
        <v>4.857307692307692E-3</v>
      </c>
      <c r="F62" s="84">
        <f t="shared" si="3"/>
        <v>9029.5663259532139</v>
      </c>
      <c r="G62" s="84">
        <f t="shared" si="3"/>
        <v>9378.7394203115437</v>
      </c>
      <c r="H62" s="84">
        <v>90295.66</v>
      </c>
      <c r="I62" s="84">
        <v>93787.39</v>
      </c>
      <c r="J62" s="84">
        <v>2108351.7000000002</v>
      </c>
      <c r="K62" s="84">
        <v>2461397.96</v>
      </c>
      <c r="L62" s="11">
        <v>90295.66</v>
      </c>
      <c r="M62" s="11">
        <v>93787.39</v>
      </c>
    </row>
    <row r="63" spans="1:14" x14ac:dyDescent="0.2">
      <c r="A63" s="83">
        <v>61</v>
      </c>
      <c r="B63" s="11">
        <v>8.2965384615384611E-3</v>
      </c>
      <c r="C63" s="11">
        <v>5.1396153846153831E-3</v>
      </c>
      <c r="D63" s="11">
        <f>B63/'Real assumptions'!$B$30</f>
        <v>8.2965384615384611E-3</v>
      </c>
      <c r="E63" s="11">
        <f>C63/'Real assumptions'!$B$30</f>
        <v>5.1396153846153831E-3</v>
      </c>
      <c r="F63" s="84">
        <f t="shared" si="3"/>
        <v>8959.8928030181087</v>
      </c>
      <c r="G63" s="84">
        <f t="shared" si="3"/>
        <v>9333.183997181115</v>
      </c>
      <c r="H63" s="84">
        <v>89598.93</v>
      </c>
      <c r="I63" s="84">
        <v>93331.839999999997</v>
      </c>
      <c r="J63" s="84">
        <v>2018056.04</v>
      </c>
      <c r="K63" s="84">
        <v>2367610.5699999998</v>
      </c>
      <c r="L63" s="11">
        <v>89598.93</v>
      </c>
      <c r="M63" s="11">
        <v>93331.839999999997</v>
      </c>
    </row>
    <row r="64" spans="1:14" x14ac:dyDescent="0.2">
      <c r="A64" s="83">
        <v>62</v>
      </c>
      <c r="B64" s="11">
        <v>8.8687179487179496E-3</v>
      </c>
      <c r="C64" s="11">
        <v>5.4211538461538464E-3</v>
      </c>
      <c r="D64" s="11">
        <f>B64/'Real assumptions'!$B$30</f>
        <v>8.8687179487179496E-3</v>
      </c>
      <c r="E64" s="11">
        <f>C64/'Real assumptions'!$B$30</f>
        <v>5.4211538461538464E-3</v>
      </c>
      <c r="F64" s="84">
        <f t="shared" si="3"/>
        <v>8885.5567077666074</v>
      </c>
      <c r="G64" s="84">
        <f t="shared" si="3"/>
        <v>9285.2150211217577</v>
      </c>
      <c r="H64" s="84">
        <v>88855.57</v>
      </c>
      <c r="I64" s="84">
        <v>92852.15</v>
      </c>
      <c r="J64" s="84">
        <v>1928457.11</v>
      </c>
      <c r="K64" s="84">
        <v>2274278.73</v>
      </c>
      <c r="L64" s="11">
        <v>88855.57</v>
      </c>
      <c r="M64" s="11">
        <v>92852.15</v>
      </c>
    </row>
    <row r="65" spans="1:13" x14ac:dyDescent="0.2">
      <c r="A65" s="83">
        <v>63</v>
      </c>
      <c r="B65" s="11">
        <v>9.4552564102564091E-3</v>
      </c>
      <c r="C65" s="11">
        <v>5.722692307692308E-3</v>
      </c>
      <c r="D65" s="11">
        <f>B65/'Real assumptions'!$B$30</f>
        <v>9.4552564102564091E-3</v>
      </c>
      <c r="E65" s="11">
        <f>C65/'Real assumptions'!$B$30</f>
        <v>5.722692307692308E-3</v>
      </c>
      <c r="F65" s="84">
        <f t="shared" si="3"/>
        <v>8806.7532115080867</v>
      </c>
      <c r="G65" s="84">
        <f t="shared" si="3"/>
        <v>9234.8784419976382</v>
      </c>
      <c r="H65" s="84">
        <v>88067.53</v>
      </c>
      <c r="I65" s="84">
        <v>92348.78</v>
      </c>
      <c r="J65" s="84">
        <v>1839601.54</v>
      </c>
      <c r="K65" s="84">
        <v>2181426.58</v>
      </c>
      <c r="L65" s="11">
        <v>88067.53</v>
      </c>
      <c r="M65" s="11">
        <v>92348.78</v>
      </c>
    </row>
    <row r="66" spans="1:13" x14ac:dyDescent="0.2">
      <c r="A66" s="83">
        <v>64</v>
      </c>
      <c r="B66" s="11">
        <v>9.9767948717948713E-3</v>
      </c>
      <c r="C66" s="11">
        <v>6.064102564102565E-3</v>
      </c>
      <c r="D66" s="11">
        <f>B66/'Real assumptions'!$B$30</f>
        <v>9.9767948717948713E-3</v>
      </c>
      <c r="E66" s="11">
        <f>C66/'Real assumptions'!$B$30</f>
        <v>6.064102564102565E-3</v>
      </c>
      <c r="F66" s="84">
        <f t="shared" si="3"/>
        <v>8723.483101751428</v>
      </c>
      <c r="G66" s="84">
        <f t="shared" si="3"/>
        <v>9182.0300741751453</v>
      </c>
      <c r="H66" s="84">
        <v>87234.83</v>
      </c>
      <c r="I66" s="84">
        <v>91820.3</v>
      </c>
      <c r="J66" s="84">
        <v>1751534.01</v>
      </c>
      <c r="K66" s="84">
        <v>2089077.8000000003</v>
      </c>
      <c r="L66" s="11">
        <v>87234.83</v>
      </c>
      <c r="M66" s="11">
        <v>91820.3</v>
      </c>
    </row>
    <row r="67" spans="1:13" x14ac:dyDescent="0.2">
      <c r="A67" s="83">
        <v>65</v>
      </c>
      <c r="B67" s="11">
        <v>1.0828205128205128E-2</v>
      </c>
      <c r="C67" s="11">
        <v>6.4612820512820503E-3</v>
      </c>
      <c r="D67" s="11">
        <f>B67/'Real assumptions'!$B$30</f>
        <v>1.0828205128205128E-2</v>
      </c>
      <c r="E67" s="11">
        <f>C67/'Real assumptions'!$B$30</f>
        <v>6.4612820512820503E-3</v>
      </c>
      <c r="F67" s="84">
        <f t="shared" si="3"/>
        <v>8636.4507002776845</v>
      </c>
      <c r="G67" s="84">
        <f t="shared" si="3"/>
        <v>9126.349302058672</v>
      </c>
      <c r="H67" s="84">
        <v>86364.51</v>
      </c>
      <c r="I67" s="84">
        <v>91263.49</v>
      </c>
      <c r="J67" s="84">
        <v>1664299.18</v>
      </c>
      <c r="K67" s="84">
        <v>1997257.5000000002</v>
      </c>
      <c r="L67" s="11">
        <v>86364.51</v>
      </c>
      <c r="M67" s="11">
        <v>91263.49</v>
      </c>
    </row>
    <row r="68" spans="1:13" x14ac:dyDescent="0.2">
      <c r="A68" s="83">
        <v>66</v>
      </c>
      <c r="B68" s="11">
        <v>1.0438461538461539E-2</v>
      </c>
      <c r="C68" s="11">
        <v>6.9271794871794872E-3</v>
      </c>
      <c r="D68" s="11">
        <f>B68/'Real assumptions'!$B$30</f>
        <v>1.0438461538461539E-2</v>
      </c>
      <c r="E68" s="11">
        <f>C68/'Real assumptions'!$B$30</f>
        <v>6.9271794871794872E-3</v>
      </c>
      <c r="F68" s="84">
        <f t="shared" ref="F68:G83" si="4">F67*(1-B67)</f>
        <v>8542.9334405154459</v>
      </c>
      <c r="G68" s="84">
        <f t="shared" si="4"/>
        <v>9067.38138511955</v>
      </c>
      <c r="H68" s="84">
        <v>85429.33</v>
      </c>
      <c r="I68" s="84">
        <v>90673.81</v>
      </c>
      <c r="J68" s="84">
        <v>1577934.67</v>
      </c>
      <c r="K68" s="84">
        <v>1905994.0100000002</v>
      </c>
      <c r="L68" s="11">
        <v>85429.33</v>
      </c>
      <c r="M68" s="11">
        <v>90673.81</v>
      </c>
    </row>
    <row r="69" spans="1:13" x14ac:dyDescent="0.2">
      <c r="A69" s="83">
        <v>67</v>
      </c>
      <c r="B69" s="11">
        <v>1.282653846153846E-2</v>
      </c>
      <c r="C69" s="11">
        <v>7.4728205128205133E-3</v>
      </c>
      <c r="D69" s="11">
        <f>B69/'Real assumptions'!$B$30</f>
        <v>1.282653846153846E-2</v>
      </c>
      <c r="E69" s="11">
        <f>C69/'Real assumptions'!$B$30</f>
        <v>7.4728205128205133E-3</v>
      </c>
      <c r="F69" s="84">
        <f t="shared" si="4"/>
        <v>8453.7583583709893</v>
      </c>
      <c r="G69" s="84">
        <f t="shared" si="4"/>
        <v>9004.5700067861162</v>
      </c>
      <c r="H69" s="84">
        <v>84537.58</v>
      </c>
      <c r="I69" s="84">
        <v>90045.7</v>
      </c>
      <c r="J69" s="84">
        <v>1492505.3399999999</v>
      </c>
      <c r="K69" s="84">
        <v>1815320.2000000002</v>
      </c>
      <c r="L69" s="11">
        <v>84537.58</v>
      </c>
      <c r="M69" s="11">
        <v>90045.7</v>
      </c>
    </row>
    <row r="70" spans="1:13" x14ac:dyDescent="0.2">
      <c r="A70" s="83">
        <v>68</v>
      </c>
      <c r="B70" s="11">
        <v>1.4196794871794871E-2</v>
      </c>
      <c r="C70" s="11">
        <v>8.1107692307692304E-3</v>
      </c>
      <c r="D70" s="11">
        <f>B70/'Real assumptions'!$B$30</f>
        <v>1.4196794871794871E-2</v>
      </c>
      <c r="E70" s="11">
        <f>C70/'Real assumptions'!$B$30</f>
        <v>8.1107692307692304E-3</v>
      </c>
      <c r="F70" s="84">
        <f t="shared" si="4"/>
        <v>8345.325901642791</v>
      </c>
      <c r="G70" s="84">
        <f t="shared" si="4"/>
        <v>8937.2804713302776</v>
      </c>
      <c r="H70" s="84">
        <v>83453.259999999995</v>
      </c>
      <c r="I70" s="84">
        <v>89372.800000000003</v>
      </c>
      <c r="J70" s="84">
        <v>1407967.7599999998</v>
      </c>
      <c r="K70" s="84">
        <v>1725274.5000000002</v>
      </c>
      <c r="L70" s="11">
        <v>83453.259999999995</v>
      </c>
      <c r="M70" s="11">
        <v>89372.800000000003</v>
      </c>
    </row>
    <row r="71" spans="1:13" x14ac:dyDescent="0.2">
      <c r="A71" s="83">
        <v>69</v>
      </c>
      <c r="B71" s="11">
        <v>1.5872051282051283E-2</v>
      </c>
      <c r="C71" s="11">
        <v>8.8575641025641014E-3</v>
      </c>
      <c r="D71" s="11">
        <f>B71/'Real assumptions'!$B$30</f>
        <v>1.5872051282051283E-2</v>
      </c>
      <c r="E71" s="11">
        <f>C71/'Real assumptions'!$B$30</f>
        <v>8.8575641025641014E-3</v>
      </c>
      <c r="F71" s="84">
        <f t="shared" si="4"/>
        <v>8226.8490216788905</v>
      </c>
      <c r="G71" s="84">
        <f t="shared" si="4"/>
        <v>8864.7922518766572</v>
      </c>
      <c r="H71" s="84">
        <v>82268.490000000005</v>
      </c>
      <c r="I71" s="84">
        <v>88647.92</v>
      </c>
      <c r="J71" s="84">
        <v>1324514.4999999998</v>
      </c>
      <c r="K71" s="84">
        <v>1635901.7000000002</v>
      </c>
      <c r="L71" s="11">
        <v>82268.490000000005</v>
      </c>
      <c r="M71" s="11">
        <v>88647.92</v>
      </c>
    </row>
    <row r="72" spans="1:13" x14ac:dyDescent="0.2">
      <c r="A72" s="83">
        <v>70</v>
      </c>
      <c r="B72" s="11">
        <v>1.7882435897435899E-2</v>
      </c>
      <c r="C72" s="11">
        <v>9.7365384615384614E-3</v>
      </c>
      <c r="D72" s="11">
        <f>B72/'Real assumptions'!$B$30</f>
        <v>1.7882435897435899E-2</v>
      </c>
      <c r="E72" s="11">
        <f>C72/'Real assumptions'!$B$30</f>
        <v>9.7365384615384614E-3</v>
      </c>
      <c r="F72" s="84">
        <f t="shared" si="4"/>
        <v>8096.2720521171095</v>
      </c>
      <c r="G72" s="84">
        <f t="shared" si="4"/>
        <v>8786.2717862497466</v>
      </c>
      <c r="H72" s="84">
        <v>80962.720000000001</v>
      </c>
      <c r="I72" s="84">
        <v>87862.720000000001</v>
      </c>
      <c r="J72" s="84">
        <v>1242246.0099999998</v>
      </c>
      <c r="K72" s="84">
        <v>1547253.7800000003</v>
      </c>
      <c r="L72" s="11">
        <v>80962.720000000001</v>
      </c>
      <c r="M72" s="11">
        <v>87862.720000000001</v>
      </c>
    </row>
    <row r="73" spans="1:13" x14ac:dyDescent="0.2">
      <c r="A73" s="83">
        <v>71</v>
      </c>
      <c r="B73" s="11">
        <v>2.0249230769230769E-2</v>
      </c>
      <c r="C73" s="11">
        <v>1.0782692307692309E-2</v>
      </c>
      <c r="D73" s="11">
        <f>B73/'Real assumptions'!$B$30</f>
        <v>2.0249230769230769E-2</v>
      </c>
      <c r="E73" s="11">
        <f>C73/'Real assumptions'!$B$30</f>
        <v>1.0782692307692309E-2</v>
      </c>
      <c r="F73" s="84">
        <f t="shared" si="4"/>
        <v>7951.4909861369233</v>
      </c>
      <c r="G73" s="84">
        <f t="shared" si="4"/>
        <v>8700.7239130693961</v>
      </c>
      <c r="H73" s="84">
        <v>79514.91</v>
      </c>
      <c r="I73" s="84">
        <v>87007.24</v>
      </c>
      <c r="J73" s="84">
        <v>1161283.2899999998</v>
      </c>
      <c r="K73" s="84">
        <v>1459391.0600000003</v>
      </c>
      <c r="L73" s="11">
        <v>79514.91</v>
      </c>
      <c r="M73" s="11">
        <v>87007.24</v>
      </c>
    </row>
    <row r="74" spans="1:13" x14ac:dyDescent="0.2">
      <c r="A74" s="83">
        <v>72</v>
      </c>
      <c r="B74" s="11">
        <v>2.2985641025641022E-2</v>
      </c>
      <c r="C74" s="11">
        <v>1.2043461538461538E-2</v>
      </c>
      <c r="D74" s="11">
        <f>B74/'Real assumptions'!$B$30</f>
        <v>2.2985641025641022E-2</v>
      </c>
      <c r="E74" s="11">
        <f>C74/'Real assumptions'!$B$30</f>
        <v>1.2043461538461538E-2</v>
      </c>
      <c r="F74" s="84">
        <f t="shared" si="4"/>
        <v>7790.4794101991783</v>
      </c>
      <c r="G74" s="84">
        <f t="shared" si="4"/>
        <v>8606.906684260588</v>
      </c>
      <c r="H74" s="84">
        <v>77904.789999999994</v>
      </c>
      <c r="I74" s="84">
        <v>86069.07</v>
      </c>
      <c r="J74" s="84">
        <v>1081768.3799999999</v>
      </c>
      <c r="K74" s="84">
        <v>1372383.8200000003</v>
      </c>
      <c r="L74" s="11">
        <v>77904.789999999994</v>
      </c>
      <c r="M74" s="11">
        <v>86069.07</v>
      </c>
    </row>
    <row r="75" spans="1:13" x14ac:dyDescent="0.2">
      <c r="A75" s="83">
        <v>73</v>
      </c>
      <c r="B75" s="11">
        <v>2.6098461538461539E-2</v>
      </c>
      <c r="C75" s="11">
        <v>1.3577435897435899E-2</v>
      </c>
      <c r="D75" s="11">
        <f>B75/'Real assumptions'!$B$30</f>
        <v>2.6098461538461539E-2</v>
      </c>
      <c r="E75" s="11">
        <f>C75/'Real assumptions'!$B$30</f>
        <v>1.3577435897435899E-2</v>
      </c>
      <c r="F75" s="84">
        <f t="shared" si="4"/>
        <v>7611.4102470586922</v>
      </c>
      <c r="G75" s="84">
        <f t="shared" si="4"/>
        <v>8503.2497346435684</v>
      </c>
      <c r="H75" s="84">
        <v>76114.100000000006</v>
      </c>
      <c r="I75" s="84">
        <v>85032.5</v>
      </c>
      <c r="J75" s="84">
        <v>1003863.5899999999</v>
      </c>
      <c r="K75" s="84">
        <v>1286314.7500000002</v>
      </c>
      <c r="L75" s="11">
        <v>76114.100000000006</v>
      </c>
      <c r="M75" s="11">
        <v>85032.5</v>
      </c>
    </row>
    <row r="76" spans="1:13" x14ac:dyDescent="0.2">
      <c r="A76" s="83">
        <v>74</v>
      </c>
      <c r="B76" s="11">
        <v>2.9589358974358972E-2</v>
      </c>
      <c r="C76" s="11">
        <v>1.5451410256410255E-2</v>
      </c>
      <c r="D76" s="11">
        <f>B76/'Real assumptions'!$B$30</f>
        <v>2.9589358974358972E-2</v>
      </c>
      <c r="E76" s="11">
        <f>C76/'Real assumptions'!$B$30</f>
        <v>1.5451410256410255E-2</v>
      </c>
      <c r="F76" s="84">
        <f t="shared" si="4"/>
        <v>7412.7641494723794</v>
      </c>
      <c r="G76" s="84">
        <f t="shared" si="4"/>
        <v>8387.7974064515565</v>
      </c>
      <c r="H76" s="84">
        <v>74127.64</v>
      </c>
      <c r="I76" s="84">
        <v>83877.97</v>
      </c>
      <c r="J76" s="84">
        <v>927749.48999999987</v>
      </c>
      <c r="K76" s="84">
        <v>1201282.2500000002</v>
      </c>
      <c r="L76" s="11">
        <v>74127.64</v>
      </c>
      <c r="M76" s="11">
        <v>83877.97</v>
      </c>
    </row>
    <row r="77" spans="1:13" x14ac:dyDescent="0.2">
      <c r="A77" s="83">
        <v>75</v>
      </c>
      <c r="B77" s="11">
        <v>3.3457692307692306E-2</v>
      </c>
      <c r="C77" s="11">
        <v>1.7738589743589744E-2</v>
      </c>
      <c r="D77" s="11">
        <f>B77/'Real assumptions'!$B$30</f>
        <v>3.3457692307692306E-2</v>
      </c>
      <c r="E77" s="11">
        <f>C77/'Real assumptions'!$B$30</f>
        <v>1.7738589743589744E-2</v>
      </c>
      <c r="F77" s="84">
        <f t="shared" si="4"/>
        <v>7193.4252100613821</v>
      </c>
      <c r="G77" s="84">
        <f t="shared" si="4"/>
        <v>8258.1941075768191</v>
      </c>
      <c r="H77" s="84">
        <v>71934.25</v>
      </c>
      <c r="I77" s="84">
        <v>82581.94</v>
      </c>
      <c r="J77" s="84">
        <v>853621.84999999986</v>
      </c>
      <c r="K77" s="84">
        <v>1117404.2800000003</v>
      </c>
      <c r="L77" s="11">
        <v>71934.25</v>
      </c>
      <c r="M77" s="11">
        <v>82581.94</v>
      </c>
    </row>
    <row r="78" spans="1:13" x14ac:dyDescent="0.2">
      <c r="A78" s="83">
        <v>76</v>
      </c>
      <c r="B78" s="11">
        <v>3.7702692307692305E-2</v>
      </c>
      <c r="C78" s="11">
        <v>2.051576923076923E-2</v>
      </c>
      <c r="D78" s="11">
        <f>B78/'Real assumptions'!$B$30</f>
        <v>3.7702692307692305E-2</v>
      </c>
      <c r="E78" s="11">
        <f>C78/'Real assumptions'!$B$30</f>
        <v>2.051576923076923E-2</v>
      </c>
      <c r="F78" s="84">
        <f t="shared" si="4"/>
        <v>6952.7498027447509</v>
      </c>
      <c r="G78" s="84">
        <f t="shared" si="4"/>
        <v>8111.7053902795833</v>
      </c>
      <c r="H78" s="84">
        <v>69527.5</v>
      </c>
      <c r="I78" s="84">
        <v>81117.05</v>
      </c>
      <c r="J78" s="84">
        <v>781687.59999999986</v>
      </c>
      <c r="K78" s="84">
        <v>1034822.3400000002</v>
      </c>
      <c r="L78" s="11">
        <v>69527.5</v>
      </c>
      <c r="M78" s="11">
        <v>81117.05</v>
      </c>
    </row>
    <row r="79" spans="1:13" x14ac:dyDescent="0.2">
      <c r="A79" s="83">
        <v>77</v>
      </c>
      <c r="B79" s="11">
        <v>4.232358974358974E-2</v>
      </c>
      <c r="C79" s="11">
        <v>2.3860769230769231E-2</v>
      </c>
      <c r="D79" s="11">
        <f>B79/'Real assumptions'!$B$30</f>
        <v>4.232358974358974E-2</v>
      </c>
      <c r="E79" s="11">
        <f>C79/'Real assumptions'!$B$30</f>
        <v>2.3860769230769231E-2</v>
      </c>
      <c r="F79" s="84">
        <f t="shared" si="4"/>
        <v>6690.6124162394972</v>
      </c>
      <c r="G79" s="84">
        <f t="shared" si="4"/>
        <v>7945.28751442462</v>
      </c>
      <c r="H79" s="84">
        <v>66906.12</v>
      </c>
      <c r="I79" s="84">
        <v>79452.88</v>
      </c>
      <c r="J79" s="84">
        <v>712160.09999999986</v>
      </c>
      <c r="K79" s="84">
        <v>953705.29000000015</v>
      </c>
      <c r="L79" s="11">
        <v>66906.12</v>
      </c>
      <c r="M79" s="11">
        <v>79452.88</v>
      </c>
    </row>
    <row r="80" spans="1:13" x14ac:dyDescent="0.2">
      <c r="A80" s="83">
        <v>78</v>
      </c>
      <c r="B80" s="11">
        <v>4.7321282051282054E-2</v>
      </c>
      <c r="C80" s="11">
        <v>2.7848846153846155E-2</v>
      </c>
      <c r="D80" s="11">
        <f>B80/'Real assumptions'!$B$30</f>
        <v>4.7321282051282054E-2</v>
      </c>
      <c r="E80" s="11">
        <f>C80/'Real assumptions'!$B$30</f>
        <v>2.7848846153846155E-2</v>
      </c>
      <c r="F80" s="84">
        <f t="shared" si="4"/>
        <v>6407.4416812012087</v>
      </c>
      <c r="G80" s="84">
        <f t="shared" si="4"/>
        <v>7755.7068425708221</v>
      </c>
      <c r="H80" s="84">
        <v>64074.42</v>
      </c>
      <c r="I80" s="84">
        <v>77557.070000000007</v>
      </c>
      <c r="J80" s="84">
        <v>645253.97999999986</v>
      </c>
      <c r="K80" s="84">
        <v>874252.41000000015</v>
      </c>
      <c r="L80" s="11">
        <v>64074.42</v>
      </c>
      <c r="M80" s="11">
        <v>77557.070000000007</v>
      </c>
    </row>
    <row r="81" spans="1:13" x14ac:dyDescent="0.2">
      <c r="A81" s="83">
        <v>79</v>
      </c>
      <c r="B81" s="11">
        <v>5.2700769230769232E-2</v>
      </c>
      <c r="C81" s="11">
        <v>3.2549871794871794E-2</v>
      </c>
      <c r="D81" s="11">
        <f>B81/'Real assumptions'!$B$30</f>
        <v>5.2700769230769232E-2</v>
      </c>
      <c r="E81" s="11">
        <f>C81/'Real assumptions'!$B$30</f>
        <v>3.2549871794871794E-2</v>
      </c>
      <c r="F81" s="84">
        <f t="shared" si="4"/>
        <v>6104.2333261779459</v>
      </c>
      <c r="G81" s="84">
        <f t="shared" si="4"/>
        <v>7539.7193558977351</v>
      </c>
      <c r="H81" s="84">
        <v>61042.33</v>
      </c>
      <c r="I81" s="84">
        <v>75397.19</v>
      </c>
      <c r="J81" s="84">
        <v>581179.55999999982</v>
      </c>
      <c r="K81" s="84">
        <v>796695.34000000008</v>
      </c>
      <c r="L81" s="11">
        <v>61042.33</v>
      </c>
      <c r="M81" s="11">
        <v>75397.19</v>
      </c>
    </row>
    <row r="82" spans="1:13" x14ac:dyDescent="0.2">
      <c r="A82" s="83">
        <v>80</v>
      </c>
      <c r="B82" s="11">
        <v>5.8474871794871784E-2</v>
      </c>
      <c r="C82" s="11">
        <v>3.8025897435897439E-2</v>
      </c>
      <c r="D82" s="11">
        <f>B82/'Real assumptions'!$B$30</f>
        <v>5.8474871794871784E-2</v>
      </c>
      <c r="E82" s="11">
        <f>C82/'Real assumptions'!$B$30</f>
        <v>3.8025897435897439E-2</v>
      </c>
      <c r="F82" s="84">
        <f t="shared" si="4"/>
        <v>5782.5355343242709</v>
      </c>
      <c r="G82" s="84">
        <f t="shared" si="4"/>
        <v>7294.3024574939509</v>
      </c>
      <c r="H82" s="84">
        <v>57825.36</v>
      </c>
      <c r="I82" s="84">
        <v>72943.02</v>
      </c>
      <c r="J82" s="84">
        <v>520137.22999999986</v>
      </c>
      <c r="K82" s="84">
        <v>721298.15000000014</v>
      </c>
      <c r="L82" s="11">
        <v>57825.36</v>
      </c>
      <c r="M82" s="11">
        <v>72943.02</v>
      </c>
    </row>
    <row r="83" spans="1:13" x14ac:dyDescent="0.2">
      <c r="A83" s="83">
        <v>81</v>
      </c>
      <c r="B83" s="11">
        <v>6.4666666666666664E-2</v>
      </c>
      <c r="C83" s="11">
        <v>4.4332564102564094E-2</v>
      </c>
      <c r="D83" s="11">
        <f>B83/'Real assumptions'!$B$30</f>
        <v>6.4666666666666664E-2</v>
      </c>
      <c r="E83" s="11">
        <f>C83/'Real assumptions'!$B$30</f>
        <v>4.4332564102564094E-2</v>
      </c>
      <c r="F83" s="84">
        <f t="shared" si="4"/>
        <v>5444.4025103053691</v>
      </c>
      <c r="G83" s="84">
        <f t="shared" si="4"/>
        <v>7016.9300603788715</v>
      </c>
      <c r="H83" s="84">
        <v>54444.03</v>
      </c>
      <c r="I83" s="84">
        <v>70169.3</v>
      </c>
      <c r="J83" s="84">
        <v>462311.86999999988</v>
      </c>
      <c r="K83" s="84">
        <v>648355.13000000012</v>
      </c>
      <c r="L83" s="11">
        <v>54444.03</v>
      </c>
      <c r="M83" s="11">
        <v>70169.3</v>
      </c>
    </row>
    <row r="84" spans="1:13" x14ac:dyDescent="0.2">
      <c r="A84" s="83">
        <v>82</v>
      </c>
      <c r="B84" s="11">
        <v>7.1312564102564105E-2</v>
      </c>
      <c r="C84" s="11">
        <v>5.1520000000000003E-2</v>
      </c>
      <c r="D84" s="11">
        <f>B84/'Real assumptions'!$B$30</f>
        <v>7.1312564102564105E-2</v>
      </c>
      <c r="E84" s="11">
        <f>C84/'Real assumptions'!$B$30</f>
        <v>5.1520000000000003E-2</v>
      </c>
      <c r="F84" s="84">
        <f t="shared" ref="F84:G99" si="5">F83*(1-B83)</f>
        <v>5092.3311479722888</v>
      </c>
      <c r="G84" s="84">
        <f t="shared" si="5"/>
        <v>6705.8515586739159</v>
      </c>
      <c r="H84" s="84">
        <v>50923.31</v>
      </c>
      <c r="I84" s="84">
        <v>67058.52</v>
      </c>
      <c r="J84" s="84">
        <v>407867.83999999991</v>
      </c>
      <c r="K84" s="84">
        <v>578185.83000000007</v>
      </c>
      <c r="L84" s="11">
        <v>50923.31</v>
      </c>
      <c r="M84" s="11">
        <v>67058.52</v>
      </c>
    </row>
    <row r="85" spans="1:13" x14ac:dyDescent="0.2">
      <c r="A85" s="83">
        <v>83</v>
      </c>
      <c r="B85" s="11">
        <v>7.8464102564102564E-2</v>
      </c>
      <c r="C85" s="11">
        <v>5.9635000000000001E-2</v>
      </c>
      <c r="D85" s="11">
        <f>B85/'Real assumptions'!$B$30</f>
        <v>7.8464102564102564E-2</v>
      </c>
      <c r="E85" s="11">
        <f>C85/'Real assumptions'!$B$30</f>
        <v>5.9635000000000001E-2</v>
      </c>
      <c r="F85" s="84">
        <f t="shared" si="5"/>
        <v>4729.1839565510309</v>
      </c>
      <c r="G85" s="84">
        <f t="shared" si="5"/>
        <v>6360.3660863710356</v>
      </c>
      <c r="H85" s="84">
        <v>47291.839999999997</v>
      </c>
      <c r="I85" s="84">
        <v>63603.66</v>
      </c>
      <c r="J85" s="84">
        <v>356944.52999999991</v>
      </c>
      <c r="K85" s="84">
        <v>511127.31000000006</v>
      </c>
      <c r="L85" s="11">
        <v>47291.839999999997</v>
      </c>
      <c r="M85" s="11">
        <v>63603.66</v>
      </c>
    </row>
    <row r="86" spans="1:13" x14ac:dyDescent="0.2">
      <c r="A86" s="83">
        <v>84</v>
      </c>
      <c r="B86" s="11">
        <v>8.6189102564102574E-2</v>
      </c>
      <c r="C86" s="11">
        <v>6.8722051282051277E-2</v>
      </c>
      <c r="D86" s="11">
        <f>B86/'Real assumptions'!$B$30</f>
        <v>8.6189102564102574E-2</v>
      </c>
      <c r="E86" s="11">
        <f>C86/'Real assumptions'!$B$30</f>
        <v>6.8722051282051277E-2</v>
      </c>
      <c r="F86" s="84">
        <f t="shared" si="5"/>
        <v>4358.1127815397022</v>
      </c>
      <c r="G86" s="84">
        <f t="shared" si="5"/>
        <v>5981.0656548102988</v>
      </c>
      <c r="H86" s="84">
        <v>43581.13</v>
      </c>
      <c r="I86" s="84">
        <v>59810.66</v>
      </c>
      <c r="J86" s="84">
        <v>309652.68999999994</v>
      </c>
      <c r="K86" s="84">
        <v>447523.65</v>
      </c>
      <c r="L86" s="11">
        <v>43581.13</v>
      </c>
      <c r="M86" s="11">
        <v>59810.66</v>
      </c>
    </row>
    <row r="87" spans="1:13" x14ac:dyDescent="0.2">
      <c r="A87" s="83">
        <v>85</v>
      </c>
      <c r="B87" s="11">
        <v>9.4572307692307706E-2</v>
      </c>
      <c r="C87" s="11">
        <v>7.8826410256410254E-2</v>
      </c>
      <c r="D87" s="11">
        <f>B87/'Real assumptions'!$B$30</f>
        <v>9.4572307692307706E-2</v>
      </c>
      <c r="E87" s="11">
        <f>C87/'Real assumptions'!$B$30</f>
        <v>7.8826410256410254E-2</v>
      </c>
      <c r="F87" s="84">
        <f t="shared" si="5"/>
        <v>3982.4909520256501</v>
      </c>
      <c r="G87" s="84">
        <f t="shared" si="5"/>
        <v>5570.0345541591105</v>
      </c>
      <c r="H87" s="84">
        <v>39824.910000000003</v>
      </c>
      <c r="I87" s="84">
        <v>55700.35</v>
      </c>
      <c r="J87" s="84">
        <v>266071.55999999994</v>
      </c>
      <c r="K87" s="84">
        <v>387712.99</v>
      </c>
      <c r="L87" s="11">
        <v>39824.910000000003</v>
      </c>
      <c r="M87" s="11">
        <v>55700.35</v>
      </c>
    </row>
    <row r="88" spans="1:13" x14ac:dyDescent="0.2">
      <c r="A88" s="83">
        <v>86</v>
      </c>
      <c r="B88" s="11">
        <v>0.10371474358974359</v>
      </c>
      <c r="C88" s="11">
        <v>8.9996410256410253E-2</v>
      </c>
      <c r="D88" s="11">
        <f>B88/'Real assumptions'!$B$30</f>
        <v>0.10371474358974359</v>
      </c>
      <c r="E88" s="11">
        <f>C88/'Real assumptions'!$B$30</f>
        <v>8.9996410256410253E-2</v>
      </c>
      <c r="F88" s="84">
        <f t="shared" si="5"/>
        <v>3605.8575923288486</v>
      </c>
      <c r="G88" s="84">
        <f t="shared" si="5"/>
        <v>5130.9687252505837</v>
      </c>
      <c r="H88" s="84">
        <v>36058.58</v>
      </c>
      <c r="I88" s="84">
        <v>51309.69</v>
      </c>
      <c r="J88" s="84">
        <v>226246.64999999997</v>
      </c>
      <c r="K88" s="84">
        <v>332012.64</v>
      </c>
      <c r="L88" s="11">
        <v>36058.58</v>
      </c>
      <c r="M88" s="11">
        <v>51309.69</v>
      </c>
    </row>
    <row r="89" spans="1:13" x14ac:dyDescent="0.2">
      <c r="A89" s="83">
        <v>87</v>
      </c>
      <c r="B89" s="11">
        <v>0.11373346153846153</v>
      </c>
      <c r="C89" s="11">
        <v>0.10228551282051283</v>
      </c>
      <c r="D89" s="11">
        <f>B89/'Real assumptions'!$B$30</f>
        <v>0.11373346153846153</v>
      </c>
      <c r="E89" s="11">
        <f>C89/'Real assumptions'!$B$30</f>
        <v>0.10228551282051283</v>
      </c>
      <c r="F89" s="84">
        <f t="shared" si="5"/>
        <v>3231.8769967193316</v>
      </c>
      <c r="G89" s="84">
        <f t="shared" si="5"/>
        <v>4669.1999588401222</v>
      </c>
      <c r="H89" s="84">
        <v>32318.77</v>
      </c>
      <c r="I89" s="84">
        <v>46692</v>
      </c>
      <c r="J89" s="84">
        <v>190188.06999999998</v>
      </c>
      <c r="K89" s="84">
        <v>280702.95</v>
      </c>
      <c r="L89" s="11">
        <v>32318.77</v>
      </c>
      <c r="M89" s="11">
        <v>46692</v>
      </c>
    </row>
    <row r="90" spans="1:13" x14ac:dyDescent="0.2">
      <c r="A90" s="83">
        <v>88</v>
      </c>
      <c r="B90" s="11">
        <v>0.12475974358974358</v>
      </c>
      <c r="C90" s="11">
        <v>0.11575102564102564</v>
      </c>
      <c r="D90" s="11">
        <f>B90/'Real assumptions'!$B$30</f>
        <v>0.12475974358974358</v>
      </c>
      <c r="E90" s="11">
        <f>C90/'Real assumptions'!$B$30</f>
        <v>0.11575102564102564</v>
      </c>
      <c r="F90" s="84">
        <f t="shared" si="5"/>
        <v>2864.3044386159149</v>
      </c>
      <c r="G90" s="84">
        <f t="shared" si="5"/>
        <v>4191.6084465886433</v>
      </c>
      <c r="H90" s="84">
        <v>28643.040000000001</v>
      </c>
      <c r="I90" s="84">
        <v>41916.080000000002</v>
      </c>
      <c r="J90" s="84">
        <v>157869.29999999999</v>
      </c>
      <c r="K90" s="84">
        <v>234010.95</v>
      </c>
      <c r="L90" s="11">
        <v>28643.040000000001</v>
      </c>
      <c r="M90" s="11">
        <v>41916.080000000002</v>
      </c>
    </row>
    <row r="91" spans="1:13" x14ac:dyDescent="0.2">
      <c r="A91" s="83">
        <v>89</v>
      </c>
      <c r="B91" s="11">
        <v>0.13693730769230766</v>
      </c>
      <c r="C91" s="11">
        <v>0.13045358974358973</v>
      </c>
      <c r="D91" s="11">
        <f>B91/'Real assumptions'!$B$30</f>
        <v>0.13693730769230766</v>
      </c>
      <c r="E91" s="11">
        <f>C91/'Real assumptions'!$B$30</f>
        <v>0.13045358974358973</v>
      </c>
      <c r="F91" s="84">
        <f t="shared" si="5"/>
        <v>2506.9545512912287</v>
      </c>
      <c r="G91" s="84">
        <f t="shared" si="5"/>
        <v>3706.4254698104214</v>
      </c>
      <c r="H91" s="84">
        <v>25069.55</v>
      </c>
      <c r="I91" s="84">
        <v>37064.25</v>
      </c>
      <c r="J91" s="84">
        <v>129226.26</v>
      </c>
      <c r="K91" s="84">
        <v>192094.87</v>
      </c>
      <c r="L91" s="11">
        <v>25069.55</v>
      </c>
      <c r="M91" s="11">
        <v>37064.25</v>
      </c>
    </row>
    <row r="92" spans="1:13" x14ac:dyDescent="0.2">
      <c r="A92" s="83">
        <v>90</v>
      </c>
      <c r="B92" s="11">
        <v>0.15042012820512818</v>
      </c>
      <c r="C92" s="11">
        <v>0.14645615384615385</v>
      </c>
      <c r="D92" s="11">
        <f>B92/'Real assumptions'!$B$30</f>
        <v>0.15042012820512818</v>
      </c>
      <c r="E92" s="11">
        <f>C92/'Real assumptions'!$B$30</f>
        <v>0.14645615384615385</v>
      </c>
      <c r="F92" s="84">
        <f t="shared" si="5"/>
        <v>2163.6589445304303</v>
      </c>
      <c r="G92" s="84">
        <f t="shared" si="5"/>
        <v>3222.9089621565813</v>
      </c>
      <c r="H92" s="84">
        <v>21636.59</v>
      </c>
      <c r="I92" s="84">
        <v>32229.09</v>
      </c>
      <c r="J92" s="84">
        <v>104156.70999999999</v>
      </c>
      <c r="K92" s="84">
        <v>155030.62</v>
      </c>
      <c r="L92" s="11">
        <v>21636.59</v>
      </c>
      <c r="M92" s="11">
        <v>32229.09</v>
      </c>
    </row>
    <row r="93" spans="1:13" x14ac:dyDescent="0.2">
      <c r="A93" s="83">
        <v>91</v>
      </c>
      <c r="B93" s="11">
        <v>0.16537012820512817</v>
      </c>
      <c r="C93" s="11">
        <v>0.16382371794871795</v>
      </c>
      <c r="D93" s="11">
        <f>B93/'Real assumptions'!$B$30</f>
        <v>0.16537012820512817</v>
      </c>
      <c r="E93" s="11">
        <f>C93/'Real assumptions'!$B$30</f>
        <v>0.16382371794871795</v>
      </c>
      <c r="F93" s="84">
        <f t="shared" si="5"/>
        <v>1838.2010887019906</v>
      </c>
      <c r="G93" s="84">
        <f t="shared" si="5"/>
        <v>2750.8941113628289</v>
      </c>
      <c r="H93" s="84">
        <v>18382.009999999998</v>
      </c>
      <c r="I93" s="84">
        <v>27508.94</v>
      </c>
      <c r="J93" s="84">
        <v>82520.12</v>
      </c>
      <c r="K93" s="84">
        <v>122801.53</v>
      </c>
      <c r="L93" s="11">
        <v>18382.009999999998</v>
      </c>
      <c r="M93" s="11">
        <v>27508.94</v>
      </c>
    </row>
    <row r="94" spans="1:13" x14ac:dyDescent="0.2">
      <c r="A94" s="83">
        <v>92</v>
      </c>
      <c r="B94" s="11">
        <v>0.18195397435897434</v>
      </c>
      <c r="C94" s="11">
        <v>0.18262294871794871</v>
      </c>
      <c r="D94" s="11">
        <f>B94/'Real assumptions'!$B$30</f>
        <v>0.18195397435897434</v>
      </c>
      <c r="E94" s="11">
        <f>C94/'Real assumptions'!$B$30</f>
        <v>0.18262294871794871</v>
      </c>
      <c r="F94" s="84">
        <f t="shared" si="5"/>
        <v>1534.2175389965362</v>
      </c>
      <c r="G94" s="84">
        <f t="shared" si="5"/>
        <v>2300.2324103561355</v>
      </c>
      <c r="H94" s="84">
        <v>15342.18</v>
      </c>
      <c r="I94" s="84">
        <v>23002.32</v>
      </c>
      <c r="J94" s="84">
        <v>64138.109999999993</v>
      </c>
      <c r="K94" s="84">
        <v>95292.59</v>
      </c>
      <c r="L94" s="11">
        <v>15342.18</v>
      </c>
      <c r="M94" s="11">
        <v>23002.32</v>
      </c>
    </row>
    <row r="95" spans="1:13" x14ac:dyDescent="0.2">
      <c r="A95" s="83">
        <v>93</v>
      </c>
      <c r="B95" s="11">
        <v>0.20034076923076924</v>
      </c>
      <c r="C95" s="11">
        <v>0.20292166666666667</v>
      </c>
      <c r="D95" s="11">
        <f>B95/'Real assumptions'!$B$30</f>
        <v>0.20034076923076924</v>
      </c>
      <c r="E95" s="11">
        <f>C95/'Real assumptions'!$B$30</f>
        <v>0.20292166666666667</v>
      </c>
      <c r="F95" s="84">
        <f t="shared" si="5"/>
        <v>1255.0605602448718</v>
      </c>
      <c r="G95" s="84">
        <f t="shared" si="5"/>
        <v>1880.1571848403034</v>
      </c>
      <c r="H95" s="84">
        <v>12550.61</v>
      </c>
      <c r="I95" s="84">
        <v>18801.57</v>
      </c>
      <c r="J95" s="84">
        <v>48795.929999999993</v>
      </c>
      <c r="K95" s="84">
        <v>72290.27</v>
      </c>
      <c r="L95" s="11">
        <v>12550.61</v>
      </c>
      <c r="M95" s="11">
        <v>18801.57</v>
      </c>
    </row>
    <row r="96" spans="1:13" x14ac:dyDescent="0.2">
      <c r="A96" s="83">
        <v>94</v>
      </c>
      <c r="B96" s="11">
        <v>0.22069858974358975</v>
      </c>
      <c r="C96" s="11">
        <v>0.2247876923076923</v>
      </c>
      <c r="D96" s="11">
        <f>B96/'Real assumptions'!$B$30</f>
        <v>0.22069858974358975</v>
      </c>
      <c r="E96" s="11">
        <f>C96/'Real assumptions'!$B$30</f>
        <v>0.2247876923076923</v>
      </c>
      <c r="F96" s="84">
        <f t="shared" si="5"/>
        <v>1003.620762174214</v>
      </c>
      <c r="G96" s="84">
        <f t="shared" si="5"/>
        <v>1498.632555297201</v>
      </c>
      <c r="H96" s="84">
        <v>10036.209999999999</v>
      </c>
      <c r="I96" s="84">
        <v>14986.33</v>
      </c>
      <c r="J96" s="84">
        <v>36245.319999999992</v>
      </c>
      <c r="K96" s="84">
        <v>53488.700000000004</v>
      </c>
      <c r="L96" s="11">
        <v>10036.209999999999</v>
      </c>
      <c r="M96" s="11">
        <v>14986.33</v>
      </c>
    </row>
    <row r="97" spans="1:13" x14ac:dyDescent="0.2">
      <c r="A97" s="83">
        <v>95</v>
      </c>
      <c r="B97" s="11">
        <v>0.24319243589743589</v>
      </c>
      <c r="C97" s="11">
        <v>0.24828794871794874</v>
      </c>
      <c r="D97" s="11">
        <f>B97/'Real assumptions'!$B$30</f>
        <v>0.24319243589743589</v>
      </c>
      <c r="E97" s="11">
        <f>C97/'Real assumptions'!$B$30</f>
        <v>0.24828794871794874</v>
      </c>
      <c r="F97" s="84">
        <f t="shared" si="5"/>
        <v>782.12307532497823</v>
      </c>
      <c r="G97" s="84">
        <f t="shared" si="5"/>
        <v>1161.758401574763</v>
      </c>
      <c r="H97" s="84">
        <v>7821.23</v>
      </c>
      <c r="I97" s="84">
        <v>11617.58</v>
      </c>
      <c r="J97" s="84">
        <v>26209.109999999997</v>
      </c>
      <c r="K97" s="84">
        <v>38502.370000000003</v>
      </c>
      <c r="L97" s="11">
        <v>7821.23</v>
      </c>
      <c r="M97" s="11">
        <v>11617.58</v>
      </c>
    </row>
    <row r="98" spans="1:13" x14ac:dyDescent="0.2">
      <c r="A98" s="83">
        <v>96</v>
      </c>
      <c r="B98" s="11">
        <v>0.26798153846153844</v>
      </c>
      <c r="C98" s="11">
        <v>0.27348769230769227</v>
      </c>
      <c r="D98" s="11">
        <f>B98/'Real assumptions'!$B$30</f>
        <v>0.26798153846153844</v>
      </c>
      <c r="E98" s="11">
        <f>C98/'Real assumptions'!$B$30</f>
        <v>0.27348769230769227</v>
      </c>
      <c r="F98" s="84">
        <f t="shared" si="5"/>
        <v>591.91665946510307</v>
      </c>
      <c r="G98" s="84">
        <f t="shared" si="5"/>
        <v>873.30779114192205</v>
      </c>
      <c r="H98" s="84">
        <v>5919.17</v>
      </c>
      <c r="I98" s="84">
        <v>8733.08</v>
      </c>
      <c r="J98" s="84">
        <v>18387.879999999997</v>
      </c>
      <c r="K98" s="84">
        <v>26884.79</v>
      </c>
      <c r="L98" s="11">
        <v>5919.17</v>
      </c>
      <c r="M98" s="11">
        <v>8733.08</v>
      </c>
    </row>
    <row r="99" spans="1:13" x14ac:dyDescent="0.2">
      <c r="A99" s="83">
        <v>97</v>
      </c>
      <c r="B99" s="11">
        <v>0.29521782051282053</v>
      </c>
      <c r="C99" s="11">
        <v>0.30045012820512823</v>
      </c>
      <c r="D99" s="11">
        <f>B99/'Real assumptions'!$B$30</f>
        <v>0.29521782051282053</v>
      </c>
      <c r="E99" s="11">
        <f>C99/'Real assumptions'!$B$30</f>
        <v>0.30045012820512823</v>
      </c>
      <c r="F99" s="84">
        <f t="shared" si="5"/>
        <v>433.29392242063017</v>
      </c>
      <c r="G99" s="84">
        <f t="shared" si="5"/>
        <v>634.46885866818968</v>
      </c>
      <c r="H99" s="84">
        <v>4332.9399999999996</v>
      </c>
      <c r="I99" s="84">
        <v>6344.69</v>
      </c>
      <c r="J99" s="84">
        <v>12468.71</v>
      </c>
      <c r="K99" s="84">
        <v>18151.71</v>
      </c>
      <c r="L99" s="11">
        <v>4332.9399999999996</v>
      </c>
      <c r="M99" s="11">
        <v>6344.69</v>
      </c>
    </row>
    <row r="100" spans="1:13" x14ac:dyDescent="0.2">
      <c r="A100" s="83">
        <v>98</v>
      </c>
      <c r="B100" s="11">
        <v>0.32504435897435896</v>
      </c>
      <c r="C100" s="11">
        <v>0.32923538461538465</v>
      </c>
      <c r="D100" s="11">
        <f>B100/'Real assumptions'!$B$30</f>
        <v>0.32504435897435896</v>
      </c>
      <c r="E100" s="11">
        <f>C100/'Real assumptions'!$B$30</f>
        <v>0.32923538461538465</v>
      </c>
      <c r="F100" s="84">
        <f t="shared" ref="F100:G115" si="6">F99*(1-B99)</f>
        <v>305.37783500216057</v>
      </c>
      <c r="G100" s="84">
        <f t="shared" si="6"/>
        <v>443.84260873917077</v>
      </c>
      <c r="H100" s="84">
        <v>3053.78</v>
      </c>
      <c r="I100" s="84">
        <v>4438.43</v>
      </c>
      <c r="J100" s="84">
        <v>8135.77</v>
      </c>
      <c r="K100" s="84">
        <v>11807.02</v>
      </c>
      <c r="L100" s="11">
        <v>3053.78</v>
      </c>
      <c r="M100" s="11">
        <v>4438.43</v>
      </c>
    </row>
    <row r="101" spans="1:13" x14ac:dyDescent="0.2">
      <c r="A101" s="83">
        <v>99</v>
      </c>
      <c r="B101" s="11">
        <v>0.35759371794871792</v>
      </c>
      <c r="C101" s="11">
        <v>0.35990025641025636</v>
      </c>
      <c r="D101" s="11">
        <f>B101/'Real assumptions'!$B$30</f>
        <v>0.35759371794871792</v>
      </c>
      <c r="E101" s="11">
        <f>C101/'Real assumptions'!$B$30</f>
        <v>0.35990025641025636</v>
      </c>
      <c r="F101" s="84">
        <f t="shared" si="6"/>
        <v>206.11649237890572</v>
      </c>
      <c r="G101" s="84">
        <f t="shared" si="6"/>
        <v>297.71391674223423</v>
      </c>
      <c r="H101" s="84">
        <v>2061.16</v>
      </c>
      <c r="I101" s="84">
        <v>2977.14</v>
      </c>
      <c r="J101" s="84">
        <v>5081.99</v>
      </c>
      <c r="K101" s="84">
        <v>7368.59</v>
      </c>
      <c r="L101" s="11">
        <v>2061.16</v>
      </c>
      <c r="M101" s="11">
        <v>2977.14</v>
      </c>
    </row>
    <row r="102" spans="1:13" x14ac:dyDescent="0.2">
      <c r="A102" s="83">
        <v>100</v>
      </c>
      <c r="B102" s="11">
        <v>0.39298769230769226</v>
      </c>
      <c r="C102" s="11">
        <v>0.39249756410256409</v>
      </c>
      <c r="D102" s="11">
        <f>B102/'Real assumptions'!$B$30</f>
        <v>0.39298769230769226</v>
      </c>
      <c r="E102" s="11">
        <f>C102/'Real assumptions'!$B$30</f>
        <v>0.39249756410256409</v>
      </c>
      <c r="F102" s="84">
        <f t="shared" si="6"/>
        <v>132.41052953858426</v>
      </c>
      <c r="G102" s="84">
        <f t="shared" si="6"/>
        <v>190.56660176980242</v>
      </c>
      <c r="H102" s="84">
        <v>1324.11</v>
      </c>
      <c r="I102" s="84">
        <v>1905.67</v>
      </c>
      <c r="J102" s="84">
        <v>3020.83</v>
      </c>
      <c r="K102" s="84">
        <v>4391.45</v>
      </c>
      <c r="L102" s="11">
        <v>1324.11</v>
      </c>
      <c r="M102" s="11">
        <v>1905.67</v>
      </c>
    </row>
    <row r="103" spans="1:13" x14ac:dyDescent="0.2">
      <c r="A103" s="83">
        <v>101</v>
      </c>
      <c r="B103" s="11">
        <v>0.43133692307692306</v>
      </c>
      <c r="C103" s="11">
        <v>0.42707576923076923</v>
      </c>
      <c r="D103" s="11">
        <f>B103/'Real assumptions'!$B$30</f>
        <v>0.43133692307692306</v>
      </c>
      <c r="E103" s="11">
        <f>C103/'Real assumptions'!$B$30</f>
        <v>0.42707576923076923</v>
      </c>
      <c r="F103" s="84">
        <f t="shared" si="6"/>
        <v>80.374821097976508</v>
      </c>
      <c r="G103" s="84">
        <f t="shared" si="6"/>
        <v>115.76967477585158</v>
      </c>
      <c r="H103" s="84">
        <v>803.75</v>
      </c>
      <c r="I103" s="84">
        <v>1157.7</v>
      </c>
      <c r="J103" s="84">
        <v>1696.72</v>
      </c>
      <c r="K103" s="84">
        <v>2485.7799999999997</v>
      </c>
      <c r="L103" s="11">
        <v>803.75</v>
      </c>
      <c r="M103" s="11">
        <v>1157.7</v>
      </c>
    </row>
    <row r="104" spans="1:13" x14ac:dyDescent="0.2">
      <c r="A104" s="83">
        <v>102</v>
      </c>
      <c r="B104" s="11">
        <v>0.47274012820512817</v>
      </c>
      <c r="C104" s="11">
        <v>0.46367846153846148</v>
      </c>
      <c r="D104" s="11">
        <f>B104/'Real assumptions'!$B$30</f>
        <v>0.47274012820512817</v>
      </c>
      <c r="E104" s="11">
        <f>C104/'Real assumptions'!$B$30</f>
        <v>0.46367846153846148</v>
      </c>
      <c r="F104" s="84">
        <f t="shared" si="6"/>
        <v>45.706193072717163</v>
      </c>
      <c r="G104" s="84">
        <f t="shared" si="6"/>
        <v>66.327251867358797</v>
      </c>
      <c r="H104" s="84">
        <v>457.06</v>
      </c>
      <c r="I104" s="84">
        <v>663.27</v>
      </c>
      <c r="J104" s="84">
        <v>892.97</v>
      </c>
      <c r="K104" s="84">
        <v>1328.08</v>
      </c>
      <c r="L104" s="11">
        <v>457.06</v>
      </c>
      <c r="M104" s="11">
        <v>663.27</v>
      </c>
    </row>
    <row r="105" spans="1:13" x14ac:dyDescent="0.2">
      <c r="A105" s="83">
        <v>103</v>
      </c>
      <c r="B105" s="11">
        <v>0.5172848717948717</v>
      </c>
      <c r="C105" s="11">
        <v>0.50234487179487175</v>
      </c>
      <c r="D105" s="11">
        <f>B105/'Real assumptions'!$B$30</f>
        <v>0.5172848717948717</v>
      </c>
      <c r="E105" s="11">
        <f>C105/'Real assumptions'!$B$30</f>
        <v>0.50234487179487175</v>
      </c>
      <c r="F105" s="84">
        <f t="shared" si="6"/>
        <v>24.099041499752506</v>
      </c>
      <c r="G105" s="84">
        <f t="shared" si="6"/>
        <v>35.57273376342782</v>
      </c>
      <c r="H105" s="84">
        <v>240.99</v>
      </c>
      <c r="I105" s="84">
        <v>355.73</v>
      </c>
      <c r="J105" s="84">
        <v>435.91</v>
      </c>
      <c r="K105" s="84">
        <v>664.81000000000006</v>
      </c>
      <c r="L105" s="11">
        <v>240.99</v>
      </c>
      <c r="M105" s="11">
        <v>355.73</v>
      </c>
    </row>
    <row r="106" spans="1:13" x14ac:dyDescent="0.2">
      <c r="A106" s="83">
        <v>104</v>
      </c>
      <c r="B106" s="11">
        <v>0.56504692307692306</v>
      </c>
      <c r="C106" s="11">
        <v>0.54310948717948726</v>
      </c>
      <c r="D106" s="11">
        <f>B106/'Real assumptions'!$B$30</f>
        <v>0.56504692307692306</v>
      </c>
      <c r="E106" s="11">
        <f>C106/'Real assumptions'!$B$30</f>
        <v>0.54310948717948726</v>
      </c>
      <c r="F106" s="84">
        <f t="shared" si="6"/>
        <v>11.632971907173738</v>
      </c>
      <c r="G106" s="84">
        <f t="shared" si="6"/>
        <v>17.702953381645568</v>
      </c>
      <c r="H106" s="84">
        <v>116.33</v>
      </c>
      <c r="I106" s="84">
        <v>177.03</v>
      </c>
      <c r="J106" s="84">
        <v>194.92000000000002</v>
      </c>
      <c r="K106" s="84">
        <v>309.08000000000004</v>
      </c>
      <c r="L106" s="11">
        <v>116.32999999999998</v>
      </c>
      <c r="M106" s="11">
        <v>177.03</v>
      </c>
    </row>
    <row r="107" spans="1:13" x14ac:dyDescent="0.2">
      <c r="A107" s="83">
        <v>105</v>
      </c>
      <c r="B107" s="11">
        <v>0.61609051282051275</v>
      </c>
      <c r="C107" s="11">
        <v>0.58600205128205118</v>
      </c>
      <c r="D107" s="11">
        <f>B107/'Real assumptions'!$B$30</f>
        <v>0.61609051282051275</v>
      </c>
      <c r="E107" s="11">
        <f>C107/'Real assumptions'!$B$30</f>
        <v>0.58600205128205118</v>
      </c>
      <c r="F107" s="84">
        <f t="shared" si="6"/>
        <v>5.0597969247849317</v>
      </c>
      <c r="G107" s="84">
        <f t="shared" si="6"/>
        <v>8.0883114489776737</v>
      </c>
      <c r="H107" s="84">
        <v>50.6</v>
      </c>
      <c r="I107" s="84">
        <v>80.88</v>
      </c>
      <c r="J107" s="84">
        <v>78.59</v>
      </c>
      <c r="K107" s="84">
        <v>132.05000000000001</v>
      </c>
      <c r="L107" s="11">
        <v>50.6</v>
      </c>
      <c r="M107" s="11">
        <v>80.88</v>
      </c>
    </row>
    <row r="108" spans="1:13" x14ac:dyDescent="0.2">
      <c r="A108" s="83">
        <v>106</v>
      </c>
      <c r="B108" s="11">
        <v>0.67046974358974365</v>
      </c>
      <c r="C108" s="11">
        <v>0.63104820512820503</v>
      </c>
      <c r="D108" s="11">
        <f>B108/'Real assumptions'!$B$30</f>
        <v>0.67046974358974365</v>
      </c>
      <c r="E108" s="11">
        <f>C108/'Real assumptions'!$B$30</f>
        <v>0.63104820512820503</v>
      </c>
      <c r="F108" s="84">
        <f t="shared" si="6"/>
        <v>1.9425040426265299</v>
      </c>
      <c r="G108" s="84">
        <f t="shared" si="6"/>
        <v>3.3485443484686575</v>
      </c>
      <c r="H108" s="84">
        <v>19.43</v>
      </c>
      <c r="I108" s="84">
        <v>33.49</v>
      </c>
      <c r="J108" s="84">
        <v>27.990000000000002</v>
      </c>
      <c r="K108" s="84">
        <v>51.17</v>
      </c>
      <c r="L108" s="11">
        <v>19.43</v>
      </c>
      <c r="M108" s="11">
        <v>33.49</v>
      </c>
    </row>
    <row r="109" spans="1:13" x14ac:dyDescent="0.2">
      <c r="A109" s="83">
        <v>107</v>
      </c>
      <c r="B109" s="11">
        <v>0.72822833333333326</v>
      </c>
      <c r="C109" s="11">
        <v>0.67826935897435903</v>
      </c>
      <c r="D109" s="11">
        <f>B109/'Real assumptions'!$B$30</f>
        <v>0.72822833333333326</v>
      </c>
      <c r="E109" s="11">
        <f>C109/'Real assumptions'!$B$30</f>
        <v>0.67826935897435903</v>
      </c>
      <c r="F109" s="84">
        <f t="shared" si="6"/>
        <v>0.6401138552446799</v>
      </c>
      <c r="G109" s="84">
        <f t="shared" si="6"/>
        <v>1.2354514475753164</v>
      </c>
      <c r="H109" s="84">
        <v>6.4</v>
      </c>
      <c r="I109" s="84">
        <v>12.35</v>
      </c>
      <c r="J109" s="84">
        <v>8.56</v>
      </c>
      <c r="K109" s="84">
        <v>17.68</v>
      </c>
      <c r="L109" s="11">
        <v>6.4</v>
      </c>
      <c r="M109" s="11">
        <v>12.35</v>
      </c>
    </row>
    <row r="110" spans="1:13" x14ac:dyDescent="0.2">
      <c r="A110" s="83">
        <v>108</v>
      </c>
      <c r="B110" s="11">
        <v>0.78940089743589748</v>
      </c>
      <c r="C110" s="11">
        <v>0.72768307692307688</v>
      </c>
      <c r="D110" s="11">
        <f>B110/'Real assumptions'!$B$30</f>
        <v>0.78940089743589748</v>
      </c>
      <c r="E110" s="11">
        <f>C110/'Real assumptions'!$B$30</f>
        <v>0.72768307692307688</v>
      </c>
      <c r="F110" s="84">
        <f t="shared" si="6"/>
        <v>0.17396480929627212</v>
      </c>
      <c r="G110" s="84">
        <f t="shared" si="6"/>
        <v>0.39748258618446264</v>
      </c>
      <c r="H110" s="84">
        <v>1.74</v>
      </c>
      <c r="I110" s="84">
        <v>3.97</v>
      </c>
      <c r="J110" s="84">
        <v>2.16</v>
      </c>
      <c r="K110" s="84">
        <v>5.33</v>
      </c>
      <c r="L110" s="11">
        <v>1.7400000000000002</v>
      </c>
      <c r="M110" s="11">
        <v>3.97</v>
      </c>
    </row>
    <row r="111" spans="1:13" x14ac:dyDescent="0.2">
      <c r="A111" s="83">
        <v>109</v>
      </c>
      <c r="B111" s="11">
        <v>0.85401410256410248</v>
      </c>
      <c r="C111" s="11">
        <v>0.77930384615384607</v>
      </c>
      <c r="D111" s="11">
        <f>B111/'Real assumptions'!$B$30</f>
        <v>0.85401410256410248</v>
      </c>
      <c r="E111" s="11">
        <f>C111/'Real assumptions'!$B$30</f>
        <v>0.77930384615384607</v>
      </c>
      <c r="F111" s="84">
        <f t="shared" si="6"/>
        <v>3.663683271553015E-2</v>
      </c>
      <c r="G111" s="84">
        <f t="shared" si="6"/>
        <v>0.10824123484641078</v>
      </c>
      <c r="H111" s="84">
        <v>0.37</v>
      </c>
      <c r="I111" s="84">
        <v>1.08</v>
      </c>
      <c r="J111" s="84">
        <v>0.42</v>
      </c>
      <c r="K111" s="84">
        <v>1.36</v>
      </c>
      <c r="L111" s="11">
        <v>0.37</v>
      </c>
      <c r="M111" s="11">
        <v>1.08</v>
      </c>
    </row>
    <row r="112" spans="1:13" x14ac:dyDescent="0.2">
      <c r="A112" s="83">
        <v>110</v>
      </c>
      <c r="B112" s="11">
        <v>0.9220874358974358</v>
      </c>
      <c r="C112" s="11">
        <v>0.83314294871794869</v>
      </c>
      <c r="D112" s="11">
        <f>B112/'Real assumptions'!$B$30</f>
        <v>0.9220874358974358</v>
      </c>
      <c r="E112" s="11">
        <f>C112/'Real assumptions'!$B$30</f>
        <v>0.83314294871794869</v>
      </c>
      <c r="F112" s="84">
        <f t="shared" si="6"/>
        <v>5.3484609031855188E-3</v>
      </c>
      <c r="G112" s="84">
        <f t="shared" si="6"/>
        <v>2.3888424218161151E-2</v>
      </c>
      <c r="H112" s="84">
        <v>0.05</v>
      </c>
      <c r="I112" s="84">
        <v>0.24</v>
      </c>
      <c r="J112" s="84">
        <v>0.05</v>
      </c>
      <c r="K112" s="84">
        <v>0.27999999999999997</v>
      </c>
      <c r="L112" s="11">
        <v>0.05</v>
      </c>
      <c r="M112" s="11">
        <v>0.24</v>
      </c>
    </row>
    <row r="113" spans="1:13" x14ac:dyDescent="0.2">
      <c r="A113" s="83">
        <v>111</v>
      </c>
      <c r="B113" s="11">
        <v>0.99363435897435892</v>
      </c>
      <c r="C113" s="11">
        <v>0.88920910256410235</v>
      </c>
      <c r="D113" s="11">
        <f>B113/'Real assumptions'!$B$30</f>
        <v>0.99363435897435892</v>
      </c>
      <c r="E113" s="11">
        <f>C113/'Real assumptions'!$B$30</f>
        <v>0.88920910256410235</v>
      </c>
      <c r="F113" s="84">
        <f t="shared" si="6"/>
        <v>4.1671230296950015E-4</v>
      </c>
      <c r="G113" s="84">
        <f t="shared" si="6"/>
        <v>3.9859520248171111E-3</v>
      </c>
      <c r="H113" s="84">
        <v>0</v>
      </c>
      <c r="I113" s="84">
        <v>0.04</v>
      </c>
      <c r="J113" s="84">
        <v>0</v>
      </c>
      <c r="K113" s="84">
        <v>0.04</v>
      </c>
      <c r="L113" s="11">
        <v>0</v>
      </c>
      <c r="M113" s="11">
        <v>0.04</v>
      </c>
    </row>
    <row r="114" spans="1:13" x14ac:dyDescent="0.2">
      <c r="A114" s="83">
        <v>112</v>
      </c>
      <c r="B114" s="11">
        <v>1</v>
      </c>
      <c r="C114" s="11">
        <v>0.94750858974358976</v>
      </c>
      <c r="D114" s="11">
        <f>B114/'Real assumptions'!$B$30</f>
        <v>1</v>
      </c>
      <c r="E114" s="11">
        <f>C114/'Real assumptions'!$B$30</f>
        <v>0.94750858974358976</v>
      </c>
      <c r="F114" s="84">
        <f t="shared" si="6"/>
        <v>2.6526409316720247E-6</v>
      </c>
      <c r="G114" s="84">
        <f t="shared" si="6"/>
        <v>4.4160720196592115E-4</v>
      </c>
      <c r="H114" s="84">
        <v>0</v>
      </c>
      <c r="I114" s="84">
        <v>0</v>
      </c>
      <c r="J114" s="84">
        <v>0</v>
      </c>
      <c r="K114" s="84">
        <v>0</v>
      </c>
      <c r="L114" s="11">
        <v>0</v>
      </c>
      <c r="M114" s="11">
        <v>0</v>
      </c>
    </row>
    <row r="115" spans="1:13" x14ac:dyDescent="0.2">
      <c r="A115" s="83">
        <v>113</v>
      </c>
      <c r="B115" s="11">
        <v>0</v>
      </c>
      <c r="C115" s="11">
        <v>1</v>
      </c>
      <c r="D115" s="11">
        <f>B115/'Real assumptions'!$B$30</f>
        <v>0</v>
      </c>
      <c r="E115" s="11">
        <f>C115/'Real assumptions'!$B$30</f>
        <v>1</v>
      </c>
      <c r="F115" s="84">
        <f t="shared" si="6"/>
        <v>0</v>
      </c>
      <c r="G115" s="84">
        <f t="shared" si="6"/>
        <v>2.3180584810578583E-5</v>
      </c>
      <c r="H115" s="84">
        <v>0</v>
      </c>
      <c r="I115" s="84">
        <v>0</v>
      </c>
      <c r="J115" s="84">
        <v>0</v>
      </c>
      <c r="K115" s="84">
        <v>0</v>
      </c>
      <c r="L115" s="11">
        <v>0</v>
      </c>
      <c r="M115" s="11">
        <v>0</v>
      </c>
    </row>
    <row r="116" spans="1:13" x14ac:dyDescent="0.2">
      <c r="A116" s="83">
        <v>114</v>
      </c>
      <c r="B116" s="11">
        <v>0.51243781094527363</v>
      </c>
      <c r="C116" s="11">
        <v>0</v>
      </c>
      <c r="D116" s="11">
        <f>B116/'Real assumptions'!$B$30</f>
        <v>0.51243781094527363</v>
      </c>
      <c r="E116" s="11">
        <f>C116/'Real assumptions'!$B$30</f>
        <v>0</v>
      </c>
      <c r="F116" s="84">
        <f t="shared" ref="F116:G130" si="7">F115*(1-B115)</f>
        <v>0</v>
      </c>
      <c r="G116" s="84">
        <f t="shared" si="7"/>
        <v>0</v>
      </c>
      <c r="H116" s="84">
        <v>0</v>
      </c>
      <c r="I116" s="84">
        <v>0</v>
      </c>
      <c r="J116" s="84">
        <v>0</v>
      </c>
      <c r="K116" s="84">
        <v>0</v>
      </c>
      <c r="L116" s="11">
        <v>0</v>
      </c>
      <c r="M116" s="11">
        <v>0</v>
      </c>
    </row>
    <row r="117" spans="1:13" x14ac:dyDescent="0.2">
      <c r="A117" s="83">
        <v>115</v>
      </c>
      <c r="B117" s="11">
        <v>0.53061224489795922</v>
      </c>
      <c r="C117" s="11">
        <v>0</v>
      </c>
      <c r="D117" s="11">
        <f>B117/'Real assumptions'!$B$30</f>
        <v>0.53061224489795922</v>
      </c>
      <c r="E117" s="11">
        <f>C117/'Real assumptions'!$B$30</f>
        <v>0</v>
      </c>
      <c r="F117" s="84">
        <f t="shared" si="7"/>
        <v>0</v>
      </c>
      <c r="G117" s="84">
        <f t="shared" si="7"/>
        <v>0</v>
      </c>
      <c r="H117" s="84">
        <v>0</v>
      </c>
      <c r="I117" s="84">
        <v>0</v>
      </c>
      <c r="J117" s="84">
        <v>0</v>
      </c>
      <c r="K117" s="84">
        <v>0</v>
      </c>
      <c r="L117" s="11">
        <v>0</v>
      </c>
      <c r="M117" s="11">
        <v>0</v>
      </c>
    </row>
    <row r="118" spans="1:13" x14ac:dyDescent="0.2">
      <c r="A118" s="83">
        <v>116</v>
      </c>
      <c r="B118" s="11">
        <v>0.54347826086956519</v>
      </c>
      <c r="C118" s="11">
        <v>0</v>
      </c>
      <c r="D118" s="11">
        <f>B118/'Real assumptions'!$B$30</f>
        <v>0.54347826086956519</v>
      </c>
      <c r="E118" s="11">
        <f>C118/'Real assumptions'!$B$30</f>
        <v>0</v>
      </c>
      <c r="F118" s="84">
        <f t="shared" si="7"/>
        <v>0</v>
      </c>
      <c r="G118" s="84">
        <f t="shared" si="7"/>
        <v>0</v>
      </c>
      <c r="H118" s="84">
        <v>0</v>
      </c>
      <c r="I118" s="84">
        <v>0</v>
      </c>
      <c r="J118" s="84">
        <v>0</v>
      </c>
      <c r="K118" s="84">
        <v>0</v>
      </c>
      <c r="L118" s="11">
        <v>0</v>
      </c>
      <c r="M118" s="11">
        <v>0</v>
      </c>
    </row>
    <row r="119" spans="1:13" x14ac:dyDescent="0.2">
      <c r="A119" s="83">
        <v>117</v>
      </c>
      <c r="B119" s="11">
        <v>0.5714285714285714</v>
      </c>
      <c r="C119" s="11">
        <v>0.48463356973995275</v>
      </c>
      <c r="D119" s="11">
        <f>B119/'Real assumptions'!$B$30</f>
        <v>0.5714285714285714</v>
      </c>
      <c r="E119" s="11">
        <f>C119/'Real assumptions'!$B$30</f>
        <v>0.48463356973995275</v>
      </c>
      <c r="F119" s="84">
        <f t="shared" si="7"/>
        <v>0</v>
      </c>
      <c r="G119" s="84">
        <f t="shared" si="7"/>
        <v>0</v>
      </c>
      <c r="H119" s="84">
        <v>0</v>
      </c>
      <c r="I119" s="84">
        <v>0</v>
      </c>
      <c r="J119" s="84">
        <v>0</v>
      </c>
      <c r="K119" s="84">
        <v>0</v>
      </c>
      <c r="L119" s="11">
        <v>0</v>
      </c>
      <c r="M119" s="11">
        <v>0</v>
      </c>
    </row>
    <row r="120" spans="1:13" x14ac:dyDescent="0.2">
      <c r="A120" s="83">
        <v>118</v>
      </c>
      <c r="B120" s="11">
        <v>0.55555555555555558</v>
      </c>
      <c r="C120" s="11">
        <v>0.5</v>
      </c>
      <c r="D120" s="11">
        <f>B120/'Real assumptions'!$B$30</f>
        <v>0.55555555555555558</v>
      </c>
      <c r="E120" s="11">
        <f>C120/'Real assumptions'!$B$30</f>
        <v>0.5</v>
      </c>
      <c r="F120" s="84">
        <f t="shared" si="7"/>
        <v>0</v>
      </c>
      <c r="G120" s="84">
        <f t="shared" si="7"/>
        <v>0</v>
      </c>
      <c r="H120" s="84">
        <v>0</v>
      </c>
      <c r="I120" s="84">
        <v>0</v>
      </c>
      <c r="J120" s="84">
        <v>0</v>
      </c>
      <c r="K120" s="84">
        <v>0</v>
      </c>
      <c r="L120" s="11">
        <v>0</v>
      </c>
      <c r="M120" s="11">
        <v>0</v>
      </c>
    </row>
    <row r="121" spans="1:13" x14ac:dyDescent="0.2">
      <c r="A121" s="83">
        <v>119</v>
      </c>
      <c r="B121" s="11">
        <v>0.5</v>
      </c>
      <c r="C121" s="11">
        <v>0.52293577981651373</v>
      </c>
      <c r="D121" s="11">
        <f>B121/'Real assumptions'!$B$30</f>
        <v>0.5</v>
      </c>
      <c r="E121" s="11">
        <f>C121/'Real assumptions'!$B$30</f>
        <v>0.52293577981651373</v>
      </c>
      <c r="F121" s="84">
        <f t="shared" si="7"/>
        <v>0</v>
      </c>
      <c r="G121" s="84">
        <f t="shared" si="7"/>
        <v>0</v>
      </c>
      <c r="H121" s="84">
        <v>0</v>
      </c>
      <c r="I121" s="84">
        <v>0</v>
      </c>
      <c r="J121" s="84">
        <v>0</v>
      </c>
      <c r="K121" s="84">
        <v>0</v>
      </c>
      <c r="L121" s="11">
        <v>0</v>
      </c>
      <c r="M121" s="11">
        <v>0</v>
      </c>
    </row>
    <row r="122" spans="1:13" x14ac:dyDescent="0.2">
      <c r="A122" s="83">
        <v>120</v>
      </c>
      <c r="B122" s="11">
        <v>0.5</v>
      </c>
      <c r="C122" s="11">
        <v>0.53846153846153855</v>
      </c>
      <c r="D122" s="11">
        <f>B122/'Real assumptions'!$B$30</f>
        <v>0.5</v>
      </c>
      <c r="E122" s="11">
        <f>C122/'Real assumptions'!$B$30</f>
        <v>0.53846153846153855</v>
      </c>
      <c r="F122" s="84">
        <f t="shared" si="7"/>
        <v>0</v>
      </c>
      <c r="G122" s="84">
        <f t="shared" si="7"/>
        <v>0</v>
      </c>
      <c r="H122" s="84">
        <v>0</v>
      </c>
      <c r="I122" s="84">
        <v>0</v>
      </c>
      <c r="J122" s="84">
        <v>0</v>
      </c>
      <c r="K122" s="84">
        <v>0</v>
      </c>
      <c r="L122" s="11">
        <v>0</v>
      </c>
      <c r="M122" s="11">
        <v>0</v>
      </c>
    </row>
    <row r="123" spans="1:13" x14ac:dyDescent="0.2">
      <c r="A123" s="83">
        <v>121</v>
      </c>
      <c r="B123" s="11">
        <v>1</v>
      </c>
      <c r="C123" s="11">
        <v>0.54166666666666674</v>
      </c>
      <c r="D123" s="11">
        <f>B123/'Real assumptions'!$B$30</f>
        <v>1</v>
      </c>
      <c r="E123" s="11">
        <f>C123/'Real assumptions'!$B$30</f>
        <v>0.54166666666666674</v>
      </c>
      <c r="F123" s="84">
        <f t="shared" si="7"/>
        <v>0</v>
      </c>
      <c r="G123" s="84">
        <f t="shared" si="7"/>
        <v>0</v>
      </c>
      <c r="H123" s="84">
        <v>0</v>
      </c>
      <c r="I123" s="84">
        <v>0</v>
      </c>
      <c r="J123" s="84">
        <v>0</v>
      </c>
      <c r="K123" s="84">
        <v>0</v>
      </c>
      <c r="L123" s="11">
        <v>0</v>
      </c>
      <c r="M123" s="11">
        <v>0</v>
      </c>
    </row>
    <row r="124" spans="1:13" x14ac:dyDescent="0.2">
      <c r="A124" s="83">
        <v>0</v>
      </c>
      <c r="B124" s="11">
        <v>0</v>
      </c>
      <c r="C124" s="11">
        <v>0.54545454545454541</v>
      </c>
      <c r="D124" s="11">
        <f>B124/'Real assumptions'!$B$30</f>
        <v>0</v>
      </c>
      <c r="E124" s="11">
        <f>C124/'Real assumptions'!$B$30</f>
        <v>0.54545454545454541</v>
      </c>
      <c r="F124" s="84">
        <f t="shared" si="7"/>
        <v>0</v>
      </c>
      <c r="G124" s="84">
        <f t="shared" si="7"/>
        <v>0</v>
      </c>
      <c r="H124" s="84">
        <v>0</v>
      </c>
      <c r="I124" s="84">
        <v>0</v>
      </c>
      <c r="J124" s="84">
        <v>0</v>
      </c>
      <c r="K124" s="84">
        <v>0</v>
      </c>
      <c r="L124" s="11">
        <v>0</v>
      </c>
      <c r="M124" s="11">
        <v>0</v>
      </c>
    </row>
    <row r="125" spans="1:13" x14ac:dyDescent="0.2">
      <c r="A125" s="83">
        <v>0</v>
      </c>
      <c r="B125" s="11">
        <v>0</v>
      </c>
      <c r="C125" s="11">
        <v>0.6</v>
      </c>
      <c r="D125" s="11">
        <f>B125/'Real assumptions'!$B$30</f>
        <v>0</v>
      </c>
      <c r="E125" s="11">
        <f>C125/'Real assumptions'!$B$30</f>
        <v>0.6</v>
      </c>
      <c r="F125" s="84">
        <f t="shared" si="7"/>
        <v>0</v>
      </c>
      <c r="G125" s="84">
        <f t="shared" si="7"/>
        <v>0</v>
      </c>
      <c r="H125" s="84">
        <v>0</v>
      </c>
      <c r="I125" s="84">
        <v>0</v>
      </c>
      <c r="J125" s="84">
        <v>0</v>
      </c>
      <c r="K125" s="84">
        <v>0</v>
      </c>
      <c r="L125" s="11">
        <v>0</v>
      </c>
      <c r="M125" s="11">
        <v>0</v>
      </c>
    </row>
    <row r="126" spans="1:13" x14ac:dyDescent="0.2">
      <c r="A126" s="83">
        <v>0</v>
      </c>
      <c r="B126" s="11">
        <v>0</v>
      </c>
      <c r="C126" s="11">
        <v>0.5</v>
      </c>
      <c r="D126" s="11">
        <f>B126/'Real assumptions'!$B$30</f>
        <v>0</v>
      </c>
      <c r="E126" s="11">
        <f>C126/'Real assumptions'!$B$30</f>
        <v>0.5</v>
      </c>
      <c r="F126" s="84">
        <f t="shared" si="7"/>
        <v>0</v>
      </c>
      <c r="G126" s="84">
        <f t="shared" si="7"/>
        <v>0</v>
      </c>
      <c r="H126" s="84">
        <v>0</v>
      </c>
      <c r="I126" s="84">
        <v>0</v>
      </c>
      <c r="J126" s="84">
        <v>0</v>
      </c>
      <c r="K126" s="84">
        <v>0</v>
      </c>
      <c r="L126" s="11">
        <v>0</v>
      </c>
      <c r="M126" s="11">
        <v>0</v>
      </c>
    </row>
    <row r="127" spans="1:13" x14ac:dyDescent="0.2">
      <c r="A127" s="83">
        <v>0</v>
      </c>
      <c r="B127" s="11">
        <v>0</v>
      </c>
      <c r="C127" s="11">
        <v>1</v>
      </c>
      <c r="D127" s="11">
        <f>B127/'Real assumptions'!$B$30</f>
        <v>0</v>
      </c>
      <c r="E127" s="11">
        <f>C127/'Real assumptions'!$B$30</f>
        <v>1</v>
      </c>
      <c r="F127" s="84">
        <f t="shared" si="7"/>
        <v>0</v>
      </c>
      <c r="G127" s="84">
        <f t="shared" si="7"/>
        <v>0</v>
      </c>
      <c r="H127" s="84">
        <v>0</v>
      </c>
      <c r="I127" s="84">
        <v>0</v>
      </c>
      <c r="J127" s="84">
        <v>0</v>
      </c>
      <c r="K127" s="84">
        <v>0</v>
      </c>
      <c r="L127" s="11">
        <v>0</v>
      </c>
      <c r="M127" s="11">
        <v>0</v>
      </c>
    </row>
    <row r="128" spans="1:13" x14ac:dyDescent="0.2">
      <c r="A128" s="83">
        <v>0</v>
      </c>
      <c r="B128" s="11">
        <v>0</v>
      </c>
      <c r="C128" s="11">
        <v>0</v>
      </c>
      <c r="D128" s="11">
        <f>B128/'Real assumptions'!$B$30</f>
        <v>0</v>
      </c>
      <c r="E128" s="11">
        <f>C128/'Real assumptions'!$B$30</f>
        <v>0</v>
      </c>
      <c r="F128" s="84">
        <f t="shared" si="7"/>
        <v>0</v>
      </c>
      <c r="G128" s="84">
        <f t="shared" si="7"/>
        <v>0</v>
      </c>
      <c r="H128" s="84">
        <f>F128*1/(1+'[1]Proj Cash Flows'!$V$2/100)^'Premiums Rate'!$A128</f>
        <v>0</v>
      </c>
      <c r="I128" s="84">
        <f>G128*1/(1+'[1]Proj Cash Flows'!$V$2/100)^'Premiums Rate'!$A128</f>
        <v>0</v>
      </c>
      <c r="J128" s="84">
        <f>SUM(G128:G$130)</f>
        <v>0</v>
      </c>
      <c r="K128" s="84">
        <f>SUM(H128:H$130)</f>
        <v>0</v>
      </c>
      <c r="L128" s="11" t="e">
        <f>#REF!</f>
        <v>#REF!</v>
      </c>
      <c r="M128" s="11" t="e">
        <f>#REF!</f>
        <v>#REF!</v>
      </c>
    </row>
    <row r="129" spans="1:13" x14ac:dyDescent="0.2">
      <c r="A129" s="83">
        <v>0</v>
      </c>
      <c r="B129" s="11">
        <v>0</v>
      </c>
      <c r="C129" s="11">
        <v>0</v>
      </c>
      <c r="D129" s="11">
        <f>B129/'Real assumptions'!$B$30</f>
        <v>0</v>
      </c>
      <c r="E129" s="11">
        <f>C129/'Real assumptions'!$B$30</f>
        <v>0</v>
      </c>
      <c r="F129" s="84">
        <f t="shared" si="7"/>
        <v>0</v>
      </c>
      <c r="G129" s="84">
        <f t="shared" si="7"/>
        <v>0</v>
      </c>
      <c r="H129" s="84">
        <f>F129*1/(1+'[1]Proj Cash Flows'!$V$2/100)^'Premiums Rate'!$A129</f>
        <v>0</v>
      </c>
      <c r="I129" s="84">
        <f>G129*1/(1+'[1]Proj Cash Flows'!$V$2/100)^'Premiums Rate'!$A129</f>
        <v>0</v>
      </c>
      <c r="J129" s="84">
        <f>SUM(G129:G$130)</f>
        <v>0</v>
      </c>
      <c r="K129" s="84">
        <f>SUM(H129:H$130)</f>
        <v>0</v>
      </c>
      <c r="L129" s="11" t="e">
        <f>#REF!</f>
        <v>#REF!</v>
      </c>
      <c r="M129" s="11" t="e">
        <f>#REF!</f>
        <v>#REF!</v>
      </c>
    </row>
    <row r="130" spans="1:13" x14ac:dyDescent="0.2">
      <c r="A130" s="83">
        <v>0</v>
      </c>
      <c r="B130" s="11">
        <v>0</v>
      </c>
      <c r="C130" s="11">
        <v>0</v>
      </c>
      <c r="D130" s="11">
        <f>B130/'Real assumptions'!$B$30</f>
        <v>0</v>
      </c>
      <c r="E130" s="11">
        <f>C130/'Real assumptions'!$B$30</f>
        <v>0</v>
      </c>
      <c r="F130" s="84">
        <f t="shared" si="7"/>
        <v>0</v>
      </c>
      <c r="G130" s="84">
        <f t="shared" si="7"/>
        <v>0</v>
      </c>
      <c r="H130" s="84">
        <f>F130*1/(1+'[1]Proj Cash Flows'!$V$2/100)^'Premiums Rate'!$A130</f>
        <v>0</v>
      </c>
      <c r="I130" s="84">
        <f>G130*1/(1+'[1]Proj Cash Flows'!$V$2/100)^'Premiums Rate'!$A130</f>
        <v>0</v>
      </c>
      <c r="J130" s="84">
        <f>SUM(G130:G$130)</f>
        <v>0</v>
      </c>
      <c r="K130" s="84">
        <f>SUM(H130:H$130)</f>
        <v>0</v>
      </c>
      <c r="L130" s="11" t="e">
        <f>#REF!</f>
        <v>#REF!</v>
      </c>
      <c r="M130" s="11" t="e">
        <f>#REF!</f>
        <v>#REF!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00C7C-4BF1-439C-937C-36F315A01F51}">
  <sheetPr codeName="Feuil5"/>
  <dimension ref="B3"/>
  <sheetViews>
    <sheetView workbookViewId="0">
      <selection activeCell="B4" sqref="B4"/>
    </sheetView>
  </sheetViews>
  <sheetFormatPr baseColWidth="10" defaultRowHeight="15" x14ac:dyDescent="0.25"/>
  <sheetData>
    <row r="3" spans="2:2" x14ac:dyDescent="0.25">
      <c r="B3" t="s">
        <v>263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Synthèse</vt:lpstr>
      <vt:lpstr>Cash flows mensuel</vt:lpstr>
      <vt:lpstr>Cash flows par police</vt:lpstr>
      <vt:lpstr>Portfolio</vt:lpstr>
      <vt:lpstr>Real assumptions</vt:lpstr>
      <vt:lpstr>EKM_F05</vt:lpstr>
      <vt:lpstr>Premiums Rate</vt:lpstr>
      <vt:lpstr>Correction à faire</vt:lpstr>
      <vt:lpstr>PREM_INC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Joël Da Costa Oliveira</dc:creator>
  <cp:lastModifiedBy>Joël Da Costa Oliveira</cp:lastModifiedBy>
  <dcterms:created xsi:type="dcterms:W3CDTF">2019-02-21T11:25:28Z</dcterms:created>
  <dcterms:modified xsi:type="dcterms:W3CDTF">2019-04-04T09:03:05Z</dcterms:modified>
</cp:coreProperties>
</file>